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2" ContentType="application/binary"/>
  <Override PartName="/xl/commentsmeta4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yse\OneDrive\Desktop\PEcon Open Submission\"/>
    </mc:Choice>
  </mc:AlternateContent>
  <xr:revisionPtr revIDLastSave="0" documentId="13_ncr:1_{67532D8F-87B0-41A8-AD23-54A7A491D985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Model Overview" sheetId="1" r:id="rId1"/>
    <sheet name="Calculated Inputs" sheetId="2" r:id="rId2"/>
    <sheet name="Parameters" sheetId="3" r:id="rId3"/>
    <sheet name="Decision Tree" sheetId="4" r:id="rId4"/>
    <sheet name="Markov Model" sheetId="5" state="hidden" r:id="rId5"/>
    <sheet name="Markov Model_b" sheetId="6" r:id="rId6"/>
    <sheet name="OWSA" sheetId="7" r:id="rId7"/>
    <sheet name="OWSA Graph" sheetId="8" state="hidden" r:id="rId8"/>
    <sheet name="PSA" sheetId="9" r:id="rId9"/>
    <sheet name="Sheet2" sheetId="10" state="hidden" r:id="rId10"/>
    <sheet name="Survival Extrapolation" sheetId="16" r:id="rId11"/>
    <sheet name="Weibull_Test" sheetId="11" state="hidden" r:id="rId12"/>
    <sheet name="Data" sheetId="12" state="hidden" r:id="rId13"/>
    <sheet name="References_Assumptions" sheetId="13" state="hidden" r:id="rId14"/>
    <sheet name="Sheet3" sheetId="17" state="hidden" r:id="rId15"/>
    <sheet name="Credible Interval Results" sheetId="14" state="hidden" r:id="rId16"/>
    <sheet name="Markov_Backup" sheetId="15" state="hidden" r:id="rId17"/>
  </sheets>
  <definedNames>
    <definedName name="_xlnm._FilterDatabase" localSheetId="7" hidden="1">'OWSA Graph'!$A$1:$D$1</definedName>
    <definedName name="_xlnm._FilterDatabase" localSheetId="9" hidden="1">Sheet2!$A$1:$D$1001</definedName>
    <definedName name="age">#REF!</definedName>
    <definedName name="cDR">Parameters!$B$17</definedName>
    <definedName name="cohortsize">Parameters!$B$15</definedName>
    <definedName name="cRatio">PSA!$AJ$6</definedName>
    <definedName name="cycle" localSheetId="5">'Markov Model_b'!$C$11:$C$119</definedName>
    <definedName name="cycle" localSheetId="16">Markov_Backup!$C$11:$C$61</definedName>
    <definedName name="cycle" localSheetId="11">Weibull_Test!$C$11:$C$61</definedName>
    <definedName name="cycle">'Markov Model'!$C$11:$C$61</definedName>
    <definedName name="cycle2" localSheetId="5">'Markov Model_b'!$P$11:$P$119</definedName>
    <definedName name="cycle2" localSheetId="16">Markov_Backup!$P$11:$P$61</definedName>
    <definedName name="cycle2" localSheetId="11">Weibull_Test!$P$11:$P$61</definedName>
    <definedName name="cycle2">'Markov Model'!$P$11:$P$61</definedName>
    <definedName name="gamma">Weibull_Test!$K$1</definedName>
    <definedName name="gengamma_tbl">'Survival Extrapolation'!#REF!</definedName>
    <definedName name="lambda">Weibull_Test!$K$2</definedName>
    <definedName name="lifetable">Data!$P$20:$R$80</definedName>
    <definedName name="lifetable_hk">Data!$AF$20:$AG$80</definedName>
    <definedName name="lifetable2">Data!$Z$20:$AA$80</definedName>
    <definedName name="male">#REF!</definedName>
    <definedName name="mr" localSheetId="5">'Markov Model_b'!$E$11:$E$61</definedName>
    <definedName name="mr" localSheetId="16">Markov_Backup!$E$11:$E$61</definedName>
    <definedName name="mr" localSheetId="11">Weibull_Test!$E$11:$E$61</definedName>
    <definedName name="mr">'Markov Model'!$E$12:$E$61</definedName>
    <definedName name="mr_2" localSheetId="5">'Markov Model_b'!$R$11:$R$119</definedName>
    <definedName name="mr_2" localSheetId="16">Markov_Backup!$R$11:$R$61</definedName>
    <definedName name="mr_2" localSheetId="11">Weibull_Test!$Q$11:$Q$61</definedName>
    <definedName name="mr_2">'Markov Model'!$R$12:$R$61</definedName>
    <definedName name="oDR">Parameters!$B$18</definedName>
    <definedName name="P_survival_gengamma">'Survival Extrapolation'!$AI$26:$AI$370</definedName>
    <definedName name="rrDeath1_2">Parameters!$B$53</definedName>
    <definedName name="rrDeath10">#REF!</definedName>
    <definedName name="rrDeath11">#REF!</definedName>
    <definedName name="rrDeath12">#REF!</definedName>
    <definedName name="rrDeath13">#REF!</definedName>
    <definedName name="rrDeath14">#REF!</definedName>
    <definedName name="rrDeath15">#REF!</definedName>
    <definedName name="rrDeath16">#REF!</definedName>
    <definedName name="rrDeath3">Parameters!$B$54</definedName>
    <definedName name="rrDeath4">#REF!</definedName>
    <definedName name="rrDeath5">#REF!</definedName>
    <definedName name="rrDeath6">#REF!</definedName>
    <definedName name="rrDeath7">#REF!</definedName>
    <definedName name="rrDeath8">#REF!</definedName>
    <definedName name="rrDeath9">#REF!</definedName>
    <definedName name="uPostT">Parameters!$B$51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20" roundtripDataSignature="AMtx7mhBX7gFKDlRiQDpDxLAPJwG/I5odg=="/>
    </ext>
  </extLst>
</workbook>
</file>

<file path=xl/calcChain.xml><?xml version="1.0" encoding="utf-8"?>
<calcChain xmlns="http://schemas.openxmlformats.org/spreadsheetml/2006/main">
  <c r="Y123" i="6" l="1"/>
  <c r="AF13" i="6" s="1"/>
  <c r="J121" i="6"/>
  <c r="K126" i="6" s="1"/>
  <c r="G11" i="6"/>
  <c r="H11" i="6"/>
  <c r="AI11" i="6" l="1"/>
  <c r="F19" i="17"/>
  <c r="D25" i="8"/>
  <c r="D16" i="8"/>
  <c r="J37" i="7"/>
  <c r="J36" i="7"/>
  <c r="C17" i="3"/>
  <c r="F12" i="7"/>
  <c r="G28" i="3"/>
  <c r="H21" i="3"/>
  <c r="G21" i="3"/>
  <c r="C41" i="3" l="1"/>
  <c r="F161" i="17"/>
  <c r="F160" i="17"/>
  <c r="F159" i="17"/>
  <c r="F158" i="17"/>
  <c r="F157" i="17"/>
  <c r="F156" i="17"/>
  <c r="F155" i="17"/>
  <c r="F154" i="17"/>
  <c r="F153" i="17"/>
  <c r="F152" i="17"/>
  <c r="F151" i="17"/>
  <c r="F150" i="17"/>
  <c r="F149" i="17"/>
  <c r="F148" i="17"/>
  <c r="F147" i="17"/>
  <c r="F146" i="17"/>
  <c r="F145" i="17"/>
  <c r="F144" i="17"/>
  <c r="F143" i="17"/>
  <c r="F142" i="17"/>
  <c r="F141" i="17"/>
  <c r="F140" i="17"/>
  <c r="F139" i="17"/>
  <c r="F138" i="17"/>
  <c r="F137" i="17"/>
  <c r="F136" i="17"/>
  <c r="F135" i="17"/>
  <c r="F134" i="17"/>
  <c r="F133" i="17"/>
  <c r="F132" i="17"/>
  <c r="F131" i="17"/>
  <c r="F130" i="17"/>
  <c r="F129" i="17"/>
  <c r="F128" i="17"/>
  <c r="F127" i="17"/>
  <c r="F126" i="17"/>
  <c r="F125" i="17"/>
  <c r="F124" i="17"/>
  <c r="F123" i="17"/>
  <c r="F122" i="17"/>
  <c r="F121" i="17"/>
  <c r="F120" i="17"/>
  <c r="F119" i="17"/>
  <c r="F118" i="17"/>
  <c r="F117" i="17"/>
  <c r="F116" i="17"/>
  <c r="F115" i="17"/>
  <c r="F114" i="17"/>
  <c r="F113" i="17"/>
  <c r="F112" i="17"/>
  <c r="F111" i="17"/>
  <c r="F110" i="17"/>
  <c r="F109" i="17"/>
  <c r="F108" i="17"/>
  <c r="F107" i="17"/>
  <c r="F106" i="17"/>
  <c r="F105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D41" i="3"/>
  <c r="D48" i="17" l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47" i="17"/>
  <c r="G6" i="17"/>
  <c r="G7" i="17" s="1"/>
  <c r="X28" i="16"/>
  <c r="AF27" i="16"/>
  <c r="G8" i="17" l="1"/>
  <c r="G9" i="17" l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l="1"/>
  <c r="G22" i="17" s="1"/>
  <c r="G23" i="17" s="1"/>
  <c r="G24" i="17" l="1"/>
  <c r="G25" i="17" l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l="1"/>
  <c r="G40" i="17" s="1"/>
  <c r="G41" i="17" s="1"/>
  <c r="G42" i="17" s="1"/>
  <c r="G43" i="17" l="1"/>
  <c r="G44" i="17" s="1"/>
  <c r="G45" i="17" s="1"/>
  <c r="G47" i="17" l="1"/>
  <c r="G49" i="17" s="1"/>
  <c r="G51" i="17" s="1"/>
  <c r="G53" i="17" s="1"/>
  <c r="G55" i="17" s="1"/>
  <c r="G57" i="17" s="1"/>
  <c r="G59" i="17" s="1"/>
  <c r="G61" i="17" s="1"/>
  <c r="G63" i="17" s="1"/>
  <c r="G65" i="17" s="1"/>
  <c r="G67" i="17" s="1"/>
  <c r="G69" i="17" s="1"/>
  <c r="G71" i="17" s="1"/>
  <c r="G73" i="17" s="1"/>
  <c r="G75" i="17" s="1"/>
  <c r="G77" i="17" s="1"/>
  <c r="G46" i="17"/>
  <c r="G48" i="17" s="1"/>
  <c r="G50" i="17" s="1"/>
  <c r="G52" i="17" s="1"/>
  <c r="G54" i="17" s="1"/>
  <c r="G56" i="17" s="1"/>
  <c r="G58" i="17" s="1"/>
  <c r="G60" i="17" s="1"/>
  <c r="G62" i="17" s="1"/>
  <c r="G64" i="17" s="1"/>
  <c r="G66" i="17" s="1"/>
  <c r="G68" i="17" s="1"/>
  <c r="G70" i="17" s="1"/>
  <c r="G72" i="17" s="1"/>
  <c r="G74" i="17" s="1"/>
  <c r="G76" i="17" s="1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7" i="17"/>
  <c r="G79" i="17" l="1"/>
  <c r="G81" i="17" s="1"/>
  <c r="G83" i="17" s="1"/>
  <c r="G85" i="17" s="1"/>
  <c r="G87" i="17" s="1"/>
  <c r="G89" i="17" s="1"/>
  <c r="G91" i="17" s="1"/>
  <c r="G93" i="17" s="1"/>
  <c r="G95" i="17" s="1"/>
  <c r="G97" i="17" s="1"/>
  <c r="G99" i="17" s="1"/>
  <c r="G101" i="17" s="1"/>
  <c r="G103" i="17" s="1"/>
  <c r="G105" i="17" s="1"/>
  <c r="G107" i="17" s="1"/>
  <c r="G109" i="17" s="1"/>
  <c r="G111" i="17" s="1"/>
  <c r="G113" i="17" s="1"/>
  <c r="G115" i="17" s="1"/>
  <c r="G117" i="17" s="1"/>
  <c r="G119" i="17" s="1"/>
  <c r="G121" i="17" s="1"/>
  <c r="G123" i="17" s="1"/>
  <c r="G125" i="17" s="1"/>
  <c r="G127" i="17" s="1"/>
  <c r="G129" i="17" s="1"/>
  <c r="G131" i="17" s="1"/>
  <c r="G133" i="17" s="1"/>
  <c r="G135" i="17" s="1"/>
  <c r="G137" i="17" s="1"/>
  <c r="G139" i="17" s="1"/>
  <c r="G141" i="17" s="1"/>
  <c r="G143" i="17" s="1"/>
  <c r="G145" i="17" s="1"/>
  <c r="G147" i="17" s="1"/>
  <c r="G149" i="17" s="1"/>
  <c r="G151" i="17" s="1"/>
  <c r="G153" i="17" s="1"/>
  <c r="G155" i="17" s="1"/>
  <c r="G157" i="17" s="1"/>
  <c r="G159" i="17" s="1"/>
  <c r="G161" i="17" s="1"/>
  <c r="G78" i="17"/>
  <c r="G80" i="17" s="1"/>
  <c r="G82" i="17" s="1"/>
  <c r="G84" i="17" s="1"/>
  <c r="G86" i="17" s="1"/>
  <c r="G88" i="17" s="1"/>
  <c r="G90" i="17" s="1"/>
  <c r="G92" i="17" s="1"/>
  <c r="G94" i="17" s="1"/>
  <c r="G96" i="17" s="1"/>
  <c r="G98" i="17" s="1"/>
  <c r="G100" i="17" s="1"/>
  <c r="G102" i="17" s="1"/>
  <c r="G104" i="17" s="1"/>
  <c r="G106" i="17" s="1"/>
  <c r="G108" i="17" s="1"/>
  <c r="G110" i="17" s="1"/>
  <c r="G112" i="17" s="1"/>
  <c r="G114" i="17" s="1"/>
  <c r="G116" i="17" s="1"/>
  <c r="G118" i="17" s="1"/>
  <c r="G120" i="17" s="1"/>
  <c r="G122" i="17" s="1"/>
  <c r="G124" i="17" s="1"/>
  <c r="G126" i="17" s="1"/>
  <c r="G128" i="17" s="1"/>
  <c r="G130" i="17" s="1"/>
  <c r="G132" i="17" s="1"/>
  <c r="G134" i="17" s="1"/>
  <c r="G136" i="17" s="1"/>
  <c r="G138" i="17" s="1"/>
  <c r="G140" i="17" s="1"/>
  <c r="G142" i="17" s="1"/>
  <c r="G144" i="17" s="1"/>
  <c r="G146" i="17" s="1"/>
  <c r="G148" i="17" s="1"/>
  <c r="G150" i="17" s="1"/>
  <c r="G152" i="17" s="1"/>
  <c r="G154" i="17" s="1"/>
  <c r="G156" i="17" s="1"/>
  <c r="G158" i="17" s="1"/>
  <c r="G160" i="17" s="1"/>
  <c r="AI27" i="16"/>
  <c r="AG27" i="16"/>
  <c r="AH27" i="16"/>
  <c r="E26" i="11"/>
  <c r="E114" i="11"/>
  <c r="E116" i="11"/>
  <c r="E12" i="11"/>
  <c r="V30" i="16" l="1"/>
  <c r="T32" i="16"/>
  <c r="T31" i="16"/>
  <c r="X31" i="16" s="1"/>
  <c r="AH22" i="16"/>
  <c r="AF22" i="16"/>
  <c r="AB21" i="16"/>
  <c r="X11" i="16"/>
  <c r="W11" i="16"/>
  <c r="W12" i="16"/>
  <c r="T15" i="16"/>
  <c r="X15" i="16" s="1"/>
  <c r="T14" i="16"/>
  <c r="X14" i="16" s="1"/>
  <c r="T13" i="16"/>
  <c r="X13" i="16" s="1"/>
  <c r="T12" i="16"/>
  <c r="X12" i="16" s="1"/>
  <c r="T11" i="16"/>
  <c r="I96" i="16"/>
  <c r="I98" i="16"/>
  <c r="AH23" i="16" s="1"/>
  <c r="AH24" i="16" s="1"/>
  <c r="I94" i="16"/>
  <c r="AH21" i="16" s="1"/>
  <c r="N97" i="16"/>
  <c r="N96" i="16"/>
  <c r="N95" i="16"/>
  <c r="I82" i="16"/>
  <c r="I80" i="16"/>
  <c r="AF21" i="16" s="1"/>
  <c r="N82" i="16"/>
  <c r="N81" i="16"/>
  <c r="I68" i="16"/>
  <c r="AD22" i="16" s="1"/>
  <c r="N68" i="16"/>
  <c r="N67" i="16"/>
  <c r="I66" i="16"/>
  <c r="AD21" i="16" s="1"/>
  <c r="I54" i="16"/>
  <c r="AB22" i="16" s="1"/>
  <c r="AB32" i="16" s="1"/>
  <c r="I52" i="16"/>
  <c r="N54" i="16"/>
  <c r="N53" i="16"/>
  <c r="N40" i="16"/>
  <c r="N39" i="16"/>
  <c r="I40" i="16"/>
  <c r="Z22" i="16" s="1"/>
  <c r="I38" i="16"/>
  <c r="Z21" i="16" s="1"/>
  <c r="N26" i="16"/>
  <c r="N25" i="16"/>
  <c r="I26" i="16"/>
  <c r="X22" i="16" s="1"/>
  <c r="I24" i="16"/>
  <c r="X21" i="16" s="1"/>
  <c r="X29" i="16" s="1"/>
  <c r="N13" i="16"/>
  <c r="I12" i="16"/>
  <c r="V21" i="16" s="1"/>
  <c r="AI14" i="9"/>
  <c r="AH30" i="16" l="1"/>
  <c r="AI30" i="16" s="1"/>
  <c r="Z28" i="16"/>
  <c r="Z32" i="16"/>
  <c r="AD30" i="16"/>
  <c r="AD29" i="16"/>
  <c r="AD28" i="16"/>
  <c r="AD27" i="16"/>
  <c r="AG28" i="16"/>
  <c r="AH28" i="16" s="1"/>
  <c r="AI28" i="16" s="1"/>
  <c r="AG29" i="16"/>
  <c r="AH29" i="16" s="1"/>
  <c r="AI29" i="16" s="1"/>
  <c r="AG30" i="16"/>
  <c r="AF32" i="16"/>
  <c r="AF31" i="16"/>
  <c r="AF29" i="16"/>
  <c r="AF28" i="16"/>
  <c r="AF30" i="16"/>
  <c r="Z30" i="16"/>
  <c r="Z29" i="16"/>
  <c r="Z27" i="16"/>
  <c r="AD31" i="16"/>
  <c r="AG31" i="16"/>
  <c r="AH31" i="16" s="1"/>
  <c r="AI31" i="16" s="1"/>
  <c r="AB31" i="16"/>
  <c r="Z31" i="16"/>
  <c r="V27" i="16"/>
  <c r="AB28" i="16"/>
  <c r="AB27" i="16"/>
  <c r="AB30" i="16"/>
  <c r="AB29" i="16"/>
  <c r="AG32" i="16"/>
  <c r="AH32" i="16" s="1"/>
  <c r="AI32" i="16" s="1"/>
  <c r="AD32" i="16"/>
  <c r="X32" i="16"/>
  <c r="V28" i="16"/>
  <c r="T33" i="16"/>
  <c r="AF33" i="16" s="1"/>
  <c r="V29" i="16"/>
  <c r="V31" i="16"/>
  <c r="X30" i="16"/>
  <c r="X27" i="16"/>
  <c r="V32" i="16"/>
  <c r="W13" i="16"/>
  <c r="W14" i="16"/>
  <c r="W15" i="16"/>
  <c r="N100" i="16" a="1"/>
  <c r="N100" i="16" s="1"/>
  <c r="N104" i="16" s="1"/>
  <c r="N85" i="16" a="1"/>
  <c r="N89" i="16" s="1"/>
  <c r="N71" i="16" a="1"/>
  <c r="N71" i="16" s="1"/>
  <c r="N57" i="16" a="1"/>
  <c r="N57" i="16" s="1"/>
  <c r="N60" i="16" s="1"/>
  <c r="N43" i="16" a="1"/>
  <c r="N43" i="16" s="1"/>
  <c r="N46" i="16" s="1"/>
  <c r="N29" i="16" a="1"/>
  <c r="N29" i="16" s="1"/>
  <c r="N16" i="16"/>
  <c r="N18" i="16" s="1"/>
  <c r="F57" i="2"/>
  <c r="BA14" i="9"/>
  <c r="AZ14" i="9"/>
  <c r="BB14" i="9" s="1"/>
  <c r="AJ14" i="9"/>
  <c r="BA1013" i="9"/>
  <c r="BA1012" i="9"/>
  <c r="BA1011" i="9"/>
  <c r="BA1010" i="9"/>
  <c r="BA1009" i="9"/>
  <c r="BA1008" i="9"/>
  <c r="BA1007" i="9"/>
  <c r="BA1006" i="9"/>
  <c r="BA1005" i="9"/>
  <c r="BA1004" i="9"/>
  <c r="BA1003" i="9"/>
  <c r="BA1002" i="9"/>
  <c r="BA1001" i="9"/>
  <c r="BA1000" i="9"/>
  <c r="BA999" i="9"/>
  <c r="BA998" i="9"/>
  <c r="BA997" i="9"/>
  <c r="BA996" i="9"/>
  <c r="BA995" i="9"/>
  <c r="BA994" i="9"/>
  <c r="BA993" i="9"/>
  <c r="BA992" i="9"/>
  <c r="BA991" i="9"/>
  <c r="BA990" i="9"/>
  <c r="BA989" i="9"/>
  <c r="BA988" i="9"/>
  <c r="BA987" i="9"/>
  <c r="BA986" i="9"/>
  <c r="BA985" i="9"/>
  <c r="BA984" i="9"/>
  <c r="BA983" i="9"/>
  <c r="BA982" i="9"/>
  <c r="BA981" i="9"/>
  <c r="BA980" i="9"/>
  <c r="BA979" i="9"/>
  <c r="BA978" i="9"/>
  <c r="BA977" i="9"/>
  <c r="BA976" i="9"/>
  <c r="BA975" i="9"/>
  <c r="BA974" i="9"/>
  <c r="BA973" i="9"/>
  <c r="BA972" i="9"/>
  <c r="BA971" i="9"/>
  <c r="BA970" i="9"/>
  <c r="BA969" i="9"/>
  <c r="BA968" i="9"/>
  <c r="BA967" i="9"/>
  <c r="BA966" i="9"/>
  <c r="BA965" i="9"/>
  <c r="BA964" i="9"/>
  <c r="BA963" i="9"/>
  <c r="BA962" i="9"/>
  <c r="BA961" i="9"/>
  <c r="BA960" i="9"/>
  <c r="BA959" i="9"/>
  <c r="BA958" i="9"/>
  <c r="BA957" i="9"/>
  <c r="BA956" i="9"/>
  <c r="BA955" i="9"/>
  <c r="BA954" i="9"/>
  <c r="BA953" i="9"/>
  <c r="BA952" i="9"/>
  <c r="BA951" i="9"/>
  <c r="BA950" i="9"/>
  <c r="BA949" i="9"/>
  <c r="BA948" i="9"/>
  <c r="BA947" i="9"/>
  <c r="BA946" i="9"/>
  <c r="BA945" i="9"/>
  <c r="BA944" i="9"/>
  <c r="BA943" i="9"/>
  <c r="BA942" i="9"/>
  <c r="BA941" i="9"/>
  <c r="BA940" i="9"/>
  <c r="BA939" i="9"/>
  <c r="BA938" i="9"/>
  <c r="BA937" i="9"/>
  <c r="BA936" i="9"/>
  <c r="BA935" i="9"/>
  <c r="BA934" i="9"/>
  <c r="BA933" i="9"/>
  <c r="BA932" i="9"/>
  <c r="BA931" i="9"/>
  <c r="BA930" i="9"/>
  <c r="BA929" i="9"/>
  <c r="BA928" i="9"/>
  <c r="BA927" i="9"/>
  <c r="BA926" i="9"/>
  <c r="BA925" i="9"/>
  <c r="BA924" i="9"/>
  <c r="BA923" i="9"/>
  <c r="BA922" i="9"/>
  <c r="BA921" i="9"/>
  <c r="BA920" i="9"/>
  <c r="BA919" i="9"/>
  <c r="BA918" i="9"/>
  <c r="BA917" i="9"/>
  <c r="BA916" i="9"/>
  <c r="BA915" i="9"/>
  <c r="BA914" i="9"/>
  <c r="BA913" i="9"/>
  <c r="BA912" i="9"/>
  <c r="BA911" i="9"/>
  <c r="BA910" i="9"/>
  <c r="BA909" i="9"/>
  <c r="BA908" i="9"/>
  <c r="BA907" i="9"/>
  <c r="BA906" i="9"/>
  <c r="BA905" i="9"/>
  <c r="BA904" i="9"/>
  <c r="BA903" i="9"/>
  <c r="BA902" i="9"/>
  <c r="BA901" i="9"/>
  <c r="BA900" i="9"/>
  <c r="BA899" i="9"/>
  <c r="BA898" i="9"/>
  <c r="BA897" i="9"/>
  <c r="BA896" i="9"/>
  <c r="BA895" i="9"/>
  <c r="BA894" i="9"/>
  <c r="BA893" i="9"/>
  <c r="BA892" i="9"/>
  <c r="BA891" i="9"/>
  <c r="BA890" i="9"/>
  <c r="BA889" i="9"/>
  <c r="BA888" i="9"/>
  <c r="BA887" i="9"/>
  <c r="BA886" i="9"/>
  <c r="BA885" i="9"/>
  <c r="BA884" i="9"/>
  <c r="BA883" i="9"/>
  <c r="BA882" i="9"/>
  <c r="BA881" i="9"/>
  <c r="BA880" i="9"/>
  <c r="BA879" i="9"/>
  <c r="BA878" i="9"/>
  <c r="BA877" i="9"/>
  <c r="BA876" i="9"/>
  <c r="BA875" i="9"/>
  <c r="BA874" i="9"/>
  <c r="BA873" i="9"/>
  <c r="BA872" i="9"/>
  <c r="BA871" i="9"/>
  <c r="BA870" i="9"/>
  <c r="BA869" i="9"/>
  <c r="BA868" i="9"/>
  <c r="BA867" i="9"/>
  <c r="BA866" i="9"/>
  <c r="BA865" i="9"/>
  <c r="BA864" i="9"/>
  <c r="BA863" i="9"/>
  <c r="BA862" i="9"/>
  <c r="BA861" i="9"/>
  <c r="BA860" i="9"/>
  <c r="BA859" i="9"/>
  <c r="BA858" i="9"/>
  <c r="BA857" i="9"/>
  <c r="BA856" i="9"/>
  <c r="BA855" i="9"/>
  <c r="BA854" i="9"/>
  <c r="BA853" i="9"/>
  <c r="BA852" i="9"/>
  <c r="BA851" i="9"/>
  <c r="BA850" i="9"/>
  <c r="BA849" i="9"/>
  <c r="BA848" i="9"/>
  <c r="BA847" i="9"/>
  <c r="BA846" i="9"/>
  <c r="BA845" i="9"/>
  <c r="BA844" i="9"/>
  <c r="BA843" i="9"/>
  <c r="BA842" i="9"/>
  <c r="BA841" i="9"/>
  <c r="BA840" i="9"/>
  <c r="BA839" i="9"/>
  <c r="BA838" i="9"/>
  <c r="BA837" i="9"/>
  <c r="BA836" i="9"/>
  <c r="BA835" i="9"/>
  <c r="BA834" i="9"/>
  <c r="BA833" i="9"/>
  <c r="BA832" i="9"/>
  <c r="BA831" i="9"/>
  <c r="BA830" i="9"/>
  <c r="BA829" i="9"/>
  <c r="BA828" i="9"/>
  <c r="BA827" i="9"/>
  <c r="BA826" i="9"/>
  <c r="BA825" i="9"/>
  <c r="BA824" i="9"/>
  <c r="BA823" i="9"/>
  <c r="BA822" i="9"/>
  <c r="BA821" i="9"/>
  <c r="BA820" i="9"/>
  <c r="BA819" i="9"/>
  <c r="BA818" i="9"/>
  <c r="BA817" i="9"/>
  <c r="BA816" i="9"/>
  <c r="BA815" i="9"/>
  <c r="BA814" i="9"/>
  <c r="BA813" i="9"/>
  <c r="BA812" i="9"/>
  <c r="BA811" i="9"/>
  <c r="BA810" i="9"/>
  <c r="BA809" i="9"/>
  <c r="BA808" i="9"/>
  <c r="BA807" i="9"/>
  <c r="BA806" i="9"/>
  <c r="BA805" i="9"/>
  <c r="BA804" i="9"/>
  <c r="BA803" i="9"/>
  <c r="BA802" i="9"/>
  <c r="BA801" i="9"/>
  <c r="BA800" i="9"/>
  <c r="BA799" i="9"/>
  <c r="BA798" i="9"/>
  <c r="BA797" i="9"/>
  <c r="BA796" i="9"/>
  <c r="BA795" i="9"/>
  <c r="BA794" i="9"/>
  <c r="BA793" i="9"/>
  <c r="BA792" i="9"/>
  <c r="BA791" i="9"/>
  <c r="BA790" i="9"/>
  <c r="BA789" i="9"/>
  <c r="BA788" i="9"/>
  <c r="BA787" i="9"/>
  <c r="BA786" i="9"/>
  <c r="BA785" i="9"/>
  <c r="BA784" i="9"/>
  <c r="BA783" i="9"/>
  <c r="BA782" i="9"/>
  <c r="BA781" i="9"/>
  <c r="BA780" i="9"/>
  <c r="BA779" i="9"/>
  <c r="BA778" i="9"/>
  <c r="BA777" i="9"/>
  <c r="BA776" i="9"/>
  <c r="BA775" i="9"/>
  <c r="BA774" i="9"/>
  <c r="BA773" i="9"/>
  <c r="BA772" i="9"/>
  <c r="BA771" i="9"/>
  <c r="BA770" i="9"/>
  <c r="BA769" i="9"/>
  <c r="BA768" i="9"/>
  <c r="BA767" i="9"/>
  <c r="BA766" i="9"/>
  <c r="BA765" i="9"/>
  <c r="BA764" i="9"/>
  <c r="BA763" i="9"/>
  <c r="BA762" i="9"/>
  <c r="BA761" i="9"/>
  <c r="BA760" i="9"/>
  <c r="BA759" i="9"/>
  <c r="BA758" i="9"/>
  <c r="BA757" i="9"/>
  <c r="BA756" i="9"/>
  <c r="BA755" i="9"/>
  <c r="BA754" i="9"/>
  <c r="BA753" i="9"/>
  <c r="BA752" i="9"/>
  <c r="BA751" i="9"/>
  <c r="BA750" i="9"/>
  <c r="BA749" i="9"/>
  <c r="BA748" i="9"/>
  <c r="BA747" i="9"/>
  <c r="BA746" i="9"/>
  <c r="BA745" i="9"/>
  <c r="BA744" i="9"/>
  <c r="BA743" i="9"/>
  <c r="BA742" i="9"/>
  <c r="BA741" i="9"/>
  <c r="BA740" i="9"/>
  <c r="BA739" i="9"/>
  <c r="BA738" i="9"/>
  <c r="BA737" i="9"/>
  <c r="BA736" i="9"/>
  <c r="BA735" i="9"/>
  <c r="BA734" i="9"/>
  <c r="BA733" i="9"/>
  <c r="BA732" i="9"/>
  <c r="BA731" i="9"/>
  <c r="BA730" i="9"/>
  <c r="BA729" i="9"/>
  <c r="BA728" i="9"/>
  <c r="BA727" i="9"/>
  <c r="BA726" i="9"/>
  <c r="BA725" i="9"/>
  <c r="BA724" i="9"/>
  <c r="BA723" i="9"/>
  <c r="BA722" i="9"/>
  <c r="BA721" i="9"/>
  <c r="BA720" i="9"/>
  <c r="BA719" i="9"/>
  <c r="BA718" i="9"/>
  <c r="BA717" i="9"/>
  <c r="BA716" i="9"/>
  <c r="BA715" i="9"/>
  <c r="BA714" i="9"/>
  <c r="BA713" i="9"/>
  <c r="BA712" i="9"/>
  <c r="BA711" i="9"/>
  <c r="BA710" i="9"/>
  <c r="BA709" i="9"/>
  <c r="BA708" i="9"/>
  <c r="BA707" i="9"/>
  <c r="BA706" i="9"/>
  <c r="BA705" i="9"/>
  <c r="BA704" i="9"/>
  <c r="BA703" i="9"/>
  <c r="BA702" i="9"/>
  <c r="BA701" i="9"/>
  <c r="BA700" i="9"/>
  <c r="BA699" i="9"/>
  <c r="BA698" i="9"/>
  <c r="BA697" i="9"/>
  <c r="BA696" i="9"/>
  <c r="BA695" i="9"/>
  <c r="BA694" i="9"/>
  <c r="BA693" i="9"/>
  <c r="BA692" i="9"/>
  <c r="BA691" i="9"/>
  <c r="BA690" i="9"/>
  <c r="BA689" i="9"/>
  <c r="BA688" i="9"/>
  <c r="BA687" i="9"/>
  <c r="BA686" i="9"/>
  <c r="BA685" i="9"/>
  <c r="BA684" i="9"/>
  <c r="BA683" i="9"/>
  <c r="BA682" i="9"/>
  <c r="BA681" i="9"/>
  <c r="BA680" i="9"/>
  <c r="BA679" i="9"/>
  <c r="BA678" i="9"/>
  <c r="BA677" i="9"/>
  <c r="BA676" i="9"/>
  <c r="BA675" i="9"/>
  <c r="BA674" i="9"/>
  <c r="BA673" i="9"/>
  <c r="BA672" i="9"/>
  <c r="BA671" i="9"/>
  <c r="BA670" i="9"/>
  <c r="BA669" i="9"/>
  <c r="BA668" i="9"/>
  <c r="BA667" i="9"/>
  <c r="BA666" i="9"/>
  <c r="BA665" i="9"/>
  <c r="BA664" i="9"/>
  <c r="BA663" i="9"/>
  <c r="BA662" i="9"/>
  <c r="BA661" i="9"/>
  <c r="BA660" i="9"/>
  <c r="BA659" i="9"/>
  <c r="BA658" i="9"/>
  <c r="BA657" i="9"/>
  <c r="BA656" i="9"/>
  <c r="BA655" i="9"/>
  <c r="BA654" i="9"/>
  <c r="BA653" i="9"/>
  <c r="BA652" i="9"/>
  <c r="BA651" i="9"/>
  <c r="BA650" i="9"/>
  <c r="BA649" i="9"/>
  <c r="BA648" i="9"/>
  <c r="BA647" i="9"/>
  <c r="BA646" i="9"/>
  <c r="BA645" i="9"/>
  <c r="BA644" i="9"/>
  <c r="BA643" i="9"/>
  <c r="BA642" i="9"/>
  <c r="BA641" i="9"/>
  <c r="BA640" i="9"/>
  <c r="BA639" i="9"/>
  <c r="BA638" i="9"/>
  <c r="BA637" i="9"/>
  <c r="BA636" i="9"/>
  <c r="BA635" i="9"/>
  <c r="BA634" i="9"/>
  <c r="BA633" i="9"/>
  <c r="BA632" i="9"/>
  <c r="BA631" i="9"/>
  <c r="BA630" i="9"/>
  <c r="BA629" i="9"/>
  <c r="BA628" i="9"/>
  <c r="BA627" i="9"/>
  <c r="BA626" i="9"/>
  <c r="BA625" i="9"/>
  <c r="BA624" i="9"/>
  <c r="BA623" i="9"/>
  <c r="BA622" i="9"/>
  <c r="BA621" i="9"/>
  <c r="BA620" i="9"/>
  <c r="BA619" i="9"/>
  <c r="BA618" i="9"/>
  <c r="BA617" i="9"/>
  <c r="BA616" i="9"/>
  <c r="BA615" i="9"/>
  <c r="BA614" i="9"/>
  <c r="BA613" i="9"/>
  <c r="BA612" i="9"/>
  <c r="BA611" i="9"/>
  <c r="BA610" i="9"/>
  <c r="BA609" i="9"/>
  <c r="BA608" i="9"/>
  <c r="BA607" i="9"/>
  <c r="BA606" i="9"/>
  <c r="BA605" i="9"/>
  <c r="BA604" i="9"/>
  <c r="BA603" i="9"/>
  <c r="BA602" i="9"/>
  <c r="BA601" i="9"/>
  <c r="BA600" i="9"/>
  <c r="BA599" i="9"/>
  <c r="BA598" i="9"/>
  <c r="BA597" i="9"/>
  <c r="BA596" i="9"/>
  <c r="BA595" i="9"/>
  <c r="BA594" i="9"/>
  <c r="BA593" i="9"/>
  <c r="BA592" i="9"/>
  <c r="BA591" i="9"/>
  <c r="BA590" i="9"/>
  <c r="BA589" i="9"/>
  <c r="BA588" i="9"/>
  <c r="BA587" i="9"/>
  <c r="BA586" i="9"/>
  <c r="BA585" i="9"/>
  <c r="BA584" i="9"/>
  <c r="BA583" i="9"/>
  <c r="BA582" i="9"/>
  <c r="BA581" i="9"/>
  <c r="BA580" i="9"/>
  <c r="BA579" i="9"/>
  <c r="BA578" i="9"/>
  <c r="BA577" i="9"/>
  <c r="BA576" i="9"/>
  <c r="BA575" i="9"/>
  <c r="BA574" i="9"/>
  <c r="BA573" i="9"/>
  <c r="BA572" i="9"/>
  <c r="BA571" i="9"/>
  <c r="BA570" i="9"/>
  <c r="BA569" i="9"/>
  <c r="BA568" i="9"/>
  <c r="BA567" i="9"/>
  <c r="BA566" i="9"/>
  <c r="BA565" i="9"/>
  <c r="BA564" i="9"/>
  <c r="BA563" i="9"/>
  <c r="BA562" i="9"/>
  <c r="BA561" i="9"/>
  <c r="BA560" i="9"/>
  <c r="BA559" i="9"/>
  <c r="BA558" i="9"/>
  <c r="BA557" i="9"/>
  <c r="BA556" i="9"/>
  <c r="BA555" i="9"/>
  <c r="BA554" i="9"/>
  <c r="BA553" i="9"/>
  <c r="BA552" i="9"/>
  <c r="BA551" i="9"/>
  <c r="BA550" i="9"/>
  <c r="BA549" i="9"/>
  <c r="BA548" i="9"/>
  <c r="BA547" i="9"/>
  <c r="BA546" i="9"/>
  <c r="BA545" i="9"/>
  <c r="BA544" i="9"/>
  <c r="BA543" i="9"/>
  <c r="BA542" i="9"/>
  <c r="BA541" i="9"/>
  <c r="BA540" i="9"/>
  <c r="BA539" i="9"/>
  <c r="BA538" i="9"/>
  <c r="BA537" i="9"/>
  <c r="BA536" i="9"/>
  <c r="BA535" i="9"/>
  <c r="BA534" i="9"/>
  <c r="BA533" i="9"/>
  <c r="BA532" i="9"/>
  <c r="BA531" i="9"/>
  <c r="BA530" i="9"/>
  <c r="BA529" i="9"/>
  <c r="BA528" i="9"/>
  <c r="BA527" i="9"/>
  <c r="BA526" i="9"/>
  <c r="BA525" i="9"/>
  <c r="BA524" i="9"/>
  <c r="BA523" i="9"/>
  <c r="BA522" i="9"/>
  <c r="BA521" i="9"/>
  <c r="BA520" i="9"/>
  <c r="BA519" i="9"/>
  <c r="BA518" i="9"/>
  <c r="BA517" i="9"/>
  <c r="BA516" i="9"/>
  <c r="BA515" i="9"/>
  <c r="BA514" i="9"/>
  <c r="BA513" i="9"/>
  <c r="BA512" i="9"/>
  <c r="BA511" i="9"/>
  <c r="BA510" i="9"/>
  <c r="BA509" i="9"/>
  <c r="BA508" i="9"/>
  <c r="BA507" i="9"/>
  <c r="BA506" i="9"/>
  <c r="BA505" i="9"/>
  <c r="BA504" i="9"/>
  <c r="BA503" i="9"/>
  <c r="BA502" i="9"/>
  <c r="BA501" i="9"/>
  <c r="BA500" i="9"/>
  <c r="BA499" i="9"/>
  <c r="BA498" i="9"/>
  <c r="BA497" i="9"/>
  <c r="BA496" i="9"/>
  <c r="BA495" i="9"/>
  <c r="BA494" i="9"/>
  <c r="BA493" i="9"/>
  <c r="BA492" i="9"/>
  <c r="BA491" i="9"/>
  <c r="BA490" i="9"/>
  <c r="BA489" i="9"/>
  <c r="BA488" i="9"/>
  <c r="BA487" i="9"/>
  <c r="BA486" i="9"/>
  <c r="BA485" i="9"/>
  <c r="BA484" i="9"/>
  <c r="BA483" i="9"/>
  <c r="BA482" i="9"/>
  <c r="BA481" i="9"/>
  <c r="BA480" i="9"/>
  <c r="BA479" i="9"/>
  <c r="BA478" i="9"/>
  <c r="BA477" i="9"/>
  <c r="BA476" i="9"/>
  <c r="BA475" i="9"/>
  <c r="BA474" i="9"/>
  <c r="BA473" i="9"/>
  <c r="BA472" i="9"/>
  <c r="BA471" i="9"/>
  <c r="BA470" i="9"/>
  <c r="BA469" i="9"/>
  <c r="BA468" i="9"/>
  <c r="BA467" i="9"/>
  <c r="BA466" i="9"/>
  <c r="BA465" i="9"/>
  <c r="BA464" i="9"/>
  <c r="BA463" i="9"/>
  <c r="BA462" i="9"/>
  <c r="BA461" i="9"/>
  <c r="BA460" i="9"/>
  <c r="BA459" i="9"/>
  <c r="BA458" i="9"/>
  <c r="BA457" i="9"/>
  <c r="BA456" i="9"/>
  <c r="BA455" i="9"/>
  <c r="BA454" i="9"/>
  <c r="BA453" i="9"/>
  <c r="BA452" i="9"/>
  <c r="BA451" i="9"/>
  <c r="BA450" i="9"/>
  <c r="BA449" i="9"/>
  <c r="BA448" i="9"/>
  <c r="BA447" i="9"/>
  <c r="BA446" i="9"/>
  <c r="BA445" i="9"/>
  <c r="BA444" i="9"/>
  <c r="BA443" i="9"/>
  <c r="BA442" i="9"/>
  <c r="BA441" i="9"/>
  <c r="BA440" i="9"/>
  <c r="BA439" i="9"/>
  <c r="BA438" i="9"/>
  <c r="BA437" i="9"/>
  <c r="BA436" i="9"/>
  <c r="BA435" i="9"/>
  <c r="BA434" i="9"/>
  <c r="BA433" i="9"/>
  <c r="BA432" i="9"/>
  <c r="BA431" i="9"/>
  <c r="BA430" i="9"/>
  <c r="BA429" i="9"/>
  <c r="BA428" i="9"/>
  <c r="BA427" i="9"/>
  <c r="BA426" i="9"/>
  <c r="BA425" i="9"/>
  <c r="BA424" i="9"/>
  <c r="BA423" i="9"/>
  <c r="BA422" i="9"/>
  <c r="BA421" i="9"/>
  <c r="BA420" i="9"/>
  <c r="BA419" i="9"/>
  <c r="BA418" i="9"/>
  <c r="BA417" i="9"/>
  <c r="BA416" i="9"/>
  <c r="BA415" i="9"/>
  <c r="BA414" i="9"/>
  <c r="BA413" i="9"/>
  <c r="BA412" i="9"/>
  <c r="BA411" i="9"/>
  <c r="BA410" i="9"/>
  <c r="BA409" i="9"/>
  <c r="BA408" i="9"/>
  <c r="BA407" i="9"/>
  <c r="BA406" i="9"/>
  <c r="BA405" i="9"/>
  <c r="BA404" i="9"/>
  <c r="BA403" i="9"/>
  <c r="BA402" i="9"/>
  <c r="BA401" i="9"/>
  <c r="BA400" i="9"/>
  <c r="BA399" i="9"/>
  <c r="BA398" i="9"/>
  <c r="BA397" i="9"/>
  <c r="BA396" i="9"/>
  <c r="BA395" i="9"/>
  <c r="BA394" i="9"/>
  <c r="BA393" i="9"/>
  <c r="BA392" i="9"/>
  <c r="BA391" i="9"/>
  <c r="BA390" i="9"/>
  <c r="BA389" i="9"/>
  <c r="BA388" i="9"/>
  <c r="BA387" i="9"/>
  <c r="BA386" i="9"/>
  <c r="BA385" i="9"/>
  <c r="BA384" i="9"/>
  <c r="BA383" i="9"/>
  <c r="BA382" i="9"/>
  <c r="BA381" i="9"/>
  <c r="BA380" i="9"/>
  <c r="BA379" i="9"/>
  <c r="BA378" i="9"/>
  <c r="BA377" i="9"/>
  <c r="BA376" i="9"/>
  <c r="BA375" i="9"/>
  <c r="BA374" i="9"/>
  <c r="BA373" i="9"/>
  <c r="BA372" i="9"/>
  <c r="BA371" i="9"/>
  <c r="BA370" i="9"/>
  <c r="BA369" i="9"/>
  <c r="BA368" i="9"/>
  <c r="BA367" i="9"/>
  <c r="BA366" i="9"/>
  <c r="BA365" i="9"/>
  <c r="BA364" i="9"/>
  <c r="BA363" i="9"/>
  <c r="BA362" i="9"/>
  <c r="BA361" i="9"/>
  <c r="BA360" i="9"/>
  <c r="BA359" i="9"/>
  <c r="BA358" i="9"/>
  <c r="BA357" i="9"/>
  <c r="BA356" i="9"/>
  <c r="BA355" i="9"/>
  <c r="BA354" i="9"/>
  <c r="BA353" i="9"/>
  <c r="BA352" i="9"/>
  <c r="BA351" i="9"/>
  <c r="BA350" i="9"/>
  <c r="BA349" i="9"/>
  <c r="BA348" i="9"/>
  <c r="BA347" i="9"/>
  <c r="BA346" i="9"/>
  <c r="BA345" i="9"/>
  <c r="BA344" i="9"/>
  <c r="BA343" i="9"/>
  <c r="BA342" i="9"/>
  <c r="BA341" i="9"/>
  <c r="BA340" i="9"/>
  <c r="BA339" i="9"/>
  <c r="BA338" i="9"/>
  <c r="BA337" i="9"/>
  <c r="BA336" i="9"/>
  <c r="BA335" i="9"/>
  <c r="BA334" i="9"/>
  <c r="BA333" i="9"/>
  <c r="BA332" i="9"/>
  <c r="BA331" i="9"/>
  <c r="BA330" i="9"/>
  <c r="BA329" i="9"/>
  <c r="BA328" i="9"/>
  <c r="BA327" i="9"/>
  <c r="BA326" i="9"/>
  <c r="BA325" i="9"/>
  <c r="BA324" i="9"/>
  <c r="BA323" i="9"/>
  <c r="BA322" i="9"/>
  <c r="BA321" i="9"/>
  <c r="BA320" i="9"/>
  <c r="BA319" i="9"/>
  <c r="BA318" i="9"/>
  <c r="BA317" i="9"/>
  <c r="BA316" i="9"/>
  <c r="BA315" i="9"/>
  <c r="BA314" i="9"/>
  <c r="BA313" i="9"/>
  <c r="BA312" i="9"/>
  <c r="BA311" i="9"/>
  <c r="BA310" i="9"/>
  <c r="BA309" i="9"/>
  <c r="BA308" i="9"/>
  <c r="BA307" i="9"/>
  <c r="BA306" i="9"/>
  <c r="BA305" i="9"/>
  <c r="BA304" i="9"/>
  <c r="BA303" i="9"/>
  <c r="BA302" i="9"/>
  <c r="BA301" i="9"/>
  <c r="BA300" i="9"/>
  <c r="BA299" i="9"/>
  <c r="BA298" i="9"/>
  <c r="BA297" i="9"/>
  <c r="BA296" i="9"/>
  <c r="BA295" i="9"/>
  <c r="BA294" i="9"/>
  <c r="BA293" i="9"/>
  <c r="BA292" i="9"/>
  <c r="BA291" i="9"/>
  <c r="BA290" i="9"/>
  <c r="BA289" i="9"/>
  <c r="BA288" i="9"/>
  <c r="BA287" i="9"/>
  <c r="BA286" i="9"/>
  <c r="BA285" i="9"/>
  <c r="BA284" i="9"/>
  <c r="BA283" i="9"/>
  <c r="BA282" i="9"/>
  <c r="BA281" i="9"/>
  <c r="BA280" i="9"/>
  <c r="BA279" i="9"/>
  <c r="BA278" i="9"/>
  <c r="BA277" i="9"/>
  <c r="BA276" i="9"/>
  <c r="BA275" i="9"/>
  <c r="BA274" i="9"/>
  <c r="BA273" i="9"/>
  <c r="BA272" i="9"/>
  <c r="BA271" i="9"/>
  <c r="BA270" i="9"/>
  <c r="BA269" i="9"/>
  <c r="BA268" i="9"/>
  <c r="BA267" i="9"/>
  <c r="BA266" i="9"/>
  <c r="BA265" i="9"/>
  <c r="BA264" i="9"/>
  <c r="BA263" i="9"/>
  <c r="BA262" i="9"/>
  <c r="BA261" i="9"/>
  <c r="BA260" i="9"/>
  <c r="BA259" i="9"/>
  <c r="BA258" i="9"/>
  <c r="BA257" i="9"/>
  <c r="BA256" i="9"/>
  <c r="BA255" i="9"/>
  <c r="BA254" i="9"/>
  <c r="BA253" i="9"/>
  <c r="BA252" i="9"/>
  <c r="BA251" i="9"/>
  <c r="BA250" i="9"/>
  <c r="BA249" i="9"/>
  <c r="BA248" i="9"/>
  <c r="BA247" i="9"/>
  <c r="BA246" i="9"/>
  <c r="BA245" i="9"/>
  <c r="BA244" i="9"/>
  <c r="BA243" i="9"/>
  <c r="BA242" i="9"/>
  <c r="BA241" i="9"/>
  <c r="BA240" i="9"/>
  <c r="BA239" i="9"/>
  <c r="BA238" i="9"/>
  <c r="BA237" i="9"/>
  <c r="BA236" i="9"/>
  <c r="BA235" i="9"/>
  <c r="BA234" i="9"/>
  <c r="BA233" i="9"/>
  <c r="BA232" i="9"/>
  <c r="BA231" i="9"/>
  <c r="BA230" i="9"/>
  <c r="BA229" i="9"/>
  <c r="BA228" i="9"/>
  <c r="BA227" i="9"/>
  <c r="BA226" i="9"/>
  <c r="BA225" i="9"/>
  <c r="BA224" i="9"/>
  <c r="BA223" i="9"/>
  <c r="BA222" i="9"/>
  <c r="BA221" i="9"/>
  <c r="BA220" i="9"/>
  <c r="BA219" i="9"/>
  <c r="BA218" i="9"/>
  <c r="BA217" i="9"/>
  <c r="BA216" i="9"/>
  <c r="BA215" i="9"/>
  <c r="BA214" i="9"/>
  <c r="BA213" i="9"/>
  <c r="BA212" i="9"/>
  <c r="BA211" i="9"/>
  <c r="BA210" i="9"/>
  <c r="BA209" i="9"/>
  <c r="BA208" i="9"/>
  <c r="BA207" i="9"/>
  <c r="BA206" i="9"/>
  <c r="BA205" i="9"/>
  <c r="BA204" i="9"/>
  <c r="BA203" i="9"/>
  <c r="BA202" i="9"/>
  <c r="BA201" i="9"/>
  <c r="BA200" i="9"/>
  <c r="BA199" i="9"/>
  <c r="BA198" i="9"/>
  <c r="BA197" i="9"/>
  <c r="BA196" i="9"/>
  <c r="BA195" i="9"/>
  <c r="BA194" i="9"/>
  <c r="BA193" i="9"/>
  <c r="BA192" i="9"/>
  <c r="BA191" i="9"/>
  <c r="BA190" i="9"/>
  <c r="BA189" i="9"/>
  <c r="BA188" i="9"/>
  <c r="BA187" i="9"/>
  <c r="BA186" i="9"/>
  <c r="BA185" i="9"/>
  <c r="BA184" i="9"/>
  <c r="BA183" i="9"/>
  <c r="BA182" i="9"/>
  <c r="BA181" i="9"/>
  <c r="BA180" i="9"/>
  <c r="BA179" i="9"/>
  <c r="BA178" i="9"/>
  <c r="BA177" i="9"/>
  <c r="BA176" i="9"/>
  <c r="BA175" i="9"/>
  <c r="BA174" i="9"/>
  <c r="BA173" i="9"/>
  <c r="BA172" i="9"/>
  <c r="BA171" i="9"/>
  <c r="BA170" i="9"/>
  <c r="BA169" i="9"/>
  <c r="BA168" i="9"/>
  <c r="BA167" i="9"/>
  <c r="BA166" i="9"/>
  <c r="BA165" i="9"/>
  <c r="BA164" i="9"/>
  <c r="BA163" i="9"/>
  <c r="BA162" i="9"/>
  <c r="BA161" i="9"/>
  <c r="BA160" i="9"/>
  <c r="BA159" i="9"/>
  <c r="BA158" i="9"/>
  <c r="BA157" i="9"/>
  <c r="BA156" i="9"/>
  <c r="BA155" i="9"/>
  <c r="BA154" i="9"/>
  <c r="BA153" i="9"/>
  <c r="BA152" i="9"/>
  <c r="BA151" i="9"/>
  <c r="BA150" i="9"/>
  <c r="BA149" i="9"/>
  <c r="BA148" i="9"/>
  <c r="BA147" i="9"/>
  <c r="BA146" i="9"/>
  <c r="BA145" i="9"/>
  <c r="BA144" i="9"/>
  <c r="BA143" i="9"/>
  <c r="BA142" i="9"/>
  <c r="BA141" i="9"/>
  <c r="BA140" i="9"/>
  <c r="BA139" i="9"/>
  <c r="BA138" i="9"/>
  <c r="BA137" i="9"/>
  <c r="BA136" i="9"/>
  <c r="BA135" i="9"/>
  <c r="BA134" i="9"/>
  <c r="BA133" i="9"/>
  <c r="BA132" i="9"/>
  <c r="BA131" i="9"/>
  <c r="BA130" i="9"/>
  <c r="BA129" i="9"/>
  <c r="BA128" i="9"/>
  <c r="BA127" i="9"/>
  <c r="BA126" i="9"/>
  <c r="BA125" i="9"/>
  <c r="BA124" i="9"/>
  <c r="BA123" i="9"/>
  <c r="BA122" i="9"/>
  <c r="BA121" i="9"/>
  <c r="BA120" i="9"/>
  <c r="BA119" i="9"/>
  <c r="BA118" i="9"/>
  <c r="BA117" i="9"/>
  <c r="BA116" i="9"/>
  <c r="BA115" i="9"/>
  <c r="BA114" i="9"/>
  <c r="BA113" i="9"/>
  <c r="BA112" i="9"/>
  <c r="BA111" i="9"/>
  <c r="BA110" i="9"/>
  <c r="BA109" i="9"/>
  <c r="BA108" i="9"/>
  <c r="BA107" i="9"/>
  <c r="BA106" i="9"/>
  <c r="BA105" i="9"/>
  <c r="BA104" i="9"/>
  <c r="BA103" i="9"/>
  <c r="BA102" i="9"/>
  <c r="BA101" i="9"/>
  <c r="BA100" i="9"/>
  <c r="BA99" i="9"/>
  <c r="BA98" i="9"/>
  <c r="BA97" i="9"/>
  <c r="BA96" i="9"/>
  <c r="BA95" i="9"/>
  <c r="BA94" i="9"/>
  <c r="BA93" i="9"/>
  <c r="BA92" i="9"/>
  <c r="BA91" i="9"/>
  <c r="BA90" i="9"/>
  <c r="BA89" i="9"/>
  <c r="BA88" i="9"/>
  <c r="BA87" i="9"/>
  <c r="BA86" i="9"/>
  <c r="BA85" i="9"/>
  <c r="BA84" i="9"/>
  <c r="BA83" i="9"/>
  <c r="BA82" i="9"/>
  <c r="BA81" i="9"/>
  <c r="BA80" i="9"/>
  <c r="BA79" i="9"/>
  <c r="BA78" i="9"/>
  <c r="BA77" i="9"/>
  <c r="BA76" i="9"/>
  <c r="BA75" i="9"/>
  <c r="BA74" i="9"/>
  <c r="BA73" i="9"/>
  <c r="BA72" i="9"/>
  <c r="BA71" i="9"/>
  <c r="BA70" i="9"/>
  <c r="BA69" i="9"/>
  <c r="BA68" i="9"/>
  <c r="BA67" i="9"/>
  <c r="BA66" i="9"/>
  <c r="BA65" i="9"/>
  <c r="BA64" i="9"/>
  <c r="BA63" i="9"/>
  <c r="BA62" i="9"/>
  <c r="BA61" i="9"/>
  <c r="BA60" i="9"/>
  <c r="BA59" i="9"/>
  <c r="BA58" i="9"/>
  <c r="BA57" i="9"/>
  <c r="BA56" i="9"/>
  <c r="BA55" i="9"/>
  <c r="BA54" i="9"/>
  <c r="BA53" i="9"/>
  <c r="BA52" i="9"/>
  <c r="BA51" i="9"/>
  <c r="BA50" i="9"/>
  <c r="BA49" i="9"/>
  <c r="BA48" i="9"/>
  <c r="BA47" i="9"/>
  <c r="BA46" i="9"/>
  <c r="BA45" i="9"/>
  <c r="BA44" i="9"/>
  <c r="BA43" i="9"/>
  <c r="BA42" i="9"/>
  <c r="BA41" i="9"/>
  <c r="BA40" i="9"/>
  <c r="BA39" i="9"/>
  <c r="BA38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AZ1013" i="9"/>
  <c r="AZ1012" i="9"/>
  <c r="AZ1011" i="9"/>
  <c r="AZ1010" i="9"/>
  <c r="AZ1009" i="9"/>
  <c r="AZ1008" i="9"/>
  <c r="AZ1007" i="9"/>
  <c r="AZ1006" i="9"/>
  <c r="AZ1005" i="9"/>
  <c r="AZ1004" i="9"/>
  <c r="AZ1003" i="9"/>
  <c r="AZ1002" i="9"/>
  <c r="AZ1001" i="9"/>
  <c r="AZ1000" i="9"/>
  <c r="AZ999" i="9"/>
  <c r="AZ998" i="9"/>
  <c r="AZ997" i="9"/>
  <c r="AZ996" i="9"/>
  <c r="AZ995" i="9"/>
  <c r="AZ994" i="9"/>
  <c r="AZ993" i="9"/>
  <c r="AZ992" i="9"/>
  <c r="AZ991" i="9"/>
  <c r="AZ990" i="9"/>
  <c r="AZ989" i="9"/>
  <c r="AZ988" i="9"/>
  <c r="AZ987" i="9"/>
  <c r="AZ986" i="9"/>
  <c r="AZ985" i="9"/>
  <c r="AZ984" i="9"/>
  <c r="AZ983" i="9"/>
  <c r="AZ982" i="9"/>
  <c r="AZ981" i="9"/>
  <c r="AZ980" i="9"/>
  <c r="AZ979" i="9"/>
  <c r="AZ978" i="9"/>
  <c r="AZ977" i="9"/>
  <c r="AZ976" i="9"/>
  <c r="AZ975" i="9"/>
  <c r="AZ974" i="9"/>
  <c r="AZ973" i="9"/>
  <c r="AZ972" i="9"/>
  <c r="AZ971" i="9"/>
  <c r="AZ970" i="9"/>
  <c r="AZ969" i="9"/>
  <c r="AZ968" i="9"/>
  <c r="AZ967" i="9"/>
  <c r="AZ966" i="9"/>
  <c r="AZ965" i="9"/>
  <c r="AZ964" i="9"/>
  <c r="AZ963" i="9"/>
  <c r="AZ962" i="9"/>
  <c r="AZ961" i="9"/>
  <c r="AZ960" i="9"/>
  <c r="AZ959" i="9"/>
  <c r="AZ958" i="9"/>
  <c r="AZ957" i="9"/>
  <c r="AZ956" i="9"/>
  <c r="AZ955" i="9"/>
  <c r="AZ954" i="9"/>
  <c r="AZ953" i="9"/>
  <c r="AZ952" i="9"/>
  <c r="AZ951" i="9"/>
  <c r="AZ950" i="9"/>
  <c r="AZ949" i="9"/>
  <c r="AZ948" i="9"/>
  <c r="AZ947" i="9"/>
  <c r="AZ946" i="9"/>
  <c r="AZ945" i="9"/>
  <c r="AZ944" i="9"/>
  <c r="AZ943" i="9"/>
  <c r="AZ942" i="9"/>
  <c r="AZ941" i="9"/>
  <c r="AZ940" i="9"/>
  <c r="AZ939" i="9"/>
  <c r="AZ938" i="9"/>
  <c r="AZ937" i="9"/>
  <c r="AZ936" i="9"/>
  <c r="AZ935" i="9"/>
  <c r="AZ934" i="9"/>
  <c r="AZ933" i="9"/>
  <c r="AZ932" i="9"/>
  <c r="AZ931" i="9"/>
  <c r="AZ930" i="9"/>
  <c r="AZ929" i="9"/>
  <c r="AZ928" i="9"/>
  <c r="AZ927" i="9"/>
  <c r="AZ926" i="9"/>
  <c r="AZ925" i="9"/>
  <c r="AZ924" i="9"/>
  <c r="AZ923" i="9"/>
  <c r="AZ922" i="9"/>
  <c r="AZ921" i="9"/>
  <c r="AZ920" i="9"/>
  <c r="AZ919" i="9"/>
  <c r="AZ918" i="9"/>
  <c r="AZ917" i="9"/>
  <c r="AZ916" i="9"/>
  <c r="AZ915" i="9"/>
  <c r="AZ914" i="9"/>
  <c r="AZ913" i="9"/>
  <c r="AZ912" i="9"/>
  <c r="AZ911" i="9"/>
  <c r="AZ910" i="9"/>
  <c r="AZ909" i="9"/>
  <c r="AZ908" i="9"/>
  <c r="AZ907" i="9"/>
  <c r="AZ906" i="9"/>
  <c r="AZ905" i="9"/>
  <c r="AZ904" i="9"/>
  <c r="AZ903" i="9"/>
  <c r="AZ902" i="9"/>
  <c r="AZ901" i="9"/>
  <c r="AZ900" i="9"/>
  <c r="AZ899" i="9"/>
  <c r="AZ898" i="9"/>
  <c r="AZ897" i="9"/>
  <c r="AZ896" i="9"/>
  <c r="AZ895" i="9"/>
  <c r="AZ894" i="9"/>
  <c r="AZ893" i="9"/>
  <c r="AZ892" i="9"/>
  <c r="AZ891" i="9"/>
  <c r="AZ890" i="9"/>
  <c r="AZ889" i="9"/>
  <c r="AZ888" i="9"/>
  <c r="AZ887" i="9"/>
  <c r="AZ886" i="9"/>
  <c r="AZ885" i="9"/>
  <c r="AZ884" i="9"/>
  <c r="AZ883" i="9"/>
  <c r="AZ882" i="9"/>
  <c r="AZ881" i="9"/>
  <c r="AZ880" i="9"/>
  <c r="AZ879" i="9"/>
  <c r="AZ878" i="9"/>
  <c r="AZ877" i="9"/>
  <c r="AZ876" i="9"/>
  <c r="AZ875" i="9"/>
  <c r="AZ874" i="9"/>
  <c r="AZ873" i="9"/>
  <c r="AZ872" i="9"/>
  <c r="AZ871" i="9"/>
  <c r="AZ870" i="9"/>
  <c r="AZ869" i="9"/>
  <c r="AZ868" i="9"/>
  <c r="AZ867" i="9"/>
  <c r="AZ866" i="9"/>
  <c r="AZ865" i="9"/>
  <c r="AZ864" i="9"/>
  <c r="AZ863" i="9"/>
  <c r="AZ862" i="9"/>
  <c r="AZ861" i="9"/>
  <c r="AZ860" i="9"/>
  <c r="AZ859" i="9"/>
  <c r="AZ858" i="9"/>
  <c r="AZ857" i="9"/>
  <c r="AZ856" i="9"/>
  <c r="AZ855" i="9"/>
  <c r="AZ854" i="9"/>
  <c r="AZ853" i="9"/>
  <c r="AZ852" i="9"/>
  <c r="AZ851" i="9"/>
  <c r="AZ850" i="9"/>
  <c r="AZ849" i="9"/>
  <c r="AZ848" i="9"/>
  <c r="AZ847" i="9"/>
  <c r="AZ846" i="9"/>
  <c r="AZ845" i="9"/>
  <c r="AZ844" i="9"/>
  <c r="AZ843" i="9"/>
  <c r="AZ842" i="9"/>
  <c r="AZ841" i="9"/>
  <c r="AZ840" i="9"/>
  <c r="AZ839" i="9"/>
  <c r="AZ838" i="9"/>
  <c r="AZ837" i="9"/>
  <c r="AZ836" i="9"/>
  <c r="AZ835" i="9"/>
  <c r="AZ834" i="9"/>
  <c r="AZ833" i="9"/>
  <c r="AZ832" i="9"/>
  <c r="AZ831" i="9"/>
  <c r="AZ830" i="9"/>
  <c r="AZ829" i="9"/>
  <c r="AZ828" i="9"/>
  <c r="AZ827" i="9"/>
  <c r="AZ826" i="9"/>
  <c r="AZ825" i="9"/>
  <c r="AZ824" i="9"/>
  <c r="AZ823" i="9"/>
  <c r="AZ822" i="9"/>
  <c r="AZ821" i="9"/>
  <c r="AZ820" i="9"/>
  <c r="AZ819" i="9"/>
  <c r="AZ818" i="9"/>
  <c r="AZ817" i="9"/>
  <c r="AZ816" i="9"/>
  <c r="AZ815" i="9"/>
  <c r="AZ814" i="9"/>
  <c r="AZ813" i="9"/>
  <c r="AZ812" i="9"/>
  <c r="AZ811" i="9"/>
  <c r="AZ810" i="9"/>
  <c r="AZ809" i="9"/>
  <c r="AZ808" i="9"/>
  <c r="AZ807" i="9"/>
  <c r="AZ806" i="9"/>
  <c r="AZ805" i="9"/>
  <c r="AZ804" i="9"/>
  <c r="AZ803" i="9"/>
  <c r="AZ802" i="9"/>
  <c r="AZ801" i="9"/>
  <c r="AZ800" i="9"/>
  <c r="AZ799" i="9"/>
  <c r="AZ798" i="9"/>
  <c r="AZ797" i="9"/>
  <c r="AZ796" i="9"/>
  <c r="AZ795" i="9"/>
  <c r="AZ794" i="9"/>
  <c r="AZ793" i="9"/>
  <c r="AZ792" i="9"/>
  <c r="AZ791" i="9"/>
  <c r="AZ790" i="9"/>
  <c r="AZ789" i="9"/>
  <c r="AZ788" i="9"/>
  <c r="AZ787" i="9"/>
  <c r="AZ786" i="9"/>
  <c r="AZ785" i="9"/>
  <c r="AZ784" i="9"/>
  <c r="AZ783" i="9"/>
  <c r="AZ782" i="9"/>
  <c r="AZ781" i="9"/>
  <c r="AZ780" i="9"/>
  <c r="AZ779" i="9"/>
  <c r="AZ778" i="9"/>
  <c r="AZ777" i="9"/>
  <c r="AZ776" i="9"/>
  <c r="AZ775" i="9"/>
  <c r="AZ774" i="9"/>
  <c r="AZ773" i="9"/>
  <c r="AZ772" i="9"/>
  <c r="AZ771" i="9"/>
  <c r="AZ770" i="9"/>
  <c r="AZ769" i="9"/>
  <c r="AZ768" i="9"/>
  <c r="AZ767" i="9"/>
  <c r="AZ766" i="9"/>
  <c r="AZ765" i="9"/>
  <c r="AZ764" i="9"/>
  <c r="AZ763" i="9"/>
  <c r="AZ762" i="9"/>
  <c r="AZ761" i="9"/>
  <c r="AZ760" i="9"/>
  <c r="AZ759" i="9"/>
  <c r="AZ758" i="9"/>
  <c r="AZ757" i="9"/>
  <c r="AZ756" i="9"/>
  <c r="AZ755" i="9"/>
  <c r="AZ754" i="9"/>
  <c r="AZ753" i="9"/>
  <c r="AZ752" i="9"/>
  <c r="AZ751" i="9"/>
  <c r="AZ750" i="9"/>
  <c r="AZ749" i="9"/>
  <c r="AZ748" i="9"/>
  <c r="AZ747" i="9"/>
  <c r="AZ746" i="9"/>
  <c r="AZ745" i="9"/>
  <c r="AZ744" i="9"/>
  <c r="AZ743" i="9"/>
  <c r="AZ742" i="9"/>
  <c r="AZ741" i="9"/>
  <c r="AZ740" i="9"/>
  <c r="AZ739" i="9"/>
  <c r="AZ738" i="9"/>
  <c r="AZ737" i="9"/>
  <c r="AZ736" i="9"/>
  <c r="AZ735" i="9"/>
  <c r="AZ734" i="9"/>
  <c r="AZ733" i="9"/>
  <c r="AZ732" i="9"/>
  <c r="AZ731" i="9"/>
  <c r="AZ730" i="9"/>
  <c r="AZ729" i="9"/>
  <c r="AZ728" i="9"/>
  <c r="AZ727" i="9"/>
  <c r="AZ726" i="9"/>
  <c r="AZ725" i="9"/>
  <c r="AZ724" i="9"/>
  <c r="AZ723" i="9"/>
  <c r="AZ722" i="9"/>
  <c r="AZ721" i="9"/>
  <c r="AZ720" i="9"/>
  <c r="AZ719" i="9"/>
  <c r="AZ718" i="9"/>
  <c r="AZ717" i="9"/>
  <c r="AZ716" i="9"/>
  <c r="AZ715" i="9"/>
  <c r="AZ714" i="9"/>
  <c r="AZ713" i="9"/>
  <c r="AZ712" i="9"/>
  <c r="AZ711" i="9"/>
  <c r="AZ710" i="9"/>
  <c r="AZ709" i="9"/>
  <c r="AZ708" i="9"/>
  <c r="AZ707" i="9"/>
  <c r="AZ706" i="9"/>
  <c r="AZ705" i="9"/>
  <c r="AZ704" i="9"/>
  <c r="AZ703" i="9"/>
  <c r="AZ702" i="9"/>
  <c r="AZ701" i="9"/>
  <c r="AZ700" i="9"/>
  <c r="AZ699" i="9"/>
  <c r="AZ698" i="9"/>
  <c r="AZ697" i="9"/>
  <c r="AZ696" i="9"/>
  <c r="AZ695" i="9"/>
  <c r="AZ694" i="9"/>
  <c r="AZ693" i="9"/>
  <c r="AZ692" i="9"/>
  <c r="AZ691" i="9"/>
  <c r="AZ690" i="9"/>
  <c r="AZ689" i="9"/>
  <c r="AZ688" i="9"/>
  <c r="AZ687" i="9"/>
  <c r="AZ686" i="9"/>
  <c r="AZ685" i="9"/>
  <c r="AZ684" i="9"/>
  <c r="AZ683" i="9"/>
  <c r="AZ682" i="9"/>
  <c r="AZ681" i="9"/>
  <c r="AZ680" i="9"/>
  <c r="AZ679" i="9"/>
  <c r="AZ678" i="9"/>
  <c r="AZ677" i="9"/>
  <c r="AZ676" i="9"/>
  <c r="AZ675" i="9"/>
  <c r="AZ674" i="9"/>
  <c r="AZ673" i="9"/>
  <c r="AZ672" i="9"/>
  <c r="AZ671" i="9"/>
  <c r="AZ670" i="9"/>
  <c r="AZ669" i="9"/>
  <c r="AZ668" i="9"/>
  <c r="AZ667" i="9"/>
  <c r="AZ666" i="9"/>
  <c r="AZ665" i="9"/>
  <c r="AZ664" i="9"/>
  <c r="AZ663" i="9"/>
  <c r="AZ662" i="9"/>
  <c r="AZ661" i="9"/>
  <c r="AZ660" i="9"/>
  <c r="AZ659" i="9"/>
  <c r="AZ658" i="9"/>
  <c r="AZ657" i="9"/>
  <c r="AZ656" i="9"/>
  <c r="AZ655" i="9"/>
  <c r="AZ654" i="9"/>
  <c r="AZ653" i="9"/>
  <c r="AZ652" i="9"/>
  <c r="AZ651" i="9"/>
  <c r="AZ650" i="9"/>
  <c r="AZ649" i="9"/>
  <c r="AZ648" i="9"/>
  <c r="AZ647" i="9"/>
  <c r="AZ646" i="9"/>
  <c r="AZ645" i="9"/>
  <c r="AZ644" i="9"/>
  <c r="AZ643" i="9"/>
  <c r="AZ642" i="9"/>
  <c r="AZ641" i="9"/>
  <c r="AZ640" i="9"/>
  <c r="AZ639" i="9"/>
  <c r="AZ638" i="9"/>
  <c r="AZ637" i="9"/>
  <c r="AZ636" i="9"/>
  <c r="AZ635" i="9"/>
  <c r="AZ634" i="9"/>
  <c r="AZ633" i="9"/>
  <c r="AZ632" i="9"/>
  <c r="AZ631" i="9"/>
  <c r="AZ630" i="9"/>
  <c r="AZ629" i="9"/>
  <c r="AZ628" i="9"/>
  <c r="AZ627" i="9"/>
  <c r="AZ626" i="9"/>
  <c r="AZ625" i="9"/>
  <c r="AZ624" i="9"/>
  <c r="AZ623" i="9"/>
  <c r="AZ622" i="9"/>
  <c r="AZ621" i="9"/>
  <c r="AZ620" i="9"/>
  <c r="AZ619" i="9"/>
  <c r="AZ618" i="9"/>
  <c r="AZ617" i="9"/>
  <c r="AZ616" i="9"/>
  <c r="AZ615" i="9"/>
  <c r="AZ614" i="9"/>
  <c r="AZ613" i="9"/>
  <c r="AZ612" i="9"/>
  <c r="AZ611" i="9"/>
  <c r="AZ610" i="9"/>
  <c r="AZ609" i="9"/>
  <c r="AZ608" i="9"/>
  <c r="AZ607" i="9"/>
  <c r="AZ606" i="9"/>
  <c r="AZ605" i="9"/>
  <c r="AZ604" i="9"/>
  <c r="AZ603" i="9"/>
  <c r="AZ602" i="9"/>
  <c r="AZ601" i="9"/>
  <c r="AZ600" i="9"/>
  <c r="AZ599" i="9"/>
  <c r="AZ598" i="9"/>
  <c r="AZ597" i="9"/>
  <c r="AZ596" i="9"/>
  <c r="AZ595" i="9"/>
  <c r="AZ594" i="9"/>
  <c r="AZ593" i="9"/>
  <c r="AZ592" i="9"/>
  <c r="AZ591" i="9"/>
  <c r="AZ590" i="9"/>
  <c r="AZ589" i="9"/>
  <c r="AZ588" i="9"/>
  <c r="AZ587" i="9"/>
  <c r="AZ586" i="9"/>
  <c r="AZ585" i="9"/>
  <c r="AZ584" i="9"/>
  <c r="AZ583" i="9"/>
  <c r="AZ582" i="9"/>
  <c r="AZ581" i="9"/>
  <c r="AZ580" i="9"/>
  <c r="AZ579" i="9"/>
  <c r="AZ578" i="9"/>
  <c r="AZ577" i="9"/>
  <c r="AZ576" i="9"/>
  <c r="AZ575" i="9"/>
  <c r="AZ574" i="9"/>
  <c r="AZ573" i="9"/>
  <c r="AZ572" i="9"/>
  <c r="AZ571" i="9"/>
  <c r="AZ570" i="9"/>
  <c r="AZ569" i="9"/>
  <c r="AZ568" i="9"/>
  <c r="AZ567" i="9"/>
  <c r="AZ566" i="9"/>
  <c r="AZ565" i="9"/>
  <c r="AZ564" i="9"/>
  <c r="AZ563" i="9"/>
  <c r="AZ562" i="9"/>
  <c r="AZ561" i="9"/>
  <c r="AZ560" i="9"/>
  <c r="AZ559" i="9"/>
  <c r="AZ558" i="9"/>
  <c r="AZ557" i="9"/>
  <c r="AZ556" i="9"/>
  <c r="AZ555" i="9"/>
  <c r="AZ554" i="9"/>
  <c r="AZ553" i="9"/>
  <c r="AZ552" i="9"/>
  <c r="AZ551" i="9"/>
  <c r="AZ550" i="9"/>
  <c r="AZ549" i="9"/>
  <c r="AZ548" i="9"/>
  <c r="AZ547" i="9"/>
  <c r="AZ546" i="9"/>
  <c r="AZ545" i="9"/>
  <c r="AZ544" i="9"/>
  <c r="AZ543" i="9"/>
  <c r="AZ542" i="9"/>
  <c r="AZ541" i="9"/>
  <c r="AZ540" i="9"/>
  <c r="AZ539" i="9"/>
  <c r="AZ538" i="9"/>
  <c r="AZ537" i="9"/>
  <c r="AZ536" i="9"/>
  <c r="AZ535" i="9"/>
  <c r="AZ534" i="9"/>
  <c r="AZ533" i="9"/>
  <c r="AZ532" i="9"/>
  <c r="AZ531" i="9"/>
  <c r="AZ530" i="9"/>
  <c r="AZ529" i="9"/>
  <c r="AZ528" i="9"/>
  <c r="AZ527" i="9"/>
  <c r="AZ526" i="9"/>
  <c r="AZ525" i="9"/>
  <c r="AZ524" i="9"/>
  <c r="AZ523" i="9"/>
  <c r="AZ522" i="9"/>
  <c r="AZ521" i="9"/>
  <c r="AZ520" i="9"/>
  <c r="AZ519" i="9"/>
  <c r="AZ518" i="9"/>
  <c r="AZ517" i="9"/>
  <c r="AZ516" i="9"/>
  <c r="AZ515" i="9"/>
  <c r="AZ514" i="9"/>
  <c r="AZ513" i="9"/>
  <c r="AZ512" i="9"/>
  <c r="AZ511" i="9"/>
  <c r="AZ510" i="9"/>
  <c r="AZ509" i="9"/>
  <c r="AZ508" i="9"/>
  <c r="AZ507" i="9"/>
  <c r="AZ506" i="9"/>
  <c r="AZ505" i="9"/>
  <c r="AZ504" i="9"/>
  <c r="AZ503" i="9"/>
  <c r="AZ502" i="9"/>
  <c r="AZ501" i="9"/>
  <c r="AZ500" i="9"/>
  <c r="AZ499" i="9"/>
  <c r="AZ498" i="9"/>
  <c r="AZ497" i="9"/>
  <c r="AZ496" i="9"/>
  <c r="AZ495" i="9"/>
  <c r="AZ494" i="9"/>
  <c r="AZ493" i="9"/>
  <c r="AZ492" i="9"/>
  <c r="AZ491" i="9"/>
  <c r="AZ490" i="9"/>
  <c r="AZ489" i="9"/>
  <c r="AZ488" i="9"/>
  <c r="AZ487" i="9"/>
  <c r="AZ486" i="9"/>
  <c r="AZ485" i="9"/>
  <c r="AZ484" i="9"/>
  <c r="AZ483" i="9"/>
  <c r="AZ482" i="9"/>
  <c r="AZ481" i="9"/>
  <c r="AZ480" i="9"/>
  <c r="AZ479" i="9"/>
  <c r="AZ478" i="9"/>
  <c r="AZ477" i="9"/>
  <c r="AZ476" i="9"/>
  <c r="AZ475" i="9"/>
  <c r="AZ474" i="9"/>
  <c r="AZ473" i="9"/>
  <c r="AZ472" i="9"/>
  <c r="AZ471" i="9"/>
  <c r="AZ470" i="9"/>
  <c r="AZ469" i="9"/>
  <c r="AZ468" i="9"/>
  <c r="AZ467" i="9"/>
  <c r="AZ466" i="9"/>
  <c r="AZ465" i="9"/>
  <c r="AZ464" i="9"/>
  <c r="AZ463" i="9"/>
  <c r="AZ462" i="9"/>
  <c r="AZ461" i="9"/>
  <c r="AZ460" i="9"/>
  <c r="AZ459" i="9"/>
  <c r="AZ458" i="9"/>
  <c r="AZ457" i="9"/>
  <c r="AZ456" i="9"/>
  <c r="AZ455" i="9"/>
  <c r="AZ454" i="9"/>
  <c r="AZ453" i="9"/>
  <c r="AZ452" i="9"/>
  <c r="AZ451" i="9"/>
  <c r="AZ450" i="9"/>
  <c r="AZ449" i="9"/>
  <c r="AZ448" i="9"/>
  <c r="AZ447" i="9"/>
  <c r="AZ446" i="9"/>
  <c r="AZ445" i="9"/>
  <c r="AZ444" i="9"/>
  <c r="AZ443" i="9"/>
  <c r="AZ442" i="9"/>
  <c r="AZ441" i="9"/>
  <c r="AZ440" i="9"/>
  <c r="AZ439" i="9"/>
  <c r="AZ438" i="9"/>
  <c r="AZ437" i="9"/>
  <c r="AZ436" i="9"/>
  <c r="AZ435" i="9"/>
  <c r="AZ434" i="9"/>
  <c r="AZ433" i="9"/>
  <c r="AZ432" i="9"/>
  <c r="AZ431" i="9"/>
  <c r="AZ430" i="9"/>
  <c r="AZ429" i="9"/>
  <c r="AZ428" i="9"/>
  <c r="AZ427" i="9"/>
  <c r="AZ426" i="9"/>
  <c r="AZ425" i="9"/>
  <c r="AZ424" i="9"/>
  <c r="AZ423" i="9"/>
  <c r="AZ422" i="9"/>
  <c r="AZ421" i="9"/>
  <c r="AZ420" i="9"/>
  <c r="AZ419" i="9"/>
  <c r="AZ418" i="9"/>
  <c r="AZ417" i="9"/>
  <c r="AZ416" i="9"/>
  <c r="AZ415" i="9"/>
  <c r="AZ414" i="9"/>
  <c r="AZ413" i="9"/>
  <c r="AZ412" i="9"/>
  <c r="AZ411" i="9"/>
  <c r="AZ410" i="9"/>
  <c r="AZ409" i="9"/>
  <c r="AZ408" i="9"/>
  <c r="AZ407" i="9"/>
  <c r="AZ406" i="9"/>
  <c r="AZ405" i="9"/>
  <c r="AZ404" i="9"/>
  <c r="AZ403" i="9"/>
  <c r="AZ402" i="9"/>
  <c r="AZ401" i="9"/>
  <c r="AZ400" i="9"/>
  <c r="AZ399" i="9"/>
  <c r="AZ398" i="9"/>
  <c r="AZ397" i="9"/>
  <c r="AZ396" i="9"/>
  <c r="AZ395" i="9"/>
  <c r="AZ394" i="9"/>
  <c r="AZ393" i="9"/>
  <c r="AZ392" i="9"/>
  <c r="AZ391" i="9"/>
  <c r="AZ390" i="9"/>
  <c r="AZ389" i="9"/>
  <c r="AZ388" i="9"/>
  <c r="AZ387" i="9"/>
  <c r="AZ386" i="9"/>
  <c r="AZ385" i="9"/>
  <c r="AZ384" i="9"/>
  <c r="AZ383" i="9"/>
  <c r="AZ382" i="9"/>
  <c r="AZ381" i="9"/>
  <c r="AZ380" i="9"/>
  <c r="AZ379" i="9"/>
  <c r="AZ378" i="9"/>
  <c r="AZ377" i="9"/>
  <c r="AZ376" i="9"/>
  <c r="AZ375" i="9"/>
  <c r="AZ374" i="9"/>
  <c r="AZ373" i="9"/>
  <c r="AZ372" i="9"/>
  <c r="AZ371" i="9"/>
  <c r="AZ370" i="9"/>
  <c r="AZ369" i="9"/>
  <c r="AZ368" i="9"/>
  <c r="AZ367" i="9"/>
  <c r="AZ366" i="9"/>
  <c r="AZ365" i="9"/>
  <c r="AZ364" i="9"/>
  <c r="AZ363" i="9"/>
  <c r="AZ362" i="9"/>
  <c r="AZ361" i="9"/>
  <c r="AZ360" i="9"/>
  <c r="AZ359" i="9"/>
  <c r="AZ358" i="9"/>
  <c r="AZ357" i="9"/>
  <c r="AZ356" i="9"/>
  <c r="AZ355" i="9"/>
  <c r="AZ354" i="9"/>
  <c r="AZ353" i="9"/>
  <c r="AZ352" i="9"/>
  <c r="AZ351" i="9"/>
  <c r="AZ350" i="9"/>
  <c r="AZ349" i="9"/>
  <c r="AZ348" i="9"/>
  <c r="AZ347" i="9"/>
  <c r="AZ346" i="9"/>
  <c r="AZ345" i="9"/>
  <c r="AZ344" i="9"/>
  <c r="AZ343" i="9"/>
  <c r="AZ342" i="9"/>
  <c r="AZ341" i="9"/>
  <c r="AZ340" i="9"/>
  <c r="AZ339" i="9"/>
  <c r="AZ338" i="9"/>
  <c r="AZ337" i="9"/>
  <c r="AZ336" i="9"/>
  <c r="AZ335" i="9"/>
  <c r="AZ334" i="9"/>
  <c r="AZ333" i="9"/>
  <c r="AZ332" i="9"/>
  <c r="AZ331" i="9"/>
  <c r="AZ330" i="9"/>
  <c r="AZ329" i="9"/>
  <c r="AZ328" i="9"/>
  <c r="AZ327" i="9"/>
  <c r="AZ326" i="9"/>
  <c r="AZ325" i="9"/>
  <c r="AZ324" i="9"/>
  <c r="AZ323" i="9"/>
  <c r="AZ322" i="9"/>
  <c r="AZ321" i="9"/>
  <c r="AZ320" i="9"/>
  <c r="AZ319" i="9"/>
  <c r="AZ318" i="9"/>
  <c r="AZ317" i="9"/>
  <c r="AZ316" i="9"/>
  <c r="AZ315" i="9"/>
  <c r="AZ314" i="9"/>
  <c r="AZ313" i="9"/>
  <c r="AZ312" i="9"/>
  <c r="AZ311" i="9"/>
  <c r="AZ310" i="9"/>
  <c r="AZ309" i="9"/>
  <c r="AZ308" i="9"/>
  <c r="AZ307" i="9"/>
  <c r="AZ306" i="9"/>
  <c r="AZ305" i="9"/>
  <c r="AZ304" i="9"/>
  <c r="AZ303" i="9"/>
  <c r="AZ302" i="9"/>
  <c r="AZ301" i="9"/>
  <c r="AZ300" i="9"/>
  <c r="AZ299" i="9"/>
  <c r="AZ298" i="9"/>
  <c r="AZ297" i="9"/>
  <c r="AZ296" i="9"/>
  <c r="AZ295" i="9"/>
  <c r="AZ294" i="9"/>
  <c r="AZ293" i="9"/>
  <c r="AZ292" i="9"/>
  <c r="AZ291" i="9"/>
  <c r="AZ290" i="9"/>
  <c r="AZ289" i="9"/>
  <c r="AZ288" i="9"/>
  <c r="AZ287" i="9"/>
  <c r="AZ286" i="9"/>
  <c r="AZ285" i="9"/>
  <c r="AZ284" i="9"/>
  <c r="AZ283" i="9"/>
  <c r="AZ282" i="9"/>
  <c r="AZ281" i="9"/>
  <c r="AZ280" i="9"/>
  <c r="AZ279" i="9"/>
  <c r="AZ278" i="9"/>
  <c r="AZ277" i="9"/>
  <c r="AZ276" i="9"/>
  <c r="AZ275" i="9"/>
  <c r="AZ274" i="9"/>
  <c r="AZ273" i="9"/>
  <c r="AZ272" i="9"/>
  <c r="AZ271" i="9"/>
  <c r="AZ270" i="9"/>
  <c r="AZ269" i="9"/>
  <c r="AZ268" i="9"/>
  <c r="AZ267" i="9"/>
  <c r="AZ266" i="9"/>
  <c r="AZ265" i="9"/>
  <c r="AZ264" i="9"/>
  <c r="AZ263" i="9"/>
  <c r="AZ262" i="9"/>
  <c r="AZ261" i="9"/>
  <c r="AZ260" i="9"/>
  <c r="AZ259" i="9"/>
  <c r="AZ258" i="9"/>
  <c r="AZ257" i="9"/>
  <c r="AZ256" i="9"/>
  <c r="AZ255" i="9"/>
  <c r="AZ254" i="9"/>
  <c r="AZ253" i="9"/>
  <c r="AZ252" i="9"/>
  <c r="AZ251" i="9"/>
  <c r="AZ250" i="9"/>
  <c r="AZ249" i="9"/>
  <c r="AZ248" i="9"/>
  <c r="AZ247" i="9"/>
  <c r="AZ246" i="9"/>
  <c r="AZ245" i="9"/>
  <c r="AZ244" i="9"/>
  <c r="AZ243" i="9"/>
  <c r="AZ242" i="9"/>
  <c r="AZ241" i="9"/>
  <c r="AZ240" i="9"/>
  <c r="AZ239" i="9"/>
  <c r="AZ238" i="9"/>
  <c r="AZ237" i="9"/>
  <c r="AZ236" i="9"/>
  <c r="AZ235" i="9"/>
  <c r="AZ234" i="9"/>
  <c r="AZ233" i="9"/>
  <c r="AZ232" i="9"/>
  <c r="AZ231" i="9"/>
  <c r="AZ230" i="9"/>
  <c r="AZ229" i="9"/>
  <c r="AZ228" i="9"/>
  <c r="AZ227" i="9"/>
  <c r="AZ226" i="9"/>
  <c r="AZ225" i="9"/>
  <c r="AZ224" i="9"/>
  <c r="AZ223" i="9"/>
  <c r="AZ222" i="9"/>
  <c r="AZ221" i="9"/>
  <c r="AZ220" i="9"/>
  <c r="AZ219" i="9"/>
  <c r="AZ218" i="9"/>
  <c r="AZ217" i="9"/>
  <c r="AZ216" i="9"/>
  <c r="AZ215" i="9"/>
  <c r="AZ214" i="9"/>
  <c r="AZ213" i="9"/>
  <c r="AZ212" i="9"/>
  <c r="AZ211" i="9"/>
  <c r="AZ210" i="9"/>
  <c r="AZ209" i="9"/>
  <c r="AZ208" i="9"/>
  <c r="AZ207" i="9"/>
  <c r="AZ206" i="9"/>
  <c r="AZ205" i="9"/>
  <c r="AZ204" i="9"/>
  <c r="AZ203" i="9"/>
  <c r="AZ202" i="9"/>
  <c r="AZ201" i="9"/>
  <c r="AZ200" i="9"/>
  <c r="AZ199" i="9"/>
  <c r="AZ198" i="9"/>
  <c r="AZ197" i="9"/>
  <c r="AZ196" i="9"/>
  <c r="AZ195" i="9"/>
  <c r="AZ194" i="9"/>
  <c r="AZ193" i="9"/>
  <c r="AZ192" i="9"/>
  <c r="AZ191" i="9"/>
  <c r="AZ190" i="9"/>
  <c r="AZ189" i="9"/>
  <c r="AZ188" i="9"/>
  <c r="AZ187" i="9"/>
  <c r="AZ186" i="9"/>
  <c r="AZ185" i="9"/>
  <c r="AZ184" i="9"/>
  <c r="AZ183" i="9"/>
  <c r="AZ182" i="9"/>
  <c r="AZ181" i="9"/>
  <c r="AZ180" i="9"/>
  <c r="AZ179" i="9"/>
  <c r="AZ178" i="9"/>
  <c r="AZ177" i="9"/>
  <c r="AZ176" i="9"/>
  <c r="AZ175" i="9"/>
  <c r="AZ174" i="9"/>
  <c r="AZ173" i="9"/>
  <c r="AZ172" i="9"/>
  <c r="AZ171" i="9"/>
  <c r="AZ170" i="9"/>
  <c r="AZ169" i="9"/>
  <c r="AZ168" i="9"/>
  <c r="AZ167" i="9"/>
  <c r="AZ166" i="9"/>
  <c r="AZ165" i="9"/>
  <c r="AZ164" i="9"/>
  <c r="AZ163" i="9"/>
  <c r="AZ162" i="9"/>
  <c r="AZ161" i="9"/>
  <c r="AZ160" i="9"/>
  <c r="AZ159" i="9"/>
  <c r="AZ158" i="9"/>
  <c r="AZ157" i="9"/>
  <c r="AZ156" i="9"/>
  <c r="AZ155" i="9"/>
  <c r="AZ154" i="9"/>
  <c r="AZ153" i="9"/>
  <c r="AZ152" i="9"/>
  <c r="AZ151" i="9"/>
  <c r="AZ150" i="9"/>
  <c r="AZ149" i="9"/>
  <c r="AZ148" i="9"/>
  <c r="AZ147" i="9"/>
  <c r="AZ146" i="9"/>
  <c r="AZ145" i="9"/>
  <c r="AZ144" i="9"/>
  <c r="AZ143" i="9"/>
  <c r="AZ142" i="9"/>
  <c r="AZ141" i="9"/>
  <c r="AZ140" i="9"/>
  <c r="AZ139" i="9"/>
  <c r="AZ138" i="9"/>
  <c r="AZ137" i="9"/>
  <c r="AZ136" i="9"/>
  <c r="AZ135" i="9"/>
  <c r="AZ134" i="9"/>
  <c r="AZ133" i="9"/>
  <c r="AZ132" i="9"/>
  <c r="AZ131" i="9"/>
  <c r="AZ130" i="9"/>
  <c r="AZ129" i="9"/>
  <c r="AZ128" i="9"/>
  <c r="AZ127" i="9"/>
  <c r="AZ126" i="9"/>
  <c r="AZ125" i="9"/>
  <c r="AZ124" i="9"/>
  <c r="AZ123" i="9"/>
  <c r="AZ122" i="9"/>
  <c r="AZ121" i="9"/>
  <c r="AZ120" i="9"/>
  <c r="AZ119" i="9"/>
  <c r="AZ118" i="9"/>
  <c r="AZ117" i="9"/>
  <c r="AZ116" i="9"/>
  <c r="AZ115" i="9"/>
  <c r="AZ114" i="9"/>
  <c r="AZ113" i="9"/>
  <c r="AZ112" i="9"/>
  <c r="AZ111" i="9"/>
  <c r="AZ110" i="9"/>
  <c r="AZ109" i="9"/>
  <c r="AZ108" i="9"/>
  <c r="AZ107" i="9"/>
  <c r="AZ106" i="9"/>
  <c r="AZ105" i="9"/>
  <c r="AZ104" i="9"/>
  <c r="AZ103" i="9"/>
  <c r="AZ102" i="9"/>
  <c r="AZ101" i="9"/>
  <c r="AZ100" i="9"/>
  <c r="AZ99" i="9"/>
  <c r="AZ98" i="9"/>
  <c r="AZ97" i="9"/>
  <c r="AZ96" i="9"/>
  <c r="AZ95" i="9"/>
  <c r="AZ94" i="9"/>
  <c r="AZ93" i="9"/>
  <c r="AZ92" i="9"/>
  <c r="AZ91" i="9"/>
  <c r="AZ90" i="9"/>
  <c r="AZ89" i="9"/>
  <c r="AZ88" i="9"/>
  <c r="AZ87" i="9"/>
  <c r="AZ86" i="9"/>
  <c r="AZ85" i="9"/>
  <c r="AZ84" i="9"/>
  <c r="AZ83" i="9"/>
  <c r="AZ82" i="9"/>
  <c r="AZ81" i="9"/>
  <c r="AZ80" i="9"/>
  <c r="AZ79" i="9"/>
  <c r="AZ78" i="9"/>
  <c r="AZ77" i="9"/>
  <c r="AZ76" i="9"/>
  <c r="AZ75" i="9"/>
  <c r="AZ74" i="9"/>
  <c r="AZ73" i="9"/>
  <c r="AZ72" i="9"/>
  <c r="AZ71" i="9"/>
  <c r="AZ70" i="9"/>
  <c r="AZ69" i="9"/>
  <c r="AZ68" i="9"/>
  <c r="AZ67" i="9"/>
  <c r="AZ66" i="9"/>
  <c r="AZ65" i="9"/>
  <c r="AZ64" i="9"/>
  <c r="AZ63" i="9"/>
  <c r="AZ62" i="9"/>
  <c r="AZ61" i="9"/>
  <c r="AZ60" i="9"/>
  <c r="AZ59" i="9"/>
  <c r="AZ58" i="9"/>
  <c r="AZ57" i="9"/>
  <c r="AZ56" i="9"/>
  <c r="AZ55" i="9"/>
  <c r="AZ54" i="9"/>
  <c r="AZ53" i="9"/>
  <c r="AZ52" i="9"/>
  <c r="AZ51" i="9"/>
  <c r="AZ50" i="9"/>
  <c r="AZ49" i="9"/>
  <c r="AZ48" i="9"/>
  <c r="AZ47" i="9"/>
  <c r="AZ46" i="9"/>
  <c r="AZ45" i="9"/>
  <c r="AZ44" i="9"/>
  <c r="AZ43" i="9"/>
  <c r="AZ42" i="9"/>
  <c r="AZ41" i="9"/>
  <c r="AZ40" i="9"/>
  <c r="AZ39" i="9"/>
  <c r="AZ38" i="9"/>
  <c r="AZ37" i="9"/>
  <c r="AZ36" i="9"/>
  <c r="AZ35" i="9"/>
  <c r="AZ34" i="9"/>
  <c r="AZ33" i="9"/>
  <c r="AZ32" i="9"/>
  <c r="AZ31" i="9"/>
  <c r="AZ30" i="9"/>
  <c r="AZ29" i="9"/>
  <c r="AZ28" i="9"/>
  <c r="AZ27" i="9"/>
  <c r="AZ26" i="9"/>
  <c r="AZ25" i="9"/>
  <c r="AZ24" i="9"/>
  <c r="AZ23" i="9"/>
  <c r="AZ22" i="9"/>
  <c r="AZ21" i="9"/>
  <c r="AZ20" i="9"/>
  <c r="AZ19" i="9"/>
  <c r="AZ18" i="9"/>
  <c r="AZ17" i="9"/>
  <c r="AZ16" i="9"/>
  <c r="AZ15" i="9"/>
  <c r="D8" i="8"/>
  <c r="D6" i="8"/>
  <c r="D22" i="8"/>
  <c r="D13" i="8"/>
  <c r="D7" i="8"/>
  <c r="D27" i="8"/>
  <c r="D21" i="8"/>
  <c r="D26" i="8"/>
  <c r="D9" i="8"/>
  <c r="D18" i="8"/>
  <c r="D20" i="8"/>
  <c r="D5" i="8"/>
  <c r="D24" i="8"/>
  <c r="D14" i="8"/>
  <c r="D19" i="8"/>
  <c r="D4" i="8"/>
  <c r="D2" i="8"/>
  <c r="D10" i="8"/>
  <c r="D3" i="8"/>
  <c r="D15" i="8"/>
  <c r="D11" i="8"/>
  <c r="D17" i="8" l="1"/>
  <c r="D12" i="8"/>
  <c r="D23" i="8"/>
  <c r="BB1013" i="9"/>
  <c r="AG33" i="16"/>
  <c r="AH33" i="16" s="1"/>
  <c r="AI33" i="16" s="1"/>
  <c r="AB33" i="16"/>
  <c r="Z33" i="16"/>
  <c r="T34" i="16"/>
  <c r="V33" i="16"/>
  <c r="X33" i="16"/>
  <c r="AD33" i="16"/>
  <c r="N105" i="16"/>
  <c r="P105" i="16"/>
  <c r="N75" i="16"/>
  <c r="N85" i="16"/>
  <c r="N88" i="16" s="1"/>
  <c r="N61" i="16"/>
  <c r="N74" i="16"/>
  <c r="N47" i="16"/>
  <c r="N32" i="16"/>
  <c r="N33" i="16"/>
  <c r="AV14" i="9"/>
  <c r="BB1012" i="9"/>
  <c r="AG34" i="16" l="1"/>
  <c r="AH34" i="16" s="1"/>
  <c r="AI34" i="16" s="1"/>
  <c r="AB34" i="16"/>
  <c r="AD34" i="16"/>
  <c r="T35" i="16"/>
  <c r="Z34" i="16"/>
  <c r="X34" i="16"/>
  <c r="V34" i="16"/>
  <c r="AF34" i="16"/>
  <c r="H30" i="2"/>
  <c r="AG35" i="16" l="1"/>
  <c r="AH35" i="16" s="1"/>
  <c r="AI35" i="16" s="1"/>
  <c r="AD35" i="16"/>
  <c r="X35" i="16"/>
  <c r="Z35" i="16"/>
  <c r="T36" i="16"/>
  <c r="V35" i="16"/>
  <c r="AB35" i="16"/>
  <c r="AF35" i="16"/>
  <c r="G10" i="6"/>
  <c r="T10" i="6"/>
  <c r="AG36" i="16" l="1"/>
  <c r="AH36" i="16" s="1"/>
  <c r="AI36" i="16" s="1"/>
  <c r="AB36" i="16"/>
  <c r="AD36" i="16"/>
  <c r="X36" i="16"/>
  <c r="T37" i="16"/>
  <c r="Z36" i="16"/>
  <c r="V36" i="16"/>
  <c r="AF36" i="16"/>
  <c r="P61" i="15"/>
  <c r="C61" i="15"/>
  <c r="P60" i="15"/>
  <c r="R61" i="15" s="1"/>
  <c r="C60" i="15"/>
  <c r="E61" i="15" s="1"/>
  <c r="P59" i="15"/>
  <c r="R60" i="15" s="1"/>
  <c r="C59" i="15"/>
  <c r="E60" i="15" s="1"/>
  <c r="P58" i="15"/>
  <c r="R59" i="15" s="1"/>
  <c r="C58" i="15"/>
  <c r="E59" i="15" s="1"/>
  <c r="P57" i="15"/>
  <c r="R58" i="15" s="1"/>
  <c r="C57" i="15"/>
  <c r="E58" i="15" s="1"/>
  <c r="P56" i="15"/>
  <c r="R57" i="15" s="1"/>
  <c r="C56" i="15"/>
  <c r="E57" i="15" s="1"/>
  <c r="P55" i="15"/>
  <c r="R56" i="15" s="1"/>
  <c r="C55" i="15"/>
  <c r="E56" i="15" s="1"/>
  <c r="P54" i="15"/>
  <c r="R55" i="15" s="1"/>
  <c r="C54" i="15"/>
  <c r="E55" i="15" s="1"/>
  <c r="P53" i="15"/>
  <c r="R54" i="15" s="1"/>
  <c r="C53" i="15"/>
  <c r="E54" i="15" s="1"/>
  <c r="P52" i="15"/>
  <c r="R53" i="15" s="1"/>
  <c r="C52" i="15"/>
  <c r="E53" i="15" s="1"/>
  <c r="P51" i="15"/>
  <c r="R52" i="15" s="1"/>
  <c r="C51" i="15"/>
  <c r="E52" i="15" s="1"/>
  <c r="P50" i="15"/>
  <c r="R51" i="15" s="1"/>
  <c r="C50" i="15"/>
  <c r="E51" i="15" s="1"/>
  <c r="P49" i="15"/>
  <c r="R50" i="15" s="1"/>
  <c r="E49" i="15"/>
  <c r="C49" i="15"/>
  <c r="E50" i="15" s="1"/>
  <c r="P48" i="15"/>
  <c r="R49" i="15" s="1"/>
  <c r="E48" i="15"/>
  <c r="P47" i="15"/>
  <c r="R48" i="15" s="1"/>
  <c r="E47" i="15"/>
  <c r="P46" i="15"/>
  <c r="R47" i="15" s="1"/>
  <c r="E46" i="15"/>
  <c r="P45" i="15"/>
  <c r="R46" i="15" s="1"/>
  <c r="E45" i="15"/>
  <c r="P44" i="15"/>
  <c r="R45" i="15" s="1"/>
  <c r="E44" i="15"/>
  <c r="P43" i="15"/>
  <c r="R44" i="15" s="1"/>
  <c r="E43" i="15"/>
  <c r="P42" i="15"/>
  <c r="R43" i="15" s="1"/>
  <c r="E42" i="15"/>
  <c r="P41" i="15"/>
  <c r="R42" i="15" s="1"/>
  <c r="E41" i="15"/>
  <c r="P40" i="15"/>
  <c r="R41" i="15" s="1"/>
  <c r="E40" i="15"/>
  <c r="P39" i="15"/>
  <c r="R40" i="15" s="1"/>
  <c r="E39" i="15"/>
  <c r="P38" i="15"/>
  <c r="R39" i="15" s="1"/>
  <c r="E38" i="15"/>
  <c r="P37" i="15"/>
  <c r="R38" i="15" s="1"/>
  <c r="E37" i="15"/>
  <c r="P36" i="15"/>
  <c r="R37" i="15" s="1"/>
  <c r="E36" i="15"/>
  <c r="P35" i="15"/>
  <c r="R36" i="15" s="1"/>
  <c r="E35" i="15"/>
  <c r="P34" i="15"/>
  <c r="R35" i="15" s="1"/>
  <c r="E34" i="15"/>
  <c r="P33" i="15"/>
  <c r="R34" i="15" s="1"/>
  <c r="E33" i="15"/>
  <c r="P32" i="15"/>
  <c r="R33" i="15" s="1"/>
  <c r="E32" i="15"/>
  <c r="P31" i="15"/>
  <c r="R32" i="15" s="1"/>
  <c r="E31" i="15"/>
  <c r="P30" i="15"/>
  <c r="R31" i="15" s="1"/>
  <c r="E30" i="15"/>
  <c r="P29" i="15"/>
  <c r="R30" i="15" s="1"/>
  <c r="E29" i="15"/>
  <c r="P28" i="15"/>
  <c r="R29" i="15" s="1"/>
  <c r="E28" i="15"/>
  <c r="P27" i="15"/>
  <c r="R28" i="15" s="1"/>
  <c r="E27" i="15"/>
  <c r="P26" i="15"/>
  <c r="R27" i="15" s="1"/>
  <c r="E26" i="15"/>
  <c r="P25" i="15"/>
  <c r="R26" i="15" s="1"/>
  <c r="E25" i="15"/>
  <c r="P24" i="15"/>
  <c r="R25" i="15" s="1"/>
  <c r="E24" i="15"/>
  <c r="P23" i="15"/>
  <c r="R24" i="15" s="1"/>
  <c r="E23" i="15"/>
  <c r="P22" i="15"/>
  <c r="R23" i="15" s="1"/>
  <c r="E22" i="15"/>
  <c r="P21" i="15"/>
  <c r="R22" i="15" s="1"/>
  <c r="E21" i="15"/>
  <c r="P20" i="15"/>
  <c r="R21" i="15" s="1"/>
  <c r="E20" i="15"/>
  <c r="P19" i="15"/>
  <c r="R20" i="15" s="1"/>
  <c r="E19" i="15"/>
  <c r="P18" i="15"/>
  <c r="R19" i="15" s="1"/>
  <c r="E18" i="15"/>
  <c r="P17" i="15"/>
  <c r="R18" i="15" s="1"/>
  <c r="E17" i="15"/>
  <c r="P16" i="15"/>
  <c r="R17" i="15" s="1"/>
  <c r="E16" i="15"/>
  <c r="P15" i="15"/>
  <c r="R16" i="15" s="1"/>
  <c r="E15" i="15"/>
  <c r="P14" i="15"/>
  <c r="R15" i="15" s="1"/>
  <c r="E14" i="15"/>
  <c r="W13" i="15"/>
  <c r="W14" i="15" s="1"/>
  <c r="W15" i="15" s="1"/>
  <c r="W16" i="15" s="1"/>
  <c r="W17" i="15" s="1"/>
  <c r="W18" i="15" s="1"/>
  <c r="W19" i="15" s="1"/>
  <c r="W20" i="15" s="1"/>
  <c r="W21" i="15" s="1"/>
  <c r="W22" i="15" s="1"/>
  <c r="W23" i="15" s="1"/>
  <c r="W24" i="15" s="1"/>
  <c r="W25" i="15" s="1"/>
  <c r="W26" i="15" s="1"/>
  <c r="W27" i="15" s="1"/>
  <c r="W28" i="15" s="1"/>
  <c r="W29" i="15" s="1"/>
  <c r="W30" i="15" s="1"/>
  <c r="W31" i="15" s="1"/>
  <c r="W32" i="15" s="1"/>
  <c r="W33" i="15" s="1"/>
  <c r="W34" i="15" s="1"/>
  <c r="W35" i="15" s="1"/>
  <c r="W36" i="15" s="1"/>
  <c r="W37" i="15" s="1"/>
  <c r="W38" i="15" s="1"/>
  <c r="W39" i="15" s="1"/>
  <c r="W40" i="15" s="1"/>
  <c r="W41" i="15" s="1"/>
  <c r="W42" i="15" s="1"/>
  <c r="W43" i="15" s="1"/>
  <c r="W44" i="15" s="1"/>
  <c r="W45" i="15" s="1"/>
  <c r="W46" i="15" s="1"/>
  <c r="W47" i="15" s="1"/>
  <c r="W48" i="15" s="1"/>
  <c r="W49" i="15" s="1"/>
  <c r="W50" i="15" s="1"/>
  <c r="W51" i="15" s="1"/>
  <c r="W52" i="15" s="1"/>
  <c r="W53" i="15" s="1"/>
  <c r="W54" i="15" s="1"/>
  <c r="W55" i="15" s="1"/>
  <c r="W56" i="15" s="1"/>
  <c r="W57" i="15" s="1"/>
  <c r="W58" i="15" s="1"/>
  <c r="W59" i="15" s="1"/>
  <c r="W60" i="15" s="1"/>
  <c r="W61" i="15" s="1"/>
  <c r="P13" i="15"/>
  <c r="R14" i="15" s="1"/>
  <c r="J13" i="15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J31" i="15" s="1"/>
  <c r="J32" i="15" s="1"/>
  <c r="J33" i="15" s="1"/>
  <c r="J34" i="15" s="1"/>
  <c r="J35" i="15" s="1"/>
  <c r="J36" i="15" s="1"/>
  <c r="J37" i="15" s="1"/>
  <c r="J38" i="15" s="1"/>
  <c r="J39" i="15" s="1"/>
  <c r="J40" i="15" s="1"/>
  <c r="J41" i="15" s="1"/>
  <c r="J42" i="15" s="1"/>
  <c r="J43" i="15" s="1"/>
  <c r="J44" i="15" s="1"/>
  <c r="J45" i="15" s="1"/>
  <c r="J46" i="15" s="1"/>
  <c r="J47" i="15" s="1"/>
  <c r="J48" i="15" s="1"/>
  <c r="J49" i="15" s="1"/>
  <c r="J50" i="15" s="1"/>
  <c r="J51" i="15" s="1"/>
  <c r="J52" i="15" s="1"/>
  <c r="J53" i="15" s="1"/>
  <c r="J54" i="15" s="1"/>
  <c r="J55" i="15" s="1"/>
  <c r="J56" i="15" s="1"/>
  <c r="J57" i="15" s="1"/>
  <c r="J58" i="15" s="1"/>
  <c r="J59" i="15" s="1"/>
  <c r="J60" i="15" s="1"/>
  <c r="J61" i="15" s="1"/>
  <c r="E13" i="15"/>
  <c r="R12" i="15"/>
  <c r="E12" i="15"/>
  <c r="W33" i="12"/>
  <c r="V33" i="12"/>
  <c r="U33" i="12"/>
  <c r="W32" i="12"/>
  <c r="V32" i="12"/>
  <c r="U32" i="12"/>
  <c r="W31" i="12"/>
  <c r="V31" i="12"/>
  <c r="U31" i="12"/>
  <c r="U36" i="12" s="1"/>
  <c r="W30" i="12"/>
  <c r="U40" i="12" s="1"/>
  <c r="V30" i="12"/>
  <c r="U30" i="12"/>
  <c r="W29" i="12"/>
  <c r="V29" i="12"/>
  <c r="U29" i="12"/>
  <c r="W28" i="12"/>
  <c r="V28" i="12"/>
  <c r="U28" i="12"/>
  <c r="W27" i="12"/>
  <c r="V27" i="12"/>
  <c r="U27" i="12"/>
  <c r="W26" i="12"/>
  <c r="V26" i="12"/>
  <c r="U26" i="12"/>
  <c r="W25" i="12"/>
  <c r="V25" i="12"/>
  <c r="U25" i="12"/>
  <c r="W24" i="12"/>
  <c r="V24" i="12"/>
  <c r="U24" i="12"/>
  <c r="W23" i="12"/>
  <c r="V23" i="12"/>
  <c r="U23" i="12"/>
  <c r="W22" i="12"/>
  <c r="V22" i="12"/>
  <c r="U22" i="12"/>
  <c r="M22" i="12"/>
  <c r="L22" i="12"/>
  <c r="W21" i="12"/>
  <c r="V21" i="12"/>
  <c r="U21" i="12"/>
  <c r="W20" i="12"/>
  <c r="V20" i="12"/>
  <c r="U20" i="12"/>
  <c r="M20" i="12"/>
  <c r="L20" i="12"/>
  <c r="F5" i="12"/>
  <c r="Q4" i="12"/>
  <c r="Q3" i="12"/>
  <c r="E123" i="11"/>
  <c r="E122" i="11"/>
  <c r="E121" i="11"/>
  <c r="E120" i="11"/>
  <c r="E119" i="11"/>
  <c r="E118" i="11"/>
  <c r="E117" i="11"/>
  <c r="E115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G11" i="11"/>
  <c r="E11" i="11"/>
  <c r="C1001" i="10"/>
  <c r="D1001" i="10" s="1"/>
  <c r="C1000" i="10"/>
  <c r="D1000" i="10" s="1"/>
  <c r="C999" i="10"/>
  <c r="D999" i="10" s="1"/>
  <c r="C998" i="10"/>
  <c r="D998" i="10" s="1"/>
  <c r="D997" i="10"/>
  <c r="C997" i="10"/>
  <c r="D996" i="10"/>
  <c r="C996" i="10"/>
  <c r="D995" i="10"/>
  <c r="C995" i="10"/>
  <c r="C994" i="10"/>
  <c r="D994" i="10" s="1"/>
  <c r="C993" i="10"/>
  <c r="D993" i="10" s="1"/>
  <c r="D992" i="10"/>
  <c r="C992" i="10"/>
  <c r="D991" i="10"/>
  <c r="C991" i="10"/>
  <c r="D990" i="10"/>
  <c r="C990" i="10"/>
  <c r="D989" i="10"/>
  <c r="C989" i="10"/>
  <c r="C988" i="10"/>
  <c r="D988" i="10" s="1"/>
  <c r="D987" i="10"/>
  <c r="C987" i="10"/>
  <c r="C986" i="10"/>
  <c r="D986" i="10" s="1"/>
  <c r="C985" i="10"/>
  <c r="D985" i="10" s="1"/>
  <c r="D984" i="10"/>
  <c r="C984" i="10"/>
  <c r="D983" i="10"/>
  <c r="C983" i="10"/>
  <c r="D982" i="10"/>
  <c r="C982" i="10"/>
  <c r="D981" i="10"/>
  <c r="C981" i="10"/>
  <c r="D980" i="10"/>
  <c r="C980" i="10"/>
  <c r="D979" i="10"/>
  <c r="C979" i="10"/>
  <c r="D978" i="10"/>
  <c r="C978" i="10"/>
  <c r="C977" i="10"/>
  <c r="D977" i="10" s="1"/>
  <c r="C976" i="10"/>
  <c r="D976" i="10" s="1"/>
  <c r="C975" i="10"/>
  <c r="D975" i="10" s="1"/>
  <c r="C974" i="10"/>
  <c r="D974" i="10" s="1"/>
  <c r="C973" i="10"/>
  <c r="D973" i="10" s="1"/>
  <c r="C972" i="10"/>
  <c r="D972" i="10" s="1"/>
  <c r="D971" i="10"/>
  <c r="C971" i="10"/>
  <c r="C970" i="10"/>
  <c r="D970" i="10" s="1"/>
  <c r="C969" i="10"/>
  <c r="D969" i="10" s="1"/>
  <c r="C968" i="10"/>
  <c r="D968" i="10" s="1"/>
  <c r="C967" i="10"/>
  <c r="D967" i="10" s="1"/>
  <c r="C966" i="10"/>
  <c r="D966" i="10" s="1"/>
  <c r="C965" i="10"/>
  <c r="D965" i="10" s="1"/>
  <c r="C964" i="10"/>
  <c r="D964" i="10" s="1"/>
  <c r="D963" i="10"/>
  <c r="C963" i="10"/>
  <c r="D962" i="10"/>
  <c r="C962" i="10"/>
  <c r="C961" i="10"/>
  <c r="D961" i="10" s="1"/>
  <c r="D960" i="10"/>
  <c r="C960" i="10"/>
  <c r="D959" i="10"/>
  <c r="C959" i="10"/>
  <c r="D958" i="10"/>
  <c r="C958" i="10"/>
  <c r="D957" i="10"/>
  <c r="C957" i="10"/>
  <c r="D956" i="10"/>
  <c r="C956" i="10"/>
  <c r="D955" i="10"/>
  <c r="C955" i="10"/>
  <c r="C954" i="10"/>
  <c r="D954" i="10" s="1"/>
  <c r="C953" i="10"/>
  <c r="D953" i="10" s="1"/>
  <c r="D952" i="10"/>
  <c r="C952" i="10"/>
  <c r="D951" i="10"/>
  <c r="C951" i="10"/>
  <c r="D950" i="10"/>
  <c r="C950" i="10"/>
  <c r="D949" i="10"/>
  <c r="C949" i="10"/>
  <c r="D948" i="10"/>
  <c r="C948" i="10"/>
  <c r="D947" i="10"/>
  <c r="C947" i="10"/>
  <c r="D946" i="10"/>
  <c r="C946" i="10"/>
  <c r="C945" i="10"/>
  <c r="D945" i="10" s="1"/>
  <c r="C944" i="10"/>
  <c r="D944" i="10" s="1"/>
  <c r="D943" i="10"/>
  <c r="C943" i="10"/>
  <c r="D942" i="10"/>
  <c r="C942" i="10"/>
  <c r="D941" i="10"/>
  <c r="C941" i="10"/>
  <c r="D940" i="10"/>
  <c r="C940" i="10"/>
  <c r="D939" i="10"/>
  <c r="C939" i="10"/>
  <c r="D938" i="10"/>
  <c r="C938" i="10"/>
  <c r="C937" i="10"/>
  <c r="D937" i="10" s="1"/>
  <c r="D936" i="10"/>
  <c r="C936" i="10"/>
  <c r="C935" i="10"/>
  <c r="D935" i="10" s="1"/>
  <c r="C934" i="10"/>
  <c r="D934" i="10" s="1"/>
  <c r="C933" i="10"/>
  <c r="D933" i="10" s="1"/>
  <c r="C932" i="10"/>
  <c r="D932" i="10" s="1"/>
  <c r="D931" i="10"/>
  <c r="C931" i="10"/>
  <c r="C930" i="10"/>
  <c r="D930" i="10" s="1"/>
  <c r="C929" i="10"/>
  <c r="D929" i="10" s="1"/>
  <c r="C928" i="10"/>
  <c r="D928" i="10" s="1"/>
  <c r="C927" i="10"/>
  <c r="D927" i="10" s="1"/>
  <c r="D926" i="10"/>
  <c r="C926" i="10"/>
  <c r="D925" i="10"/>
  <c r="C925" i="10"/>
  <c r="D924" i="10"/>
  <c r="C924" i="10"/>
  <c r="D923" i="10"/>
  <c r="C923" i="10"/>
  <c r="D922" i="10"/>
  <c r="C922" i="10"/>
  <c r="D921" i="10"/>
  <c r="C921" i="10"/>
  <c r="C920" i="10"/>
  <c r="D920" i="10" s="1"/>
  <c r="C919" i="10"/>
  <c r="D919" i="10" s="1"/>
  <c r="D918" i="10"/>
  <c r="C918" i="10"/>
  <c r="D917" i="10"/>
  <c r="C917" i="10"/>
  <c r="D916" i="10"/>
  <c r="C916" i="10"/>
  <c r="D915" i="10"/>
  <c r="C915" i="10"/>
  <c r="D914" i="10"/>
  <c r="C914" i="10"/>
  <c r="D913" i="10"/>
  <c r="C913" i="10"/>
  <c r="C912" i="10"/>
  <c r="D912" i="10" s="1"/>
  <c r="C911" i="10"/>
  <c r="D911" i="10" s="1"/>
  <c r="D910" i="10"/>
  <c r="C910" i="10"/>
  <c r="D909" i="10"/>
  <c r="C909" i="10"/>
  <c r="D908" i="10"/>
  <c r="C908" i="10"/>
  <c r="D907" i="10"/>
  <c r="C907" i="10"/>
  <c r="D906" i="10"/>
  <c r="C906" i="10"/>
  <c r="D905" i="10"/>
  <c r="C905" i="10"/>
  <c r="C904" i="10"/>
  <c r="D904" i="10" s="1"/>
  <c r="C903" i="10"/>
  <c r="D903" i="10" s="1"/>
  <c r="D902" i="10"/>
  <c r="C902" i="10"/>
  <c r="D901" i="10"/>
  <c r="C901" i="10"/>
  <c r="D900" i="10"/>
  <c r="C900" i="10"/>
  <c r="D899" i="10"/>
  <c r="C899" i="10"/>
  <c r="D898" i="10"/>
  <c r="C898" i="10"/>
  <c r="D897" i="10"/>
  <c r="C897" i="10"/>
  <c r="C896" i="10"/>
  <c r="D896" i="10" s="1"/>
  <c r="C895" i="10"/>
  <c r="D895" i="10" s="1"/>
  <c r="D894" i="10"/>
  <c r="C894" i="10"/>
  <c r="D893" i="10"/>
  <c r="C893" i="10"/>
  <c r="D892" i="10"/>
  <c r="C892" i="10"/>
  <c r="D891" i="10"/>
  <c r="C891" i="10"/>
  <c r="D890" i="10"/>
  <c r="C890" i="10"/>
  <c r="D889" i="10"/>
  <c r="C889" i="10"/>
  <c r="C888" i="10"/>
  <c r="D888" i="10" s="1"/>
  <c r="C887" i="10"/>
  <c r="D887" i="10" s="1"/>
  <c r="D886" i="10"/>
  <c r="C886" i="10"/>
  <c r="D885" i="10"/>
  <c r="C885" i="10"/>
  <c r="D884" i="10"/>
  <c r="C884" i="10"/>
  <c r="D883" i="10"/>
  <c r="C883" i="10"/>
  <c r="D882" i="10"/>
  <c r="C882" i="10"/>
  <c r="D881" i="10"/>
  <c r="C881" i="10"/>
  <c r="C880" i="10"/>
  <c r="D880" i="10" s="1"/>
  <c r="C879" i="10"/>
  <c r="D879" i="10" s="1"/>
  <c r="D878" i="10"/>
  <c r="C878" i="10"/>
  <c r="D877" i="10"/>
  <c r="C877" i="10"/>
  <c r="D876" i="10"/>
  <c r="C876" i="10"/>
  <c r="D875" i="10"/>
  <c r="C875" i="10"/>
  <c r="D874" i="10"/>
  <c r="C874" i="10"/>
  <c r="D873" i="10"/>
  <c r="C873" i="10"/>
  <c r="C872" i="10"/>
  <c r="D872" i="10" s="1"/>
  <c r="C871" i="10"/>
  <c r="D871" i="10" s="1"/>
  <c r="D870" i="10"/>
  <c r="C870" i="10"/>
  <c r="D869" i="10"/>
  <c r="C869" i="10"/>
  <c r="D868" i="10"/>
  <c r="C868" i="10"/>
  <c r="D867" i="10"/>
  <c r="C867" i="10"/>
  <c r="D866" i="10"/>
  <c r="C866" i="10"/>
  <c r="D865" i="10"/>
  <c r="C865" i="10"/>
  <c r="C864" i="10"/>
  <c r="D864" i="10" s="1"/>
  <c r="C863" i="10"/>
  <c r="D863" i="10" s="1"/>
  <c r="D862" i="10"/>
  <c r="C862" i="10"/>
  <c r="D861" i="10"/>
  <c r="C861" i="10"/>
  <c r="D860" i="10"/>
  <c r="C860" i="10"/>
  <c r="D859" i="10"/>
  <c r="C859" i="10"/>
  <c r="D858" i="10"/>
  <c r="C858" i="10"/>
  <c r="D857" i="10"/>
  <c r="C857" i="10"/>
  <c r="C856" i="10"/>
  <c r="D856" i="10" s="1"/>
  <c r="C855" i="10"/>
  <c r="D855" i="10" s="1"/>
  <c r="D854" i="10"/>
  <c r="C854" i="10"/>
  <c r="D853" i="10"/>
  <c r="C853" i="10"/>
  <c r="D852" i="10"/>
  <c r="C852" i="10"/>
  <c r="D851" i="10"/>
  <c r="C851" i="10"/>
  <c r="D850" i="10"/>
  <c r="C850" i="10"/>
  <c r="D849" i="10"/>
  <c r="C849" i="10"/>
  <c r="C848" i="10"/>
  <c r="D848" i="10" s="1"/>
  <c r="C847" i="10"/>
  <c r="D847" i="10" s="1"/>
  <c r="D846" i="10"/>
  <c r="C846" i="10"/>
  <c r="D845" i="10"/>
  <c r="C845" i="10"/>
  <c r="D844" i="10"/>
  <c r="C844" i="10"/>
  <c r="D843" i="10"/>
  <c r="C843" i="10"/>
  <c r="D842" i="10"/>
  <c r="C842" i="10"/>
  <c r="D841" i="10"/>
  <c r="C841" i="10"/>
  <c r="C840" i="10"/>
  <c r="D840" i="10" s="1"/>
  <c r="C839" i="10"/>
  <c r="D839" i="10" s="1"/>
  <c r="D838" i="10"/>
  <c r="C838" i="10"/>
  <c r="D837" i="10"/>
  <c r="C837" i="10"/>
  <c r="D836" i="10"/>
  <c r="C836" i="10"/>
  <c r="D835" i="10"/>
  <c r="C835" i="10"/>
  <c r="D834" i="10"/>
  <c r="C834" i="10"/>
  <c r="D833" i="10"/>
  <c r="C833" i="10"/>
  <c r="C832" i="10"/>
  <c r="D832" i="10" s="1"/>
  <c r="C831" i="10"/>
  <c r="D831" i="10" s="1"/>
  <c r="D830" i="10"/>
  <c r="C830" i="10"/>
  <c r="D829" i="10"/>
  <c r="C829" i="10"/>
  <c r="D828" i="10"/>
  <c r="C828" i="10"/>
  <c r="D827" i="10"/>
  <c r="C827" i="10"/>
  <c r="D826" i="10"/>
  <c r="C826" i="10"/>
  <c r="D825" i="10"/>
  <c r="C825" i="10"/>
  <c r="C824" i="10"/>
  <c r="D824" i="10" s="1"/>
  <c r="C823" i="10"/>
  <c r="D823" i="10" s="1"/>
  <c r="D822" i="10"/>
  <c r="C822" i="10"/>
  <c r="D821" i="10"/>
  <c r="C821" i="10"/>
  <c r="D820" i="10"/>
  <c r="C820" i="10"/>
  <c r="D819" i="10"/>
  <c r="C819" i="10"/>
  <c r="D818" i="10"/>
  <c r="C818" i="10"/>
  <c r="D817" i="10"/>
  <c r="C817" i="10"/>
  <c r="C816" i="10"/>
  <c r="D816" i="10" s="1"/>
  <c r="C815" i="10"/>
  <c r="D815" i="10" s="1"/>
  <c r="C814" i="10"/>
  <c r="D814" i="10" s="1"/>
  <c r="C813" i="10"/>
  <c r="D813" i="10" s="1"/>
  <c r="C812" i="10"/>
  <c r="D812" i="10" s="1"/>
  <c r="C811" i="10"/>
  <c r="D811" i="10" s="1"/>
  <c r="C810" i="10"/>
  <c r="D810" i="10" s="1"/>
  <c r="C809" i="10"/>
  <c r="D809" i="10" s="1"/>
  <c r="C808" i="10"/>
  <c r="D808" i="10" s="1"/>
  <c r="D807" i="10"/>
  <c r="C807" i="10"/>
  <c r="D806" i="10"/>
  <c r="C806" i="10"/>
  <c r="D805" i="10"/>
  <c r="C805" i="10"/>
  <c r="D804" i="10"/>
  <c r="C804" i="10"/>
  <c r="D803" i="10"/>
  <c r="C803" i="10"/>
  <c r="D802" i="10"/>
  <c r="C802" i="10"/>
  <c r="D801" i="10"/>
  <c r="C801" i="10"/>
  <c r="C800" i="10"/>
  <c r="D800" i="10" s="1"/>
  <c r="C799" i="10"/>
  <c r="D799" i="10" s="1"/>
  <c r="C798" i="10"/>
  <c r="D798" i="10" s="1"/>
  <c r="C797" i="10"/>
  <c r="D797" i="10" s="1"/>
  <c r="C796" i="10"/>
  <c r="D796" i="10" s="1"/>
  <c r="C795" i="10"/>
  <c r="D795" i="10" s="1"/>
  <c r="C794" i="10"/>
  <c r="D794" i="10" s="1"/>
  <c r="C793" i="10"/>
  <c r="D793" i="10" s="1"/>
  <c r="C792" i="10"/>
  <c r="D792" i="10" s="1"/>
  <c r="D791" i="10"/>
  <c r="C791" i="10"/>
  <c r="D790" i="10"/>
  <c r="C790" i="10"/>
  <c r="D789" i="10"/>
  <c r="C789" i="10"/>
  <c r="D788" i="10"/>
  <c r="C788" i="10"/>
  <c r="D787" i="10"/>
  <c r="C787" i="10"/>
  <c r="D786" i="10"/>
  <c r="C786" i="10"/>
  <c r="D785" i="10"/>
  <c r="C785" i="10"/>
  <c r="C784" i="10"/>
  <c r="D784" i="10" s="1"/>
  <c r="C783" i="10"/>
  <c r="D783" i="10" s="1"/>
  <c r="C782" i="10"/>
  <c r="D782" i="10" s="1"/>
  <c r="C781" i="10"/>
  <c r="D781" i="10" s="1"/>
  <c r="C780" i="10"/>
  <c r="D780" i="10" s="1"/>
  <c r="C779" i="10"/>
  <c r="D779" i="10" s="1"/>
  <c r="C778" i="10"/>
  <c r="D778" i="10" s="1"/>
  <c r="C777" i="10"/>
  <c r="D777" i="10" s="1"/>
  <c r="C776" i="10"/>
  <c r="D776" i="10" s="1"/>
  <c r="D775" i="10"/>
  <c r="C775" i="10"/>
  <c r="D774" i="10"/>
  <c r="C774" i="10"/>
  <c r="D773" i="10"/>
  <c r="C773" i="10"/>
  <c r="D772" i="10"/>
  <c r="C772" i="10"/>
  <c r="D771" i="10"/>
  <c r="C771" i="10"/>
  <c r="D770" i="10"/>
  <c r="C770" i="10"/>
  <c r="D769" i="10"/>
  <c r="C769" i="10"/>
  <c r="C768" i="10"/>
  <c r="D768" i="10" s="1"/>
  <c r="C767" i="10"/>
  <c r="D767" i="10" s="1"/>
  <c r="C766" i="10"/>
  <c r="D766" i="10" s="1"/>
  <c r="C765" i="10"/>
  <c r="D765" i="10" s="1"/>
  <c r="C764" i="10"/>
  <c r="D764" i="10" s="1"/>
  <c r="C763" i="10"/>
  <c r="D763" i="10" s="1"/>
  <c r="C762" i="10"/>
  <c r="D762" i="10" s="1"/>
  <c r="C761" i="10"/>
  <c r="D761" i="10" s="1"/>
  <c r="C760" i="10"/>
  <c r="D760" i="10" s="1"/>
  <c r="D759" i="10"/>
  <c r="C759" i="10"/>
  <c r="D758" i="10"/>
  <c r="C758" i="10"/>
  <c r="D757" i="10"/>
  <c r="C757" i="10"/>
  <c r="D756" i="10"/>
  <c r="C756" i="10"/>
  <c r="D755" i="10"/>
  <c r="C755" i="10"/>
  <c r="D754" i="10"/>
  <c r="C754" i="10"/>
  <c r="D753" i="10"/>
  <c r="C753" i="10"/>
  <c r="C752" i="10"/>
  <c r="D752" i="10" s="1"/>
  <c r="C751" i="10"/>
  <c r="D751" i="10" s="1"/>
  <c r="C750" i="10"/>
  <c r="D750" i="10" s="1"/>
  <c r="C749" i="10"/>
  <c r="D749" i="10" s="1"/>
  <c r="C748" i="10"/>
  <c r="D748" i="10" s="1"/>
  <c r="C747" i="10"/>
  <c r="D747" i="10" s="1"/>
  <c r="C746" i="10"/>
  <c r="D746" i="10" s="1"/>
  <c r="C745" i="10"/>
  <c r="D745" i="10" s="1"/>
  <c r="C744" i="10"/>
  <c r="D744" i="10" s="1"/>
  <c r="D743" i="10"/>
  <c r="C743" i="10"/>
  <c r="D742" i="10"/>
  <c r="C742" i="10"/>
  <c r="D741" i="10"/>
  <c r="C741" i="10"/>
  <c r="D740" i="10"/>
  <c r="C740" i="10"/>
  <c r="D739" i="10"/>
  <c r="C739" i="10"/>
  <c r="D738" i="10"/>
  <c r="C738" i="10"/>
  <c r="D737" i="10"/>
  <c r="C737" i="10"/>
  <c r="C736" i="10"/>
  <c r="D736" i="10" s="1"/>
  <c r="C735" i="10"/>
  <c r="D735" i="10" s="1"/>
  <c r="C734" i="10"/>
  <c r="D734" i="10" s="1"/>
  <c r="C733" i="10"/>
  <c r="D733" i="10" s="1"/>
  <c r="C732" i="10"/>
  <c r="D732" i="10" s="1"/>
  <c r="C731" i="10"/>
  <c r="D731" i="10" s="1"/>
  <c r="C730" i="10"/>
  <c r="D730" i="10" s="1"/>
  <c r="C729" i="10"/>
  <c r="D729" i="10" s="1"/>
  <c r="C728" i="10"/>
  <c r="D728" i="10" s="1"/>
  <c r="D727" i="10"/>
  <c r="C727" i="10"/>
  <c r="D726" i="10"/>
  <c r="C726" i="10"/>
  <c r="D725" i="10"/>
  <c r="C725" i="10"/>
  <c r="D724" i="10"/>
  <c r="C724" i="10"/>
  <c r="D723" i="10"/>
  <c r="C723" i="10"/>
  <c r="D722" i="10"/>
  <c r="C722" i="10"/>
  <c r="D721" i="10"/>
  <c r="C721" i="10"/>
  <c r="C720" i="10"/>
  <c r="D720" i="10" s="1"/>
  <c r="C719" i="10"/>
  <c r="D719" i="10" s="1"/>
  <c r="C718" i="10"/>
  <c r="D718" i="10" s="1"/>
  <c r="C717" i="10"/>
  <c r="D717" i="10" s="1"/>
  <c r="C716" i="10"/>
  <c r="D716" i="10" s="1"/>
  <c r="C715" i="10"/>
  <c r="D715" i="10" s="1"/>
  <c r="C714" i="10"/>
  <c r="D714" i="10" s="1"/>
  <c r="C713" i="10"/>
  <c r="D713" i="10" s="1"/>
  <c r="C712" i="10"/>
  <c r="D712" i="10" s="1"/>
  <c r="D711" i="10"/>
  <c r="C711" i="10"/>
  <c r="D710" i="10"/>
  <c r="C710" i="10"/>
  <c r="D709" i="10"/>
  <c r="C709" i="10"/>
  <c r="D708" i="10"/>
  <c r="C708" i="10"/>
  <c r="D707" i="10"/>
  <c r="C707" i="10"/>
  <c r="D706" i="10"/>
  <c r="C706" i="10"/>
  <c r="D705" i="10"/>
  <c r="C705" i="10"/>
  <c r="C704" i="10"/>
  <c r="D704" i="10" s="1"/>
  <c r="C703" i="10"/>
  <c r="D703" i="10" s="1"/>
  <c r="C702" i="10"/>
  <c r="D702" i="10" s="1"/>
  <c r="C701" i="10"/>
  <c r="D701" i="10" s="1"/>
  <c r="C700" i="10"/>
  <c r="D700" i="10" s="1"/>
  <c r="C699" i="10"/>
  <c r="D699" i="10" s="1"/>
  <c r="C698" i="10"/>
  <c r="D698" i="10" s="1"/>
  <c r="C697" i="10"/>
  <c r="D697" i="10" s="1"/>
  <c r="C696" i="10"/>
  <c r="D696" i="10" s="1"/>
  <c r="D695" i="10"/>
  <c r="C695" i="10"/>
  <c r="D694" i="10"/>
  <c r="C694" i="10"/>
  <c r="D693" i="10"/>
  <c r="C693" i="10"/>
  <c r="D692" i="10"/>
  <c r="C692" i="10"/>
  <c r="D691" i="10"/>
  <c r="C691" i="10"/>
  <c r="D690" i="10"/>
  <c r="C690" i="10"/>
  <c r="D689" i="10"/>
  <c r="C689" i="10"/>
  <c r="C688" i="10"/>
  <c r="D688" i="10" s="1"/>
  <c r="C687" i="10"/>
  <c r="D687" i="10" s="1"/>
  <c r="C686" i="10"/>
  <c r="D686" i="10" s="1"/>
  <c r="C685" i="10"/>
  <c r="D685" i="10" s="1"/>
  <c r="C684" i="10"/>
  <c r="D684" i="10" s="1"/>
  <c r="C683" i="10"/>
  <c r="D683" i="10" s="1"/>
  <c r="C682" i="10"/>
  <c r="D682" i="10" s="1"/>
  <c r="C681" i="10"/>
  <c r="D681" i="10" s="1"/>
  <c r="C680" i="10"/>
  <c r="D680" i="10" s="1"/>
  <c r="D679" i="10"/>
  <c r="C679" i="10"/>
  <c r="D678" i="10"/>
  <c r="C678" i="10"/>
  <c r="D677" i="10"/>
  <c r="C677" i="10"/>
  <c r="D676" i="10"/>
  <c r="C676" i="10"/>
  <c r="D675" i="10"/>
  <c r="C675" i="10"/>
  <c r="D674" i="10"/>
  <c r="C674" i="10"/>
  <c r="D673" i="10"/>
  <c r="C673" i="10"/>
  <c r="C672" i="10"/>
  <c r="D672" i="10" s="1"/>
  <c r="C671" i="10"/>
  <c r="D671" i="10" s="1"/>
  <c r="C670" i="10"/>
  <c r="D670" i="10" s="1"/>
  <c r="C669" i="10"/>
  <c r="D669" i="10" s="1"/>
  <c r="C668" i="10"/>
  <c r="D668" i="10" s="1"/>
  <c r="C667" i="10"/>
  <c r="D667" i="10" s="1"/>
  <c r="C666" i="10"/>
  <c r="D666" i="10" s="1"/>
  <c r="C665" i="10"/>
  <c r="D665" i="10" s="1"/>
  <c r="C664" i="10"/>
  <c r="D664" i="10" s="1"/>
  <c r="D663" i="10"/>
  <c r="C663" i="10"/>
  <c r="D662" i="10"/>
  <c r="C662" i="10"/>
  <c r="D661" i="10"/>
  <c r="C661" i="10"/>
  <c r="D660" i="10"/>
  <c r="C660" i="10"/>
  <c r="D659" i="10"/>
  <c r="C659" i="10"/>
  <c r="D658" i="10"/>
  <c r="C658" i="10"/>
  <c r="D657" i="10"/>
  <c r="C657" i="10"/>
  <c r="C656" i="10"/>
  <c r="D656" i="10" s="1"/>
  <c r="C655" i="10"/>
  <c r="D655" i="10" s="1"/>
  <c r="C654" i="10"/>
  <c r="D654" i="10" s="1"/>
  <c r="C653" i="10"/>
  <c r="D653" i="10" s="1"/>
  <c r="C652" i="10"/>
  <c r="D652" i="10" s="1"/>
  <c r="C651" i="10"/>
  <c r="D651" i="10" s="1"/>
  <c r="C650" i="10"/>
  <c r="D650" i="10" s="1"/>
  <c r="C649" i="10"/>
  <c r="D649" i="10" s="1"/>
  <c r="C648" i="10"/>
  <c r="D648" i="10" s="1"/>
  <c r="D647" i="10"/>
  <c r="C647" i="10"/>
  <c r="D646" i="10"/>
  <c r="C646" i="10"/>
  <c r="D645" i="10"/>
  <c r="C645" i="10"/>
  <c r="D644" i="10"/>
  <c r="C644" i="10"/>
  <c r="D643" i="10"/>
  <c r="C643" i="10"/>
  <c r="D642" i="10"/>
  <c r="C642" i="10"/>
  <c r="D641" i="10"/>
  <c r="C641" i="10"/>
  <c r="C640" i="10"/>
  <c r="D640" i="10" s="1"/>
  <c r="C639" i="10"/>
  <c r="D639" i="10" s="1"/>
  <c r="C638" i="10"/>
  <c r="D638" i="10" s="1"/>
  <c r="C637" i="10"/>
  <c r="D637" i="10" s="1"/>
  <c r="C636" i="10"/>
  <c r="D636" i="10" s="1"/>
  <c r="C635" i="10"/>
  <c r="D635" i="10" s="1"/>
  <c r="C634" i="10"/>
  <c r="D634" i="10" s="1"/>
  <c r="C633" i="10"/>
  <c r="D633" i="10" s="1"/>
  <c r="C632" i="10"/>
  <c r="D632" i="10" s="1"/>
  <c r="D631" i="10"/>
  <c r="C631" i="10"/>
  <c r="D630" i="10"/>
  <c r="C630" i="10"/>
  <c r="D629" i="10"/>
  <c r="C629" i="10"/>
  <c r="D628" i="10"/>
  <c r="C628" i="10"/>
  <c r="D627" i="10"/>
  <c r="C627" i="10"/>
  <c r="D626" i="10"/>
  <c r="C626" i="10"/>
  <c r="D625" i="10"/>
  <c r="C625" i="10"/>
  <c r="C624" i="10"/>
  <c r="D624" i="10" s="1"/>
  <c r="C623" i="10"/>
  <c r="D623" i="10" s="1"/>
  <c r="C622" i="10"/>
  <c r="D622" i="10" s="1"/>
  <c r="C621" i="10"/>
  <c r="D621" i="10" s="1"/>
  <c r="C620" i="10"/>
  <c r="D620" i="10" s="1"/>
  <c r="C619" i="10"/>
  <c r="D619" i="10" s="1"/>
  <c r="C618" i="10"/>
  <c r="D618" i="10" s="1"/>
  <c r="C617" i="10"/>
  <c r="D617" i="10" s="1"/>
  <c r="C616" i="10"/>
  <c r="D616" i="10" s="1"/>
  <c r="D615" i="10"/>
  <c r="C615" i="10"/>
  <c r="D614" i="10"/>
  <c r="C614" i="10"/>
  <c r="D613" i="10"/>
  <c r="C613" i="10"/>
  <c r="D612" i="10"/>
  <c r="C612" i="10"/>
  <c r="D611" i="10"/>
  <c r="C611" i="10"/>
  <c r="D610" i="10"/>
  <c r="C610" i="10"/>
  <c r="D609" i="10"/>
  <c r="C609" i="10"/>
  <c r="C608" i="10"/>
  <c r="D608" i="10" s="1"/>
  <c r="C607" i="10"/>
  <c r="D607" i="10" s="1"/>
  <c r="C606" i="10"/>
  <c r="D606" i="10" s="1"/>
  <c r="C605" i="10"/>
  <c r="D605" i="10" s="1"/>
  <c r="C604" i="10"/>
  <c r="D604" i="10" s="1"/>
  <c r="C603" i="10"/>
  <c r="D603" i="10" s="1"/>
  <c r="C602" i="10"/>
  <c r="D602" i="10" s="1"/>
  <c r="C601" i="10"/>
  <c r="D601" i="10" s="1"/>
  <c r="C600" i="10"/>
  <c r="D600" i="10" s="1"/>
  <c r="D599" i="10"/>
  <c r="C599" i="10"/>
  <c r="D598" i="10"/>
  <c r="C598" i="10"/>
  <c r="D597" i="10"/>
  <c r="C597" i="10"/>
  <c r="D596" i="10"/>
  <c r="C596" i="10"/>
  <c r="D595" i="10"/>
  <c r="C595" i="10"/>
  <c r="D594" i="10"/>
  <c r="C594" i="10"/>
  <c r="D593" i="10"/>
  <c r="C593" i="10"/>
  <c r="C592" i="10"/>
  <c r="D592" i="10" s="1"/>
  <c r="C591" i="10"/>
  <c r="D591" i="10" s="1"/>
  <c r="C590" i="10"/>
  <c r="D590" i="10" s="1"/>
  <c r="C589" i="10"/>
  <c r="D589" i="10" s="1"/>
  <c r="C588" i="10"/>
  <c r="D588" i="10" s="1"/>
  <c r="C587" i="10"/>
  <c r="D587" i="10" s="1"/>
  <c r="C586" i="10"/>
  <c r="D586" i="10" s="1"/>
  <c r="C585" i="10"/>
  <c r="D585" i="10" s="1"/>
  <c r="C584" i="10"/>
  <c r="D584" i="10" s="1"/>
  <c r="D583" i="10"/>
  <c r="C583" i="10"/>
  <c r="D582" i="10"/>
  <c r="C582" i="10"/>
  <c r="D581" i="10"/>
  <c r="C581" i="10"/>
  <c r="D580" i="10"/>
  <c r="C580" i="10"/>
  <c r="D579" i="10"/>
  <c r="C579" i="10"/>
  <c r="D578" i="10"/>
  <c r="C578" i="10"/>
  <c r="D577" i="10"/>
  <c r="C577" i="10"/>
  <c r="C576" i="10"/>
  <c r="D576" i="10" s="1"/>
  <c r="C575" i="10"/>
  <c r="D575" i="10" s="1"/>
  <c r="C574" i="10"/>
  <c r="D574" i="10" s="1"/>
  <c r="C573" i="10"/>
  <c r="D573" i="10" s="1"/>
  <c r="C572" i="10"/>
  <c r="D572" i="10" s="1"/>
  <c r="C571" i="10"/>
  <c r="D571" i="10" s="1"/>
  <c r="C570" i="10"/>
  <c r="D570" i="10" s="1"/>
  <c r="C569" i="10"/>
  <c r="D569" i="10" s="1"/>
  <c r="C568" i="10"/>
  <c r="D568" i="10" s="1"/>
  <c r="D567" i="10"/>
  <c r="C567" i="10"/>
  <c r="D566" i="10"/>
  <c r="C566" i="10"/>
  <c r="D565" i="10"/>
  <c r="C565" i="10"/>
  <c r="D564" i="10"/>
  <c r="C564" i="10"/>
  <c r="D563" i="10"/>
  <c r="C563" i="10"/>
  <c r="D562" i="10"/>
  <c r="C562" i="10"/>
  <c r="D561" i="10"/>
  <c r="C561" i="10"/>
  <c r="C560" i="10"/>
  <c r="D560" i="10" s="1"/>
  <c r="C559" i="10"/>
  <c r="D559" i="10" s="1"/>
  <c r="C558" i="10"/>
  <c r="D558" i="10" s="1"/>
  <c r="C557" i="10"/>
  <c r="D557" i="10" s="1"/>
  <c r="C556" i="10"/>
  <c r="D556" i="10" s="1"/>
  <c r="C555" i="10"/>
  <c r="D555" i="10" s="1"/>
  <c r="C554" i="10"/>
  <c r="D554" i="10" s="1"/>
  <c r="C553" i="10"/>
  <c r="D553" i="10" s="1"/>
  <c r="C552" i="10"/>
  <c r="D552" i="10" s="1"/>
  <c r="D551" i="10"/>
  <c r="C551" i="10"/>
  <c r="D550" i="10"/>
  <c r="C550" i="10"/>
  <c r="D549" i="10"/>
  <c r="C549" i="10"/>
  <c r="D548" i="10"/>
  <c r="C548" i="10"/>
  <c r="D547" i="10"/>
  <c r="C547" i="10"/>
  <c r="D546" i="10"/>
  <c r="C546" i="10"/>
  <c r="D545" i="10"/>
  <c r="C545" i="10"/>
  <c r="C544" i="10"/>
  <c r="D544" i="10" s="1"/>
  <c r="C543" i="10"/>
  <c r="D543" i="10" s="1"/>
  <c r="C542" i="10"/>
  <c r="D542" i="10" s="1"/>
  <c r="C541" i="10"/>
  <c r="D541" i="10" s="1"/>
  <c r="C540" i="10"/>
  <c r="D540" i="10" s="1"/>
  <c r="C539" i="10"/>
  <c r="D539" i="10" s="1"/>
  <c r="C538" i="10"/>
  <c r="D538" i="10" s="1"/>
  <c r="C537" i="10"/>
  <c r="D537" i="10" s="1"/>
  <c r="C536" i="10"/>
  <c r="D536" i="10" s="1"/>
  <c r="D535" i="10"/>
  <c r="C535" i="10"/>
  <c r="D534" i="10"/>
  <c r="C534" i="10"/>
  <c r="D533" i="10"/>
  <c r="C533" i="10"/>
  <c r="D532" i="10"/>
  <c r="C532" i="10"/>
  <c r="D531" i="10"/>
  <c r="C531" i="10"/>
  <c r="D530" i="10"/>
  <c r="C530" i="10"/>
  <c r="D529" i="10"/>
  <c r="C529" i="10"/>
  <c r="C528" i="10"/>
  <c r="D528" i="10" s="1"/>
  <c r="C527" i="10"/>
  <c r="D527" i="10" s="1"/>
  <c r="C526" i="10"/>
  <c r="D526" i="10" s="1"/>
  <c r="C525" i="10"/>
  <c r="D525" i="10" s="1"/>
  <c r="C524" i="10"/>
  <c r="D524" i="10" s="1"/>
  <c r="C523" i="10"/>
  <c r="D523" i="10" s="1"/>
  <c r="C522" i="10"/>
  <c r="D522" i="10" s="1"/>
  <c r="C521" i="10"/>
  <c r="D521" i="10" s="1"/>
  <c r="C520" i="10"/>
  <c r="D520" i="10" s="1"/>
  <c r="D519" i="10"/>
  <c r="C519" i="10"/>
  <c r="D518" i="10"/>
  <c r="C518" i="10"/>
  <c r="D517" i="10"/>
  <c r="C517" i="10"/>
  <c r="D516" i="10"/>
  <c r="C516" i="10"/>
  <c r="D515" i="10"/>
  <c r="C515" i="10"/>
  <c r="D514" i="10"/>
  <c r="C514" i="10"/>
  <c r="D513" i="10"/>
  <c r="C513" i="10"/>
  <c r="C512" i="10"/>
  <c r="D512" i="10" s="1"/>
  <c r="C511" i="10"/>
  <c r="D511" i="10" s="1"/>
  <c r="C510" i="10"/>
  <c r="D510" i="10" s="1"/>
  <c r="C509" i="10"/>
  <c r="D509" i="10" s="1"/>
  <c r="C508" i="10"/>
  <c r="D508" i="10" s="1"/>
  <c r="C507" i="10"/>
  <c r="D507" i="10" s="1"/>
  <c r="C506" i="10"/>
  <c r="D506" i="10" s="1"/>
  <c r="C505" i="10"/>
  <c r="D505" i="10" s="1"/>
  <c r="C504" i="10"/>
  <c r="D504" i="10" s="1"/>
  <c r="D503" i="10"/>
  <c r="C503" i="10"/>
  <c r="D502" i="10"/>
  <c r="C502" i="10"/>
  <c r="D501" i="10"/>
  <c r="C501" i="10"/>
  <c r="D500" i="10"/>
  <c r="C500" i="10"/>
  <c r="D499" i="10"/>
  <c r="C499" i="10"/>
  <c r="D498" i="10"/>
  <c r="C498" i="10"/>
  <c r="D497" i="10"/>
  <c r="C497" i="10"/>
  <c r="C496" i="10"/>
  <c r="D496" i="10" s="1"/>
  <c r="C495" i="10"/>
  <c r="D495" i="10" s="1"/>
  <c r="C494" i="10"/>
  <c r="D494" i="10" s="1"/>
  <c r="C493" i="10"/>
  <c r="D493" i="10" s="1"/>
  <c r="C492" i="10"/>
  <c r="D492" i="10" s="1"/>
  <c r="C491" i="10"/>
  <c r="D491" i="10" s="1"/>
  <c r="C490" i="10"/>
  <c r="D490" i="10" s="1"/>
  <c r="C489" i="10"/>
  <c r="D489" i="10" s="1"/>
  <c r="C488" i="10"/>
  <c r="D488" i="10" s="1"/>
  <c r="D487" i="10"/>
  <c r="C487" i="10"/>
  <c r="D486" i="10"/>
  <c r="C486" i="10"/>
  <c r="D485" i="10"/>
  <c r="C485" i="10"/>
  <c r="D484" i="10"/>
  <c r="C484" i="10"/>
  <c r="D483" i="10"/>
  <c r="C483" i="10"/>
  <c r="D482" i="10"/>
  <c r="C482" i="10"/>
  <c r="D481" i="10"/>
  <c r="C481" i="10"/>
  <c r="C480" i="10"/>
  <c r="D480" i="10" s="1"/>
  <c r="C479" i="10"/>
  <c r="D479" i="10" s="1"/>
  <c r="C478" i="10"/>
  <c r="D478" i="10" s="1"/>
  <c r="C477" i="10"/>
  <c r="D477" i="10" s="1"/>
  <c r="C476" i="10"/>
  <c r="D476" i="10" s="1"/>
  <c r="C475" i="10"/>
  <c r="D475" i="10" s="1"/>
  <c r="C474" i="10"/>
  <c r="D474" i="10" s="1"/>
  <c r="C473" i="10"/>
  <c r="D473" i="10" s="1"/>
  <c r="C472" i="10"/>
  <c r="D472" i="10" s="1"/>
  <c r="D471" i="10"/>
  <c r="C471" i="10"/>
  <c r="D470" i="10"/>
  <c r="C470" i="10"/>
  <c r="D469" i="10"/>
  <c r="C469" i="10"/>
  <c r="D468" i="10"/>
  <c r="C468" i="10"/>
  <c r="D467" i="10"/>
  <c r="C467" i="10"/>
  <c r="D466" i="10"/>
  <c r="C466" i="10"/>
  <c r="D465" i="10"/>
  <c r="C465" i="10"/>
  <c r="C464" i="10"/>
  <c r="D464" i="10" s="1"/>
  <c r="C463" i="10"/>
  <c r="D463" i="10" s="1"/>
  <c r="C462" i="10"/>
  <c r="D462" i="10" s="1"/>
  <c r="C461" i="10"/>
  <c r="D461" i="10" s="1"/>
  <c r="C460" i="10"/>
  <c r="D460" i="10" s="1"/>
  <c r="C459" i="10"/>
  <c r="D459" i="10" s="1"/>
  <c r="C458" i="10"/>
  <c r="D458" i="10" s="1"/>
  <c r="C457" i="10"/>
  <c r="D457" i="10" s="1"/>
  <c r="C456" i="10"/>
  <c r="D456" i="10" s="1"/>
  <c r="D455" i="10"/>
  <c r="C455" i="10"/>
  <c r="D454" i="10"/>
  <c r="C454" i="10"/>
  <c r="D453" i="10"/>
  <c r="C453" i="10"/>
  <c r="D452" i="10"/>
  <c r="C452" i="10"/>
  <c r="D451" i="10"/>
  <c r="C451" i="10"/>
  <c r="D450" i="10"/>
  <c r="C450" i="10"/>
  <c r="D449" i="10"/>
  <c r="C449" i="10"/>
  <c r="C448" i="10"/>
  <c r="D448" i="10" s="1"/>
  <c r="C447" i="10"/>
  <c r="D447" i="10" s="1"/>
  <c r="C446" i="10"/>
  <c r="D446" i="10" s="1"/>
  <c r="C445" i="10"/>
  <c r="D445" i="10" s="1"/>
  <c r="C444" i="10"/>
  <c r="D444" i="10" s="1"/>
  <c r="C443" i="10"/>
  <c r="D443" i="10" s="1"/>
  <c r="C442" i="10"/>
  <c r="D442" i="10" s="1"/>
  <c r="C441" i="10"/>
  <c r="D441" i="10" s="1"/>
  <c r="C440" i="10"/>
  <c r="D440" i="10" s="1"/>
  <c r="D439" i="10"/>
  <c r="C439" i="10"/>
  <c r="D438" i="10"/>
  <c r="C438" i="10"/>
  <c r="D437" i="10"/>
  <c r="C437" i="10"/>
  <c r="D436" i="10"/>
  <c r="C436" i="10"/>
  <c r="D435" i="10"/>
  <c r="C435" i="10"/>
  <c r="D434" i="10"/>
  <c r="C434" i="10"/>
  <c r="D433" i="10"/>
  <c r="C433" i="10"/>
  <c r="C432" i="10"/>
  <c r="D432" i="10" s="1"/>
  <c r="C431" i="10"/>
  <c r="D431" i="10" s="1"/>
  <c r="C430" i="10"/>
  <c r="D430" i="10" s="1"/>
  <c r="C429" i="10"/>
  <c r="D429" i="10" s="1"/>
  <c r="C428" i="10"/>
  <c r="D428" i="10" s="1"/>
  <c r="C427" i="10"/>
  <c r="D427" i="10" s="1"/>
  <c r="C426" i="10"/>
  <c r="D426" i="10" s="1"/>
  <c r="C425" i="10"/>
  <c r="D425" i="10" s="1"/>
  <c r="C424" i="10"/>
  <c r="D424" i="10" s="1"/>
  <c r="D423" i="10"/>
  <c r="C423" i="10"/>
  <c r="D422" i="10"/>
  <c r="C422" i="10"/>
  <c r="D421" i="10"/>
  <c r="C421" i="10"/>
  <c r="D420" i="10"/>
  <c r="C420" i="10"/>
  <c r="D419" i="10"/>
  <c r="C419" i="10"/>
  <c r="D418" i="10"/>
  <c r="C418" i="10"/>
  <c r="D417" i="10"/>
  <c r="C417" i="10"/>
  <c r="C416" i="10"/>
  <c r="D416" i="10" s="1"/>
  <c r="C415" i="10"/>
  <c r="D415" i="10" s="1"/>
  <c r="C414" i="10"/>
  <c r="D414" i="10" s="1"/>
  <c r="C413" i="10"/>
  <c r="D413" i="10" s="1"/>
  <c r="C412" i="10"/>
  <c r="D412" i="10" s="1"/>
  <c r="C411" i="10"/>
  <c r="D411" i="10" s="1"/>
  <c r="C410" i="10"/>
  <c r="D410" i="10" s="1"/>
  <c r="C409" i="10"/>
  <c r="D409" i="10" s="1"/>
  <c r="C408" i="10"/>
  <c r="D408" i="10" s="1"/>
  <c r="D407" i="10"/>
  <c r="C407" i="10"/>
  <c r="D406" i="10"/>
  <c r="C406" i="10"/>
  <c r="D405" i="10"/>
  <c r="C405" i="10"/>
  <c r="D404" i="10"/>
  <c r="C404" i="10"/>
  <c r="D403" i="10"/>
  <c r="C403" i="10"/>
  <c r="D402" i="10"/>
  <c r="C402" i="10"/>
  <c r="D401" i="10"/>
  <c r="C401" i="10"/>
  <c r="D400" i="10"/>
  <c r="C400" i="10"/>
  <c r="D399" i="10"/>
  <c r="C399" i="10"/>
  <c r="D398" i="10"/>
  <c r="C398" i="10"/>
  <c r="D397" i="10"/>
  <c r="C397" i="10"/>
  <c r="D396" i="10"/>
  <c r="C396" i="10"/>
  <c r="D395" i="10"/>
  <c r="C395" i="10"/>
  <c r="D394" i="10"/>
  <c r="C394" i="10"/>
  <c r="D393" i="10"/>
  <c r="C393" i="10"/>
  <c r="D392" i="10"/>
  <c r="C392" i="10"/>
  <c r="D391" i="10"/>
  <c r="C391" i="10"/>
  <c r="D390" i="10"/>
  <c r="C390" i="10"/>
  <c r="D389" i="10"/>
  <c r="C389" i="10"/>
  <c r="D388" i="10"/>
  <c r="C388" i="10"/>
  <c r="D387" i="10"/>
  <c r="C387" i="10"/>
  <c r="D386" i="10"/>
  <c r="C386" i="10"/>
  <c r="D385" i="10"/>
  <c r="C385" i="10"/>
  <c r="D384" i="10"/>
  <c r="C384" i="10"/>
  <c r="D383" i="10"/>
  <c r="C383" i="10"/>
  <c r="D382" i="10"/>
  <c r="C382" i="10"/>
  <c r="D381" i="10"/>
  <c r="C381" i="10"/>
  <c r="D380" i="10"/>
  <c r="C380" i="10"/>
  <c r="D379" i="10"/>
  <c r="C379" i="10"/>
  <c r="D378" i="10"/>
  <c r="C378" i="10"/>
  <c r="D377" i="10"/>
  <c r="C377" i="10"/>
  <c r="D376" i="10"/>
  <c r="C376" i="10"/>
  <c r="D375" i="10"/>
  <c r="C375" i="10"/>
  <c r="D374" i="10"/>
  <c r="C374" i="10"/>
  <c r="D373" i="10"/>
  <c r="C373" i="10"/>
  <c r="D372" i="10"/>
  <c r="C372" i="10"/>
  <c r="D371" i="10"/>
  <c r="C371" i="10"/>
  <c r="D370" i="10"/>
  <c r="C370" i="10"/>
  <c r="D369" i="10"/>
  <c r="C369" i="10"/>
  <c r="D368" i="10"/>
  <c r="C368" i="10"/>
  <c r="D367" i="10"/>
  <c r="C367" i="10"/>
  <c r="D366" i="10"/>
  <c r="C366" i="10"/>
  <c r="D365" i="10"/>
  <c r="C365" i="10"/>
  <c r="D364" i="10"/>
  <c r="C364" i="10"/>
  <c r="D363" i="10"/>
  <c r="C363" i="10"/>
  <c r="D362" i="10"/>
  <c r="C362" i="10"/>
  <c r="D361" i="10"/>
  <c r="C361" i="10"/>
  <c r="D360" i="10"/>
  <c r="C360" i="10"/>
  <c r="D359" i="10"/>
  <c r="C359" i="10"/>
  <c r="D358" i="10"/>
  <c r="C358" i="10"/>
  <c r="D357" i="10"/>
  <c r="C357" i="10"/>
  <c r="D356" i="10"/>
  <c r="C356" i="10"/>
  <c r="D355" i="10"/>
  <c r="C355" i="10"/>
  <c r="D354" i="10"/>
  <c r="C354" i="10"/>
  <c r="D353" i="10"/>
  <c r="C353" i="10"/>
  <c r="D352" i="10"/>
  <c r="C352" i="10"/>
  <c r="D351" i="10"/>
  <c r="C351" i="10"/>
  <c r="D350" i="10"/>
  <c r="C350" i="10"/>
  <c r="D349" i="10"/>
  <c r="C349" i="10"/>
  <c r="D348" i="10"/>
  <c r="C348" i="10"/>
  <c r="D347" i="10"/>
  <c r="C347" i="10"/>
  <c r="D346" i="10"/>
  <c r="C346" i="10"/>
  <c r="D345" i="10"/>
  <c r="C345" i="10"/>
  <c r="D344" i="10"/>
  <c r="C344" i="10"/>
  <c r="D343" i="10"/>
  <c r="C343" i="10"/>
  <c r="D342" i="10"/>
  <c r="C342" i="10"/>
  <c r="D341" i="10"/>
  <c r="C341" i="10"/>
  <c r="D340" i="10"/>
  <c r="C340" i="10"/>
  <c r="D339" i="10"/>
  <c r="C339" i="10"/>
  <c r="D338" i="10"/>
  <c r="C338" i="10"/>
  <c r="D337" i="10"/>
  <c r="C337" i="10"/>
  <c r="D336" i="10"/>
  <c r="C336" i="10"/>
  <c r="D335" i="10"/>
  <c r="C335" i="10"/>
  <c r="D334" i="10"/>
  <c r="C334" i="10"/>
  <c r="D333" i="10"/>
  <c r="C333" i="10"/>
  <c r="D332" i="10"/>
  <c r="C332" i="10"/>
  <c r="D331" i="10"/>
  <c r="C331" i="10"/>
  <c r="D330" i="10"/>
  <c r="C330" i="10"/>
  <c r="D329" i="10"/>
  <c r="C329" i="10"/>
  <c r="D328" i="10"/>
  <c r="C328" i="10"/>
  <c r="D327" i="10"/>
  <c r="C327" i="10"/>
  <c r="D326" i="10"/>
  <c r="C326" i="10"/>
  <c r="D325" i="10"/>
  <c r="C325" i="10"/>
  <c r="D324" i="10"/>
  <c r="C324" i="10"/>
  <c r="D323" i="10"/>
  <c r="C323" i="10"/>
  <c r="D322" i="10"/>
  <c r="C322" i="10"/>
  <c r="D321" i="10"/>
  <c r="C321" i="10"/>
  <c r="D320" i="10"/>
  <c r="C320" i="10"/>
  <c r="D319" i="10"/>
  <c r="C319" i="10"/>
  <c r="D318" i="10"/>
  <c r="C318" i="10"/>
  <c r="D317" i="10"/>
  <c r="C317" i="10"/>
  <c r="D316" i="10"/>
  <c r="C316" i="10"/>
  <c r="D315" i="10"/>
  <c r="C315" i="10"/>
  <c r="D314" i="10"/>
  <c r="C314" i="10"/>
  <c r="D313" i="10"/>
  <c r="C313" i="10"/>
  <c r="D312" i="10"/>
  <c r="C312" i="10"/>
  <c r="D311" i="10"/>
  <c r="C311" i="10"/>
  <c r="D310" i="10"/>
  <c r="C310" i="10"/>
  <c r="D309" i="10"/>
  <c r="C309" i="10"/>
  <c r="D308" i="10"/>
  <c r="C308" i="10"/>
  <c r="D307" i="10"/>
  <c r="C307" i="10"/>
  <c r="D306" i="10"/>
  <c r="C306" i="10"/>
  <c r="D305" i="10"/>
  <c r="C305" i="10"/>
  <c r="D304" i="10"/>
  <c r="C304" i="10"/>
  <c r="D303" i="10"/>
  <c r="C303" i="10"/>
  <c r="D302" i="10"/>
  <c r="C302" i="10"/>
  <c r="D301" i="10"/>
  <c r="C301" i="10"/>
  <c r="D300" i="10"/>
  <c r="C300" i="10"/>
  <c r="D299" i="10"/>
  <c r="C299" i="10"/>
  <c r="D298" i="10"/>
  <c r="C298" i="10"/>
  <c r="D297" i="10"/>
  <c r="C297" i="10"/>
  <c r="D296" i="10"/>
  <c r="C296" i="10"/>
  <c r="D295" i="10"/>
  <c r="C295" i="10"/>
  <c r="D294" i="10"/>
  <c r="C294" i="10"/>
  <c r="D293" i="10"/>
  <c r="C293" i="10"/>
  <c r="D292" i="10"/>
  <c r="C292" i="10"/>
  <c r="D291" i="10"/>
  <c r="C291" i="10"/>
  <c r="D290" i="10"/>
  <c r="C290" i="10"/>
  <c r="D289" i="10"/>
  <c r="C289" i="10"/>
  <c r="D288" i="10"/>
  <c r="C288" i="10"/>
  <c r="D287" i="10"/>
  <c r="C287" i="10"/>
  <c r="D286" i="10"/>
  <c r="C286" i="10"/>
  <c r="D285" i="10"/>
  <c r="C285" i="10"/>
  <c r="D284" i="10"/>
  <c r="C284" i="10"/>
  <c r="D283" i="10"/>
  <c r="C283" i="10"/>
  <c r="D282" i="10"/>
  <c r="C282" i="10"/>
  <c r="D281" i="10"/>
  <c r="C281" i="10"/>
  <c r="D280" i="10"/>
  <c r="C280" i="10"/>
  <c r="D279" i="10"/>
  <c r="C279" i="10"/>
  <c r="D278" i="10"/>
  <c r="C278" i="10"/>
  <c r="D277" i="10"/>
  <c r="C277" i="10"/>
  <c r="D276" i="10"/>
  <c r="C276" i="10"/>
  <c r="D275" i="10"/>
  <c r="C275" i="10"/>
  <c r="D274" i="10"/>
  <c r="C274" i="10"/>
  <c r="D273" i="10"/>
  <c r="C273" i="10"/>
  <c r="D272" i="10"/>
  <c r="C272" i="10"/>
  <c r="D271" i="10"/>
  <c r="C271" i="10"/>
  <c r="D270" i="10"/>
  <c r="C270" i="10"/>
  <c r="D269" i="10"/>
  <c r="C269" i="10"/>
  <c r="D268" i="10"/>
  <c r="C268" i="10"/>
  <c r="D267" i="10"/>
  <c r="C267" i="10"/>
  <c r="D266" i="10"/>
  <c r="C266" i="10"/>
  <c r="D265" i="10"/>
  <c r="C265" i="10"/>
  <c r="D264" i="10"/>
  <c r="C264" i="10"/>
  <c r="D263" i="10"/>
  <c r="C263" i="10"/>
  <c r="D262" i="10"/>
  <c r="C262" i="10"/>
  <c r="D261" i="10"/>
  <c r="C261" i="10"/>
  <c r="D260" i="10"/>
  <c r="C260" i="10"/>
  <c r="D259" i="10"/>
  <c r="C259" i="10"/>
  <c r="D258" i="10"/>
  <c r="C258" i="10"/>
  <c r="D257" i="10"/>
  <c r="C257" i="10"/>
  <c r="D256" i="10"/>
  <c r="C256" i="10"/>
  <c r="D255" i="10"/>
  <c r="C255" i="10"/>
  <c r="D254" i="10"/>
  <c r="C254" i="10"/>
  <c r="D253" i="10"/>
  <c r="C253" i="10"/>
  <c r="D252" i="10"/>
  <c r="C252" i="10"/>
  <c r="D251" i="10"/>
  <c r="C251" i="10"/>
  <c r="D250" i="10"/>
  <c r="C250" i="10"/>
  <c r="D249" i="10"/>
  <c r="C249" i="10"/>
  <c r="D248" i="10"/>
  <c r="C248" i="10"/>
  <c r="D247" i="10"/>
  <c r="C247" i="10"/>
  <c r="D246" i="10"/>
  <c r="C246" i="10"/>
  <c r="D245" i="10"/>
  <c r="C245" i="10"/>
  <c r="D244" i="10"/>
  <c r="C244" i="10"/>
  <c r="D243" i="10"/>
  <c r="C243" i="10"/>
  <c r="D242" i="10"/>
  <c r="C242" i="10"/>
  <c r="D241" i="10"/>
  <c r="C241" i="10"/>
  <c r="D240" i="10"/>
  <c r="C240" i="10"/>
  <c r="D239" i="10"/>
  <c r="C239" i="10"/>
  <c r="D238" i="10"/>
  <c r="C238" i="10"/>
  <c r="D237" i="10"/>
  <c r="C237" i="10"/>
  <c r="D236" i="10"/>
  <c r="C236" i="10"/>
  <c r="D235" i="10"/>
  <c r="C235" i="10"/>
  <c r="D234" i="10"/>
  <c r="C234" i="10"/>
  <c r="D233" i="10"/>
  <c r="C233" i="10"/>
  <c r="D232" i="10"/>
  <c r="C232" i="10"/>
  <c r="D231" i="10"/>
  <c r="C231" i="10"/>
  <c r="D230" i="10"/>
  <c r="C230" i="10"/>
  <c r="D229" i="10"/>
  <c r="C229" i="10"/>
  <c r="D228" i="10"/>
  <c r="C228" i="10"/>
  <c r="D227" i="10"/>
  <c r="C227" i="10"/>
  <c r="D226" i="10"/>
  <c r="C226" i="10"/>
  <c r="D225" i="10"/>
  <c r="C225" i="10"/>
  <c r="D224" i="10"/>
  <c r="C224" i="10"/>
  <c r="D223" i="10"/>
  <c r="C223" i="10"/>
  <c r="D222" i="10"/>
  <c r="C222" i="10"/>
  <c r="D221" i="10"/>
  <c r="C221" i="10"/>
  <c r="D220" i="10"/>
  <c r="C220" i="10"/>
  <c r="D219" i="10"/>
  <c r="C219" i="10"/>
  <c r="D218" i="10"/>
  <c r="C218" i="10"/>
  <c r="D217" i="10"/>
  <c r="C217" i="10"/>
  <c r="D216" i="10"/>
  <c r="C216" i="10"/>
  <c r="D215" i="10"/>
  <c r="C215" i="10"/>
  <c r="D214" i="10"/>
  <c r="C214" i="10"/>
  <c r="D213" i="10"/>
  <c r="C213" i="10"/>
  <c r="D212" i="10"/>
  <c r="C212" i="10"/>
  <c r="D211" i="10"/>
  <c r="C211" i="10"/>
  <c r="D210" i="10"/>
  <c r="C210" i="10"/>
  <c r="D209" i="10"/>
  <c r="C209" i="10"/>
  <c r="D208" i="10"/>
  <c r="C208" i="10"/>
  <c r="D207" i="10"/>
  <c r="C207" i="10"/>
  <c r="D206" i="10"/>
  <c r="C206" i="10"/>
  <c r="D205" i="10"/>
  <c r="C205" i="10"/>
  <c r="D204" i="10"/>
  <c r="C204" i="10"/>
  <c r="D203" i="10"/>
  <c r="C203" i="10"/>
  <c r="D202" i="10"/>
  <c r="C202" i="10"/>
  <c r="D201" i="10"/>
  <c r="C201" i="10"/>
  <c r="D200" i="10"/>
  <c r="C200" i="10"/>
  <c r="D199" i="10"/>
  <c r="C199" i="10"/>
  <c r="D198" i="10"/>
  <c r="C198" i="10"/>
  <c r="D197" i="10"/>
  <c r="C197" i="10"/>
  <c r="D196" i="10"/>
  <c r="C196" i="10"/>
  <c r="D195" i="10"/>
  <c r="C195" i="10"/>
  <c r="D194" i="10"/>
  <c r="C194" i="10"/>
  <c r="D193" i="10"/>
  <c r="C193" i="10"/>
  <c r="D192" i="10"/>
  <c r="C192" i="10"/>
  <c r="D191" i="10"/>
  <c r="C191" i="10"/>
  <c r="D190" i="10"/>
  <c r="C190" i="10"/>
  <c r="D189" i="10"/>
  <c r="C189" i="10"/>
  <c r="D188" i="10"/>
  <c r="C188" i="10"/>
  <c r="D187" i="10"/>
  <c r="C187" i="10"/>
  <c r="D186" i="10"/>
  <c r="C186" i="10"/>
  <c r="D185" i="10"/>
  <c r="C185" i="10"/>
  <c r="D184" i="10"/>
  <c r="C184" i="10"/>
  <c r="D183" i="10"/>
  <c r="C183" i="10"/>
  <c r="D182" i="10"/>
  <c r="C182" i="10"/>
  <c r="D181" i="10"/>
  <c r="C181" i="10"/>
  <c r="D180" i="10"/>
  <c r="C180" i="10"/>
  <c r="D179" i="10"/>
  <c r="C179" i="10"/>
  <c r="D178" i="10"/>
  <c r="C178" i="10"/>
  <c r="D177" i="10"/>
  <c r="C177" i="10"/>
  <c r="D176" i="10"/>
  <c r="C176" i="10"/>
  <c r="D175" i="10"/>
  <c r="C175" i="10"/>
  <c r="D174" i="10"/>
  <c r="C174" i="10"/>
  <c r="D173" i="10"/>
  <c r="C173" i="10"/>
  <c r="D172" i="10"/>
  <c r="C172" i="10"/>
  <c r="D171" i="10"/>
  <c r="C171" i="10"/>
  <c r="D170" i="10"/>
  <c r="C170" i="10"/>
  <c r="D169" i="10"/>
  <c r="C169" i="10"/>
  <c r="D168" i="10"/>
  <c r="C168" i="10"/>
  <c r="D167" i="10"/>
  <c r="C167" i="10"/>
  <c r="D166" i="10"/>
  <c r="C166" i="10"/>
  <c r="D165" i="10"/>
  <c r="C165" i="10"/>
  <c r="D164" i="10"/>
  <c r="C164" i="10"/>
  <c r="D163" i="10"/>
  <c r="C163" i="10"/>
  <c r="D162" i="10"/>
  <c r="C162" i="10"/>
  <c r="D161" i="10"/>
  <c r="C161" i="10"/>
  <c r="D160" i="10"/>
  <c r="C160" i="10"/>
  <c r="D159" i="10"/>
  <c r="C159" i="10"/>
  <c r="D158" i="10"/>
  <c r="C158" i="10"/>
  <c r="D157" i="10"/>
  <c r="C157" i="10"/>
  <c r="D156" i="10"/>
  <c r="C156" i="10"/>
  <c r="D155" i="10"/>
  <c r="C155" i="10"/>
  <c r="D154" i="10"/>
  <c r="C154" i="10"/>
  <c r="D153" i="10"/>
  <c r="C153" i="10"/>
  <c r="D152" i="10"/>
  <c r="C152" i="10"/>
  <c r="D151" i="10"/>
  <c r="C151" i="10"/>
  <c r="D150" i="10"/>
  <c r="C150" i="10"/>
  <c r="D149" i="10"/>
  <c r="C149" i="10"/>
  <c r="D148" i="10"/>
  <c r="C148" i="10"/>
  <c r="D147" i="10"/>
  <c r="C147" i="10"/>
  <c r="D146" i="10"/>
  <c r="C146" i="10"/>
  <c r="D145" i="10"/>
  <c r="C145" i="10"/>
  <c r="D144" i="10"/>
  <c r="C144" i="10"/>
  <c r="D143" i="10"/>
  <c r="C143" i="10"/>
  <c r="D142" i="10"/>
  <c r="C142" i="10"/>
  <c r="D141" i="10"/>
  <c r="C141" i="10"/>
  <c r="D140" i="10"/>
  <c r="C140" i="10"/>
  <c r="D139" i="10"/>
  <c r="C139" i="10"/>
  <c r="D138" i="10"/>
  <c r="C138" i="10"/>
  <c r="D137" i="10"/>
  <c r="C137" i="10"/>
  <c r="D136" i="10"/>
  <c r="C136" i="10"/>
  <c r="D135" i="10"/>
  <c r="C135" i="10"/>
  <c r="D134" i="10"/>
  <c r="C134" i="10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7" i="10"/>
  <c r="C117" i="10"/>
  <c r="D116" i="10"/>
  <c r="C116" i="10"/>
  <c r="D115" i="10"/>
  <c r="C115" i="10"/>
  <c r="D114" i="10"/>
  <c r="C114" i="10"/>
  <c r="D113" i="10"/>
  <c r="C113" i="10"/>
  <c r="D112" i="10"/>
  <c r="C112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D98" i="10"/>
  <c r="C98" i="10"/>
  <c r="D97" i="10"/>
  <c r="C97" i="10"/>
  <c r="D96" i="10"/>
  <c r="C96" i="10"/>
  <c r="D95" i="10"/>
  <c r="C95" i="10"/>
  <c r="D94" i="10"/>
  <c r="C94" i="10"/>
  <c r="D93" i="10"/>
  <c r="C93" i="10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9" i="10"/>
  <c r="C79" i="10"/>
  <c r="D78" i="10"/>
  <c r="C78" i="10"/>
  <c r="D77" i="10"/>
  <c r="C77" i="10"/>
  <c r="D76" i="10"/>
  <c r="C76" i="10"/>
  <c r="D75" i="10"/>
  <c r="C75" i="10"/>
  <c r="D74" i="10"/>
  <c r="C74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D60" i="10"/>
  <c r="C60" i="10"/>
  <c r="D59" i="10"/>
  <c r="C59" i="10"/>
  <c r="D58" i="10"/>
  <c r="C58" i="10"/>
  <c r="D57" i="10"/>
  <c r="C57" i="10"/>
  <c r="D56" i="10"/>
  <c r="C56" i="10"/>
  <c r="D55" i="10"/>
  <c r="C55" i="10"/>
  <c r="D54" i="10"/>
  <c r="C54" i="10"/>
  <c r="D53" i="10"/>
  <c r="C53" i="10"/>
  <c r="D52" i="10"/>
  <c r="C52" i="10"/>
  <c r="D51" i="10"/>
  <c r="C51" i="10"/>
  <c r="D50" i="10"/>
  <c r="C50" i="10"/>
  <c r="D49" i="10"/>
  <c r="C49" i="10"/>
  <c r="D48" i="10"/>
  <c r="C48" i="10"/>
  <c r="D47" i="10"/>
  <c r="C47" i="10"/>
  <c r="D46" i="10"/>
  <c r="C46" i="10"/>
  <c r="D45" i="10"/>
  <c r="C45" i="10"/>
  <c r="D44" i="10"/>
  <c r="C44" i="10"/>
  <c r="D43" i="10"/>
  <c r="C43" i="10"/>
  <c r="D42" i="10"/>
  <c r="C42" i="10"/>
  <c r="D41" i="10"/>
  <c r="C41" i="10"/>
  <c r="D40" i="10"/>
  <c r="C40" i="10"/>
  <c r="D39" i="10"/>
  <c r="C39" i="10"/>
  <c r="D38" i="10"/>
  <c r="C38" i="10"/>
  <c r="D37" i="10"/>
  <c r="C37" i="10"/>
  <c r="D36" i="10"/>
  <c r="C36" i="10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D26" i="10"/>
  <c r="C26" i="10"/>
  <c r="D25" i="10"/>
  <c r="C25" i="10"/>
  <c r="D24" i="10"/>
  <c r="C24" i="10"/>
  <c r="D23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4" i="10"/>
  <c r="D4" i="10" s="1"/>
  <c r="C3" i="10"/>
  <c r="D3" i="10" s="1"/>
  <c r="E4" i="10" s="1"/>
  <c r="C2" i="10"/>
  <c r="D2" i="10" s="1"/>
  <c r="AK1013" i="9"/>
  <c r="AO1013" i="9" s="1"/>
  <c r="AJ1013" i="9"/>
  <c r="AI1013" i="9"/>
  <c r="AK1012" i="9"/>
  <c r="AO1012" i="9" s="1"/>
  <c r="AJ1012" i="9"/>
  <c r="AI1012" i="9"/>
  <c r="BB1011" i="9"/>
  <c r="AK1011" i="9"/>
  <c r="AO1011" i="9" s="1"/>
  <c r="AJ1011" i="9"/>
  <c r="AI1011" i="9"/>
  <c r="BB1010" i="9"/>
  <c r="AK1010" i="9"/>
  <c r="AO1010" i="9" s="1"/>
  <c r="AJ1010" i="9"/>
  <c r="AI1010" i="9"/>
  <c r="BB1009" i="9"/>
  <c r="AK1009" i="9"/>
  <c r="AO1009" i="9" s="1"/>
  <c r="AJ1009" i="9"/>
  <c r="AI1009" i="9"/>
  <c r="BB1008" i="9"/>
  <c r="AK1008" i="9"/>
  <c r="AO1008" i="9" s="1"/>
  <c r="AJ1008" i="9"/>
  <c r="AI1008" i="9"/>
  <c r="BB1007" i="9"/>
  <c r="AK1007" i="9"/>
  <c r="AO1007" i="9" s="1"/>
  <c r="AJ1007" i="9"/>
  <c r="AI1007" i="9"/>
  <c r="BB1006" i="9"/>
  <c r="AK1006" i="9"/>
  <c r="AO1006" i="9" s="1"/>
  <c r="AJ1006" i="9"/>
  <c r="AI1006" i="9"/>
  <c r="BB1005" i="9"/>
  <c r="AK1005" i="9"/>
  <c r="AO1005" i="9" s="1"/>
  <c r="AJ1005" i="9"/>
  <c r="AI1005" i="9"/>
  <c r="BB1004" i="9"/>
  <c r="AK1004" i="9"/>
  <c r="AO1004" i="9" s="1"/>
  <c r="AJ1004" i="9"/>
  <c r="AI1004" i="9"/>
  <c r="BB1003" i="9"/>
  <c r="AK1003" i="9"/>
  <c r="AO1003" i="9" s="1"/>
  <c r="AJ1003" i="9"/>
  <c r="AI1003" i="9"/>
  <c r="BB1002" i="9"/>
  <c r="AK1002" i="9"/>
  <c r="AO1002" i="9" s="1"/>
  <c r="AJ1002" i="9"/>
  <c r="AI1002" i="9"/>
  <c r="BB1001" i="9"/>
  <c r="AK1001" i="9"/>
  <c r="AO1001" i="9" s="1"/>
  <c r="AJ1001" i="9"/>
  <c r="AI1001" i="9"/>
  <c r="BB1000" i="9"/>
  <c r="AK1000" i="9"/>
  <c r="AO1000" i="9" s="1"/>
  <c r="AJ1000" i="9"/>
  <c r="AI1000" i="9"/>
  <c r="BB999" i="9"/>
  <c r="AK999" i="9"/>
  <c r="AO999" i="9" s="1"/>
  <c r="AJ999" i="9"/>
  <c r="AI999" i="9"/>
  <c r="BB998" i="9"/>
  <c r="AK998" i="9"/>
  <c r="AO998" i="9" s="1"/>
  <c r="AJ998" i="9"/>
  <c r="AI998" i="9"/>
  <c r="BB997" i="9"/>
  <c r="AK997" i="9"/>
  <c r="AO997" i="9" s="1"/>
  <c r="AJ997" i="9"/>
  <c r="AI997" i="9"/>
  <c r="BB996" i="9"/>
  <c r="AK996" i="9"/>
  <c r="AO996" i="9" s="1"/>
  <c r="AJ996" i="9"/>
  <c r="AI996" i="9"/>
  <c r="BB995" i="9"/>
  <c r="AK995" i="9"/>
  <c r="AO995" i="9" s="1"/>
  <c r="AJ995" i="9"/>
  <c r="AI995" i="9"/>
  <c r="BB994" i="9"/>
  <c r="AK994" i="9"/>
  <c r="AO994" i="9" s="1"/>
  <c r="AJ994" i="9"/>
  <c r="AI994" i="9"/>
  <c r="BB993" i="9"/>
  <c r="AK993" i="9"/>
  <c r="AO993" i="9" s="1"/>
  <c r="AJ993" i="9"/>
  <c r="AI993" i="9"/>
  <c r="BB992" i="9"/>
  <c r="AK992" i="9"/>
  <c r="AO992" i="9" s="1"/>
  <c r="AJ992" i="9"/>
  <c r="AI992" i="9"/>
  <c r="BB991" i="9"/>
  <c r="AK991" i="9"/>
  <c r="AO991" i="9" s="1"/>
  <c r="AJ991" i="9"/>
  <c r="AI991" i="9"/>
  <c r="BB990" i="9"/>
  <c r="AK990" i="9"/>
  <c r="AO990" i="9" s="1"/>
  <c r="AJ990" i="9"/>
  <c r="AI990" i="9"/>
  <c r="BB989" i="9"/>
  <c r="AK989" i="9"/>
  <c r="AO989" i="9" s="1"/>
  <c r="AJ989" i="9"/>
  <c r="AI989" i="9"/>
  <c r="BB988" i="9"/>
  <c r="AK988" i="9"/>
  <c r="AO988" i="9" s="1"/>
  <c r="AJ988" i="9"/>
  <c r="AI988" i="9"/>
  <c r="BB987" i="9"/>
  <c r="AK987" i="9"/>
  <c r="AO987" i="9" s="1"/>
  <c r="AJ987" i="9"/>
  <c r="AI987" i="9"/>
  <c r="BB986" i="9"/>
  <c r="AK986" i="9"/>
  <c r="AO986" i="9" s="1"/>
  <c r="AJ986" i="9"/>
  <c r="AI986" i="9"/>
  <c r="BB985" i="9"/>
  <c r="AK985" i="9"/>
  <c r="AO985" i="9" s="1"/>
  <c r="AJ985" i="9"/>
  <c r="AI985" i="9"/>
  <c r="BB984" i="9"/>
  <c r="AK984" i="9"/>
  <c r="AO984" i="9" s="1"/>
  <c r="AJ984" i="9"/>
  <c r="AI984" i="9"/>
  <c r="BB983" i="9"/>
  <c r="AK983" i="9"/>
  <c r="AO983" i="9" s="1"/>
  <c r="AJ983" i="9"/>
  <c r="AI983" i="9"/>
  <c r="BB982" i="9"/>
  <c r="AK982" i="9"/>
  <c r="AO982" i="9" s="1"/>
  <c r="AJ982" i="9"/>
  <c r="AI982" i="9"/>
  <c r="BB981" i="9"/>
  <c r="AK981" i="9"/>
  <c r="AO981" i="9" s="1"/>
  <c r="AJ981" i="9"/>
  <c r="AI981" i="9"/>
  <c r="BB980" i="9"/>
  <c r="AK980" i="9"/>
  <c r="AO980" i="9" s="1"/>
  <c r="AJ980" i="9"/>
  <c r="AI980" i="9"/>
  <c r="BB979" i="9"/>
  <c r="AK979" i="9"/>
  <c r="AO979" i="9" s="1"/>
  <c r="AJ979" i="9"/>
  <c r="AI979" i="9"/>
  <c r="BB978" i="9"/>
  <c r="AK978" i="9"/>
  <c r="AO978" i="9" s="1"/>
  <c r="AJ978" i="9"/>
  <c r="AI978" i="9"/>
  <c r="BB977" i="9"/>
  <c r="AK977" i="9"/>
  <c r="AO977" i="9" s="1"/>
  <c r="AJ977" i="9"/>
  <c r="AI977" i="9"/>
  <c r="BB976" i="9"/>
  <c r="AK976" i="9"/>
  <c r="AO976" i="9" s="1"/>
  <c r="AJ976" i="9"/>
  <c r="AI976" i="9"/>
  <c r="BB975" i="9"/>
  <c r="AK975" i="9"/>
  <c r="AO975" i="9" s="1"/>
  <c r="AJ975" i="9"/>
  <c r="AI975" i="9"/>
  <c r="BB974" i="9"/>
  <c r="AK974" i="9"/>
  <c r="AO974" i="9" s="1"/>
  <c r="AJ974" i="9"/>
  <c r="AI974" i="9"/>
  <c r="BB973" i="9"/>
  <c r="AK973" i="9"/>
  <c r="AO973" i="9" s="1"/>
  <c r="AJ973" i="9"/>
  <c r="AI973" i="9"/>
  <c r="BB972" i="9"/>
  <c r="AK972" i="9"/>
  <c r="AO972" i="9" s="1"/>
  <c r="AJ972" i="9"/>
  <c r="AI972" i="9"/>
  <c r="BB971" i="9"/>
  <c r="AK971" i="9"/>
  <c r="AO971" i="9" s="1"/>
  <c r="AJ971" i="9"/>
  <c r="AI971" i="9"/>
  <c r="BB970" i="9"/>
  <c r="AK970" i="9"/>
  <c r="AO970" i="9" s="1"/>
  <c r="AJ970" i="9"/>
  <c r="AI970" i="9"/>
  <c r="BB969" i="9"/>
  <c r="AK969" i="9"/>
  <c r="AO969" i="9" s="1"/>
  <c r="AJ969" i="9"/>
  <c r="AI969" i="9"/>
  <c r="BB968" i="9"/>
  <c r="AK968" i="9"/>
  <c r="AO968" i="9" s="1"/>
  <c r="AJ968" i="9"/>
  <c r="AI968" i="9"/>
  <c r="BB967" i="9"/>
  <c r="AK967" i="9"/>
  <c r="AO967" i="9" s="1"/>
  <c r="AJ967" i="9"/>
  <c r="AI967" i="9"/>
  <c r="BB966" i="9"/>
  <c r="AK966" i="9"/>
  <c r="AO966" i="9" s="1"/>
  <c r="AJ966" i="9"/>
  <c r="AI966" i="9"/>
  <c r="BB965" i="9"/>
  <c r="AK965" i="9"/>
  <c r="AO965" i="9" s="1"/>
  <c r="AJ965" i="9"/>
  <c r="AI965" i="9"/>
  <c r="BB964" i="9"/>
  <c r="AK964" i="9"/>
  <c r="AO964" i="9" s="1"/>
  <c r="AJ964" i="9"/>
  <c r="AI964" i="9"/>
  <c r="BB963" i="9"/>
  <c r="AK963" i="9"/>
  <c r="AO963" i="9" s="1"/>
  <c r="AJ963" i="9"/>
  <c r="AI963" i="9"/>
  <c r="BB962" i="9"/>
  <c r="AK962" i="9"/>
  <c r="AO962" i="9" s="1"/>
  <c r="AJ962" i="9"/>
  <c r="AI962" i="9"/>
  <c r="BB961" i="9"/>
  <c r="AK961" i="9"/>
  <c r="AO961" i="9" s="1"/>
  <c r="AJ961" i="9"/>
  <c r="AI961" i="9"/>
  <c r="BB960" i="9"/>
  <c r="AK960" i="9"/>
  <c r="AO960" i="9" s="1"/>
  <c r="AJ960" i="9"/>
  <c r="AI960" i="9"/>
  <c r="BB959" i="9"/>
  <c r="AK959" i="9"/>
  <c r="AO959" i="9" s="1"/>
  <c r="AJ959" i="9"/>
  <c r="AI959" i="9"/>
  <c r="BB958" i="9"/>
  <c r="AK958" i="9"/>
  <c r="AO958" i="9" s="1"/>
  <c r="AJ958" i="9"/>
  <c r="AI958" i="9"/>
  <c r="BB957" i="9"/>
  <c r="AK957" i="9"/>
  <c r="AO957" i="9" s="1"/>
  <c r="AJ957" i="9"/>
  <c r="AI957" i="9"/>
  <c r="BB956" i="9"/>
  <c r="AK956" i="9"/>
  <c r="AO956" i="9" s="1"/>
  <c r="AJ956" i="9"/>
  <c r="AI956" i="9"/>
  <c r="BB955" i="9"/>
  <c r="AK955" i="9"/>
  <c r="AO955" i="9" s="1"/>
  <c r="AJ955" i="9"/>
  <c r="AI955" i="9"/>
  <c r="BB954" i="9"/>
  <c r="AK954" i="9"/>
  <c r="AO954" i="9" s="1"/>
  <c r="AJ954" i="9"/>
  <c r="AI954" i="9"/>
  <c r="BB953" i="9"/>
  <c r="AK953" i="9"/>
  <c r="AO953" i="9" s="1"/>
  <c r="AJ953" i="9"/>
  <c r="AI953" i="9"/>
  <c r="BB952" i="9"/>
  <c r="AK952" i="9"/>
  <c r="AO952" i="9" s="1"/>
  <c r="AJ952" i="9"/>
  <c r="AI952" i="9"/>
  <c r="BB951" i="9"/>
  <c r="AK951" i="9"/>
  <c r="AO951" i="9" s="1"/>
  <c r="AJ951" i="9"/>
  <c r="AI951" i="9"/>
  <c r="BB950" i="9"/>
  <c r="AK950" i="9"/>
  <c r="AO950" i="9" s="1"/>
  <c r="AJ950" i="9"/>
  <c r="AI950" i="9"/>
  <c r="BB949" i="9"/>
  <c r="AK949" i="9"/>
  <c r="AO949" i="9" s="1"/>
  <c r="AJ949" i="9"/>
  <c r="AI949" i="9"/>
  <c r="BB948" i="9"/>
  <c r="AK948" i="9"/>
  <c r="AO948" i="9" s="1"/>
  <c r="AJ948" i="9"/>
  <c r="AI948" i="9"/>
  <c r="BB947" i="9"/>
  <c r="AK947" i="9"/>
  <c r="AO947" i="9" s="1"/>
  <c r="AJ947" i="9"/>
  <c r="AI947" i="9"/>
  <c r="BB946" i="9"/>
  <c r="AK946" i="9"/>
  <c r="AO946" i="9" s="1"/>
  <c r="AJ946" i="9"/>
  <c r="AI946" i="9"/>
  <c r="BB945" i="9"/>
  <c r="AK945" i="9"/>
  <c r="AO945" i="9" s="1"/>
  <c r="AJ945" i="9"/>
  <c r="AI945" i="9"/>
  <c r="BB944" i="9"/>
  <c r="AK944" i="9"/>
  <c r="AO944" i="9" s="1"/>
  <c r="AJ944" i="9"/>
  <c r="AI944" i="9"/>
  <c r="BB943" i="9"/>
  <c r="AK943" i="9"/>
  <c r="AO943" i="9" s="1"/>
  <c r="AJ943" i="9"/>
  <c r="AI943" i="9"/>
  <c r="BB942" i="9"/>
  <c r="AK942" i="9"/>
  <c r="AO942" i="9" s="1"/>
  <c r="AJ942" i="9"/>
  <c r="AI942" i="9"/>
  <c r="BB941" i="9"/>
  <c r="AK941" i="9"/>
  <c r="AO941" i="9" s="1"/>
  <c r="AJ941" i="9"/>
  <c r="AI941" i="9"/>
  <c r="BB940" i="9"/>
  <c r="AK940" i="9"/>
  <c r="AO940" i="9" s="1"/>
  <c r="AJ940" i="9"/>
  <c r="AI940" i="9"/>
  <c r="BB939" i="9"/>
  <c r="AK939" i="9"/>
  <c r="AO939" i="9" s="1"/>
  <c r="AJ939" i="9"/>
  <c r="AI939" i="9"/>
  <c r="BB938" i="9"/>
  <c r="AK938" i="9"/>
  <c r="AO938" i="9" s="1"/>
  <c r="AJ938" i="9"/>
  <c r="AI938" i="9"/>
  <c r="BB937" i="9"/>
  <c r="AK937" i="9"/>
  <c r="AO937" i="9" s="1"/>
  <c r="AJ937" i="9"/>
  <c r="AI937" i="9"/>
  <c r="BB936" i="9"/>
  <c r="AK936" i="9"/>
  <c r="AO936" i="9" s="1"/>
  <c r="AJ936" i="9"/>
  <c r="AI936" i="9"/>
  <c r="BB935" i="9"/>
  <c r="AK935" i="9"/>
  <c r="AO935" i="9" s="1"/>
  <c r="AJ935" i="9"/>
  <c r="AI935" i="9"/>
  <c r="BB934" i="9"/>
  <c r="AK934" i="9"/>
  <c r="AO934" i="9" s="1"/>
  <c r="AJ934" i="9"/>
  <c r="AI934" i="9"/>
  <c r="BB933" i="9"/>
  <c r="AK933" i="9"/>
  <c r="AO933" i="9" s="1"/>
  <c r="AJ933" i="9"/>
  <c r="AI933" i="9"/>
  <c r="BB932" i="9"/>
  <c r="AK932" i="9"/>
  <c r="AO932" i="9" s="1"/>
  <c r="AJ932" i="9"/>
  <c r="AI932" i="9"/>
  <c r="BB931" i="9"/>
  <c r="AK931" i="9"/>
  <c r="AO931" i="9" s="1"/>
  <c r="AJ931" i="9"/>
  <c r="AI931" i="9"/>
  <c r="BB930" i="9"/>
  <c r="AK930" i="9"/>
  <c r="AO930" i="9" s="1"/>
  <c r="AJ930" i="9"/>
  <c r="AI930" i="9"/>
  <c r="BB929" i="9"/>
  <c r="AK929" i="9"/>
  <c r="AO929" i="9" s="1"/>
  <c r="AJ929" i="9"/>
  <c r="AI929" i="9"/>
  <c r="BB928" i="9"/>
  <c r="AK928" i="9"/>
  <c r="AO928" i="9" s="1"/>
  <c r="AJ928" i="9"/>
  <c r="AI928" i="9"/>
  <c r="BB927" i="9"/>
  <c r="AK927" i="9"/>
  <c r="AO927" i="9" s="1"/>
  <c r="AJ927" i="9"/>
  <c r="AI927" i="9"/>
  <c r="BB926" i="9"/>
  <c r="AK926" i="9"/>
  <c r="AO926" i="9" s="1"/>
  <c r="AJ926" i="9"/>
  <c r="AI926" i="9"/>
  <c r="BB925" i="9"/>
  <c r="AK925" i="9"/>
  <c r="AO925" i="9" s="1"/>
  <c r="AJ925" i="9"/>
  <c r="AI925" i="9"/>
  <c r="BB924" i="9"/>
  <c r="AK924" i="9"/>
  <c r="AO924" i="9" s="1"/>
  <c r="AJ924" i="9"/>
  <c r="AI924" i="9"/>
  <c r="BB923" i="9"/>
  <c r="AK923" i="9"/>
  <c r="AO923" i="9" s="1"/>
  <c r="AJ923" i="9"/>
  <c r="AI923" i="9"/>
  <c r="BB922" i="9"/>
  <c r="AK922" i="9"/>
  <c r="AO922" i="9" s="1"/>
  <c r="AJ922" i="9"/>
  <c r="AI922" i="9"/>
  <c r="BB921" i="9"/>
  <c r="AK921" i="9"/>
  <c r="AO921" i="9" s="1"/>
  <c r="AJ921" i="9"/>
  <c r="AI921" i="9"/>
  <c r="BB920" i="9"/>
  <c r="AK920" i="9"/>
  <c r="AO920" i="9" s="1"/>
  <c r="AJ920" i="9"/>
  <c r="AI920" i="9"/>
  <c r="BB919" i="9"/>
  <c r="AK919" i="9"/>
  <c r="AO919" i="9" s="1"/>
  <c r="AJ919" i="9"/>
  <c r="AI919" i="9"/>
  <c r="BB918" i="9"/>
  <c r="AK918" i="9"/>
  <c r="AO918" i="9" s="1"/>
  <c r="AJ918" i="9"/>
  <c r="AI918" i="9"/>
  <c r="BB917" i="9"/>
  <c r="AK917" i="9"/>
  <c r="AO917" i="9" s="1"/>
  <c r="AJ917" i="9"/>
  <c r="AI917" i="9"/>
  <c r="BB916" i="9"/>
  <c r="AK916" i="9"/>
  <c r="AO916" i="9" s="1"/>
  <c r="AJ916" i="9"/>
  <c r="AI916" i="9"/>
  <c r="BB915" i="9"/>
  <c r="AK915" i="9"/>
  <c r="AO915" i="9" s="1"/>
  <c r="AJ915" i="9"/>
  <c r="AI915" i="9"/>
  <c r="BB914" i="9"/>
  <c r="AK914" i="9"/>
  <c r="AO914" i="9" s="1"/>
  <c r="AJ914" i="9"/>
  <c r="AI914" i="9"/>
  <c r="BB913" i="9"/>
  <c r="AK913" i="9"/>
  <c r="AO913" i="9" s="1"/>
  <c r="AJ913" i="9"/>
  <c r="AI913" i="9"/>
  <c r="BB912" i="9"/>
  <c r="AK912" i="9"/>
  <c r="AO912" i="9" s="1"/>
  <c r="AJ912" i="9"/>
  <c r="AI912" i="9"/>
  <c r="BB911" i="9"/>
  <c r="AK911" i="9"/>
  <c r="AO911" i="9" s="1"/>
  <c r="AJ911" i="9"/>
  <c r="AI911" i="9"/>
  <c r="BB910" i="9"/>
  <c r="AK910" i="9"/>
  <c r="AO910" i="9" s="1"/>
  <c r="AJ910" i="9"/>
  <c r="AI910" i="9"/>
  <c r="BB909" i="9"/>
  <c r="AK909" i="9"/>
  <c r="AO909" i="9" s="1"/>
  <c r="AJ909" i="9"/>
  <c r="AI909" i="9"/>
  <c r="BB908" i="9"/>
  <c r="AK908" i="9"/>
  <c r="AO908" i="9" s="1"/>
  <c r="AJ908" i="9"/>
  <c r="AI908" i="9"/>
  <c r="BB907" i="9"/>
  <c r="AK907" i="9"/>
  <c r="AO907" i="9" s="1"/>
  <c r="AJ907" i="9"/>
  <c r="AI907" i="9"/>
  <c r="BB906" i="9"/>
  <c r="AK906" i="9"/>
  <c r="AO906" i="9" s="1"/>
  <c r="AJ906" i="9"/>
  <c r="AI906" i="9"/>
  <c r="BB905" i="9"/>
  <c r="AK905" i="9"/>
  <c r="AO905" i="9" s="1"/>
  <c r="AJ905" i="9"/>
  <c r="AI905" i="9"/>
  <c r="BB904" i="9"/>
  <c r="AK904" i="9"/>
  <c r="AO904" i="9" s="1"/>
  <c r="AJ904" i="9"/>
  <c r="AI904" i="9"/>
  <c r="BB903" i="9"/>
  <c r="AK903" i="9"/>
  <c r="AO903" i="9" s="1"/>
  <c r="AJ903" i="9"/>
  <c r="AI903" i="9"/>
  <c r="BB902" i="9"/>
  <c r="AK902" i="9"/>
  <c r="AO902" i="9" s="1"/>
  <c r="AJ902" i="9"/>
  <c r="AI902" i="9"/>
  <c r="BB901" i="9"/>
  <c r="AK901" i="9"/>
  <c r="AO901" i="9" s="1"/>
  <c r="AJ901" i="9"/>
  <c r="AI901" i="9"/>
  <c r="BB900" i="9"/>
  <c r="AK900" i="9"/>
  <c r="AO900" i="9" s="1"/>
  <c r="AJ900" i="9"/>
  <c r="AI900" i="9"/>
  <c r="BB899" i="9"/>
  <c r="AK899" i="9"/>
  <c r="AO899" i="9" s="1"/>
  <c r="AJ899" i="9"/>
  <c r="AI899" i="9"/>
  <c r="BB898" i="9"/>
  <c r="AK898" i="9"/>
  <c r="AO898" i="9" s="1"/>
  <c r="AJ898" i="9"/>
  <c r="AI898" i="9"/>
  <c r="BB897" i="9"/>
  <c r="AK897" i="9"/>
  <c r="AO897" i="9" s="1"/>
  <c r="AJ897" i="9"/>
  <c r="AI897" i="9"/>
  <c r="BB896" i="9"/>
  <c r="AK896" i="9"/>
  <c r="AO896" i="9" s="1"/>
  <c r="AJ896" i="9"/>
  <c r="AI896" i="9"/>
  <c r="BB895" i="9"/>
  <c r="AK895" i="9"/>
  <c r="AO895" i="9" s="1"/>
  <c r="AJ895" i="9"/>
  <c r="AI895" i="9"/>
  <c r="BB894" i="9"/>
  <c r="AK894" i="9"/>
  <c r="AO894" i="9" s="1"/>
  <c r="AJ894" i="9"/>
  <c r="AI894" i="9"/>
  <c r="BB893" i="9"/>
  <c r="AK893" i="9"/>
  <c r="AO893" i="9" s="1"/>
  <c r="AJ893" i="9"/>
  <c r="AI893" i="9"/>
  <c r="BB892" i="9"/>
  <c r="AK892" i="9"/>
  <c r="AO892" i="9" s="1"/>
  <c r="AJ892" i="9"/>
  <c r="AI892" i="9"/>
  <c r="BB891" i="9"/>
  <c r="AK891" i="9"/>
  <c r="AO891" i="9" s="1"/>
  <c r="AJ891" i="9"/>
  <c r="AI891" i="9"/>
  <c r="BB890" i="9"/>
  <c r="AK890" i="9"/>
  <c r="AO890" i="9" s="1"/>
  <c r="AJ890" i="9"/>
  <c r="AI890" i="9"/>
  <c r="BB889" i="9"/>
  <c r="AK889" i="9"/>
  <c r="AO889" i="9" s="1"/>
  <c r="AJ889" i="9"/>
  <c r="AI889" i="9"/>
  <c r="BB888" i="9"/>
  <c r="AK888" i="9"/>
  <c r="AO888" i="9" s="1"/>
  <c r="AJ888" i="9"/>
  <c r="AI888" i="9"/>
  <c r="BB887" i="9"/>
  <c r="AK887" i="9"/>
  <c r="AO887" i="9" s="1"/>
  <c r="AJ887" i="9"/>
  <c r="AI887" i="9"/>
  <c r="BB886" i="9"/>
  <c r="AK886" i="9"/>
  <c r="AO886" i="9" s="1"/>
  <c r="AJ886" i="9"/>
  <c r="AI886" i="9"/>
  <c r="BB885" i="9"/>
  <c r="AK885" i="9"/>
  <c r="AO885" i="9" s="1"/>
  <c r="AJ885" i="9"/>
  <c r="AI885" i="9"/>
  <c r="BB884" i="9"/>
  <c r="AK884" i="9"/>
  <c r="AO884" i="9" s="1"/>
  <c r="AJ884" i="9"/>
  <c r="AI884" i="9"/>
  <c r="BB883" i="9"/>
  <c r="AK883" i="9"/>
  <c r="AO883" i="9" s="1"/>
  <c r="AJ883" i="9"/>
  <c r="AI883" i="9"/>
  <c r="BB882" i="9"/>
  <c r="AK882" i="9"/>
  <c r="AO882" i="9" s="1"/>
  <c r="AJ882" i="9"/>
  <c r="AI882" i="9"/>
  <c r="BB881" i="9"/>
  <c r="AK881" i="9"/>
  <c r="AO881" i="9" s="1"/>
  <c r="AJ881" i="9"/>
  <c r="AI881" i="9"/>
  <c r="BB880" i="9"/>
  <c r="AK880" i="9"/>
  <c r="AO880" i="9" s="1"/>
  <c r="AJ880" i="9"/>
  <c r="AI880" i="9"/>
  <c r="BB879" i="9"/>
  <c r="AK879" i="9"/>
  <c r="AO879" i="9" s="1"/>
  <c r="AJ879" i="9"/>
  <c r="AI879" i="9"/>
  <c r="BB878" i="9"/>
  <c r="AK878" i="9"/>
  <c r="AO878" i="9" s="1"/>
  <c r="AJ878" i="9"/>
  <c r="AI878" i="9"/>
  <c r="BB877" i="9"/>
  <c r="AK877" i="9"/>
  <c r="AO877" i="9" s="1"/>
  <c r="AJ877" i="9"/>
  <c r="AI877" i="9"/>
  <c r="BB876" i="9"/>
  <c r="AK876" i="9"/>
  <c r="AO876" i="9" s="1"/>
  <c r="AJ876" i="9"/>
  <c r="AI876" i="9"/>
  <c r="BB875" i="9"/>
  <c r="AK875" i="9"/>
  <c r="AO875" i="9" s="1"/>
  <c r="AJ875" i="9"/>
  <c r="AI875" i="9"/>
  <c r="BB874" i="9"/>
  <c r="AK874" i="9"/>
  <c r="AO874" i="9" s="1"/>
  <c r="AJ874" i="9"/>
  <c r="AI874" i="9"/>
  <c r="BB873" i="9"/>
  <c r="AK873" i="9"/>
  <c r="AO873" i="9" s="1"/>
  <c r="AJ873" i="9"/>
  <c r="AI873" i="9"/>
  <c r="BB872" i="9"/>
  <c r="AK872" i="9"/>
  <c r="AO872" i="9" s="1"/>
  <c r="AJ872" i="9"/>
  <c r="AI872" i="9"/>
  <c r="BB871" i="9"/>
  <c r="AK871" i="9"/>
  <c r="AO871" i="9" s="1"/>
  <c r="AJ871" i="9"/>
  <c r="AI871" i="9"/>
  <c r="BB870" i="9"/>
  <c r="AK870" i="9"/>
  <c r="AO870" i="9" s="1"/>
  <c r="AJ870" i="9"/>
  <c r="AI870" i="9"/>
  <c r="BB869" i="9"/>
  <c r="AK869" i="9"/>
  <c r="AO869" i="9" s="1"/>
  <c r="AJ869" i="9"/>
  <c r="AI869" i="9"/>
  <c r="BB868" i="9"/>
  <c r="AK868" i="9"/>
  <c r="AO868" i="9" s="1"/>
  <c r="AJ868" i="9"/>
  <c r="AI868" i="9"/>
  <c r="BB867" i="9"/>
  <c r="AK867" i="9"/>
  <c r="AO867" i="9" s="1"/>
  <c r="AJ867" i="9"/>
  <c r="AI867" i="9"/>
  <c r="BB866" i="9"/>
  <c r="AK866" i="9"/>
  <c r="AO866" i="9" s="1"/>
  <c r="AJ866" i="9"/>
  <c r="AI866" i="9"/>
  <c r="BB865" i="9"/>
  <c r="AK865" i="9"/>
  <c r="AO865" i="9" s="1"/>
  <c r="AJ865" i="9"/>
  <c r="AI865" i="9"/>
  <c r="BB864" i="9"/>
  <c r="AK864" i="9"/>
  <c r="AO864" i="9" s="1"/>
  <c r="AJ864" i="9"/>
  <c r="AI864" i="9"/>
  <c r="BB863" i="9"/>
  <c r="AK863" i="9"/>
  <c r="AO863" i="9" s="1"/>
  <c r="AJ863" i="9"/>
  <c r="AI863" i="9"/>
  <c r="BB862" i="9"/>
  <c r="AK862" i="9"/>
  <c r="AO862" i="9" s="1"/>
  <c r="AJ862" i="9"/>
  <c r="AI862" i="9"/>
  <c r="BB861" i="9"/>
  <c r="AK861" i="9"/>
  <c r="AO861" i="9" s="1"/>
  <c r="AJ861" i="9"/>
  <c r="AI861" i="9"/>
  <c r="BB860" i="9"/>
  <c r="AK860" i="9"/>
  <c r="AO860" i="9" s="1"/>
  <c r="AJ860" i="9"/>
  <c r="AI860" i="9"/>
  <c r="BB859" i="9"/>
  <c r="AK859" i="9"/>
  <c r="AO859" i="9" s="1"/>
  <c r="AJ859" i="9"/>
  <c r="AI859" i="9"/>
  <c r="BB858" i="9"/>
  <c r="AK858" i="9"/>
  <c r="AO858" i="9" s="1"/>
  <c r="AJ858" i="9"/>
  <c r="AI858" i="9"/>
  <c r="BB857" i="9"/>
  <c r="AK857" i="9"/>
  <c r="AO857" i="9" s="1"/>
  <c r="AJ857" i="9"/>
  <c r="AI857" i="9"/>
  <c r="BB856" i="9"/>
  <c r="AK856" i="9"/>
  <c r="AO856" i="9" s="1"/>
  <c r="AJ856" i="9"/>
  <c r="AI856" i="9"/>
  <c r="BB855" i="9"/>
  <c r="AK855" i="9"/>
  <c r="AO855" i="9" s="1"/>
  <c r="AJ855" i="9"/>
  <c r="AI855" i="9"/>
  <c r="BB854" i="9"/>
  <c r="AK854" i="9"/>
  <c r="AO854" i="9" s="1"/>
  <c r="AJ854" i="9"/>
  <c r="AI854" i="9"/>
  <c r="BB853" i="9"/>
  <c r="AK853" i="9"/>
  <c r="AO853" i="9" s="1"/>
  <c r="AJ853" i="9"/>
  <c r="AI853" i="9"/>
  <c r="BB852" i="9"/>
  <c r="AK852" i="9"/>
  <c r="AO852" i="9" s="1"/>
  <c r="AJ852" i="9"/>
  <c r="AI852" i="9"/>
  <c r="BB851" i="9"/>
  <c r="AK851" i="9"/>
  <c r="AO851" i="9" s="1"/>
  <c r="AJ851" i="9"/>
  <c r="AI851" i="9"/>
  <c r="BB850" i="9"/>
  <c r="AK850" i="9"/>
  <c r="AO850" i="9" s="1"/>
  <c r="AJ850" i="9"/>
  <c r="AI850" i="9"/>
  <c r="BB849" i="9"/>
  <c r="AK849" i="9"/>
  <c r="AO849" i="9" s="1"/>
  <c r="AJ849" i="9"/>
  <c r="AI849" i="9"/>
  <c r="BB848" i="9"/>
  <c r="AK848" i="9"/>
  <c r="AO848" i="9" s="1"/>
  <c r="AJ848" i="9"/>
  <c r="AI848" i="9"/>
  <c r="BB847" i="9"/>
  <c r="AK847" i="9"/>
  <c r="AO847" i="9" s="1"/>
  <c r="AJ847" i="9"/>
  <c r="AI847" i="9"/>
  <c r="BB846" i="9"/>
  <c r="AK846" i="9"/>
  <c r="AO846" i="9" s="1"/>
  <c r="AJ846" i="9"/>
  <c r="AI846" i="9"/>
  <c r="BB845" i="9"/>
  <c r="AK845" i="9"/>
  <c r="AO845" i="9" s="1"/>
  <c r="AJ845" i="9"/>
  <c r="AI845" i="9"/>
  <c r="BB844" i="9"/>
  <c r="AK844" i="9"/>
  <c r="AO844" i="9" s="1"/>
  <c r="AJ844" i="9"/>
  <c r="AI844" i="9"/>
  <c r="BB843" i="9"/>
  <c r="AK843" i="9"/>
  <c r="AO843" i="9" s="1"/>
  <c r="AJ843" i="9"/>
  <c r="AI843" i="9"/>
  <c r="BB842" i="9"/>
  <c r="AK842" i="9"/>
  <c r="AO842" i="9" s="1"/>
  <c r="AJ842" i="9"/>
  <c r="AI842" i="9"/>
  <c r="BB841" i="9"/>
  <c r="AK841" i="9"/>
  <c r="AO841" i="9" s="1"/>
  <c r="AJ841" i="9"/>
  <c r="AI841" i="9"/>
  <c r="BB840" i="9"/>
  <c r="AK840" i="9"/>
  <c r="AO840" i="9" s="1"/>
  <c r="AJ840" i="9"/>
  <c r="AI840" i="9"/>
  <c r="BB839" i="9"/>
  <c r="AK839" i="9"/>
  <c r="AO839" i="9" s="1"/>
  <c r="AJ839" i="9"/>
  <c r="AI839" i="9"/>
  <c r="BB838" i="9"/>
  <c r="AK838" i="9"/>
  <c r="AO838" i="9" s="1"/>
  <c r="AJ838" i="9"/>
  <c r="AI838" i="9"/>
  <c r="BB837" i="9"/>
  <c r="AK837" i="9"/>
  <c r="AO837" i="9" s="1"/>
  <c r="AJ837" i="9"/>
  <c r="AI837" i="9"/>
  <c r="BB836" i="9"/>
  <c r="AK836" i="9"/>
  <c r="AO836" i="9" s="1"/>
  <c r="AJ836" i="9"/>
  <c r="AI836" i="9"/>
  <c r="BB835" i="9"/>
  <c r="AK835" i="9"/>
  <c r="AO835" i="9" s="1"/>
  <c r="AJ835" i="9"/>
  <c r="AI835" i="9"/>
  <c r="BB834" i="9"/>
  <c r="AK834" i="9"/>
  <c r="AO834" i="9" s="1"/>
  <c r="AJ834" i="9"/>
  <c r="AI834" i="9"/>
  <c r="BB833" i="9"/>
  <c r="AK833" i="9"/>
  <c r="AO833" i="9" s="1"/>
  <c r="AJ833" i="9"/>
  <c r="AI833" i="9"/>
  <c r="BB832" i="9"/>
  <c r="AK832" i="9"/>
  <c r="AO832" i="9" s="1"/>
  <c r="AJ832" i="9"/>
  <c r="AI832" i="9"/>
  <c r="BB831" i="9"/>
  <c r="AK831" i="9"/>
  <c r="AO831" i="9" s="1"/>
  <c r="AJ831" i="9"/>
  <c r="AI831" i="9"/>
  <c r="BB830" i="9"/>
  <c r="AK830" i="9"/>
  <c r="AO830" i="9" s="1"/>
  <c r="AJ830" i="9"/>
  <c r="AI830" i="9"/>
  <c r="BB829" i="9"/>
  <c r="AK829" i="9"/>
  <c r="AO829" i="9" s="1"/>
  <c r="AJ829" i="9"/>
  <c r="AI829" i="9"/>
  <c r="BB828" i="9"/>
  <c r="AK828" i="9"/>
  <c r="AO828" i="9" s="1"/>
  <c r="AJ828" i="9"/>
  <c r="AI828" i="9"/>
  <c r="BB827" i="9"/>
  <c r="AK827" i="9"/>
  <c r="AO827" i="9" s="1"/>
  <c r="AJ827" i="9"/>
  <c r="AI827" i="9"/>
  <c r="BB826" i="9"/>
  <c r="AK826" i="9"/>
  <c r="AO826" i="9" s="1"/>
  <c r="AJ826" i="9"/>
  <c r="AI826" i="9"/>
  <c r="BB825" i="9"/>
  <c r="AK825" i="9"/>
  <c r="AO825" i="9" s="1"/>
  <c r="AJ825" i="9"/>
  <c r="AI825" i="9"/>
  <c r="BB824" i="9"/>
  <c r="AK824" i="9"/>
  <c r="AO824" i="9" s="1"/>
  <c r="AJ824" i="9"/>
  <c r="AI824" i="9"/>
  <c r="BB823" i="9"/>
  <c r="AK823" i="9"/>
  <c r="AO823" i="9" s="1"/>
  <c r="AJ823" i="9"/>
  <c r="AI823" i="9"/>
  <c r="BB822" i="9"/>
  <c r="AK822" i="9"/>
  <c r="AO822" i="9" s="1"/>
  <c r="AJ822" i="9"/>
  <c r="AI822" i="9"/>
  <c r="BB821" i="9"/>
  <c r="AK821" i="9"/>
  <c r="AO821" i="9" s="1"/>
  <c r="AJ821" i="9"/>
  <c r="AI821" i="9"/>
  <c r="BB820" i="9"/>
  <c r="AK820" i="9"/>
  <c r="AO820" i="9" s="1"/>
  <c r="AJ820" i="9"/>
  <c r="AI820" i="9"/>
  <c r="BB819" i="9"/>
  <c r="AK819" i="9"/>
  <c r="AO819" i="9" s="1"/>
  <c r="AJ819" i="9"/>
  <c r="AI819" i="9"/>
  <c r="BB818" i="9"/>
  <c r="AK818" i="9"/>
  <c r="AO818" i="9" s="1"/>
  <c r="AJ818" i="9"/>
  <c r="AI818" i="9"/>
  <c r="BB817" i="9"/>
  <c r="AK817" i="9"/>
  <c r="AO817" i="9" s="1"/>
  <c r="AJ817" i="9"/>
  <c r="AI817" i="9"/>
  <c r="BB816" i="9"/>
  <c r="AK816" i="9"/>
  <c r="AO816" i="9" s="1"/>
  <c r="AJ816" i="9"/>
  <c r="AI816" i="9"/>
  <c r="BB815" i="9"/>
  <c r="AK815" i="9"/>
  <c r="AO815" i="9" s="1"/>
  <c r="AJ815" i="9"/>
  <c r="AI815" i="9"/>
  <c r="BB814" i="9"/>
  <c r="AK814" i="9"/>
  <c r="AO814" i="9" s="1"/>
  <c r="AJ814" i="9"/>
  <c r="AI814" i="9"/>
  <c r="BB813" i="9"/>
  <c r="AK813" i="9"/>
  <c r="AO813" i="9" s="1"/>
  <c r="AJ813" i="9"/>
  <c r="AI813" i="9"/>
  <c r="BB812" i="9"/>
  <c r="AK812" i="9"/>
  <c r="AO812" i="9" s="1"/>
  <c r="AJ812" i="9"/>
  <c r="AI812" i="9"/>
  <c r="BB811" i="9"/>
  <c r="AK811" i="9"/>
  <c r="AO811" i="9" s="1"/>
  <c r="AJ811" i="9"/>
  <c r="AI811" i="9"/>
  <c r="BB810" i="9"/>
  <c r="AK810" i="9"/>
  <c r="AO810" i="9" s="1"/>
  <c r="AJ810" i="9"/>
  <c r="AI810" i="9"/>
  <c r="BB809" i="9"/>
  <c r="AK809" i="9"/>
  <c r="AO809" i="9" s="1"/>
  <c r="AJ809" i="9"/>
  <c r="AI809" i="9"/>
  <c r="BB808" i="9"/>
  <c r="AK808" i="9"/>
  <c r="AO808" i="9" s="1"/>
  <c r="AJ808" i="9"/>
  <c r="AI808" i="9"/>
  <c r="BB807" i="9"/>
  <c r="AK807" i="9"/>
  <c r="AO807" i="9" s="1"/>
  <c r="AJ807" i="9"/>
  <c r="AI807" i="9"/>
  <c r="BB806" i="9"/>
  <c r="AK806" i="9"/>
  <c r="AO806" i="9" s="1"/>
  <c r="AJ806" i="9"/>
  <c r="AI806" i="9"/>
  <c r="BB805" i="9"/>
  <c r="AK805" i="9"/>
  <c r="AO805" i="9" s="1"/>
  <c r="AJ805" i="9"/>
  <c r="AI805" i="9"/>
  <c r="BB804" i="9"/>
  <c r="AK804" i="9"/>
  <c r="AO804" i="9" s="1"/>
  <c r="AJ804" i="9"/>
  <c r="AI804" i="9"/>
  <c r="BB803" i="9"/>
  <c r="AK803" i="9"/>
  <c r="AO803" i="9" s="1"/>
  <c r="AJ803" i="9"/>
  <c r="AI803" i="9"/>
  <c r="BB802" i="9"/>
  <c r="AK802" i="9"/>
  <c r="AO802" i="9" s="1"/>
  <c r="AJ802" i="9"/>
  <c r="AI802" i="9"/>
  <c r="BB801" i="9"/>
  <c r="AK801" i="9"/>
  <c r="AO801" i="9" s="1"/>
  <c r="AJ801" i="9"/>
  <c r="AI801" i="9"/>
  <c r="BB800" i="9"/>
  <c r="AK800" i="9"/>
  <c r="AO800" i="9" s="1"/>
  <c r="AJ800" i="9"/>
  <c r="AI800" i="9"/>
  <c r="BB799" i="9"/>
  <c r="AK799" i="9"/>
  <c r="AO799" i="9" s="1"/>
  <c r="AJ799" i="9"/>
  <c r="AI799" i="9"/>
  <c r="BB798" i="9"/>
  <c r="AK798" i="9"/>
  <c r="AO798" i="9" s="1"/>
  <c r="AJ798" i="9"/>
  <c r="AI798" i="9"/>
  <c r="BB797" i="9"/>
  <c r="AK797" i="9"/>
  <c r="AO797" i="9" s="1"/>
  <c r="AJ797" i="9"/>
  <c r="AI797" i="9"/>
  <c r="BB796" i="9"/>
  <c r="AK796" i="9"/>
  <c r="AO796" i="9" s="1"/>
  <c r="AJ796" i="9"/>
  <c r="AI796" i="9"/>
  <c r="BB795" i="9"/>
  <c r="AK795" i="9"/>
  <c r="AO795" i="9" s="1"/>
  <c r="AJ795" i="9"/>
  <c r="AI795" i="9"/>
  <c r="BB794" i="9"/>
  <c r="AK794" i="9"/>
  <c r="AO794" i="9" s="1"/>
  <c r="AJ794" i="9"/>
  <c r="AI794" i="9"/>
  <c r="BB793" i="9"/>
  <c r="AK793" i="9"/>
  <c r="AO793" i="9" s="1"/>
  <c r="AJ793" i="9"/>
  <c r="AI793" i="9"/>
  <c r="BB792" i="9"/>
  <c r="AK792" i="9"/>
  <c r="AO792" i="9" s="1"/>
  <c r="AJ792" i="9"/>
  <c r="AI792" i="9"/>
  <c r="BB791" i="9"/>
  <c r="AK791" i="9"/>
  <c r="AO791" i="9" s="1"/>
  <c r="AJ791" i="9"/>
  <c r="AI791" i="9"/>
  <c r="BB790" i="9"/>
  <c r="AK790" i="9"/>
  <c r="AO790" i="9" s="1"/>
  <c r="AJ790" i="9"/>
  <c r="AI790" i="9"/>
  <c r="BB789" i="9"/>
  <c r="AK789" i="9"/>
  <c r="AO789" i="9" s="1"/>
  <c r="AJ789" i="9"/>
  <c r="AI789" i="9"/>
  <c r="BB788" i="9"/>
  <c r="AK788" i="9"/>
  <c r="AO788" i="9" s="1"/>
  <c r="AJ788" i="9"/>
  <c r="AI788" i="9"/>
  <c r="BB787" i="9"/>
  <c r="AK787" i="9"/>
  <c r="AO787" i="9" s="1"/>
  <c r="AJ787" i="9"/>
  <c r="AI787" i="9"/>
  <c r="BB786" i="9"/>
  <c r="AK786" i="9"/>
  <c r="AO786" i="9" s="1"/>
  <c r="AJ786" i="9"/>
  <c r="AI786" i="9"/>
  <c r="BB785" i="9"/>
  <c r="AK785" i="9"/>
  <c r="AO785" i="9" s="1"/>
  <c r="AJ785" i="9"/>
  <c r="AI785" i="9"/>
  <c r="BB784" i="9"/>
  <c r="AK784" i="9"/>
  <c r="AO784" i="9" s="1"/>
  <c r="AJ784" i="9"/>
  <c r="AI784" i="9"/>
  <c r="BB783" i="9"/>
  <c r="AK783" i="9"/>
  <c r="AO783" i="9" s="1"/>
  <c r="AJ783" i="9"/>
  <c r="AI783" i="9"/>
  <c r="BB782" i="9"/>
  <c r="AK782" i="9"/>
  <c r="AO782" i="9" s="1"/>
  <c r="AJ782" i="9"/>
  <c r="AI782" i="9"/>
  <c r="BB781" i="9"/>
  <c r="AK781" i="9"/>
  <c r="AO781" i="9" s="1"/>
  <c r="AJ781" i="9"/>
  <c r="AI781" i="9"/>
  <c r="BB780" i="9"/>
  <c r="AK780" i="9"/>
  <c r="AO780" i="9" s="1"/>
  <c r="AJ780" i="9"/>
  <c r="AI780" i="9"/>
  <c r="BB779" i="9"/>
  <c r="AK779" i="9"/>
  <c r="AO779" i="9" s="1"/>
  <c r="AJ779" i="9"/>
  <c r="AI779" i="9"/>
  <c r="BB778" i="9"/>
  <c r="AK778" i="9"/>
  <c r="AO778" i="9" s="1"/>
  <c r="AJ778" i="9"/>
  <c r="AI778" i="9"/>
  <c r="BB777" i="9"/>
  <c r="AK777" i="9"/>
  <c r="AO777" i="9" s="1"/>
  <c r="AJ777" i="9"/>
  <c r="AI777" i="9"/>
  <c r="BB776" i="9"/>
  <c r="AK776" i="9"/>
  <c r="AO776" i="9" s="1"/>
  <c r="AJ776" i="9"/>
  <c r="AI776" i="9"/>
  <c r="BB775" i="9"/>
  <c r="AK775" i="9"/>
  <c r="AO775" i="9" s="1"/>
  <c r="AJ775" i="9"/>
  <c r="AI775" i="9"/>
  <c r="BB774" i="9"/>
  <c r="AK774" i="9"/>
  <c r="AO774" i="9" s="1"/>
  <c r="AJ774" i="9"/>
  <c r="AI774" i="9"/>
  <c r="BB773" i="9"/>
  <c r="AK773" i="9"/>
  <c r="AO773" i="9" s="1"/>
  <c r="AJ773" i="9"/>
  <c r="AI773" i="9"/>
  <c r="BB772" i="9"/>
  <c r="AK772" i="9"/>
  <c r="AO772" i="9" s="1"/>
  <c r="AJ772" i="9"/>
  <c r="AI772" i="9"/>
  <c r="BB771" i="9"/>
  <c r="AK771" i="9"/>
  <c r="AO771" i="9" s="1"/>
  <c r="AJ771" i="9"/>
  <c r="AI771" i="9"/>
  <c r="BB770" i="9"/>
  <c r="AK770" i="9"/>
  <c r="AO770" i="9" s="1"/>
  <c r="AJ770" i="9"/>
  <c r="AI770" i="9"/>
  <c r="BB769" i="9"/>
  <c r="AK769" i="9"/>
  <c r="AO769" i="9" s="1"/>
  <c r="AJ769" i="9"/>
  <c r="AI769" i="9"/>
  <c r="BB768" i="9"/>
  <c r="AK768" i="9"/>
  <c r="AO768" i="9" s="1"/>
  <c r="AJ768" i="9"/>
  <c r="AI768" i="9"/>
  <c r="BB767" i="9"/>
  <c r="AK767" i="9"/>
  <c r="AO767" i="9" s="1"/>
  <c r="AJ767" i="9"/>
  <c r="AI767" i="9"/>
  <c r="BB766" i="9"/>
  <c r="AK766" i="9"/>
  <c r="AO766" i="9" s="1"/>
  <c r="AJ766" i="9"/>
  <c r="AI766" i="9"/>
  <c r="BB765" i="9"/>
  <c r="AK765" i="9"/>
  <c r="AO765" i="9" s="1"/>
  <c r="AJ765" i="9"/>
  <c r="AI765" i="9"/>
  <c r="BB764" i="9"/>
  <c r="AK764" i="9"/>
  <c r="AO764" i="9" s="1"/>
  <c r="AJ764" i="9"/>
  <c r="AI764" i="9"/>
  <c r="BB763" i="9"/>
  <c r="AK763" i="9"/>
  <c r="AO763" i="9" s="1"/>
  <c r="AJ763" i="9"/>
  <c r="AI763" i="9"/>
  <c r="BB762" i="9"/>
  <c r="AK762" i="9"/>
  <c r="AO762" i="9" s="1"/>
  <c r="AJ762" i="9"/>
  <c r="AI762" i="9"/>
  <c r="BB761" i="9"/>
  <c r="AK761" i="9"/>
  <c r="AO761" i="9" s="1"/>
  <c r="AJ761" i="9"/>
  <c r="AI761" i="9"/>
  <c r="BB760" i="9"/>
  <c r="AK760" i="9"/>
  <c r="AO760" i="9" s="1"/>
  <c r="AJ760" i="9"/>
  <c r="AI760" i="9"/>
  <c r="BB759" i="9"/>
  <c r="AK759" i="9"/>
  <c r="AO759" i="9" s="1"/>
  <c r="AJ759" i="9"/>
  <c r="AI759" i="9"/>
  <c r="BB758" i="9"/>
  <c r="AK758" i="9"/>
  <c r="AO758" i="9" s="1"/>
  <c r="AJ758" i="9"/>
  <c r="AI758" i="9"/>
  <c r="BB757" i="9"/>
  <c r="AK757" i="9"/>
  <c r="AO757" i="9" s="1"/>
  <c r="AJ757" i="9"/>
  <c r="AI757" i="9"/>
  <c r="BB756" i="9"/>
  <c r="AK756" i="9"/>
  <c r="AO756" i="9" s="1"/>
  <c r="AJ756" i="9"/>
  <c r="AI756" i="9"/>
  <c r="BB755" i="9"/>
  <c r="AK755" i="9"/>
  <c r="AO755" i="9" s="1"/>
  <c r="AJ755" i="9"/>
  <c r="AI755" i="9"/>
  <c r="BB754" i="9"/>
  <c r="AK754" i="9"/>
  <c r="AO754" i="9" s="1"/>
  <c r="AJ754" i="9"/>
  <c r="AI754" i="9"/>
  <c r="BB753" i="9"/>
  <c r="AK753" i="9"/>
  <c r="AO753" i="9" s="1"/>
  <c r="AJ753" i="9"/>
  <c r="AI753" i="9"/>
  <c r="BB752" i="9"/>
  <c r="AK752" i="9"/>
  <c r="AO752" i="9" s="1"/>
  <c r="AJ752" i="9"/>
  <c r="AI752" i="9"/>
  <c r="BB751" i="9"/>
  <c r="AK751" i="9"/>
  <c r="AO751" i="9" s="1"/>
  <c r="AJ751" i="9"/>
  <c r="AI751" i="9"/>
  <c r="BB750" i="9"/>
  <c r="AK750" i="9"/>
  <c r="AO750" i="9" s="1"/>
  <c r="AJ750" i="9"/>
  <c r="AI750" i="9"/>
  <c r="BB749" i="9"/>
  <c r="AK749" i="9"/>
  <c r="AO749" i="9" s="1"/>
  <c r="AJ749" i="9"/>
  <c r="AI749" i="9"/>
  <c r="BB748" i="9"/>
  <c r="AK748" i="9"/>
  <c r="AO748" i="9" s="1"/>
  <c r="AJ748" i="9"/>
  <c r="AI748" i="9"/>
  <c r="BB747" i="9"/>
  <c r="AK747" i="9"/>
  <c r="AO747" i="9" s="1"/>
  <c r="AJ747" i="9"/>
  <c r="AI747" i="9"/>
  <c r="BB746" i="9"/>
  <c r="AK746" i="9"/>
  <c r="AO746" i="9" s="1"/>
  <c r="AJ746" i="9"/>
  <c r="AI746" i="9"/>
  <c r="BB745" i="9"/>
  <c r="AK745" i="9"/>
  <c r="AO745" i="9" s="1"/>
  <c r="AJ745" i="9"/>
  <c r="AI745" i="9"/>
  <c r="BB744" i="9"/>
  <c r="AK744" i="9"/>
  <c r="AO744" i="9" s="1"/>
  <c r="AJ744" i="9"/>
  <c r="AI744" i="9"/>
  <c r="BB743" i="9"/>
  <c r="AK743" i="9"/>
  <c r="AO743" i="9" s="1"/>
  <c r="AJ743" i="9"/>
  <c r="AI743" i="9"/>
  <c r="BB742" i="9"/>
  <c r="AK742" i="9"/>
  <c r="AO742" i="9" s="1"/>
  <c r="AJ742" i="9"/>
  <c r="AI742" i="9"/>
  <c r="BB741" i="9"/>
  <c r="AK741" i="9"/>
  <c r="AO741" i="9" s="1"/>
  <c r="AJ741" i="9"/>
  <c r="AI741" i="9"/>
  <c r="BB740" i="9"/>
  <c r="AK740" i="9"/>
  <c r="AO740" i="9" s="1"/>
  <c r="AJ740" i="9"/>
  <c r="AI740" i="9"/>
  <c r="BB739" i="9"/>
  <c r="AK739" i="9"/>
  <c r="AO739" i="9" s="1"/>
  <c r="AJ739" i="9"/>
  <c r="AI739" i="9"/>
  <c r="BB738" i="9"/>
  <c r="AK738" i="9"/>
  <c r="AO738" i="9" s="1"/>
  <c r="AJ738" i="9"/>
  <c r="AI738" i="9"/>
  <c r="BB737" i="9"/>
  <c r="AK737" i="9"/>
  <c r="AO737" i="9" s="1"/>
  <c r="AJ737" i="9"/>
  <c r="AI737" i="9"/>
  <c r="BB736" i="9"/>
  <c r="AK736" i="9"/>
  <c r="AO736" i="9" s="1"/>
  <c r="AJ736" i="9"/>
  <c r="AI736" i="9"/>
  <c r="BB735" i="9"/>
  <c r="AK735" i="9"/>
  <c r="AO735" i="9" s="1"/>
  <c r="AJ735" i="9"/>
  <c r="AI735" i="9"/>
  <c r="BB734" i="9"/>
  <c r="AK734" i="9"/>
  <c r="AO734" i="9" s="1"/>
  <c r="AJ734" i="9"/>
  <c r="AI734" i="9"/>
  <c r="BB733" i="9"/>
  <c r="AK733" i="9"/>
  <c r="AO733" i="9" s="1"/>
  <c r="AJ733" i="9"/>
  <c r="AI733" i="9"/>
  <c r="BB732" i="9"/>
  <c r="AK732" i="9"/>
  <c r="AO732" i="9" s="1"/>
  <c r="AJ732" i="9"/>
  <c r="AI732" i="9"/>
  <c r="BB731" i="9"/>
  <c r="AK731" i="9"/>
  <c r="AO731" i="9" s="1"/>
  <c r="AJ731" i="9"/>
  <c r="AI731" i="9"/>
  <c r="BB730" i="9"/>
  <c r="AK730" i="9"/>
  <c r="AO730" i="9" s="1"/>
  <c r="AJ730" i="9"/>
  <c r="AI730" i="9"/>
  <c r="BB729" i="9"/>
  <c r="AK729" i="9"/>
  <c r="AO729" i="9" s="1"/>
  <c r="AJ729" i="9"/>
  <c r="AI729" i="9"/>
  <c r="BB728" i="9"/>
  <c r="AK728" i="9"/>
  <c r="AO728" i="9" s="1"/>
  <c r="AJ728" i="9"/>
  <c r="AI728" i="9"/>
  <c r="BB727" i="9"/>
  <c r="AK727" i="9"/>
  <c r="AO727" i="9" s="1"/>
  <c r="AJ727" i="9"/>
  <c r="AI727" i="9"/>
  <c r="BB726" i="9"/>
  <c r="AK726" i="9"/>
  <c r="AO726" i="9" s="1"/>
  <c r="AJ726" i="9"/>
  <c r="AI726" i="9"/>
  <c r="BB725" i="9"/>
  <c r="AK725" i="9"/>
  <c r="AO725" i="9" s="1"/>
  <c r="AJ725" i="9"/>
  <c r="AI725" i="9"/>
  <c r="BB724" i="9"/>
  <c r="AK724" i="9"/>
  <c r="AO724" i="9" s="1"/>
  <c r="AJ724" i="9"/>
  <c r="AI724" i="9"/>
  <c r="BB723" i="9"/>
  <c r="AK723" i="9"/>
  <c r="AO723" i="9" s="1"/>
  <c r="AJ723" i="9"/>
  <c r="AI723" i="9"/>
  <c r="BB722" i="9"/>
  <c r="AK722" i="9"/>
  <c r="AO722" i="9" s="1"/>
  <c r="AJ722" i="9"/>
  <c r="AI722" i="9"/>
  <c r="BB721" i="9"/>
  <c r="AK721" i="9"/>
  <c r="AO721" i="9" s="1"/>
  <c r="AJ721" i="9"/>
  <c r="AI721" i="9"/>
  <c r="BB720" i="9"/>
  <c r="AK720" i="9"/>
  <c r="AO720" i="9" s="1"/>
  <c r="AJ720" i="9"/>
  <c r="AI720" i="9"/>
  <c r="BB719" i="9"/>
  <c r="AK719" i="9"/>
  <c r="AO719" i="9" s="1"/>
  <c r="AJ719" i="9"/>
  <c r="AI719" i="9"/>
  <c r="BB718" i="9"/>
  <c r="AK718" i="9"/>
  <c r="AO718" i="9" s="1"/>
  <c r="AJ718" i="9"/>
  <c r="AI718" i="9"/>
  <c r="BB717" i="9"/>
  <c r="AK717" i="9"/>
  <c r="AO717" i="9" s="1"/>
  <c r="AJ717" i="9"/>
  <c r="AI717" i="9"/>
  <c r="BB716" i="9"/>
  <c r="AK716" i="9"/>
  <c r="AO716" i="9" s="1"/>
  <c r="AJ716" i="9"/>
  <c r="AI716" i="9"/>
  <c r="BB715" i="9"/>
  <c r="AK715" i="9"/>
  <c r="AO715" i="9" s="1"/>
  <c r="AJ715" i="9"/>
  <c r="AI715" i="9"/>
  <c r="BB714" i="9"/>
  <c r="AK714" i="9"/>
  <c r="AO714" i="9" s="1"/>
  <c r="AJ714" i="9"/>
  <c r="AI714" i="9"/>
  <c r="BB713" i="9"/>
  <c r="AK713" i="9"/>
  <c r="AO713" i="9" s="1"/>
  <c r="AJ713" i="9"/>
  <c r="AI713" i="9"/>
  <c r="BB712" i="9"/>
  <c r="AK712" i="9"/>
  <c r="AO712" i="9" s="1"/>
  <c r="AJ712" i="9"/>
  <c r="AI712" i="9"/>
  <c r="BB711" i="9"/>
  <c r="AK711" i="9"/>
  <c r="AO711" i="9" s="1"/>
  <c r="AJ711" i="9"/>
  <c r="AI711" i="9"/>
  <c r="BB710" i="9"/>
  <c r="AK710" i="9"/>
  <c r="AO710" i="9" s="1"/>
  <c r="AJ710" i="9"/>
  <c r="AI710" i="9"/>
  <c r="BB709" i="9"/>
  <c r="AK709" i="9"/>
  <c r="AO709" i="9" s="1"/>
  <c r="AJ709" i="9"/>
  <c r="AI709" i="9"/>
  <c r="BB708" i="9"/>
  <c r="AK708" i="9"/>
  <c r="AO708" i="9" s="1"/>
  <c r="AJ708" i="9"/>
  <c r="AI708" i="9"/>
  <c r="BB707" i="9"/>
  <c r="AK707" i="9"/>
  <c r="AO707" i="9" s="1"/>
  <c r="AJ707" i="9"/>
  <c r="AI707" i="9"/>
  <c r="BB706" i="9"/>
  <c r="AK706" i="9"/>
  <c r="AO706" i="9" s="1"/>
  <c r="AJ706" i="9"/>
  <c r="AI706" i="9"/>
  <c r="BB705" i="9"/>
  <c r="AK705" i="9"/>
  <c r="AO705" i="9" s="1"/>
  <c r="AJ705" i="9"/>
  <c r="AI705" i="9"/>
  <c r="BB704" i="9"/>
  <c r="AK704" i="9"/>
  <c r="AO704" i="9" s="1"/>
  <c r="AJ704" i="9"/>
  <c r="AI704" i="9"/>
  <c r="BB703" i="9"/>
  <c r="AK703" i="9"/>
  <c r="AO703" i="9" s="1"/>
  <c r="AJ703" i="9"/>
  <c r="AI703" i="9"/>
  <c r="BB702" i="9"/>
  <c r="AK702" i="9"/>
  <c r="AO702" i="9" s="1"/>
  <c r="AJ702" i="9"/>
  <c r="AI702" i="9"/>
  <c r="BB701" i="9"/>
  <c r="AK701" i="9"/>
  <c r="AO701" i="9" s="1"/>
  <c r="AJ701" i="9"/>
  <c r="AI701" i="9"/>
  <c r="BB700" i="9"/>
  <c r="AK700" i="9"/>
  <c r="AO700" i="9" s="1"/>
  <c r="AJ700" i="9"/>
  <c r="AI700" i="9"/>
  <c r="BB699" i="9"/>
  <c r="AK699" i="9"/>
  <c r="AO699" i="9" s="1"/>
  <c r="AJ699" i="9"/>
  <c r="AI699" i="9"/>
  <c r="BB698" i="9"/>
  <c r="AK698" i="9"/>
  <c r="AO698" i="9" s="1"/>
  <c r="AJ698" i="9"/>
  <c r="AI698" i="9"/>
  <c r="BB697" i="9"/>
  <c r="AK697" i="9"/>
  <c r="AO697" i="9" s="1"/>
  <c r="AJ697" i="9"/>
  <c r="AI697" i="9"/>
  <c r="BB696" i="9"/>
  <c r="AK696" i="9"/>
  <c r="AO696" i="9" s="1"/>
  <c r="AJ696" i="9"/>
  <c r="AI696" i="9"/>
  <c r="BB695" i="9"/>
  <c r="AK695" i="9"/>
  <c r="AO695" i="9" s="1"/>
  <c r="AJ695" i="9"/>
  <c r="AI695" i="9"/>
  <c r="BB694" i="9"/>
  <c r="AK694" i="9"/>
  <c r="AO694" i="9" s="1"/>
  <c r="AJ694" i="9"/>
  <c r="AI694" i="9"/>
  <c r="BB693" i="9"/>
  <c r="AK693" i="9"/>
  <c r="AO693" i="9" s="1"/>
  <c r="AJ693" i="9"/>
  <c r="AI693" i="9"/>
  <c r="BB692" i="9"/>
  <c r="AK692" i="9"/>
  <c r="AO692" i="9" s="1"/>
  <c r="AJ692" i="9"/>
  <c r="AI692" i="9"/>
  <c r="BB691" i="9"/>
  <c r="AK691" i="9"/>
  <c r="AO691" i="9" s="1"/>
  <c r="AJ691" i="9"/>
  <c r="AI691" i="9"/>
  <c r="BB690" i="9"/>
  <c r="AK690" i="9"/>
  <c r="AO690" i="9" s="1"/>
  <c r="AJ690" i="9"/>
  <c r="AI690" i="9"/>
  <c r="BB689" i="9"/>
  <c r="AK689" i="9"/>
  <c r="AO689" i="9" s="1"/>
  <c r="AJ689" i="9"/>
  <c r="AI689" i="9"/>
  <c r="BB688" i="9"/>
  <c r="AK688" i="9"/>
  <c r="AO688" i="9" s="1"/>
  <c r="AJ688" i="9"/>
  <c r="AI688" i="9"/>
  <c r="BB687" i="9"/>
  <c r="AK687" i="9"/>
  <c r="AO687" i="9" s="1"/>
  <c r="AJ687" i="9"/>
  <c r="AI687" i="9"/>
  <c r="BB686" i="9"/>
  <c r="AK686" i="9"/>
  <c r="AO686" i="9" s="1"/>
  <c r="AJ686" i="9"/>
  <c r="AI686" i="9"/>
  <c r="BB685" i="9"/>
  <c r="AK685" i="9"/>
  <c r="AO685" i="9" s="1"/>
  <c r="AJ685" i="9"/>
  <c r="AI685" i="9"/>
  <c r="BB684" i="9"/>
  <c r="AK684" i="9"/>
  <c r="AO684" i="9" s="1"/>
  <c r="AJ684" i="9"/>
  <c r="AI684" i="9"/>
  <c r="BB683" i="9"/>
  <c r="AK683" i="9"/>
  <c r="AO683" i="9" s="1"/>
  <c r="AJ683" i="9"/>
  <c r="AI683" i="9"/>
  <c r="BB682" i="9"/>
  <c r="AK682" i="9"/>
  <c r="AO682" i="9" s="1"/>
  <c r="AJ682" i="9"/>
  <c r="AI682" i="9"/>
  <c r="BB681" i="9"/>
  <c r="AK681" i="9"/>
  <c r="AO681" i="9" s="1"/>
  <c r="AJ681" i="9"/>
  <c r="AI681" i="9"/>
  <c r="BB680" i="9"/>
  <c r="AK680" i="9"/>
  <c r="AO680" i="9" s="1"/>
  <c r="AJ680" i="9"/>
  <c r="AI680" i="9"/>
  <c r="BB679" i="9"/>
  <c r="AK679" i="9"/>
  <c r="AO679" i="9" s="1"/>
  <c r="AJ679" i="9"/>
  <c r="AI679" i="9"/>
  <c r="BB678" i="9"/>
  <c r="AK678" i="9"/>
  <c r="AO678" i="9" s="1"/>
  <c r="AJ678" i="9"/>
  <c r="AI678" i="9"/>
  <c r="BB677" i="9"/>
  <c r="AK677" i="9"/>
  <c r="AO677" i="9" s="1"/>
  <c r="AJ677" i="9"/>
  <c r="AI677" i="9"/>
  <c r="BB676" i="9"/>
  <c r="AK676" i="9"/>
  <c r="AO676" i="9" s="1"/>
  <c r="AJ676" i="9"/>
  <c r="AI676" i="9"/>
  <c r="BB675" i="9"/>
  <c r="AK675" i="9"/>
  <c r="AO675" i="9" s="1"/>
  <c r="AJ675" i="9"/>
  <c r="AI675" i="9"/>
  <c r="BB674" i="9"/>
  <c r="AK674" i="9"/>
  <c r="AO674" i="9" s="1"/>
  <c r="AJ674" i="9"/>
  <c r="AI674" i="9"/>
  <c r="BB673" i="9"/>
  <c r="AK673" i="9"/>
  <c r="AO673" i="9" s="1"/>
  <c r="AJ673" i="9"/>
  <c r="AI673" i="9"/>
  <c r="BB672" i="9"/>
  <c r="AK672" i="9"/>
  <c r="AO672" i="9" s="1"/>
  <c r="AJ672" i="9"/>
  <c r="AI672" i="9"/>
  <c r="BB671" i="9"/>
  <c r="AK671" i="9"/>
  <c r="AO671" i="9" s="1"/>
  <c r="AJ671" i="9"/>
  <c r="AI671" i="9"/>
  <c r="BB670" i="9"/>
  <c r="AK670" i="9"/>
  <c r="AO670" i="9" s="1"/>
  <c r="AJ670" i="9"/>
  <c r="AI670" i="9"/>
  <c r="BB669" i="9"/>
  <c r="AK669" i="9"/>
  <c r="AO669" i="9" s="1"/>
  <c r="AJ669" i="9"/>
  <c r="AI669" i="9"/>
  <c r="BB668" i="9"/>
  <c r="AK668" i="9"/>
  <c r="AO668" i="9" s="1"/>
  <c r="AJ668" i="9"/>
  <c r="AI668" i="9"/>
  <c r="BB667" i="9"/>
  <c r="AK667" i="9"/>
  <c r="AO667" i="9" s="1"/>
  <c r="AJ667" i="9"/>
  <c r="AI667" i="9"/>
  <c r="BB666" i="9"/>
  <c r="AK666" i="9"/>
  <c r="AO666" i="9" s="1"/>
  <c r="AJ666" i="9"/>
  <c r="AI666" i="9"/>
  <c r="BB665" i="9"/>
  <c r="AK665" i="9"/>
  <c r="AO665" i="9" s="1"/>
  <c r="AJ665" i="9"/>
  <c r="AI665" i="9"/>
  <c r="BB664" i="9"/>
  <c r="AK664" i="9"/>
  <c r="AO664" i="9" s="1"/>
  <c r="AJ664" i="9"/>
  <c r="AI664" i="9"/>
  <c r="BB663" i="9"/>
  <c r="AK663" i="9"/>
  <c r="AO663" i="9" s="1"/>
  <c r="AJ663" i="9"/>
  <c r="AI663" i="9"/>
  <c r="BB662" i="9"/>
  <c r="AK662" i="9"/>
  <c r="AO662" i="9" s="1"/>
  <c r="AJ662" i="9"/>
  <c r="AI662" i="9"/>
  <c r="BB661" i="9"/>
  <c r="AK661" i="9"/>
  <c r="AO661" i="9" s="1"/>
  <c r="AJ661" i="9"/>
  <c r="AI661" i="9"/>
  <c r="BB660" i="9"/>
  <c r="AK660" i="9"/>
  <c r="AO660" i="9" s="1"/>
  <c r="AJ660" i="9"/>
  <c r="AI660" i="9"/>
  <c r="BB659" i="9"/>
  <c r="AK659" i="9"/>
  <c r="AO659" i="9" s="1"/>
  <c r="AJ659" i="9"/>
  <c r="AI659" i="9"/>
  <c r="BB658" i="9"/>
  <c r="AK658" i="9"/>
  <c r="AO658" i="9" s="1"/>
  <c r="AJ658" i="9"/>
  <c r="AI658" i="9"/>
  <c r="BB657" i="9"/>
  <c r="AK657" i="9"/>
  <c r="AO657" i="9" s="1"/>
  <c r="AJ657" i="9"/>
  <c r="AI657" i="9"/>
  <c r="BB656" i="9"/>
  <c r="AK656" i="9"/>
  <c r="AO656" i="9" s="1"/>
  <c r="AJ656" i="9"/>
  <c r="AI656" i="9"/>
  <c r="BB655" i="9"/>
  <c r="AK655" i="9"/>
  <c r="AO655" i="9" s="1"/>
  <c r="AJ655" i="9"/>
  <c r="AI655" i="9"/>
  <c r="BB654" i="9"/>
  <c r="AK654" i="9"/>
  <c r="AO654" i="9" s="1"/>
  <c r="AJ654" i="9"/>
  <c r="AI654" i="9"/>
  <c r="BB653" i="9"/>
  <c r="AK653" i="9"/>
  <c r="AO653" i="9" s="1"/>
  <c r="AJ653" i="9"/>
  <c r="AI653" i="9"/>
  <c r="BB652" i="9"/>
  <c r="AK652" i="9"/>
  <c r="AO652" i="9" s="1"/>
  <c r="AJ652" i="9"/>
  <c r="AI652" i="9"/>
  <c r="BB651" i="9"/>
  <c r="AK651" i="9"/>
  <c r="AO651" i="9" s="1"/>
  <c r="AJ651" i="9"/>
  <c r="AI651" i="9"/>
  <c r="BB650" i="9"/>
  <c r="AK650" i="9"/>
  <c r="AO650" i="9" s="1"/>
  <c r="AJ650" i="9"/>
  <c r="AI650" i="9"/>
  <c r="BB649" i="9"/>
  <c r="AK649" i="9"/>
  <c r="AO649" i="9" s="1"/>
  <c r="AJ649" i="9"/>
  <c r="AI649" i="9"/>
  <c r="BB648" i="9"/>
  <c r="AK648" i="9"/>
  <c r="AO648" i="9" s="1"/>
  <c r="AJ648" i="9"/>
  <c r="AI648" i="9"/>
  <c r="BB647" i="9"/>
  <c r="AK647" i="9"/>
  <c r="AO647" i="9" s="1"/>
  <c r="AJ647" i="9"/>
  <c r="AI647" i="9"/>
  <c r="BB646" i="9"/>
  <c r="AK646" i="9"/>
  <c r="AO646" i="9" s="1"/>
  <c r="AJ646" i="9"/>
  <c r="AI646" i="9"/>
  <c r="BB645" i="9"/>
  <c r="AK645" i="9"/>
  <c r="AO645" i="9" s="1"/>
  <c r="AJ645" i="9"/>
  <c r="AI645" i="9"/>
  <c r="BB644" i="9"/>
  <c r="AK644" i="9"/>
  <c r="AO644" i="9" s="1"/>
  <c r="AJ644" i="9"/>
  <c r="AI644" i="9"/>
  <c r="BB643" i="9"/>
  <c r="AK643" i="9"/>
  <c r="AO643" i="9" s="1"/>
  <c r="AJ643" i="9"/>
  <c r="AI643" i="9"/>
  <c r="BB642" i="9"/>
  <c r="AK642" i="9"/>
  <c r="AO642" i="9" s="1"/>
  <c r="AJ642" i="9"/>
  <c r="AI642" i="9"/>
  <c r="BB641" i="9"/>
  <c r="AK641" i="9"/>
  <c r="AO641" i="9" s="1"/>
  <c r="AJ641" i="9"/>
  <c r="AI641" i="9"/>
  <c r="BB640" i="9"/>
  <c r="AK640" i="9"/>
  <c r="AO640" i="9" s="1"/>
  <c r="AJ640" i="9"/>
  <c r="AI640" i="9"/>
  <c r="BB639" i="9"/>
  <c r="AK639" i="9"/>
  <c r="AO639" i="9" s="1"/>
  <c r="AJ639" i="9"/>
  <c r="AI639" i="9"/>
  <c r="BB638" i="9"/>
  <c r="AK638" i="9"/>
  <c r="AO638" i="9" s="1"/>
  <c r="AJ638" i="9"/>
  <c r="AI638" i="9"/>
  <c r="BB637" i="9"/>
  <c r="AK637" i="9"/>
  <c r="AO637" i="9" s="1"/>
  <c r="AJ637" i="9"/>
  <c r="AI637" i="9"/>
  <c r="BB636" i="9"/>
  <c r="AK636" i="9"/>
  <c r="AO636" i="9" s="1"/>
  <c r="AJ636" i="9"/>
  <c r="AI636" i="9"/>
  <c r="BB635" i="9"/>
  <c r="AK635" i="9"/>
  <c r="AO635" i="9" s="1"/>
  <c r="AJ635" i="9"/>
  <c r="AI635" i="9"/>
  <c r="BB634" i="9"/>
  <c r="AK634" i="9"/>
  <c r="AO634" i="9" s="1"/>
  <c r="AJ634" i="9"/>
  <c r="AI634" i="9"/>
  <c r="BB633" i="9"/>
  <c r="AK633" i="9"/>
  <c r="AO633" i="9" s="1"/>
  <c r="AJ633" i="9"/>
  <c r="AI633" i="9"/>
  <c r="BB632" i="9"/>
  <c r="AK632" i="9"/>
  <c r="AO632" i="9" s="1"/>
  <c r="AJ632" i="9"/>
  <c r="AI632" i="9"/>
  <c r="BB631" i="9"/>
  <c r="AK631" i="9"/>
  <c r="AO631" i="9" s="1"/>
  <c r="AJ631" i="9"/>
  <c r="AI631" i="9"/>
  <c r="BB630" i="9"/>
  <c r="AK630" i="9"/>
  <c r="AO630" i="9" s="1"/>
  <c r="AJ630" i="9"/>
  <c r="AI630" i="9"/>
  <c r="BB629" i="9"/>
  <c r="AK629" i="9"/>
  <c r="AO629" i="9" s="1"/>
  <c r="AJ629" i="9"/>
  <c r="AI629" i="9"/>
  <c r="BB628" i="9"/>
  <c r="AK628" i="9"/>
  <c r="AO628" i="9" s="1"/>
  <c r="AJ628" i="9"/>
  <c r="AI628" i="9"/>
  <c r="BB627" i="9"/>
  <c r="AK627" i="9"/>
  <c r="AO627" i="9" s="1"/>
  <c r="AJ627" i="9"/>
  <c r="AI627" i="9"/>
  <c r="BB626" i="9"/>
  <c r="AK626" i="9"/>
  <c r="AO626" i="9" s="1"/>
  <c r="AJ626" i="9"/>
  <c r="AI626" i="9"/>
  <c r="BB625" i="9"/>
  <c r="AK625" i="9"/>
  <c r="AO625" i="9" s="1"/>
  <c r="AJ625" i="9"/>
  <c r="AI625" i="9"/>
  <c r="BB624" i="9"/>
  <c r="AK624" i="9"/>
  <c r="AO624" i="9" s="1"/>
  <c r="AJ624" i="9"/>
  <c r="AI624" i="9"/>
  <c r="BB623" i="9"/>
  <c r="AK623" i="9"/>
  <c r="AO623" i="9" s="1"/>
  <c r="AJ623" i="9"/>
  <c r="AI623" i="9"/>
  <c r="BB622" i="9"/>
  <c r="AK622" i="9"/>
  <c r="AO622" i="9" s="1"/>
  <c r="AJ622" i="9"/>
  <c r="AI622" i="9"/>
  <c r="BB621" i="9"/>
  <c r="AK621" i="9"/>
  <c r="AO621" i="9" s="1"/>
  <c r="AJ621" i="9"/>
  <c r="AI621" i="9"/>
  <c r="BB620" i="9"/>
  <c r="AK620" i="9"/>
  <c r="AO620" i="9" s="1"/>
  <c r="AJ620" i="9"/>
  <c r="AI620" i="9"/>
  <c r="BB619" i="9"/>
  <c r="AK619" i="9"/>
  <c r="AO619" i="9" s="1"/>
  <c r="AJ619" i="9"/>
  <c r="AI619" i="9"/>
  <c r="BB618" i="9"/>
  <c r="AK618" i="9"/>
  <c r="AO618" i="9" s="1"/>
  <c r="AJ618" i="9"/>
  <c r="AI618" i="9"/>
  <c r="BB617" i="9"/>
  <c r="AK617" i="9"/>
  <c r="AO617" i="9" s="1"/>
  <c r="AJ617" i="9"/>
  <c r="AI617" i="9"/>
  <c r="BB616" i="9"/>
  <c r="AK616" i="9"/>
  <c r="AO616" i="9" s="1"/>
  <c r="AJ616" i="9"/>
  <c r="AI616" i="9"/>
  <c r="BB615" i="9"/>
  <c r="AK615" i="9"/>
  <c r="AO615" i="9" s="1"/>
  <c r="AJ615" i="9"/>
  <c r="AI615" i="9"/>
  <c r="BB614" i="9"/>
  <c r="AK614" i="9"/>
  <c r="AO614" i="9" s="1"/>
  <c r="AJ614" i="9"/>
  <c r="AI614" i="9"/>
  <c r="BB613" i="9"/>
  <c r="AK613" i="9"/>
  <c r="AO613" i="9" s="1"/>
  <c r="AJ613" i="9"/>
  <c r="AI613" i="9"/>
  <c r="BB612" i="9"/>
  <c r="AK612" i="9"/>
  <c r="AO612" i="9" s="1"/>
  <c r="AJ612" i="9"/>
  <c r="AI612" i="9"/>
  <c r="BB611" i="9"/>
  <c r="AK611" i="9"/>
  <c r="AO611" i="9" s="1"/>
  <c r="AJ611" i="9"/>
  <c r="AI611" i="9"/>
  <c r="BB610" i="9"/>
  <c r="AK610" i="9"/>
  <c r="AO610" i="9" s="1"/>
  <c r="AJ610" i="9"/>
  <c r="AI610" i="9"/>
  <c r="BB609" i="9"/>
  <c r="AK609" i="9"/>
  <c r="AO609" i="9" s="1"/>
  <c r="AJ609" i="9"/>
  <c r="AI609" i="9"/>
  <c r="BB608" i="9"/>
  <c r="AK608" i="9"/>
  <c r="AO608" i="9" s="1"/>
  <c r="AJ608" i="9"/>
  <c r="AI608" i="9"/>
  <c r="BB607" i="9"/>
  <c r="AK607" i="9"/>
  <c r="AO607" i="9" s="1"/>
  <c r="AJ607" i="9"/>
  <c r="AI607" i="9"/>
  <c r="BB606" i="9"/>
  <c r="AK606" i="9"/>
  <c r="AO606" i="9" s="1"/>
  <c r="AJ606" i="9"/>
  <c r="AI606" i="9"/>
  <c r="BB605" i="9"/>
  <c r="AK605" i="9"/>
  <c r="AO605" i="9" s="1"/>
  <c r="AJ605" i="9"/>
  <c r="AI605" i="9"/>
  <c r="BB604" i="9"/>
  <c r="AK604" i="9"/>
  <c r="AO604" i="9" s="1"/>
  <c r="AJ604" i="9"/>
  <c r="AI604" i="9"/>
  <c r="BB603" i="9"/>
  <c r="AK603" i="9"/>
  <c r="AO603" i="9" s="1"/>
  <c r="AJ603" i="9"/>
  <c r="AI603" i="9"/>
  <c r="BB602" i="9"/>
  <c r="AK602" i="9"/>
  <c r="AO602" i="9" s="1"/>
  <c r="AJ602" i="9"/>
  <c r="AI602" i="9"/>
  <c r="BB601" i="9"/>
  <c r="AK601" i="9"/>
  <c r="AO601" i="9" s="1"/>
  <c r="AJ601" i="9"/>
  <c r="AI601" i="9"/>
  <c r="BB600" i="9"/>
  <c r="AK600" i="9"/>
  <c r="AO600" i="9" s="1"/>
  <c r="AJ600" i="9"/>
  <c r="AI600" i="9"/>
  <c r="BB599" i="9"/>
  <c r="AK599" i="9"/>
  <c r="AO599" i="9" s="1"/>
  <c r="AJ599" i="9"/>
  <c r="AI599" i="9"/>
  <c r="BB598" i="9"/>
  <c r="AK598" i="9"/>
  <c r="AO598" i="9" s="1"/>
  <c r="AJ598" i="9"/>
  <c r="AI598" i="9"/>
  <c r="BB597" i="9"/>
  <c r="AK597" i="9"/>
  <c r="AO597" i="9" s="1"/>
  <c r="AJ597" i="9"/>
  <c r="AI597" i="9"/>
  <c r="BB596" i="9"/>
  <c r="AK596" i="9"/>
  <c r="AO596" i="9" s="1"/>
  <c r="AJ596" i="9"/>
  <c r="AI596" i="9"/>
  <c r="BB595" i="9"/>
  <c r="AK595" i="9"/>
  <c r="AO595" i="9" s="1"/>
  <c r="AJ595" i="9"/>
  <c r="AI595" i="9"/>
  <c r="BB594" i="9"/>
  <c r="AK594" i="9"/>
  <c r="AO594" i="9" s="1"/>
  <c r="AJ594" i="9"/>
  <c r="AI594" i="9"/>
  <c r="BB593" i="9"/>
  <c r="AK593" i="9"/>
  <c r="AO593" i="9" s="1"/>
  <c r="AJ593" i="9"/>
  <c r="AI593" i="9"/>
  <c r="BB592" i="9"/>
  <c r="AK592" i="9"/>
  <c r="AO592" i="9" s="1"/>
  <c r="AJ592" i="9"/>
  <c r="AI592" i="9"/>
  <c r="BB591" i="9"/>
  <c r="AK591" i="9"/>
  <c r="AO591" i="9" s="1"/>
  <c r="AJ591" i="9"/>
  <c r="AI591" i="9"/>
  <c r="BB590" i="9"/>
  <c r="AK590" i="9"/>
  <c r="AO590" i="9" s="1"/>
  <c r="AJ590" i="9"/>
  <c r="AI590" i="9"/>
  <c r="BB589" i="9"/>
  <c r="AK589" i="9"/>
  <c r="AO589" i="9" s="1"/>
  <c r="AJ589" i="9"/>
  <c r="AI589" i="9"/>
  <c r="BB588" i="9"/>
  <c r="AK588" i="9"/>
  <c r="AO588" i="9" s="1"/>
  <c r="AJ588" i="9"/>
  <c r="AI588" i="9"/>
  <c r="BB587" i="9"/>
  <c r="AK587" i="9"/>
  <c r="AO587" i="9" s="1"/>
  <c r="AJ587" i="9"/>
  <c r="AI587" i="9"/>
  <c r="BB586" i="9"/>
  <c r="AK586" i="9"/>
  <c r="AO586" i="9" s="1"/>
  <c r="AJ586" i="9"/>
  <c r="AI586" i="9"/>
  <c r="BB585" i="9"/>
  <c r="AK585" i="9"/>
  <c r="AO585" i="9" s="1"/>
  <c r="AJ585" i="9"/>
  <c r="AI585" i="9"/>
  <c r="BB584" i="9"/>
  <c r="AK584" i="9"/>
  <c r="AO584" i="9" s="1"/>
  <c r="AJ584" i="9"/>
  <c r="AI584" i="9"/>
  <c r="BB583" i="9"/>
  <c r="AK583" i="9"/>
  <c r="AO583" i="9" s="1"/>
  <c r="AJ583" i="9"/>
  <c r="AI583" i="9"/>
  <c r="BB582" i="9"/>
  <c r="AK582" i="9"/>
  <c r="AO582" i="9" s="1"/>
  <c r="AJ582" i="9"/>
  <c r="AI582" i="9"/>
  <c r="BB581" i="9"/>
  <c r="AK581" i="9"/>
  <c r="AO581" i="9" s="1"/>
  <c r="AJ581" i="9"/>
  <c r="AI581" i="9"/>
  <c r="BB580" i="9"/>
  <c r="AK580" i="9"/>
  <c r="AO580" i="9" s="1"/>
  <c r="AJ580" i="9"/>
  <c r="AI580" i="9"/>
  <c r="BB579" i="9"/>
  <c r="AK579" i="9"/>
  <c r="AO579" i="9" s="1"/>
  <c r="AJ579" i="9"/>
  <c r="AI579" i="9"/>
  <c r="BB578" i="9"/>
  <c r="AK578" i="9"/>
  <c r="AO578" i="9" s="1"/>
  <c r="AJ578" i="9"/>
  <c r="AI578" i="9"/>
  <c r="BB577" i="9"/>
  <c r="AK577" i="9"/>
  <c r="AO577" i="9" s="1"/>
  <c r="AJ577" i="9"/>
  <c r="AI577" i="9"/>
  <c r="BB576" i="9"/>
  <c r="AK576" i="9"/>
  <c r="AO576" i="9" s="1"/>
  <c r="AJ576" i="9"/>
  <c r="AI576" i="9"/>
  <c r="BB575" i="9"/>
  <c r="AK575" i="9"/>
  <c r="AO575" i="9" s="1"/>
  <c r="AJ575" i="9"/>
  <c r="AI575" i="9"/>
  <c r="BB574" i="9"/>
  <c r="AK574" i="9"/>
  <c r="AO574" i="9" s="1"/>
  <c r="AJ574" i="9"/>
  <c r="AI574" i="9"/>
  <c r="BB573" i="9"/>
  <c r="AK573" i="9"/>
  <c r="AO573" i="9" s="1"/>
  <c r="AJ573" i="9"/>
  <c r="AI573" i="9"/>
  <c r="BB572" i="9"/>
  <c r="AK572" i="9"/>
  <c r="AO572" i="9" s="1"/>
  <c r="AJ572" i="9"/>
  <c r="AI572" i="9"/>
  <c r="BB571" i="9"/>
  <c r="AK571" i="9"/>
  <c r="AO571" i="9" s="1"/>
  <c r="AJ571" i="9"/>
  <c r="AI571" i="9"/>
  <c r="BB570" i="9"/>
  <c r="AK570" i="9"/>
  <c r="AO570" i="9" s="1"/>
  <c r="AJ570" i="9"/>
  <c r="AI570" i="9"/>
  <c r="BB569" i="9"/>
  <c r="AK569" i="9"/>
  <c r="AO569" i="9" s="1"/>
  <c r="AJ569" i="9"/>
  <c r="AI569" i="9"/>
  <c r="BB568" i="9"/>
  <c r="AK568" i="9"/>
  <c r="AO568" i="9" s="1"/>
  <c r="AJ568" i="9"/>
  <c r="AI568" i="9"/>
  <c r="BB567" i="9"/>
  <c r="AK567" i="9"/>
  <c r="AO567" i="9" s="1"/>
  <c r="AJ567" i="9"/>
  <c r="AI567" i="9"/>
  <c r="BB566" i="9"/>
  <c r="AK566" i="9"/>
  <c r="AO566" i="9" s="1"/>
  <c r="AJ566" i="9"/>
  <c r="AI566" i="9"/>
  <c r="BB565" i="9"/>
  <c r="AK565" i="9"/>
  <c r="AO565" i="9" s="1"/>
  <c r="AJ565" i="9"/>
  <c r="AI565" i="9"/>
  <c r="BB564" i="9"/>
  <c r="AK564" i="9"/>
  <c r="AO564" i="9" s="1"/>
  <c r="AJ564" i="9"/>
  <c r="AI564" i="9"/>
  <c r="BB563" i="9"/>
  <c r="AK563" i="9"/>
  <c r="AO563" i="9" s="1"/>
  <c r="AJ563" i="9"/>
  <c r="AI563" i="9"/>
  <c r="BB562" i="9"/>
  <c r="AK562" i="9"/>
  <c r="AO562" i="9" s="1"/>
  <c r="AJ562" i="9"/>
  <c r="AI562" i="9"/>
  <c r="BB561" i="9"/>
  <c r="AK561" i="9"/>
  <c r="AO561" i="9" s="1"/>
  <c r="AJ561" i="9"/>
  <c r="AI561" i="9"/>
  <c r="BB560" i="9"/>
  <c r="AK560" i="9"/>
  <c r="AO560" i="9" s="1"/>
  <c r="AJ560" i="9"/>
  <c r="AI560" i="9"/>
  <c r="BB559" i="9"/>
  <c r="AK559" i="9"/>
  <c r="AO559" i="9" s="1"/>
  <c r="AJ559" i="9"/>
  <c r="AI559" i="9"/>
  <c r="BB558" i="9"/>
  <c r="AK558" i="9"/>
  <c r="AO558" i="9" s="1"/>
  <c r="AJ558" i="9"/>
  <c r="AI558" i="9"/>
  <c r="BB557" i="9"/>
  <c r="AK557" i="9"/>
  <c r="AO557" i="9" s="1"/>
  <c r="AJ557" i="9"/>
  <c r="AI557" i="9"/>
  <c r="BB556" i="9"/>
  <c r="AK556" i="9"/>
  <c r="AO556" i="9" s="1"/>
  <c r="AJ556" i="9"/>
  <c r="AI556" i="9"/>
  <c r="BB555" i="9"/>
  <c r="AK555" i="9"/>
  <c r="AO555" i="9" s="1"/>
  <c r="AJ555" i="9"/>
  <c r="AI555" i="9"/>
  <c r="BB554" i="9"/>
  <c r="AK554" i="9"/>
  <c r="AO554" i="9" s="1"/>
  <c r="AJ554" i="9"/>
  <c r="AI554" i="9"/>
  <c r="BB553" i="9"/>
  <c r="AK553" i="9"/>
  <c r="AO553" i="9" s="1"/>
  <c r="AJ553" i="9"/>
  <c r="AI553" i="9"/>
  <c r="BB552" i="9"/>
  <c r="AK552" i="9"/>
  <c r="AO552" i="9" s="1"/>
  <c r="AJ552" i="9"/>
  <c r="AI552" i="9"/>
  <c r="BB551" i="9"/>
  <c r="AK551" i="9"/>
  <c r="AO551" i="9" s="1"/>
  <c r="AJ551" i="9"/>
  <c r="AI551" i="9"/>
  <c r="BB550" i="9"/>
  <c r="AK550" i="9"/>
  <c r="AO550" i="9" s="1"/>
  <c r="AJ550" i="9"/>
  <c r="AI550" i="9"/>
  <c r="BB549" i="9"/>
  <c r="AK549" i="9"/>
  <c r="AO549" i="9" s="1"/>
  <c r="AJ549" i="9"/>
  <c r="AI549" i="9"/>
  <c r="BB548" i="9"/>
  <c r="AK548" i="9"/>
  <c r="AO548" i="9" s="1"/>
  <c r="AJ548" i="9"/>
  <c r="AI548" i="9"/>
  <c r="BB547" i="9"/>
  <c r="AK547" i="9"/>
  <c r="AO547" i="9" s="1"/>
  <c r="AJ547" i="9"/>
  <c r="AI547" i="9"/>
  <c r="BB546" i="9"/>
  <c r="AK546" i="9"/>
  <c r="AO546" i="9" s="1"/>
  <c r="AJ546" i="9"/>
  <c r="AI546" i="9"/>
  <c r="BB545" i="9"/>
  <c r="AK545" i="9"/>
  <c r="AO545" i="9" s="1"/>
  <c r="AJ545" i="9"/>
  <c r="AI545" i="9"/>
  <c r="BB544" i="9"/>
  <c r="AK544" i="9"/>
  <c r="AO544" i="9" s="1"/>
  <c r="AJ544" i="9"/>
  <c r="AI544" i="9"/>
  <c r="BB543" i="9"/>
  <c r="AK543" i="9"/>
  <c r="AO543" i="9" s="1"/>
  <c r="AJ543" i="9"/>
  <c r="AI543" i="9"/>
  <c r="BB542" i="9"/>
  <c r="AK542" i="9"/>
  <c r="AO542" i="9" s="1"/>
  <c r="AJ542" i="9"/>
  <c r="AI542" i="9"/>
  <c r="BB541" i="9"/>
  <c r="AK541" i="9"/>
  <c r="AO541" i="9" s="1"/>
  <c r="AJ541" i="9"/>
  <c r="AI541" i="9"/>
  <c r="BB540" i="9"/>
  <c r="AK540" i="9"/>
  <c r="AO540" i="9" s="1"/>
  <c r="AJ540" i="9"/>
  <c r="AI540" i="9"/>
  <c r="BB539" i="9"/>
  <c r="AK539" i="9"/>
  <c r="AO539" i="9" s="1"/>
  <c r="AJ539" i="9"/>
  <c r="AI539" i="9"/>
  <c r="BB538" i="9"/>
  <c r="AK538" i="9"/>
  <c r="AO538" i="9" s="1"/>
  <c r="AJ538" i="9"/>
  <c r="AI538" i="9"/>
  <c r="BB537" i="9"/>
  <c r="AK537" i="9"/>
  <c r="AO537" i="9" s="1"/>
  <c r="AJ537" i="9"/>
  <c r="AI537" i="9"/>
  <c r="BB536" i="9"/>
  <c r="AK536" i="9"/>
  <c r="AO536" i="9" s="1"/>
  <c r="AJ536" i="9"/>
  <c r="AI536" i="9"/>
  <c r="BB535" i="9"/>
  <c r="AK535" i="9"/>
  <c r="AO535" i="9" s="1"/>
  <c r="AJ535" i="9"/>
  <c r="AI535" i="9"/>
  <c r="BB534" i="9"/>
  <c r="AK534" i="9"/>
  <c r="AO534" i="9" s="1"/>
  <c r="AJ534" i="9"/>
  <c r="AI534" i="9"/>
  <c r="BB533" i="9"/>
  <c r="AK533" i="9"/>
  <c r="AO533" i="9" s="1"/>
  <c r="AJ533" i="9"/>
  <c r="AI533" i="9"/>
  <c r="BB532" i="9"/>
  <c r="AK532" i="9"/>
  <c r="AO532" i="9" s="1"/>
  <c r="AJ532" i="9"/>
  <c r="AI532" i="9"/>
  <c r="BB531" i="9"/>
  <c r="AK531" i="9"/>
  <c r="AO531" i="9" s="1"/>
  <c r="AJ531" i="9"/>
  <c r="AI531" i="9"/>
  <c r="BB530" i="9"/>
  <c r="AK530" i="9"/>
  <c r="AO530" i="9" s="1"/>
  <c r="AJ530" i="9"/>
  <c r="AI530" i="9"/>
  <c r="BB529" i="9"/>
  <c r="AK529" i="9"/>
  <c r="AO529" i="9" s="1"/>
  <c r="AJ529" i="9"/>
  <c r="AI529" i="9"/>
  <c r="BB528" i="9"/>
  <c r="AK528" i="9"/>
  <c r="AO528" i="9" s="1"/>
  <c r="AJ528" i="9"/>
  <c r="AI528" i="9"/>
  <c r="BB527" i="9"/>
  <c r="AK527" i="9"/>
  <c r="AO527" i="9" s="1"/>
  <c r="AJ527" i="9"/>
  <c r="AI527" i="9"/>
  <c r="BB526" i="9"/>
  <c r="AK526" i="9"/>
  <c r="AO526" i="9" s="1"/>
  <c r="AJ526" i="9"/>
  <c r="AI526" i="9"/>
  <c r="BB525" i="9"/>
  <c r="AK525" i="9"/>
  <c r="AO525" i="9" s="1"/>
  <c r="AJ525" i="9"/>
  <c r="AI525" i="9"/>
  <c r="BB524" i="9"/>
  <c r="AK524" i="9"/>
  <c r="AO524" i="9" s="1"/>
  <c r="AJ524" i="9"/>
  <c r="AI524" i="9"/>
  <c r="BB523" i="9"/>
  <c r="AK523" i="9"/>
  <c r="AO523" i="9" s="1"/>
  <c r="AJ523" i="9"/>
  <c r="AI523" i="9"/>
  <c r="BB522" i="9"/>
  <c r="AK522" i="9"/>
  <c r="AO522" i="9" s="1"/>
  <c r="AJ522" i="9"/>
  <c r="AI522" i="9"/>
  <c r="BB521" i="9"/>
  <c r="AK521" i="9"/>
  <c r="AO521" i="9" s="1"/>
  <c r="AJ521" i="9"/>
  <c r="AI521" i="9"/>
  <c r="BB520" i="9"/>
  <c r="AK520" i="9"/>
  <c r="AO520" i="9" s="1"/>
  <c r="AJ520" i="9"/>
  <c r="AI520" i="9"/>
  <c r="BB519" i="9"/>
  <c r="AK519" i="9"/>
  <c r="AO519" i="9" s="1"/>
  <c r="AJ519" i="9"/>
  <c r="AI519" i="9"/>
  <c r="BB518" i="9"/>
  <c r="AK518" i="9"/>
  <c r="AO518" i="9" s="1"/>
  <c r="AJ518" i="9"/>
  <c r="AI518" i="9"/>
  <c r="BB517" i="9"/>
  <c r="AK517" i="9"/>
  <c r="AO517" i="9" s="1"/>
  <c r="AJ517" i="9"/>
  <c r="AI517" i="9"/>
  <c r="BB516" i="9"/>
  <c r="AK516" i="9"/>
  <c r="AO516" i="9" s="1"/>
  <c r="AJ516" i="9"/>
  <c r="AI516" i="9"/>
  <c r="BB515" i="9"/>
  <c r="AK515" i="9"/>
  <c r="AO515" i="9" s="1"/>
  <c r="AJ515" i="9"/>
  <c r="AI515" i="9"/>
  <c r="BB514" i="9"/>
  <c r="AK514" i="9"/>
  <c r="AO514" i="9" s="1"/>
  <c r="AJ514" i="9"/>
  <c r="AI514" i="9"/>
  <c r="BB513" i="9"/>
  <c r="AK513" i="9"/>
  <c r="AO513" i="9" s="1"/>
  <c r="AJ513" i="9"/>
  <c r="AI513" i="9"/>
  <c r="BB512" i="9"/>
  <c r="AK512" i="9"/>
  <c r="AO512" i="9" s="1"/>
  <c r="AJ512" i="9"/>
  <c r="AI512" i="9"/>
  <c r="BB511" i="9"/>
  <c r="AK511" i="9"/>
  <c r="AO511" i="9" s="1"/>
  <c r="AJ511" i="9"/>
  <c r="AI511" i="9"/>
  <c r="BB510" i="9"/>
  <c r="AK510" i="9"/>
  <c r="AO510" i="9" s="1"/>
  <c r="AJ510" i="9"/>
  <c r="AI510" i="9"/>
  <c r="BB509" i="9"/>
  <c r="AK509" i="9"/>
  <c r="AO509" i="9" s="1"/>
  <c r="AJ509" i="9"/>
  <c r="AI509" i="9"/>
  <c r="BB508" i="9"/>
  <c r="AK508" i="9"/>
  <c r="AO508" i="9" s="1"/>
  <c r="AJ508" i="9"/>
  <c r="AI508" i="9"/>
  <c r="BB507" i="9"/>
  <c r="AK507" i="9"/>
  <c r="AO507" i="9" s="1"/>
  <c r="AJ507" i="9"/>
  <c r="AI507" i="9"/>
  <c r="BB506" i="9"/>
  <c r="AK506" i="9"/>
  <c r="AO506" i="9" s="1"/>
  <c r="AJ506" i="9"/>
  <c r="AI506" i="9"/>
  <c r="BB505" i="9"/>
  <c r="AK505" i="9"/>
  <c r="AO505" i="9" s="1"/>
  <c r="AJ505" i="9"/>
  <c r="AI505" i="9"/>
  <c r="BB504" i="9"/>
  <c r="AK504" i="9"/>
  <c r="AO504" i="9" s="1"/>
  <c r="AJ504" i="9"/>
  <c r="AI504" i="9"/>
  <c r="BB503" i="9"/>
  <c r="AK503" i="9"/>
  <c r="AO503" i="9" s="1"/>
  <c r="AJ503" i="9"/>
  <c r="AI503" i="9"/>
  <c r="BB502" i="9"/>
  <c r="AK502" i="9"/>
  <c r="AO502" i="9" s="1"/>
  <c r="AJ502" i="9"/>
  <c r="AI502" i="9"/>
  <c r="BB501" i="9"/>
  <c r="AK501" i="9"/>
  <c r="AO501" i="9" s="1"/>
  <c r="AJ501" i="9"/>
  <c r="AI501" i="9"/>
  <c r="BB500" i="9"/>
  <c r="AK500" i="9"/>
  <c r="AO500" i="9" s="1"/>
  <c r="AJ500" i="9"/>
  <c r="AI500" i="9"/>
  <c r="BB499" i="9"/>
  <c r="AK499" i="9"/>
  <c r="AO499" i="9" s="1"/>
  <c r="AJ499" i="9"/>
  <c r="AI499" i="9"/>
  <c r="BB498" i="9"/>
  <c r="AK498" i="9"/>
  <c r="AO498" i="9" s="1"/>
  <c r="AJ498" i="9"/>
  <c r="AI498" i="9"/>
  <c r="BB497" i="9"/>
  <c r="AK497" i="9"/>
  <c r="AO497" i="9" s="1"/>
  <c r="AJ497" i="9"/>
  <c r="AI497" i="9"/>
  <c r="BB496" i="9"/>
  <c r="AK496" i="9"/>
  <c r="AO496" i="9" s="1"/>
  <c r="AJ496" i="9"/>
  <c r="AI496" i="9"/>
  <c r="BB495" i="9"/>
  <c r="AK495" i="9"/>
  <c r="AO495" i="9" s="1"/>
  <c r="AJ495" i="9"/>
  <c r="AI495" i="9"/>
  <c r="BB494" i="9"/>
  <c r="AK494" i="9"/>
  <c r="AO494" i="9" s="1"/>
  <c r="AJ494" i="9"/>
  <c r="AI494" i="9"/>
  <c r="BB493" i="9"/>
  <c r="AK493" i="9"/>
  <c r="AO493" i="9" s="1"/>
  <c r="AJ493" i="9"/>
  <c r="AI493" i="9"/>
  <c r="BB492" i="9"/>
  <c r="AK492" i="9"/>
  <c r="AO492" i="9" s="1"/>
  <c r="AJ492" i="9"/>
  <c r="AI492" i="9"/>
  <c r="BB491" i="9"/>
  <c r="AK491" i="9"/>
  <c r="AO491" i="9" s="1"/>
  <c r="AJ491" i="9"/>
  <c r="AI491" i="9"/>
  <c r="BB490" i="9"/>
  <c r="AK490" i="9"/>
  <c r="AO490" i="9" s="1"/>
  <c r="AJ490" i="9"/>
  <c r="AI490" i="9"/>
  <c r="BB489" i="9"/>
  <c r="AK489" i="9"/>
  <c r="AO489" i="9" s="1"/>
  <c r="AJ489" i="9"/>
  <c r="AI489" i="9"/>
  <c r="BB488" i="9"/>
  <c r="AK488" i="9"/>
  <c r="AO488" i="9" s="1"/>
  <c r="AJ488" i="9"/>
  <c r="AI488" i="9"/>
  <c r="BB487" i="9"/>
  <c r="AK487" i="9"/>
  <c r="AO487" i="9" s="1"/>
  <c r="AJ487" i="9"/>
  <c r="AI487" i="9"/>
  <c r="BB486" i="9"/>
  <c r="AK486" i="9"/>
  <c r="AO486" i="9" s="1"/>
  <c r="AJ486" i="9"/>
  <c r="AI486" i="9"/>
  <c r="BB485" i="9"/>
  <c r="AK485" i="9"/>
  <c r="AO485" i="9" s="1"/>
  <c r="AJ485" i="9"/>
  <c r="AI485" i="9"/>
  <c r="BB484" i="9"/>
  <c r="AK484" i="9"/>
  <c r="AO484" i="9" s="1"/>
  <c r="AJ484" i="9"/>
  <c r="AI484" i="9"/>
  <c r="BB483" i="9"/>
  <c r="AK483" i="9"/>
  <c r="AO483" i="9" s="1"/>
  <c r="AJ483" i="9"/>
  <c r="AI483" i="9"/>
  <c r="BB482" i="9"/>
  <c r="AK482" i="9"/>
  <c r="AO482" i="9" s="1"/>
  <c r="AJ482" i="9"/>
  <c r="AI482" i="9"/>
  <c r="BB481" i="9"/>
  <c r="AK481" i="9"/>
  <c r="AO481" i="9" s="1"/>
  <c r="AJ481" i="9"/>
  <c r="AI481" i="9"/>
  <c r="BB480" i="9"/>
  <c r="AK480" i="9"/>
  <c r="AO480" i="9" s="1"/>
  <c r="AJ480" i="9"/>
  <c r="AI480" i="9"/>
  <c r="BB479" i="9"/>
  <c r="AK479" i="9"/>
  <c r="AO479" i="9" s="1"/>
  <c r="AJ479" i="9"/>
  <c r="AI479" i="9"/>
  <c r="BB478" i="9"/>
  <c r="AK478" i="9"/>
  <c r="AO478" i="9" s="1"/>
  <c r="AJ478" i="9"/>
  <c r="AI478" i="9"/>
  <c r="BB477" i="9"/>
  <c r="AK477" i="9"/>
  <c r="AO477" i="9" s="1"/>
  <c r="AJ477" i="9"/>
  <c r="AI477" i="9"/>
  <c r="BB476" i="9"/>
  <c r="AK476" i="9"/>
  <c r="AO476" i="9" s="1"/>
  <c r="AJ476" i="9"/>
  <c r="AI476" i="9"/>
  <c r="BB475" i="9"/>
  <c r="AK475" i="9"/>
  <c r="AO475" i="9" s="1"/>
  <c r="AJ475" i="9"/>
  <c r="AI475" i="9"/>
  <c r="BB474" i="9"/>
  <c r="AK474" i="9"/>
  <c r="AO474" i="9" s="1"/>
  <c r="AJ474" i="9"/>
  <c r="AI474" i="9"/>
  <c r="BB473" i="9"/>
  <c r="AK473" i="9"/>
  <c r="AO473" i="9" s="1"/>
  <c r="AJ473" i="9"/>
  <c r="AI473" i="9"/>
  <c r="BB472" i="9"/>
  <c r="AK472" i="9"/>
  <c r="AO472" i="9" s="1"/>
  <c r="AJ472" i="9"/>
  <c r="AI472" i="9"/>
  <c r="BB471" i="9"/>
  <c r="AK471" i="9"/>
  <c r="AO471" i="9" s="1"/>
  <c r="AJ471" i="9"/>
  <c r="AI471" i="9"/>
  <c r="BB470" i="9"/>
  <c r="AK470" i="9"/>
  <c r="AO470" i="9" s="1"/>
  <c r="AJ470" i="9"/>
  <c r="AI470" i="9"/>
  <c r="BB469" i="9"/>
  <c r="AK469" i="9"/>
  <c r="AO469" i="9" s="1"/>
  <c r="AJ469" i="9"/>
  <c r="AI469" i="9"/>
  <c r="BB468" i="9"/>
  <c r="AK468" i="9"/>
  <c r="AO468" i="9" s="1"/>
  <c r="AJ468" i="9"/>
  <c r="AI468" i="9"/>
  <c r="BB467" i="9"/>
  <c r="AK467" i="9"/>
  <c r="AO467" i="9" s="1"/>
  <c r="AJ467" i="9"/>
  <c r="AI467" i="9"/>
  <c r="BB466" i="9"/>
  <c r="AK466" i="9"/>
  <c r="AO466" i="9" s="1"/>
  <c r="AJ466" i="9"/>
  <c r="AI466" i="9"/>
  <c r="BB465" i="9"/>
  <c r="AK465" i="9"/>
  <c r="AO465" i="9" s="1"/>
  <c r="AJ465" i="9"/>
  <c r="AI465" i="9"/>
  <c r="BB464" i="9"/>
  <c r="AK464" i="9"/>
  <c r="AO464" i="9" s="1"/>
  <c r="AJ464" i="9"/>
  <c r="AI464" i="9"/>
  <c r="BB463" i="9"/>
  <c r="AK463" i="9"/>
  <c r="AO463" i="9" s="1"/>
  <c r="AJ463" i="9"/>
  <c r="AI463" i="9"/>
  <c r="BB462" i="9"/>
  <c r="AK462" i="9"/>
  <c r="AO462" i="9" s="1"/>
  <c r="AJ462" i="9"/>
  <c r="AI462" i="9"/>
  <c r="BB461" i="9"/>
  <c r="AK461" i="9"/>
  <c r="AO461" i="9" s="1"/>
  <c r="AJ461" i="9"/>
  <c r="AI461" i="9"/>
  <c r="BB460" i="9"/>
  <c r="AK460" i="9"/>
  <c r="AO460" i="9" s="1"/>
  <c r="AJ460" i="9"/>
  <c r="AI460" i="9"/>
  <c r="BB459" i="9"/>
  <c r="AK459" i="9"/>
  <c r="AO459" i="9" s="1"/>
  <c r="AJ459" i="9"/>
  <c r="AI459" i="9"/>
  <c r="BB458" i="9"/>
  <c r="AK458" i="9"/>
  <c r="AO458" i="9" s="1"/>
  <c r="AJ458" i="9"/>
  <c r="AI458" i="9"/>
  <c r="BB457" i="9"/>
  <c r="AK457" i="9"/>
  <c r="AO457" i="9" s="1"/>
  <c r="AJ457" i="9"/>
  <c r="AI457" i="9"/>
  <c r="BB456" i="9"/>
  <c r="AK456" i="9"/>
  <c r="AO456" i="9" s="1"/>
  <c r="AJ456" i="9"/>
  <c r="AI456" i="9"/>
  <c r="BB455" i="9"/>
  <c r="AK455" i="9"/>
  <c r="AO455" i="9" s="1"/>
  <c r="AJ455" i="9"/>
  <c r="AI455" i="9"/>
  <c r="BB454" i="9"/>
  <c r="AK454" i="9"/>
  <c r="AO454" i="9" s="1"/>
  <c r="AJ454" i="9"/>
  <c r="AI454" i="9"/>
  <c r="BB453" i="9"/>
  <c r="AK453" i="9"/>
  <c r="AO453" i="9" s="1"/>
  <c r="AJ453" i="9"/>
  <c r="AI453" i="9"/>
  <c r="BB452" i="9"/>
  <c r="AK452" i="9"/>
  <c r="AO452" i="9" s="1"/>
  <c r="AJ452" i="9"/>
  <c r="AI452" i="9"/>
  <c r="BB451" i="9"/>
  <c r="AK451" i="9"/>
  <c r="AO451" i="9" s="1"/>
  <c r="AJ451" i="9"/>
  <c r="AI451" i="9"/>
  <c r="BB450" i="9"/>
  <c r="AK450" i="9"/>
  <c r="AO450" i="9" s="1"/>
  <c r="AJ450" i="9"/>
  <c r="AI450" i="9"/>
  <c r="BB449" i="9"/>
  <c r="AK449" i="9"/>
  <c r="AO449" i="9" s="1"/>
  <c r="AJ449" i="9"/>
  <c r="AI449" i="9"/>
  <c r="BB448" i="9"/>
  <c r="AK448" i="9"/>
  <c r="AO448" i="9" s="1"/>
  <c r="AJ448" i="9"/>
  <c r="AI448" i="9"/>
  <c r="BB447" i="9"/>
  <c r="AK447" i="9"/>
  <c r="AO447" i="9" s="1"/>
  <c r="AJ447" i="9"/>
  <c r="AI447" i="9"/>
  <c r="BB446" i="9"/>
  <c r="AK446" i="9"/>
  <c r="AO446" i="9" s="1"/>
  <c r="AJ446" i="9"/>
  <c r="AI446" i="9"/>
  <c r="BB445" i="9"/>
  <c r="AK445" i="9"/>
  <c r="AO445" i="9" s="1"/>
  <c r="AJ445" i="9"/>
  <c r="AI445" i="9"/>
  <c r="BB444" i="9"/>
  <c r="AK444" i="9"/>
  <c r="AO444" i="9" s="1"/>
  <c r="AJ444" i="9"/>
  <c r="AI444" i="9"/>
  <c r="BB443" i="9"/>
  <c r="AK443" i="9"/>
  <c r="AO443" i="9" s="1"/>
  <c r="AJ443" i="9"/>
  <c r="AI443" i="9"/>
  <c r="BB442" i="9"/>
  <c r="AK442" i="9"/>
  <c r="AO442" i="9" s="1"/>
  <c r="AJ442" i="9"/>
  <c r="AI442" i="9"/>
  <c r="BB441" i="9"/>
  <c r="AK441" i="9"/>
  <c r="AO441" i="9" s="1"/>
  <c r="AJ441" i="9"/>
  <c r="AI441" i="9"/>
  <c r="BB440" i="9"/>
  <c r="AK440" i="9"/>
  <c r="AO440" i="9" s="1"/>
  <c r="AJ440" i="9"/>
  <c r="AI440" i="9"/>
  <c r="BB439" i="9"/>
  <c r="AK439" i="9"/>
  <c r="AO439" i="9" s="1"/>
  <c r="AJ439" i="9"/>
  <c r="AI439" i="9"/>
  <c r="BB438" i="9"/>
  <c r="AK438" i="9"/>
  <c r="AO438" i="9" s="1"/>
  <c r="AJ438" i="9"/>
  <c r="AI438" i="9"/>
  <c r="BB437" i="9"/>
  <c r="AK437" i="9"/>
  <c r="AO437" i="9" s="1"/>
  <c r="AJ437" i="9"/>
  <c r="AI437" i="9"/>
  <c r="BB436" i="9"/>
  <c r="AK436" i="9"/>
  <c r="AO436" i="9" s="1"/>
  <c r="AJ436" i="9"/>
  <c r="AI436" i="9"/>
  <c r="BB435" i="9"/>
  <c r="AK435" i="9"/>
  <c r="AO435" i="9" s="1"/>
  <c r="AJ435" i="9"/>
  <c r="AI435" i="9"/>
  <c r="BB434" i="9"/>
  <c r="AK434" i="9"/>
  <c r="AO434" i="9" s="1"/>
  <c r="AJ434" i="9"/>
  <c r="AI434" i="9"/>
  <c r="BB433" i="9"/>
  <c r="AK433" i="9"/>
  <c r="AO433" i="9" s="1"/>
  <c r="AJ433" i="9"/>
  <c r="AI433" i="9"/>
  <c r="BB432" i="9"/>
  <c r="AK432" i="9"/>
  <c r="AO432" i="9" s="1"/>
  <c r="AJ432" i="9"/>
  <c r="AI432" i="9"/>
  <c r="BB431" i="9"/>
  <c r="AK431" i="9"/>
  <c r="AO431" i="9" s="1"/>
  <c r="AJ431" i="9"/>
  <c r="AI431" i="9"/>
  <c r="BB430" i="9"/>
  <c r="AK430" i="9"/>
  <c r="AO430" i="9" s="1"/>
  <c r="AJ430" i="9"/>
  <c r="AI430" i="9"/>
  <c r="BB429" i="9"/>
  <c r="AK429" i="9"/>
  <c r="AO429" i="9" s="1"/>
  <c r="AJ429" i="9"/>
  <c r="AI429" i="9"/>
  <c r="BB428" i="9"/>
  <c r="AK428" i="9"/>
  <c r="AO428" i="9" s="1"/>
  <c r="AJ428" i="9"/>
  <c r="AI428" i="9"/>
  <c r="BB427" i="9"/>
  <c r="AK427" i="9"/>
  <c r="AO427" i="9" s="1"/>
  <c r="AJ427" i="9"/>
  <c r="AI427" i="9"/>
  <c r="BB426" i="9"/>
  <c r="AK426" i="9"/>
  <c r="AO426" i="9" s="1"/>
  <c r="AJ426" i="9"/>
  <c r="AI426" i="9"/>
  <c r="BB425" i="9"/>
  <c r="AK425" i="9"/>
  <c r="AO425" i="9" s="1"/>
  <c r="AJ425" i="9"/>
  <c r="AI425" i="9"/>
  <c r="BB424" i="9"/>
  <c r="AK424" i="9"/>
  <c r="AO424" i="9" s="1"/>
  <c r="AJ424" i="9"/>
  <c r="AI424" i="9"/>
  <c r="BB423" i="9"/>
  <c r="AK423" i="9"/>
  <c r="AO423" i="9" s="1"/>
  <c r="AJ423" i="9"/>
  <c r="AI423" i="9"/>
  <c r="BB422" i="9"/>
  <c r="AK422" i="9"/>
  <c r="AO422" i="9" s="1"/>
  <c r="AJ422" i="9"/>
  <c r="AI422" i="9"/>
  <c r="BB421" i="9"/>
  <c r="AK421" i="9"/>
  <c r="AO421" i="9" s="1"/>
  <c r="AJ421" i="9"/>
  <c r="AI421" i="9"/>
  <c r="BB420" i="9"/>
  <c r="AK420" i="9"/>
  <c r="AO420" i="9" s="1"/>
  <c r="AJ420" i="9"/>
  <c r="AI420" i="9"/>
  <c r="BB419" i="9"/>
  <c r="AK419" i="9"/>
  <c r="AO419" i="9" s="1"/>
  <c r="AJ419" i="9"/>
  <c r="AI419" i="9"/>
  <c r="BB418" i="9"/>
  <c r="AK418" i="9"/>
  <c r="AO418" i="9" s="1"/>
  <c r="AJ418" i="9"/>
  <c r="AI418" i="9"/>
  <c r="BB417" i="9"/>
  <c r="AK417" i="9"/>
  <c r="AO417" i="9" s="1"/>
  <c r="AJ417" i="9"/>
  <c r="AI417" i="9"/>
  <c r="BB416" i="9"/>
  <c r="AK416" i="9"/>
  <c r="AO416" i="9" s="1"/>
  <c r="AJ416" i="9"/>
  <c r="AI416" i="9"/>
  <c r="BB415" i="9"/>
  <c r="AK415" i="9"/>
  <c r="AO415" i="9" s="1"/>
  <c r="AJ415" i="9"/>
  <c r="AI415" i="9"/>
  <c r="BB414" i="9"/>
  <c r="AK414" i="9"/>
  <c r="AO414" i="9" s="1"/>
  <c r="AJ414" i="9"/>
  <c r="AI414" i="9"/>
  <c r="BB413" i="9"/>
  <c r="AK413" i="9"/>
  <c r="AO413" i="9" s="1"/>
  <c r="AJ413" i="9"/>
  <c r="AI413" i="9"/>
  <c r="BB412" i="9"/>
  <c r="AK412" i="9"/>
  <c r="AO412" i="9" s="1"/>
  <c r="AJ412" i="9"/>
  <c r="AI412" i="9"/>
  <c r="BB411" i="9"/>
  <c r="AK411" i="9"/>
  <c r="AO411" i="9" s="1"/>
  <c r="AJ411" i="9"/>
  <c r="AI411" i="9"/>
  <c r="BB410" i="9"/>
  <c r="AK410" i="9"/>
  <c r="AO410" i="9" s="1"/>
  <c r="AJ410" i="9"/>
  <c r="AI410" i="9"/>
  <c r="BB409" i="9"/>
  <c r="AK409" i="9"/>
  <c r="AO409" i="9" s="1"/>
  <c r="AJ409" i="9"/>
  <c r="AI409" i="9"/>
  <c r="BB408" i="9"/>
  <c r="AK408" i="9"/>
  <c r="AO408" i="9" s="1"/>
  <c r="AJ408" i="9"/>
  <c r="AI408" i="9"/>
  <c r="BB407" i="9"/>
  <c r="AK407" i="9"/>
  <c r="AO407" i="9" s="1"/>
  <c r="AJ407" i="9"/>
  <c r="AI407" i="9"/>
  <c r="BB406" i="9"/>
  <c r="AK406" i="9"/>
  <c r="AO406" i="9" s="1"/>
  <c r="AJ406" i="9"/>
  <c r="AI406" i="9"/>
  <c r="BB405" i="9"/>
  <c r="AK405" i="9"/>
  <c r="AO405" i="9" s="1"/>
  <c r="AJ405" i="9"/>
  <c r="AI405" i="9"/>
  <c r="BB404" i="9"/>
  <c r="AK404" i="9"/>
  <c r="AO404" i="9" s="1"/>
  <c r="AJ404" i="9"/>
  <c r="AI404" i="9"/>
  <c r="BB403" i="9"/>
  <c r="AK403" i="9"/>
  <c r="AO403" i="9" s="1"/>
  <c r="AJ403" i="9"/>
  <c r="AI403" i="9"/>
  <c r="BB402" i="9"/>
  <c r="AK402" i="9"/>
  <c r="AO402" i="9" s="1"/>
  <c r="AJ402" i="9"/>
  <c r="AI402" i="9"/>
  <c r="BB401" i="9"/>
  <c r="AK401" i="9"/>
  <c r="AO401" i="9" s="1"/>
  <c r="AJ401" i="9"/>
  <c r="AI401" i="9"/>
  <c r="BB400" i="9"/>
  <c r="AK400" i="9"/>
  <c r="AO400" i="9" s="1"/>
  <c r="AJ400" i="9"/>
  <c r="AI400" i="9"/>
  <c r="BB399" i="9"/>
  <c r="AK399" i="9"/>
  <c r="AO399" i="9" s="1"/>
  <c r="AJ399" i="9"/>
  <c r="AI399" i="9"/>
  <c r="BB398" i="9"/>
  <c r="AK398" i="9"/>
  <c r="AO398" i="9" s="1"/>
  <c r="AJ398" i="9"/>
  <c r="AI398" i="9"/>
  <c r="BB397" i="9"/>
  <c r="AK397" i="9"/>
  <c r="AO397" i="9" s="1"/>
  <c r="AJ397" i="9"/>
  <c r="AI397" i="9"/>
  <c r="BB396" i="9"/>
  <c r="AK396" i="9"/>
  <c r="AO396" i="9" s="1"/>
  <c r="AJ396" i="9"/>
  <c r="AI396" i="9"/>
  <c r="BB395" i="9"/>
  <c r="AK395" i="9"/>
  <c r="AO395" i="9" s="1"/>
  <c r="AJ395" i="9"/>
  <c r="AI395" i="9"/>
  <c r="BB394" i="9"/>
  <c r="AK394" i="9"/>
  <c r="AO394" i="9" s="1"/>
  <c r="AJ394" i="9"/>
  <c r="AI394" i="9"/>
  <c r="BB393" i="9"/>
  <c r="AK393" i="9"/>
  <c r="AO393" i="9" s="1"/>
  <c r="AJ393" i="9"/>
  <c r="AI393" i="9"/>
  <c r="BB392" i="9"/>
  <c r="AK392" i="9"/>
  <c r="AO392" i="9" s="1"/>
  <c r="AJ392" i="9"/>
  <c r="AI392" i="9"/>
  <c r="BB391" i="9"/>
  <c r="AK391" i="9"/>
  <c r="AO391" i="9" s="1"/>
  <c r="AJ391" i="9"/>
  <c r="AI391" i="9"/>
  <c r="BB390" i="9"/>
  <c r="AK390" i="9"/>
  <c r="AO390" i="9" s="1"/>
  <c r="AJ390" i="9"/>
  <c r="AI390" i="9"/>
  <c r="BB389" i="9"/>
  <c r="AK389" i="9"/>
  <c r="AO389" i="9" s="1"/>
  <c r="AJ389" i="9"/>
  <c r="AI389" i="9"/>
  <c r="BB388" i="9"/>
  <c r="AK388" i="9"/>
  <c r="AO388" i="9" s="1"/>
  <c r="AJ388" i="9"/>
  <c r="AI388" i="9"/>
  <c r="BB387" i="9"/>
  <c r="AK387" i="9"/>
  <c r="AO387" i="9" s="1"/>
  <c r="AJ387" i="9"/>
  <c r="AI387" i="9"/>
  <c r="BB386" i="9"/>
  <c r="AK386" i="9"/>
  <c r="AO386" i="9" s="1"/>
  <c r="AJ386" i="9"/>
  <c r="AI386" i="9"/>
  <c r="BB385" i="9"/>
  <c r="AK385" i="9"/>
  <c r="AO385" i="9" s="1"/>
  <c r="AJ385" i="9"/>
  <c r="AI385" i="9"/>
  <c r="BB384" i="9"/>
  <c r="AK384" i="9"/>
  <c r="AO384" i="9" s="1"/>
  <c r="AJ384" i="9"/>
  <c r="AI384" i="9"/>
  <c r="BB383" i="9"/>
  <c r="AK383" i="9"/>
  <c r="AO383" i="9" s="1"/>
  <c r="AJ383" i="9"/>
  <c r="AI383" i="9"/>
  <c r="BB382" i="9"/>
  <c r="AK382" i="9"/>
  <c r="AO382" i="9" s="1"/>
  <c r="AJ382" i="9"/>
  <c r="AI382" i="9"/>
  <c r="BB381" i="9"/>
  <c r="AK381" i="9"/>
  <c r="AO381" i="9" s="1"/>
  <c r="AJ381" i="9"/>
  <c r="AI381" i="9"/>
  <c r="BB380" i="9"/>
  <c r="AK380" i="9"/>
  <c r="AO380" i="9" s="1"/>
  <c r="AJ380" i="9"/>
  <c r="AI380" i="9"/>
  <c r="BB379" i="9"/>
  <c r="AK379" i="9"/>
  <c r="AO379" i="9" s="1"/>
  <c r="AJ379" i="9"/>
  <c r="AI379" i="9"/>
  <c r="BB378" i="9"/>
  <c r="AK378" i="9"/>
  <c r="AO378" i="9" s="1"/>
  <c r="AJ378" i="9"/>
  <c r="AI378" i="9"/>
  <c r="BB377" i="9"/>
  <c r="AK377" i="9"/>
  <c r="AO377" i="9" s="1"/>
  <c r="AJ377" i="9"/>
  <c r="AI377" i="9"/>
  <c r="BB376" i="9"/>
  <c r="AK376" i="9"/>
  <c r="AO376" i="9" s="1"/>
  <c r="AJ376" i="9"/>
  <c r="AI376" i="9"/>
  <c r="BB375" i="9"/>
  <c r="AK375" i="9"/>
  <c r="AO375" i="9" s="1"/>
  <c r="AJ375" i="9"/>
  <c r="AI375" i="9"/>
  <c r="BB374" i="9"/>
  <c r="AK374" i="9"/>
  <c r="AO374" i="9" s="1"/>
  <c r="AJ374" i="9"/>
  <c r="AI374" i="9"/>
  <c r="BB373" i="9"/>
  <c r="AK373" i="9"/>
  <c r="AO373" i="9" s="1"/>
  <c r="AJ373" i="9"/>
  <c r="AI373" i="9"/>
  <c r="BB372" i="9"/>
  <c r="AK372" i="9"/>
  <c r="AO372" i="9" s="1"/>
  <c r="AJ372" i="9"/>
  <c r="AI372" i="9"/>
  <c r="BB371" i="9"/>
  <c r="AK371" i="9"/>
  <c r="AO371" i="9" s="1"/>
  <c r="AJ371" i="9"/>
  <c r="AI371" i="9"/>
  <c r="BB370" i="9"/>
  <c r="AK370" i="9"/>
  <c r="AO370" i="9" s="1"/>
  <c r="AJ370" i="9"/>
  <c r="AI370" i="9"/>
  <c r="BB369" i="9"/>
  <c r="AK369" i="9"/>
  <c r="AO369" i="9" s="1"/>
  <c r="AJ369" i="9"/>
  <c r="AI369" i="9"/>
  <c r="BB368" i="9"/>
  <c r="AK368" i="9"/>
  <c r="AO368" i="9" s="1"/>
  <c r="AJ368" i="9"/>
  <c r="AI368" i="9"/>
  <c r="BB367" i="9"/>
  <c r="AK367" i="9"/>
  <c r="AO367" i="9" s="1"/>
  <c r="AJ367" i="9"/>
  <c r="AI367" i="9"/>
  <c r="BB366" i="9"/>
  <c r="AK366" i="9"/>
  <c r="AO366" i="9" s="1"/>
  <c r="AJ366" i="9"/>
  <c r="AI366" i="9"/>
  <c r="BB365" i="9"/>
  <c r="AK365" i="9"/>
  <c r="AO365" i="9" s="1"/>
  <c r="AJ365" i="9"/>
  <c r="AI365" i="9"/>
  <c r="BB364" i="9"/>
  <c r="AK364" i="9"/>
  <c r="AO364" i="9" s="1"/>
  <c r="AJ364" i="9"/>
  <c r="AI364" i="9"/>
  <c r="BB363" i="9"/>
  <c r="AK363" i="9"/>
  <c r="AO363" i="9" s="1"/>
  <c r="AJ363" i="9"/>
  <c r="AI363" i="9"/>
  <c r="BB362" i="9"/>
  <c r="AK362" i="9"/>
  <c r="AO362" i="9" s="1"/>
  <c r="AJ362" i="9"/>
  <c r="AI362" i="9"/>
  <c r="BB361" i="9"/>
  <c r="AK361" i="9"/>
  <c r="AO361" i="9" s="1"/>
  <c r="AJ361" i="9"/>
  <c r="AI361" i="9"/>
  <c r="BB360" i="9"/>
  <c r="AK360" i="9"/>
  <c r="AO360" i="9" s="1"/>
  <c r="AJ360" i="9"/>
  <c r="AI360" i="9"/>
  <c r="BB359" i="9"/>
  <c r="AK359" i="9"/>
  <c r="AO359" i="9" s="1"/>
  <c r="AJ359" i="9"/>
  <c r="AI359" i="9"/>
  <c r="BB358" i="9"/>
  <c r="AK358" i="9"/>
  <c r="AO358" i="9" s="1"/>
  <c r="AJ358" i="9"/>
  <c r="AI358" i="9"/>
  <c r="BB357" i="9"/>
  <c r="AK357" i="9"/>
  <c r="AO357" i="9" s="1"/>
  <c r="AJ357" i="9"/>
  <c r="AI357" i="9"/>
  <c r="BB356" i="9"/>
  <c r="AK356" i="9"/>
  <c r="AO356" i="9" s="1"/>
  <c r="AJ356" i="9"/>
  <c r="AI356" i="9"/>
  <c r="BB355" i="9"/>
  <c r="AK355" i="9"/>
  <c r="AO355" i="9" s="1"/>
  <c r="AJ355" i="9"/>
  <c r="AI355" i="9"/>
  <c r="BB354" i="9"/>
  <c r="AK354" i="9"/>
  <c r="AO354" i="9" s="1"/>
  <c r="AJ354" i="9"/>
  <c r="AI354" i="9"/>
  <c r="BB353" i="9"/>
  <c r="AK353" i="9"/>
  <c r="AO353" i="9" s="1"/>
  <c r="AJ353" i="9"/>
  <c r="AI353" i="9"/>
  <c r="BB352" i="9"/>
  <c r="AK352" i="9"/>
  <c r="AO352" i="9" s="1"/>
  <c r="AJ352" i="9"/>
  <c r="AI352" i="9"/>
  <c r="BB351" i="9"/>
  <c r="AK351" i="9"/>
  <c r="AO351" i="9" s="1"/>
  <c r="AJ351" i="9"/>
  <c r="AI351" i="9"/>
  <c r="BB350" i="9"/>
  <c r="AK350" i="9"/>
  <c r="AO350" i="9" s="1"/>
  <c r="AJ350" i="9"/>
  <c r="AI350" i="9"/>
  <c r="BB349" i="9"/>
  <c r="AK349" i="9"/>
  <c r="AO349" i="9" s="1"/>
  <c r="AJ349" i="9"/>
  <c r="AI349" i="9"/>
  <c r="BB348" i="9"/>
  <c r="AK348" i="9"/>
  <c r="AO348" i="9" s="1"/>
  <c r="AJ348" i="9"/>
  <c r="AI348" i="9"/>
  <c r="BB347" i="9"/>
  <c r="AK347" i="9"/>
  <c r="AO347" i="9" s="1"/>
  <c r="AJ347" i="9"/>
  <c r="AI347" i="9"/>
  <c r="BB346" i="9"/>
  <c r="AK346" i="9"/>
  <c r="AO346" i="9" s="1"/>
  <c r="AJ346" i="9"/>
  <c r="AI346" i="9"/>
  <c r="BB345" i="9"/>
  <c r="AK345" i="9"/>
  <c r="AO345" i="9" s="1"/>
  <c r="AJ345" i="9"/>
  <c r="AI345" i="9"/>
  <c r="BB344" i="9"/>
  <c r="AK344" i="9"/>
  <c r="AO344" i="9" s="1"/>
  <c r="AJ344" i="9"/>
  <c r="AI344" i="9"/>
  <c r="BB343" i="9"/>
  <c r="AK343" i="9"/>
  <c r="AO343" i="9" s="1"/>
  <c r="AJ343" i="9"/>
  <c r="AI343" i="9"/>
  <c r="BB342" i="9"/>
  <c r="AK342" i="9"/>
  <c r="AO342" i="9" s="1"/>
  <c r="AJ342" i="9"/>
  <c r="AI342" i="9"/>
  <c r="BB341" i="9"/>
  <c r="AK341" i="9"/>
  <c r="AO341" i="9" s="1"/>
  <c r="AJ341" i="9"/>
  <c r="AI341" i="9"/>
  <c r="BB340" i="9"/>
  <c r="AK340" i="9"/>
  <c r="AO340" i="9" s="1"/>
  <c r="AJ340" i="9"/>
  <c r="AI340" i="9"/>
  <c r="BB339" i="9"/>
  <c r="AK339" i="9"/>
  <c r="AO339" i="9" s="1"/>
  <c r="AJ339" i="9"/>
  <c r="AI339" i="9"/>
  <c r="BB338" i="9"/>
  <c r="AK338" i="9"/>
  <c r="AO338" i="9" s="1"/>
  <c r="AJ338" i="9"/>
  <c r="AI338" i="9"/>
  <c r="BB337" i="9"/>
  <c r="AK337" i="9"/>
  <c r="AO337" i="9" s="1"/>
  <c r="AJ337" i="9"/>
  <c r="AI337" i="9"/>
  <c r="BB336" i="9"/>
  <c r="AK336" i="9"/>
  <c r="AO336" i="9" s="1"/>
  <c r="AJ336" i="9"/>
  <c r="AI336" i="9"/>
  <c r="BB335" i="9"/>
  <c r="AK335" i="9"/>
  <c r="AO335" i="9" s="1"/>
  <c r="AJ335" i="9"/>
  <c r="AI335" i="9"/>
  <c r="BB334" i="9"/>
  <c r="AK334" i="9"/>
  <c r="AO334" i="9" s="1"/>
  <c r="AJ334" i="9"/>
  <c r="AI334" i="9"/>
  <c r="BB333" i="9"/>
  <c r="AK333" i="9"/>
  <c r="AO333" i="9" s="1"/>
  <c r="AJ333" i="9"/>
  <c r="AI333" i="9"/>
  <c r="BB332" i="9"/>
  <c r="AK332" i="9"/>
  <c r="AO332" i="9" s="1"/>
  <c r="AJ332" i="9"/>
  <c r="AI332" i="9"/>
  <c r="BB331" i="9"/>
  <c r="AK331" i="9"/>
  <c r="AO331" i="9" s="1"/>
  <c r="AJ331" i="9"/>
  <c r="AI331" i="9"/>
  <c r="BB330" i="9"/>
  <c r="AK330" i="9"/>
  <c r="AO330" i="9" s="1"/>
  <c r="AJ330" i="9"/>
  <c r="AI330" i="9"/>
  <c r="BB329" i="9"/>
  <c r="AK329" i="9"/>
  <c r="AO329" i="9" s="1"/>
  <c r="AJ329" i="9"/>
  <c r="AI329" i="9"/>
  <c r="BB328" i="9"/>
  <c r="AK328" i="9"/>
  <c r="AO328" i="9" s="1"/>
  <c r="AJ328" i="9"/>
  <c r="AI328" i="9"/>
  <c r="BB327" i="9"/>
  <c r="AK327" i="9"/>
  <c r="AO327" i="9" s="1"/>
  <c r="AJ327" i="9"/>
  <c r="AI327" i="9"/>
  <c r="BB326" i="9"/>
  <c r="AK326" i="9"/>
  <c r="AO326" i="9" s="1"/>
  <c r="AJ326" i="9"/>
  <c r="AI326" i="9"/>
  <c r="BB325" i="9"/>
  <c r="AK325" i="9"/>
  <c r="AO325" i="9" s="1"/>
  <c r="AJ325" i="9"/>
  <c r="AI325" i="9"/>
  <c r="BB324" i="9"/>
  <c r="AK324" i="9"/>
  <c r="AO324" i="9" s="1"/>
  <c r="AJ324" i="9"/>
  <c r="AI324" i="9"/>
  <c r="BB323" i="9"/>
  <c r="AK323" i="9"/>
  <c r="AO323" i="9" s="1"/>
  <c r="AJ323" i="9"/>
  <c r="AI323" i="9"/>
  <c r="BB322" i="9"/>
  <c r="AK322" i="9"/>
  <c r="AO322" i="9" s="1"/>
  <c r="AJ322" i="9"/>
  <c r="AI322" i="9"/>
  <c r="BB321" i="9"/>
  <c r="AK321" i="9"/>
  <c r="AO321" i="9" s="1"/>
  <c r="AJ321" i="9"/>
  <c r="AI321" i="9"/>
  <c r="BB320" i="9"/>
  <c r="AK320" i="9"/>
  <c r="AO320" i="9" s="1"/>
  <c r="AJ320" i="9"/>
  <c r="AI320" i="9"/>
  <c r="BB319" i="9"/>
  <c r="AK319" i="9"/>
  <c r="AO319" i="9" s="1"/>
  <c r="AJ319" i="9"/>
  <c r="AI319" i="9"/>
  <c r="BB318" i="9"/>
  <c r="AK318" i="9"/>
  <c r="AO318" i="9" s="1"/>
  <c r="AJ318" i="9"/>
  <c r="AI318" i="9"/>
  <c r="BB317" i="9"/>
  <c r="AK317" i="9"/>
  <c r="AO317" i="9" s="1"/>
  <c r="AJ317" i="9"/>
  <c r="AI317" i="9"/>
  <c r="BB316" i="9"/>
  <c r="AK316" i="9"/>
  <c r="AO316" i="9" s="1"/>
  <c r="AJ316" i="9"/>
  <c r="AI316" i="9"/>
  <c r="BB315" i="9"/>
  <c r="AK315" i="9"/>
  <c r="AO315" i="9" s="1"/>
  <c r="AJ315" i="9"/>
  <c r="AI315" i="9"/>
  <c r="BB314" i="9"/>
  <c r="AK314" i="9"/>
  <c r="AO314" i="9" s="1"/>
  <c r="AJ314" i="9"/>
  <c r="AI314" i="9"/>
  <c r="BB313" i="9"/>
  <c r="AK313" i="9"/>
  <c r="AO313" i="9" s="1"/>
  <c r="AJ313" i="9"/>
  <c r="AI313" i="9"/>
  <c r="BB312" i="9"/>
  <c r="AK312" i="9"/>
  <c r="AO312" i="9" s="1"/>
  <c r="AJ312" i="9"/>
  <c r="AI312" i="9"/>
  <c r="BB311" i="9"/>
  <c r="AK311" i="9"/>
  <c r="AO311" i="9" s="1"/>
  <c r="AJ311" i="9"/>
  <c r="AI311" i="9"/>
  <c r="BB310" i="9"/>
  <c r="AK310" i="9"/>
  <c r="AO310" i="9" s="1"/>
  <c r="AJ310" i="9"/>
  <c r="AI310" i="9"/>
  <c r="BB309" i="9"/>
  <c r="AK309" i="9"/>
  <c r="AO309" i="9" s="1"/>
  <c r="AJ309" i="9"/>
  <c r="AI309" i="9"/>
  <c r="BB308" i="9"/>
  <c r="AK308" i="9"/>
  <c r="AO308" i="9" s="1"/>
  <c r="AJ308" i="9"/>
  <c r="AI308" i="9"/>
  <c r="BB307" i="9"/>
  <c r="AK307" i="9"/>
  <c r="AO307" i="9" s="1"/>
  <c r="AJ307" i="9"/>
  <c r="AI307" i="9"/>
  <c r="BB306" i="9"/>
  <c r="AK306" i="9"/>
  <c r="AO306" i="9" s="1"/>
  <c r="AJ306" i="9"/>
  <c r="AI306" i="9"/>
  <c r="BB305" i="9"/>
  <c r="AK305" i="9"/>
  <c r="AO305" i="9" s="1"/>
  <c r="AJ305" i="9"/>
  <c r="AI305" i="9"/>
  <c r="BB304" i="9"/>
  <c r="AK304" i="9"/>
  <c r="AO304" i="9" s="1"/>
  <c r="AJ304" i="9"/>
  <c r="AI304" i="9"/>
  <c r="BB303" i="9"/>
  <c r="AK303" i="9"/>
  <c r="AO303" i="9" s="1"/>
  <c r="AJ303" i="9"/>
  <c r="AI303" i="9"/>
  <c r="BB302" i="9"/>
  <c r="AK302" i="9"/>
  <c r="AO302" i="9" s="1"/>
  <c r="AJ302" i="9"/>
  <c r="AI302" i="9"/>
  <c r="BB301" i="9"/>
  <c r="AK301" i="9"/>
  <c r="AO301" i="9" s="1"/>
  <c r="AJ301" i="9"/>
  <c r="AI301" i="9"/>
  <c r="BB300" i="9"/>
  <c r="AK300" i="9"/>
  <c r="AO300" i="9" s="1"/>
  <c r="AJ300" i="9"/>
  <c r="AI300" i="9"/>
  <c r="BB299" i="9"/>
  <c r="AK299" i="9"/>
  <c r="AO299" i="9" s="1"/>
  <c r="AJ299" i="9"/>
  <c r="AI299" i="9"/>
  <c r="BB298" i="9"/>
  <c r="AK298" i="9"/>
  <c r="AO298" i="9" s="1"/>
  <c r="AJ298" i="9"/>
  <c r="AI298" i="9"/>
  <c r="BB297" i="9"/>
  <c r="AK297" i="9"/>
  <c r="AO297" i="9" s="1"/>
  <c r="AJ297" i="9"/>
  <c r="AI297" i="9"/>
  <c r="BB296" i="9"/>
  <c r="AK296" i="9"/>
  <c r="AO296" i="9" s="1"/>
  <c r="AJ296" i="9"/>
  <c r="AI296" i="9"/>
  <c r="BB295" i="9"/>
  <c r="AK295" i="9"/>
  <c r="AO295" i="9" s="1"/>
  <c r="AJ295" i="9"/>
  <c r="AI295" i="9"/>
  <c r="BB294" i="9"/>
  <c r="AK294" i="9"/>
  <c r="AO294" i="9" s="1"/>
  <c r="AJ294" i="9"/>
  <c r="AI294" i="9"/>
  <c r="BB293" i="9"/>
  <c r="AK293" i="9"/>
  <c r="AO293" i="9" s="1"/>
  <c r="AJ293" i="9"/>
  <c r="AI293" i="9"/>
  <c r="BB292" i="9"/>
  <c r="AK292" i="9"/>
  <c r="AO292" i="9" s="1"/>
  <c r="AJ292" i="9"/>
  <c r="AI292" i="9"/>
  <c r="BB291" i="9"/>
  <c r="AK291" i="9"/>
  <c r="AO291" i="9" s="1"/>
  <c r="AJ291" i="9"/>
  <c r="AI291" i="9"/>
  <c r="BB290" i="9"/>
  <c r="AK290" i="9"/>
  <c r="AO290" i="9" s="1"/>
  <c r="AJ290" i="9"/>
  <c r="AI290" i="9"/>
  <c r="BB289" i="9"/>
  <c r="AK289" i="9"/>
  <c r="AO289" i="9" s="1"/>
  <c r="AJ289" i="9"/>
  <c r="AI289" i="9"/>
  <c r="BB288" i="9"/>
  <c r="AK288" i="9"/>
  <c r="AO288" i="9" s="1"/>
  <c r="AJ288" i="9"/>
  <c r="AI288" i="9"/>
  <c r="BB287" i="9"/>
  <c r="AK287" i="9"/>
  <c r="AO287" i="9" s="1"/>
  <c r="AJ287" i="9"/>
  <c r="AI287" i="9"/>
  <c r="BB286" i="9"/>
  <c r="AK286" i="9"/>
  <c r="AO286" i="9" s="1"/>
  <c r="AJ286" i="9"/>
  <c r="AI286" i="9"/>
  <c r="BB285" i="9"/>
  <c r="AK285" i="9"/>
  <c r="AO285" i="9" s="1"/>
  <c r="AJ285" i="9"/>
  <c r="AI285" i="9"/>
  <c r="BB284" i="9"/>
  <c r="AK284" i="9"/>
  <c r="AO284" i="9" s="1"/>
  <c r="AJ284" i="9"/>
  <c r="AI284" i="9"/>
  <c r="BB283" i="9"/>
  <c r="AK283" i="9"/>
  <c r="AO283" i="9" s="1"/>
  <c r="AJ283" i="9"/>
  <c r="AI283" i="9"/>
  <c r="BB282" i="9"/>
  <c r="AK282" i="9"/>
  <c r="AO282" i="9" s="1"/>
  <c r="AJ282" i="9"/>
  <c r="AI282" i="9"/>
  <c r="BB281" i="9"/>
  <c r="AK281" i="9"/>
  <c r="AO281" i="9" s="1"/>
  <c r="AJ281" i="9"/>
  <c r="AI281" i="9"/>
  <c r="BB280" i="9"/>
  <c r="AK280" i="9"/>
  <c r="AO280" i="9" s="1"/>
  <c r="AJ280" i="9"/>
  <c r="AI280" i="9"/>
  <c r="BB279" i="9"/>
  <c r="AK279" i="9"/>
  <c r="AO279" i="9" s="1"/>
  <c r="AJ279" i="9"/>
  <c r="AI279" i="9"/>
  <c r="BB278" i="9"/>
  <c r="AK278" i="9"/>
  <c r="AO278" i="9" s="1"/>
  <c r="AJ278" i="9"/>
  <c r="AI278" i="9"/>
  <c r="BB277" i="9"/>
  <c r="AK277" i="9"/>
  <c r="AO277" i="9" s="1"/>
  <c r="AJ277" i="9"/>
  <c r="AI277" i="9"/>
  <c r="BB276" i="9"/>
  <c r="AK276" i="9"/>
  <c r="AO276" i="9" s="1"/>
  <c r="AJ276" i="9"/>
  <c r="AI276" i="9"/>
  <c r="BB275" i="9"/>
  <c r="AK275" i="9"/>
  <c r="AO275" i="9" s="1"/>
  <c r="AJ275" i="9"/>
  <c r="AI275" i="9"/>
  <c r="BB274" i="9"/>
  <c r="AK274" i="9"/>
  <c r="AO274" i="9" s="1"/>
  <c r="AJ274" i="9"/>
  <c r="AI274" i="9"/>
  <c r="BB273" i="9"/>
  <c r="AK273" i="9"/>
  <c r="AO273" i="9" s="1"/>
  <c r="AJ273" i="9"/>
  <c r="AI273" i="9"/>
  <c r="BB272" i="9"/>
  <c r="AK272" i="9"/>
  <c r="AO272" i="9" s="1"/>
  <c r="AJ272" i="9"/>
  <c r="AI272" i="9"/>
  <c r="BB271" i="9"/>
  <c r="AK271" i="9"/>
  <c r="AO271" i="9" s="1"/>
  <c r="AJ271" i="9"/>
  <c r="AI271" i="9"/>
  <c r="BB270" i="9"/>
  <c r="AK270" i="9"/>
  <c r="AO270" i="9" s="1"/>
  <c r="AJ270" i="9"/>
  <c r="AI270" i="9"/>
  <c r="BB269" i="9"/>
  <c r="AK269" i="9"/>
  <c r="AO269" i="9" s="1"/>
  <c r="AJ269" i="9"/>
  <c r="AI269" i="9"/>
  <c r="BB268" i="9"/>
  <c r="AK268" i="9"/>
  <c r="AO268" i="9" s="1"/>
  <c r="AJ268" i="9"/>
  <c r="AI268" i="9"/>
  <c r="BB267" i="9"/>
  <c r="AK267" i="9"/>
  <c r="AO267" i="9" s="1"/>
  <c r="AJ267" i="9"/>
  <c r="AI267" i="9"/>
  <c r="BB266" i="9"/>
  <c r="AK266" i="9"/>
  <c r="AO266" i="9" s="1"/>
  <c r="AJ266" i="9"/>
  <c r="AI266" i="9"/>
  <c r="BB265" i="9"/>
  <c r="AK265" i="9"/>
  <c r="AO265" i="9" s="1"/>
  <c r="AJ265" i="9"/>
  <c r="AI265" i="9"/>
  <c r="BB264" i="9"/>
  <c r="AK264" i="9"/>
  <c r="AO264" i="9" s="1"/>
  <c r="AJ264" i="9"/>
  <c r="AI264" i="9"/>
  <c r="BB263" i="9"/>
  <c r="AK263" i="9"/>
  <c r="AO263" i="9" s="1"/>
  <c r="AJ263" i="9"/>
  <c r="AI263" i="9"/>
  <c r="BB262" i="9"/>
  <c r="AK262" i="9"/>
  <c r="AO262" i="9" s="1"/>
  <c r="AJ262" i="9"/>
  <c r="AI262" i="9"/>
  <c r="BB261" i="9"/>
  <c r="AK261" i="9"/>
  <c r="AO261" i="9" s="1"/>
  <c r="AJ261" i="9"/>
  <c r="AI261" i="9"/>
  <c r="BB260" i="9"/>
  <c r="AK260" i="9"/>
  <c r="AO260" i="9" s="1"/>
  <c r="AJ260" i="9"/>
  <c r="AI260" i="9"/>
  <c r="BB259" i="9"/>
  <c r="AK259" i="9"/>
  <c r="AO259" i="9" s="1"/>
  <c r="AJ259" i="9"/>
  <c r="AI259" i="9"/>
  <c r="BB258" i="9"/>
  <c r="AK258" i="9"/>
  <c r="AO258" i="9" s="1"/>
  <c r="AJ258" i="9"/>
  <c r="AI258" i="9"/>
  <c r="BB257" i="9"/>
  <c r="AK257" i="9"/>
  <c r="AO257" i="9" s="1"/>
  <c r="AJ257" i="9"/>
  <c r="AI257" i="9"/>
  <c r="BB256" i="9"/>
  <c r="AK256" i="9"/>
  <c r="AO256" i="9" s="1"/>
  <c r="AJ256" i="9"/>
  <c r="AI256" i="9"/>
  <c r="BB255" i="9"/>
  <c r="AK255" i="9"/>
  <c r="AO255" i="9" s="1"/>
  <c r="AJ255" i="9"/>
  <c r="AI255" i="9"/>
  <c r="BB254" i="9"/>
  <c r="AK254" i="9"/>
  <c r="AO254" i="9" s="1"/>
  <c r="AJ254" i="9"/>
  <c r="AI254" i="9"/>
  <c r="BB253" i="9"/>
  <c r="AK253" i="9"/>
  <c r="AO253" i="9" s="1"/>
  <c r="AJ253" i="9"/>
  <c r="AI253" i="9"/>
  <c r="BB252" i="9"/>
  <c r="AK252" i="9"/>
  <c r="AO252" i="9" s="1"/>
  <c r="AJ252" i="9"/>
  <c r="AI252" i="9"/>
  <c r="BB251" i="9"/>
  <c r="AK251" i="9"/>
  <c r="AO251" i="9" s="1"/>
  <c r="AJ251" i="9"/>
  <c r="AI251" i="9"/>
  <c r="BB250" i="9"/>
  <c r="AK250" i="9"/>
  <c r="AO250" i="9" s="1"/>
  <c r="AJ250" i="9"/>
  <c r="AI250" i="9"/>
  <c r="BB249" i="9"/>
  <c r="AK249" i="9"/>
  <c r="AO249" i="9" s="1"/>
  <c r="AJ249" i="9"/>
  <c r="AI249" i="9"/>
  <c r="BB248" i="9"/>
  <c r="AK248" i="9"/>
  <c r="AO248" i="9" s="1"/>
  <c r="AJ248" i="9"/>
  <c r="AI248" i="9"/>
  <c r="BB247" i="9"/>
  <c r="AK247" i="9"/>
  <c r="AO247" i="9" s="1"/>
  <c r="AJ247" i="9"/>
  <c r="AI247" i="9"/>
  <c r="BB246" i="9"/>
  <c r="AK246" i="9"/>
  <c r="AO246" i="9" s="1"/>
  <c r="AJ246" i="9"/>
  <c r="AI246" i="9"/>
  <c r="BB245" i="9"/>
  <c r="AK245" i="9"/>
  <c r="AO245" i="9" s="1"/>
  <c r="AJ245" i="9"/>
  <c r="AI245" i="9"/>
  <c r="BB244" i="9"/>
  <c r="AK244" i="9"/>
  <c r="AO244" i="9" s="1"/>
  <c r="AJ244" i="9"/>
  <c r="AI244" i="9"/>
  <c r="BB243" i="9"/>
  <c r="AK243" i="9"/>
  <c r="AO243" i="9" s="1"/>
  <c r="AJ243" i="9"/>
  <c r="AI243" i="9"/>
  <c r="BB242" i="9"/>
  <c r="AK242" i="9"/>
  <c r="AO242" i="9" s="1"/>
  <c r="AJ242" i="9"/>
  <c r="AI242" i="9"/>
  <c r="BB241" i="9"/>
  <c r="AK241" i="9"/>
  <c r="AO241" i="9" s="1"/>
  <c r="AJ241" i="9"/>
  <c r="AI241" i="9"/>
  <c r="BB240" i="9"/>
  <c r="AK240" i="9"/>
  <c r="AO240" i="9" s="1"/>
  <c r="AJ240" i="9"/>
  <c r="AI240" i="9"/>
  <c r="BB239" i="9"/>
  <c r="AK239" i="9"/>
  <c r="AO239" i="9" s="1"/>
  <c r="AJ239" i="9"/>
  <c r="AI239" i="9"/>
  <c r="BB238" i="9"/>
  <c r="AK238" i="9"/>
  <c r="AO238" i="9" s="1"/>
  <c r="AJ238" i="9"/>
  <c r="AI238" i="9"/>
  <c r="BB237" i="9"/>
  <c r="AK237" i="9"/>
  <c r="AO237" i="9" s="1"/>
  <c r="AJ237" i="9"/>
  <c r="AI237" i="9"/>
  <c r="BB236" i="9"/>
  <c r="AK236" i="9"/>
  <c r="AO236" i="9" s="1"/>
  <c r="AJ236" i="9"/>
  <c r="AI236" i="9"/>
  <c r="BB235" i="9"/>
  <c r="AK235" i="9"/>
  <c r="AO235" i="9" s="1"/>
  <c r="AJ235" i="9"/>
  <c r="AI235" i="9"/>
  <c r="BB234" i="9"/>
  <c r="AK234" i="9"/>
  <c r="AO234" i="9" s="1"/>
  <c r="AJ234" i="9"/>
  <c r="AI234" i="9"/>
  <c r="BB233" i="9"/>
  <c r="AK233" i="9"/>
  <c r="AO233" i="9" s="1"/>
  <c r="AJ233" i="9"/>
  <c r="AI233" i="9"/>
  <c r="BB232" i="9"/>
  <c r="AK232" i="9"/>
  <c r="AO232" i="9" s="1"/>
  <c r="AJ232" i="9"/>
  <c r="AI232" i="9"/>
  <c r="BB231" i="9"/>
  <c r="AK231" i="9"/>
  <c r="AO231" i="9" s="1"/>
  <c r="AJ231" i="9"/>
  <c r="AI231" i="9"/>
  <c r="BB230" i="9"/>
  <c r="AK230" i="9"/>
  <c r="AO230" i="9" s="1"/>
  <c r="AJ230" i="9"/>
  <c r="AI230" i="9"/>
  <c r="BB229" i="9"/>
  <c r="AK229" i="9"/>
  <c r="AO229" i="9" s="1"/>
  <c r="AJ229" i="9"/>
  <c r="AI229" i="9"/>
  <c r="BB228" i="9"/>
  <c r="AK228" i="9"/>
  <c r="AO228" i="9" s="1"/>
  <c r="AJ228" i="9"/>
  <c r="AI228" i="9"/>
  <c r="BB227" i="9"/>
  <c r="AK227" i="9"/>
  <c r="AO227" i="9" s="1"/>
  <c r="AJ227" i="9"/>
  <c r="AI227" i="9"/>
  <c r="BB226" i="9"/>
  <c r="AK226" i="9"/>
  <c r="AO226" i="9" s="1"/>
  <c r="AJ226" i="9"/>
  <c r="AI226" i="9"/>
  <c r="BB225" i="9"/>
  <c r="AK225" i="9"/>
  <c r="AO225" i="9" s="1"/>
  <c r="AJ225" i="9"/>
  <c r="AI225" i="9"/>
  <c r="BB224" i="9"/>
  <c r="AK224" i="9"/>
  <c r="AO224" i="9" s="1"/>
  <c r="AJ224" i="9"/>
  <c r="AI224" i="9"/>
  <c r="BB223" i="9"/>
  <c r="AK223" i="9"/>
  <c r="AO223" i="9" s="1"/>
  <c r="AJ223" i="9"/>
  <c r="AI223" i="9"/>
  <c r="BB222" i="9"/>
  <c r="AK222" i="9"/>
  <c r="AO222" i="9" s="1"/>
  <c r="AJ222" i="9"/>
  <c r="AI222" i="9"/>
  <c r="BB221" i="9"/>
  <c r="AK221" i="9"/>
  <c r="AO221" i="9" s="1"/>
  <c r="AJ221" i="9"/>
  <c r="AI221" i="9"/>
  <c r="BB220" i="9"/>
  <c r="AK220" i="9"/>
  <c r="AO220" i="9" s="1"/>
  <c r="AJ220" i="9"/>
  <c r="AI220" i="9"/>
  <c r="BB219" i="9"/>
  <c r="AK219" i="9"/>
  <c r="AO219" i="9" s="1"/>
  <c r="AJ219" i="9"/>
  <c r="AI219" i="9"/>
  <c r="BB218" i="9"/>
  <c r="AK218" i="9"/>
  <c r="AO218" i="9" s="1"/>
  <c r="AJ218" i="9"/>
  <c r="AI218" i="9"/>
  <c r="BB217" i="9"/>
  <c r="AK217" i="9"/>
  <c r="AO217" i="9" s="1"/>
  <c r="AJ217" i="9"/>
  <c r="AI217" i="9"/>
  <c r="BB216" i="9"/>
  <c r="AK216" i="9"/>
  <c r="AO216" i="9" s="1"/>
  <c r="AJ216" i="9"/>
  <c r="AI216" i="9"/>
  <c r="BB215" i="9"/>
  <c r="AK215" i="9"/>
  <c r="AO215" i="9" s="1"/>
  <c r="AJ215" i="9"/>
  <c r="AI215" i="9"/>
  <c r="BB214" i="9"/>
  <c r="AK214" i="9"/>
  <c r="AO214" i="9" s="1"/>
  <c r="AJ214" i="9"/>
  <c r="AI214" i="9"/>
  <c r="BB213" i="9"/>
  <c r="AK213" i="9"/>
  <c r="AO213" i="9" s="1"/>
  <c r="AJ213" i="9"/>
  <c r="AI213" i="9"/>
  <c r="BB212" i="9"/>
  <c r="AK212" i="9"/>
  <c r="AO212" i="9" s="1"/>
  <c r="AJ212" i="9"/>
  <c r="AI212" i="9"/>
  <c r="BB211" i="9"/>
  <c r="AK211" i="9"/>
  <c r="AO211" i="9" s="1"/>
  <c r="AJ211" i="9"/>
  <c r="AI211" i="9"/>
  <c r="BB210" i="9"/>
  <c r="AK210" i="9"/>
  <c r="AO210" i="9" s="1"/>
  <c r="AJ210" i="9"/>
  <c r="AI210" i="9"/>
  <c r="BB209" i="9"/>
  <c r="AK209" i="9"/>
  <c r="AO209" i="9" s="1"/>
  <c r="AJ209" i="9"/>
  <c r="AI209" i="9"/>
  <c r="BB208" i="9"/>
  <c r="AK208" i="9"/>
  <c r="AO208" i="9" s="1"/>
  <c r="AJ208" i="9"/>
  <c r="AI208" i="9"/>
  <c r="BB207" i="9"/>
  <c r="AK207" i="9"/>
  <c r="AO207" i="9" s="1"/>
  <c r="AJ207" i="9"/>
  <c r="AI207" i="9"/>
  <c r="BB206" i="9"/>
  <c r="AK206" i="9"/>
  <c r="AO206" i="9" s="1"/>
  <c r="AJ206" i="9"/>
  <c r="AI206" i="9"/>
  <c r="BB205" i="9"/>
  <c r="AK205" i="9"/>
  <c r="AO205" i="9" s="1"/>
  <c r="AJ205" i="9"/>
  <c r="AI205" i="9"/>
  <c r="BB204" i="9"/>
  <c r="AK204" i="9"/>
  <c r="AO204" i="9" s="1"/>
  <c r="AJ204" i="9"/>
  <c r="AI204" i="9"/>
  <c r="BB203" i="9"/>
  <c r="AK203" i="9"/>
  <c r="AO203" i="9" s="1"/>
  <c r="AJ203" i="9"/>
  <c r="AI203" i="9"/>
  <c r="BB202" i="9"/>
  <c r="AK202" i="9"/>
  <c r="AO202" i="9" s="1"/>
  <c r="AJ202" i="9"/>
  <c r="AI202" i="9"/>
  <c r="BB201" i="9"/>
  <c r="AK201" i="9"/>
  <c r="AO201" i="9" s="1"/>
  <c r="AJ201" i="9"/>
  <c r="AI201" i="9"/>
  <c r="BB200" i="9"/>
  <c r="AK200" i="9"/>
  <c r="AO200" i="9" s="1"/>
  <c r="AJ200" i="9"/>
  <c r="AI200" i="9"/>
  <c r="BB199" i="9"/>
  <c r="AK199" i="9"/>
  <c r="AO199" i="9" s="1"/>
  <c r="AJ199" i="9"/>
  <c r="AI199" i="9"/>
  <c r="BB198" i="9"/>
  <c r="AK198" i="9"/>
  <c r="AO198" i="9" s="1"/>
  <c r="AJ198" i="9"/>
  <c r="AI198" i="9"/>
  <c r="BB197" i="9"/>
  <c r="AK197" i="9"/>
  <c r="AO197" i="9" s="1"/>
  <c r="AJ197" i="9"/>
  <c r="AI197" i="9"/>
  <c r="BB196" i="9"/>
  <c r="AK196" i="9"/>
  <c r="AO196" i="9" s="1"/>
  <c r="AJ196" i="9"/>
  <c r="AI196" i="9"/>
  <c r="BB195" i="9"/>
  <c r="AK195" i="9"/>
  <c r="AO195" i="9" s="1"/>
  <c r="AJ195" i="9"/>
  <c r="AI195" i="9"/>
  <c r="BB194" i="9"/>
  <c r="AK194" i="9"/>
  <c r="AO194" i="9" s="1"/>
  <c r="AJ194" i="9"/>
  <c r="AI194" i="9"/>
  <c r="BB193" i="9"/>
  <c r="AK193" i="9"/>
  <c r="AO193" i="9" s="1"/>
  <c r="AJ193" i="9"/>
  <c r="AI193" i="9"/>
  <c r="BB192" i="9"/>
  <c r="AK192" i="9"/>
  <c r="AO192" i="9" s="1"/>
  <c r="AJ192" i="9"/>
  <c r="AI192" i="9"/>
  <c r="BB191" i="9"/>
  <c r="AK191" i="9"/>
  <c r="AO191" i="9" s="1"/>
  <c r="AJ191" i="9"/>
  <c r="AI191" i="9"/>
  <c r="BB190" i="9"/>
  <c r="AK190" i="9"/>
  <c r="AO190" i="9" s="1"/>
  <c r="AJ190" i="9"/>
  <c r="AI190" i="9"/>
  <c r="BB189" i="9"/>
  <c r="AK189" i="9"/>
  <c r="AO189" i="9" s="1"/>
  <c r="AJ189" i="9"/>
  <c r="AI189" i="9"/>
  <c r="BB188" i="9"/>
  <c r="AK188" i="9"/>
  <c r="AO188" i="9" s="1"/>
  <c r="AJ188" i="9"/>
  <c r="AI188" i="9"/>
  <c r="BB187" i="9"/>
  <c r="AK187" i="9"/>
  <c r="AO187" i="9" s="1"/>
  <c r="AJ187" i="9"/>
  <c r="AI187" i="9"/>
  <c r="BB186" i="9"/>
  <c r="AK186" i="9"/>
  <c r="AO186" i="9" s="1"/>
  <c r="AJ186" i="9"/>
  <c r="AI186" i="9"/>
  <c r="BB185" i="9"/>
  <c r="AK185" i="9"/>
  <c r="AO185" i="9" s="1"/>
  <c r="AJ185" i="9"/>
  <c r="AI185" i="9"/>
  <c r="BB184" i="9"/>
  <c r="AK184" i="9"/>
  <c r="AO184" i="9" s="1"/>
  <c r="AJ184" i="9"/>
  <c r="AI184" i="9"/>
  <c r="BB183" i="9"/>
  <c r="AK183" i="9"/>
  <c r="AO183" i="9" s="1"/>
  <c r="AJ183" i="9"/>
  <c r="AI183" i="9"/>
  <c r="BB182" i="9"/>
  <c r="AK182" i="9"/>
  <c r="AO182" i="9" s="1"/>
  <c r="AJ182" i="9"/>
  <c r="AI182" i="9"/>
  <c r="BB181" i="9"/>
  <c r="AK181" i="9"/>
  <c r="AO181" i="9" s="1"/>
  <c r="AJ181" i="9"/>
  <c r="AI181" i="9"/>
  <c r="BB180" i="9"/>
  <c r="AK180" i="9"/>
  <c r="AO180" i="9" s="1"/>
  <c r="AJ180" i="9"/>
  <c r="AI180" i="9"/>
  <c r="BB179" i="9"/>
  <c r="AK179" i="9"/>
  <c r="AO179" i="9" s="1"/>
  <c r="AJ179" i="9"/>
  <c r="AI179" i="9"/>
  <c r="BB178" i="9"/>
  <c r="AK178" i="9"/>
  <c r="AO178" i="9" s="1"/>
  <c r="AJ178" i="9"/>
  <c r="AI178" i="9"/>
  <c r="BB177" i="9"/>
  <c r="AK177" i="9"/>
  <c r="AO177" i="9" s="1"/>
  <c r="AJ177" i="9"/>
  <c r="AI177" i="9"/>
  <c r="BB176" i="9"/>
  <c r="AK176" i="9"/>
  <c r="AO176" i="9" s="1"/>
  <c r="AJ176" i="9"/>
  <c r="AI176" i="9"/>
  <c r="BB175" i="9"/>
  <c r="AK175" i="9"/>
  <c r="AO175" i="9" s="1"/>
  <c r="AJ175" i="9"/>
  <c r="AI175" i="9"/>
  <c r="BB174" i="9"/>
  <c r="AK174" i="9"/>
  <c r="AO174" i="9" s="1"/>
  <c r="AJ174" i="9"/>
  <c r="AI174" i="9"/>
  <c r="BB173" i="9"/>
  <c r="AK173" i="9"/>
  <c r="AO173" i="9" s="1"/>
  <c r="AJ173" i="9"/>
  <c r="AI173" i="9"/>
  <c r="BB172" i="9"/>
  <c r="AK172" i="9"/>
  <c r="AO172" i="9" s="1"/>
  <c r="AJ172" i="9"/>
  <c r="AI172" i="9"/>
  <c r="BB171" i="9"/>
  <c r="AK171" i="9"/>
  <c r="AO171" i="9" s="1"/>
  <c r="AJ171" i="9"/>
  <c r="AI171" i="9"/>
  <c r="BB170" i="9"/>
  <c r="AK170" i="9"/>
  <c r="AO170" i="9" s="1"/>
  <c r="AJ170" i="9"/>
  <c r="AI170" i="9"/>
  <c r="BB169" i="9"/>
  <c r="AK169" i="9"/>
  <c r="AO169" i="9" s="1"/>
  <c r="AJ169" i="9"/>
  <c r="AI169" i="9"/>
  <c r="BB168" i="9"/>
  <c r="AK168" i="9"/>
  <c r="AO168" i="9" s="1"/>
  <c r="AJ168" i="9"/>
  <c r="AI168" i="9"/>
  <c r="BB167" i="9"/>
  <c r="AK167" i="9"/>
  <c r="AO167" i="9" s="1"/>
  <c r="AJ167" i="9"/>
  <c r="AI167" i="9"/>
  <c r="BB166" i="9"/>
  <c r="AK166" i="9"/>
  <c r="AO166" i="9" s="1"/>
  <c r="AJ166" i="9"/>
  <c r="AI166" i="9"/>
  <c r="BB165" i="9"/>
  <c r="AK165" i="9"/>
  <c r="AO165" i="9" s="1"/>
  <c r="AJ165" i="9"/>
  <c r="AI165" i="9"/>
  <c r="BB164" i="9"/>
  <c r="AK164" i="9"/>
  <c r="AO164" i="9" s="1"/>
  <c r="AJ164" i="9"/>
  <c r="AI164" i="9"/>
  <c r="BB163" i="9"/>
  <c r="AK163" i="9"/>
  <c r="AO163" i="9" s="1"/>
  <c r="AJ163" i="9"/>
  <c r="AI163" i="9"/>
  <c r="BB162" i="9"/>
  <c r="AK162" i="9"/>
  <c r="AO162" i="9" s="1"/>
  <c r="AJ162" i="9"/>
  <c r="AI162" i="9"/>
  <c r="BB161" i="9"/>
  <c r="AK161" i="9"/>
  <c r="AO161" i="9" s="1"/>
  <c r="AJ161" i="9"/>
  <c r="AI161" i="9"/>
  <c r="BB160" i="9"/>
  <c r="AK160" i="9"/>
  <c r="AO160" i="9" s="1"/>
  <c r="AJ160" i="9"/>
  <c r="AI160" i="9"/>
  <c r="BB159" i="9"/>
  <c r="AK159" i="9"/>
  <c r="AO159" i="9" s="1"/>
  <c r="AJ159" i="9"/>
  <c r="AI159" i="9"/>
  <c r="BB158" i="9"/>
  <c r="AK158" i="9"/>
  <c r="AO158" i="9" s="1"/>
  <c r="AJ158" i="9"/>
  <c r="AI158" i="9"/>
  <c r="BB157" i="9"/>
  <c r="AK157" i="9"/>
  <c r="AO157" i="9" s="1"/>
  <c r="AJ157" i="9"/>
  <c r="AI157" i="9"/>
  <c r="BB156" i="9"/>
  <c r="AK156" i="9"/>
  <c r="AO156" i="9" s="1"/>
  <c r="AJ156" i="9"/>
  <c r="AI156" i="9"/>
  <c r="BB155" i="9"/>
  <c r="AK155" i="9"/>
  <c r="AO155" i="9" s="1"/>
  <c r="AJ155" i="9"/>
  <c r="AI155" i="9"/>
  <c r="BB154" i="9"/>
  <c r="AK154" i="9"/>
  <c r="AO154" i="9" s="1"/>
  <c r="AJ154" i="9"/>
  <c r="AI154" i="9"/>
  <c r="BB153" i="9"/>
  <c r="AK153" i="9"/>
  <c r="AO153" i="9" s="1"/>
  <c r="AJ153" i="9"/>
  <c r="AI153" i="9"/>
  <c r="BB152" i="9"/>
  <c r="AK152" i="9"/>
  <c r="AO152" i="9" s="1"/>
  <c r="AJ152" i="9"/>
  <c r="AI152" i="9"/>
  <c r="BB151" i="9"/>
  <c r="AK151" i="9"/>
  <c r="AO151" i="9" s="1"/>
  <c r="AJ151" i="9"/>
  <c r="AI151" i="9"/>
  <c r="BB150" i="9"/>
  <c r="AK150" i="9"/>
  <c r="AO150" i="9" s="1"/>
  <c r="AJ150" i="9"/>
  <c r="AI150" i="9"/>
  <c r="BB149" i="9"/>
  <c r="AK149" i="9"/>
  <c r="AO149" i="9" s="1"/>
  <c r="AJ149" i="9"/>
  <c r="AI149" i="9"/>
  <c r="BB148" i="9"/>
  <c r="AK148" i="9"/>
  <c r="AO148" i="9" s="1"/>
  <c r="AJ148" i="9"/>
  <c r="AI148" i="9"/>
  <c r="BB147" i="9"/>
  <c r="AK147" i="9"/>
  <c r="AO147" i="9" s="1"/>
  <c r="AJ147" i="9"/>
  <c r="AI147" i="9"/>
  <c r="BB146" i="9"/>
  <c r="AK146" i="9"/>
  <c r="AO146" i="9" s="1"/>
  <c r="AJ146" i="9"/>
  <c r="AI146" i="9"/>
  <c r="BB145" i="9"/>
  <c r="AK145" i="9"/>
  <c r="AO145" i="9" s="1"/>
  <c r="AJ145" i="9"/>
  <c r="AI145" i="9"/>
  <c r="BB144" i="9"/>
  <c r="AK144" i="9"/>
  <c r="AO144" i="9" s="1"/>
  <c r="AJ144" i="9"/>
  <c r="AI144" i="9"/>
  <c r="BB143" i="9"/>
  <c r="AK143" i="9"/>
  <c r="AO143" i="9" s="1"/>
  <c r="AJ143" i="9"/>
  <c r="AI143" i="9"/>
  <c r="BB142" i="9"/>
  <c r="AK142" i="9"/>
  <c r="AO142" i="9" s="1"/>
  <c r="AJ142" i="9"/>
  <c r="AI142" i="9"/>
  <c r="BB141" i="9"/>
  <c r="AK141" i="9"/>
  <c r="AO141" i="9" s="1"/>
  <c r="AJ141" i="9"/>
  <c r="AI141" i="9"/>
  <c r="BB140" i="9"/>
  <c r="AK140" i="9"/>
  <c r="AO140" i="9" s="1"/>
  <c r="AJ140" i="9"/>
  <c r="AI140" i="9"/>
  <c r="BB139" i="9"/>
  <c r="AK139" i="9"/>
  <c r="AO139" i="9" s="1"/>
  <c r="AJ139" i="9"/>
  <c r="AI139" i="9"/>
  <c r="BB138" i="9"/>
  <c r="AK138" i="9"/>
  <c r="AO138" i="9" s="1"/>
  <c r="AJ138" i="9"/>
  <c r="AI138" i="9"/>
  <c r="BB137" i="9"/>
  <c r="AK137" i="9"/>
  <c r="AO137" i="9" s="1"/>
  <c r="AJ137" i="9"/>
  <c r="AI137" i="9"/>
  <c r="BB136" i="9"/>
  <c r="AK136" i="9"/>
  <c r="AO136" i="9" s="1"/>
  <c r="AJ136" i="9"/>
  <c r="AI136" i="9"/>
  <c r="BB135" i="9"/>
  <c r="AK135" i="9"/>
  <c r="AO135" i="9" s="1"/>
  <c r="AJ135" i="9"/>
  <c r="AI135" i="9"/>
  <c r="BB134" i="9"/>
  <c r="AK134" i="9"/>
  <c r="AO134" i="9" s="1"/>
  <c r="AJ134" i="9"/>
  <c r="AI134" i="9"/>
  <c r="BB133" i="9"/>
  <c r="AK133" i="9"/>
  <c r="AO133" i="9" s="1"/>
  <c r="AJ133" i="9"/>
  <c r="AI133" i="9"/>
  <c r="BB132" i="9"/>
  <c r="AK132" i="9"/>
  <c r="AO132" i="9" s="1"/>
  <c r="AJ132" i="9"/>
  <c r="AI132" i="9"/>
  <c r="BB131" i="9"/>
  <c r="AK131" i="9"/>
  <c r="AO131" i="9" s="1"/>
  <c r="AJ131" i="9"/>
  <c r="AI131" i="9"/>
  <c r="BB130" i="9"/>
  <c r="AK130" i="9"/>
  <c r="AO130" i="9" s="1"/>
  <c r="AJ130" i="9"/>
  <c r="AI130" i="9"/>
  <c r="BB129" i="9"/>
  <c r="AK129" i="9"/>
  <c r="AO129" i="9" s="1"/>
  <c r="AJ129" i="9"/>
  <c r="AI129" i="9"/>
  <c r="BB128" i="9"/>
  <c r="AK128" i="9"/>
  <c r="AO128" i="9" s="1"/>
  <c r="AJ128" i="9"/>
  <c r="AI128" i="9"/>
  <c r="BB127" i="9"/>
  <c r="AK127" i="9"/>
  <c r="AO127" i="9" s="1"/>
  <c r="AJ127" i="9"/>
  <c r="AI127" i="9"/>
  <c r="BB126" i="9"/>
  <c r="AK126" i="9"/>
  <c r="AO126" i="9" s="1"/>
  <c r="AJ126" i="9"/>
  <c r="AI126" i="9"/>
  <c r="BB125" i="9"/>
  <c r="AK125" i="9"/>
  <c r="AO125" i="9" s="1"/>
  <c r="AJ125" i="9"/>
  <c r="AI125" i="9"/>
  <c r="BB124" i="9"/>
  <c r="AK124" i="9"/>
  <c r="AO124" i="9" s="1"/>
  <c r="AJ124" i="9"/>
  <c r="AI124" i="9"/>
  <c r="BB123" i="9"/>
  <c r="AK123" i="9"/>
  <c r="AO123" i="9" s="1"/>
  <c r="AJ123" i="9"/>
  <c r="AI123" i="9"/>
  <c r="BB122" i="9"/>
  <c r="AK122" i="9"/>
  <c r="AO122" i="9" s="1"/>
  <c r="AJ122" i="9"/>
  <c r="AI122" i="9"/>
  <c r="BB121" i="9"/>
  <c r="AK121" i="9"/>
  <c r="AO121" i="9" s="1"/>
  <c r="AJ121" i="9"/>
  <c r="AI121" i="9"/>
  <c r="BB120" i="9"/>
  <c r="AK120" i="9"/>
  <c r="AO120" i="9" s="1"/>
  <c r="AJ120" i="9"/>
  <c r="AI120" i="9"/>
  <c r="BB119" i="9"/>
  <c r="AK119" i="9"/>
  <c r="AO119" i="9" s="1"/>
  <c r="AJ119" i="9"/>
  <c r="AI119" i="9"/>
  <c r="BB118" i="9"/>
  <c r="AK118" i="9"/>
  <c r="AO118" i="9" s="1"/>
  <c r="AJ118" i="9"/>
  <c r="AI118" i="9"/>
  <c r="BB117" i="9"/>
  <c r="AK117" i="9"/>
  <c r="AO117" i="9" s="1"/>
  <c r="AJ117" i="9"/>
  <c r="AI117" i="9"/>
  <c r="BB116" i="9"/>
  <c r="AK116" i="9"/>
  <c r="AO116" i="9" s="1"/>
  <c r="AJ116" i="9"/>
  <c r="AI116" i="9"/>
  <c r="BB115" i="9"/>
  <c r="AK115" i="9"/>
  <c r="AO115" i="9" s="1"/>
  <c r="AJ115" i="9"/>
  <c r="AI115" i="9"/>
  <c r="BB114" i="9"/>
  <c r="AK114" i="9"/>
  <c r="AO114" i="9" s="1"/>
  <c r="AJ114" i="9"/>
  <c r="AI114" i="9"/>
  <c r="BB113" i="9"/>
  <c r="AK113" i="9"/>
  <c r="AO113" i="9" s="1"/>
  <c r="AJ113" i="9"/>
  <c r="AI113" i="9"/>
  <c r="BB112" i="9"/>
  <c r="AK112" i="9"/>
  <c r="AO112" i="9" s="1"/>
  <c r="AJ112" i="9"/>
  <c r="AI112" i="9"/>
  <c r="BB111" i="9"/>
  <c r="AK111" i="9"/>
  <c r="AO111" i="9" s="1"/>
  <c r="AJ111" i="9"/>
  <c r="AI111" i="9"/>
  <c r="BB110" i="9"/>
  <c r="AK110" i="9"/>
  <c r="AO110" i="9" s="1"/>
  <c r="AJ110" i="9"/>
  <c r="AI110" i="9"/>
  <c r="BB109" i="9"/>
  <c r="AK109" i="9"/>
  <c r="AO109" i="9" s="1"/>
  <c r="AJ109" i="9"/>
  <c r="AI109" i="9"/>
  <c r="BB108" i="9"/>
  <c r="AK108" i="9"/>
  <c r="AO108" i="9" s="1"/>
  <c r="AJ108" i="9"/>
  <c r="AI108" i="9"/>
  <c r="BB107" i="9"/>
  <c r="AK107" i="9"/>
  <c r="AO107" i="9" s="1"/>
  <c r="AJ107" i="9"/>
  <c r="AI107" i="9"/>
  <c r="BB106" i="9"/>
  <c r="AK106" i="9"/>
  <c r="AO106" i="9" s="1"/>
  <c r="AJ106" i="9"/>
  <c r="AI106" i="9"/>
  <c r="BB105" i="9"/>
  <c r="AK105" i="9"/>
  <c r="AO105" i="9" s="1"/>
  <c r="AJ105" i="9"/>
  <c r="AI105" i="9"/>
  <c r="BB104" i="9"/>
  <c r="AK104" i="9"/>
  <c r="AO104" i="9" s="1"/>
  <c r="AJ104" i="9"/>
  <c r="AI104" i="9"/>
  <c r="BB103" i="9"/>
  <c r="AK103" i="9"/>
  <c r="AO103" i="9" s="1"/>
  <c r="AJ103" i="9"/>
  <c r="AI103" i="9"/>
  <c r="BB102" i="9"/>
  <c r="AK102" i="9"/>
  <c r="AO102" i="9" s="1"/>
  <c r="AJ102" i="9"/>
  <c r="AI102" i="9"/>
  <c r="BB101" i="9"/>
  <c r="AK101" i="9"/>
  <c r="AO101" i="9" s="1"/>
  <c r="AJ101" i="9"/>
  <c r="AI101" i="9"/>
  <c r="BB100" i="9"/>
  <c r="AK100" i="9"/>
  <c r="AO100" i="9" s="1"/>
  <c r="AJ100" i="9"/>
  <c r="AI100" i="9"/>
  <c r="BB99" i="9"/>
  <c r="AK99" i="9"/>
  <c r="AO99" i="9" s="1"/>
  <c r="AJ99" i="9"/>
  <c r="AI99" i="9"/>
  <c r="BB98" i="9"/>
  <c r="AK98" i="9"/>
  <c r="AO98" i="9" s="1"/>
  <c r="AJ98" i="9"/>
  <c r="AI98" i="9"/>
  <c r="BB97" i="9"/>
  <c r="AK97" i="9"/>
  <c r="AO97" i="9" s="1"/>
  <c r="AJ97" i="9"/>
  <c r="AI97" i="9"/>
  <c r="BB96" i="9"/>
  <c r="AK96" i="9"/>
  <c r="AO96" i="9" s="1"/>
  <c r="AJ96" i="9"/>
  <c r="AI96" i="9"/>
  <c r="BB95" i="9"/>
  <c r="AK95" i="9"/>
  <c r="AO95" i="9" s="1"/>
  <c r="AJ95" i="9"/>
  <c r="AI95" i="9"/>
  <c r="BB94" i="9"/>
  <c r="AK94" i="9"/>
  <c r="AO94" i="9" s="1"/>
  <c r="AJ94" i="9"/>
  <c r="AI94" i="9"/>
  <c r="BB93" i="9"/>
  <c r="AK93" i="9"/>
  <c r="AO93" i="9" s="1"/>
  <c r="AJ93" i="9"/>
  <c r="AI93" i="9"/>
  <c r="BB92" i="9"/>
  <c r="AK92" i="9"/>
  <c r="AO92" i="9" s="1"/>
  <c r="AJ92" i="9"/>
  <c r="AI92" i="9"/>
  <c r="BB91" i="9"/>
  <c r="AK91" i="9"/>
  <c r="AO91" i="9" s="1"/>
  <c r="AJ91" i="9"/>
  <c r="AI91" i="9"/>
  <c r="BB90" i="9"/>
  <c r="AK90" i="9"/>
  <c r="AO90" i="9" s="1"/>
  <c r="AJ90" i="9"/>
  <c r="AI90" i="9"/>
  <c r="BB89" i="9"/>
  <c r="AK89" i="9"/>
  <c r="AO89" i="9" s="1"/>
  <c r="AJ89" i="9"/>
  <c r="AI89" i="9"/>
  <c r="BB88" i="9"/>
  <c r="AK88" i="9"/>
  <c r="AO88" i="9" s="1"/>
  <c r="AJ88" i="9"/>
  <c r="AI88" i="9"/>
  <c r="BB87" i="9"/>
  <c r="AK87" i="9"/>
  <c r="AO87" i="9" s="1"/>
  <c r="AJ87" i="9"/>
  <c r="AI87" i="9"/>
  <c r="BB86" i="9"/>
  <c r="AK86" i="9"/>
  <c r="AO86" i="9" s="1"/>
  <c r="AJ86" i="9"/>
  <c r="AI86" i="9"/>
  <c r="BB85" i="9"/>
  <c r="AK85" i="9"/>
  <c r="AO85" i="9" s="1"/>
  <c r="AJ85" i="9"/>
  <c r="AI85" i="9"/>
  <c r="BB84" i="9"/>
  <c r="AK84" i="9"/>
  <c r="AO84" i="9" s="1"/>
  <c r="AJ84" i="9"/>
  <c r="AI84" i="9"/>
  <c r="BB83" i="9"/>
  <c r="AK83" i="9"/>
  <c r="AO83" i="9" s="1"/>
  <c r="AJ83" i="9"/>
  <c r="AI83" i="9"/>
  <c r="BB82" i="9"/>
  <c r="AK82" i="9"/>
  <c r="AO82" i="9" s="1"/>
  <c r="AJ82" i="9"/>
  <c r="AI82" i="9"/>
  <c r="BB81" i="9"/>
  <c r="AK81" i="9"/>
  <c r="AO81" i="9" s="1"/>
  <c r="AJ81" i="9"/>
  <c r="AI81" i="9"/>
  <c r="BB80" i="9"/>
  <c r="AK80" i="9"/>
  <c r="AO80" i="9" s="1"/>
  <c r="AJ80" i="9"/>
  <c r="AI80" i="9"/>
  <c r="BB79" i="9"/>
  <c r="AK79" i="9"/>
  <c r="AO79" i="9" s="1"/>
  <c r="AJ79" i="9"/>
  <c r="AI79" i="9"/>
  <c r="BB78" i="9"/>
  <c r="AK78" i="9"/>
  <c r="AO78" i="9" s="1"/>
  <c r="AJ78" i="9"/>
  <c r="AI78" i="9"/>
  <c r="BB77" i="9"/>
  <c r="AK77" i="9"/>
  <c r="AO77" i="9" s="1"/>
  <c r="AJ77" i="9"/>
  <c r="AI77" i="9"/>
  <c r="BB76" i="9"/>
  <c r="AK76" i="9"/>
  <c r="AO76" i="9" s="1"/>
  <c r="AJ76" i="9"/>
  <c r="AI76" i="9"/>
  <c r="BB75" i="9"/>
  <c r="AK75" i="9"/>
  <c r="AO75" i="9" s="1"/>
  <c r="AJ75" i="9"/>
  <c r="AI75" i="9"/>
  <c r="BB74" i="9"/>
  <c r="AK74" i="9"/>
  <c r="AO74" i="9" s="1"/>
  <c r="AJ74" i="9"/>
  <c r="AI74" i="9"/>
  <c r="BB73" i="9"/>
  <c r="AK73" i="9"/>
  <c r="AO73" i="9" s="1"/>
  <c r="AJ73" i="9"/>
  <c r="AI73" i="9"/>
  <c r="BB72" i="9"/>
  <c r="AK72" i="9"/>
  <c r="AO72" i="9" s="1"/>
  <c r="AJ72" i="9"/>
  <c r="AI72" i="9"/>
  <c r="BB71" i="9"/>
  <c r="AK71" i="9"/>
  <c r="AO71" i="9" s="1"/>
  <c r="AJ71" i="9"/>
  <c r="AI71" i="9"/>
  <c r="BB70" i="9"/>
  <c r="AK70" i="9"/>
  <c r="AO70" i="9" s="1"/>
  <c r="AJ70" i="9"/>
  <c r="AI70" i="9"/>
  <c r="BB69" i="9"/>
  <c r="AK69" i="9"/>
  <c r="AO69" i="9" s="1"/>
  <c r="AJ69" i="9"/>
  <c r="AI69" i="9"/>
  <c r="BB68" i="9"/>
  <c r="AK68" i="9"/>
  <c r="AO68" i="9" s="1"/>
  <c r="AJ68" i="9"/>
  <c r="AI68" i="9"/>
  <c r="BB67" i="9"/>
  <c r="AK67" i="9"/>
  <c r="AO67" i="9" s="1"/>
  <c r="AJ67" i="9"/>
  <c r="AI67" i="9"/>
  <c r="BB66" i="9"/>
  <c r="AK66" i="9"/>
  <c r="AO66" i="9" s="1"/>
  <c r="AJ66" i="9"/>
  <c r="AI66" i="9"/>
  <c r="BB65" i="9"/>
  <c r="AK65" i="9"/>
  <c r="AO65" i="9" s="1"/>
  <c r="AJ65" i="9"/>
  <c r="AI65" i="9"/>
  <c r="BB64" i="9"/>
  <c r="AK64" i="9"/>
  <c r="AO64" i="9" s="1"/>
  <c r="AJ64" i="9"/>
  <c r="AI64" i="9"/>
  <c r="BB63" i="9"/>
  <c r="AK63" i="9"/>
  <c r="AO63" i="9" s="1"/>
  <c r="AJ63" i="9"/>
  <c r="AI63" i="9"/>
  <c r="BB62" i="9"/>
  <c r="AK62" i="9"/>
  <c r="AO62" i="9" s="1"/>
  <c r="AJ62" i="9"/>
  <c r="AI62" i="9"/>
  <c r="BB61" i="9"/>
  <c r="AK61" i="9"/>
  <c r="AO61" i="9" s="1"/>
  <c r="AJ61" i="9"/>
  <c r="AI61" i="9"/>
  <c r="BB60" i="9"/>
  <c r="AK60" i="9"/>
  <c r="AO60" i="9" s="1"/>
  <c r="AJ60" i="9"/>
  <c r="AI60" i="9"/>
  <c r="BB59" i="9"/>
  <c r="AK59" i="9"/>
  <c r="AO59" i="9" s="1"/>
  <c r="AJ59" i="9"/>
  <c r="AI59" i="9"/>
  <c r="BB58" i="9"/>
  <c r="AK58" i="9"/>
  <c r="AO58" i="9" s="1"/>
  <c r="AJ58" i="9"/>
  <c r="AI58" i="9"/>
  <c r="BB57" i="9"/>
  <c r="AK57" i="9"/>
  <c r="AO57" i="9" s="1"/>
  <c r="AJ57" i="9"/>
  <c r="AI57" i="9"/>
  <c r="BB56" i="9"/>
  <c r="AK56" i="9"/>
  <c r="AO56" i="9" s="1"/>
  <c r="AJ56" i="9"/>
  <c r="AI56" i="9"/>
  <c r="BB55" i="9"/>
  <c r="AK55" i="9"/>
  <c r="AO55" i="9" s="1"/>
  <c r="AJ55" i="9"/>
  <c r="AI55" i="9"/>
  <c r="BB54" i="9"/>
  <c r="AK54" i="9"/>
  <c r="AO54" i="9" s="1"/>
  <c r="AJ54" i="9"/>
  <c r="AI54" i="9"/>
  <c r="BB53" i="9"/>
  <c r="AK53" i="9"/>
  <c r="AO53" i="9" s="1"/>
  <c r="AJ53" i="9"/>
  <c r="AI53" i="9"/>
  <c r="BB52" i="9"/>
  <c r="AK52" i="9"/>
  <c r="AO52" i="9" s="1"/>
  <c r="AJ52" i="9"/>
  <c r="AI52" i="9"/>
  <c r="BB51" i="9"/>
  <c r="AK51" i="9"/>
  <c r="AO51" i="9" s="1"/>
  <c r="AJ51" i="9"/>
  <c r="AI51" i="9"/>
  <c r="BB50" i="9"/>
  <c r="AK50" i="9"/>
  <c r="AO50" i="9" s="1"/>
  <c r="AJ50" i="9"/>
  <c r="AI50" i="9"/>
  <c r="BB49" i="9"/>
  <c r="AK49" i="9"/>
  <c r="AO49" i="9" s="1"/>
  <c r="AJ49" i="9"/>
  <c r="AI49" i="9"/>
  <c r="BB48" i="9"/>
  <c r="AK48" i="9"/>
  <c r="AO48" i="9" s="1"/>
  <c r="AJ48" i="9"/>
  <c r="AI48" i="9"/>
  <c r="BB47" i="9"/>
  <c r="AK47" i="9"/>
  <c r="AO47" i="9" s="1"/>
  <c r="AJ47" i="9"/>
  <c r="AI47" i="9"/>
  <c r="BB46" i="9"/>
  <c r="AK46" i="9"/>
  <c r="AO46" i="9" s="1"/>
  <c r="AJ46" i="9"/>
  <c r="AI46" i="9"/>
  <c r="BB45" i="9"/>
  <c r="AK45" i="9"/>
  <c r="AO45" i="9" s="1"/>
  <c r="AJ45" i="9"/>
  <c r="AI45" i="9"/>
  <c r="BB44" i="9"/>
  <c r="AK44" i="9"/>
  <c r="AO44" i="9" s="1"/>
  <c r="AJ44" i="9"/>
  <c r="AI44" i="9"/>
  <c r="BB43" i="9"/>
  <c r="AK43" i="9"/>
  <c r="AO43" i="9" s="1"/>
  <c r="AJ43" i="9"/>
  <c r="AI43" i="9"/>
  <c r="BB42" i="9"/>
  <c r="AK42" i="9"/>
  <c r="AO42" i="9" s="1"/>
  <c r="AJ42" i="9"/>
  <c r="AI42" i="9"/>
  <c r="BB41" i="9"/>
  <c r="AK41" i="9"/>
  <c r="AO41" i="9" s="1"/>
  <c r="AJ41" i="9"/>
  <c r="AI41" i="9"/>
  <c r="BB40" i="9"/>
  <c r="AK40" i="9"/>
  <c r="AO40" i="9" s="1"/>
  <c r="AJ40" i="9"/>
  <c r="AI40" i="9"/>
  <c r="BB39" i="9"/>
  <c r="AK39" i="9"/>
  <c r="AO39" i="9" s="1"/>
  <c r="AJ39" i="9"/>
  <c r="AI39" i="9"/>
  <c r="BB38" i="9"/>
  <c r="AK38" i="9"/>
  <c r="AO38" i="9" s="1"/>
  <c r="AJ38" i="9"/>
  <c r="AI38" i="9"/>
  <c r="BB37" i="9"/>
  <c r="AK37" i="9"/>
  <c r="AO37" i="9" s="1"/>
  <c r="AJ37" i="9"/>
  <c r="AI37" i="9"/>
  <c r="BB36" i="9"/>
  <c r="AK36" i="9"/>
  <c r="AO36" i="9" s="1"/>
  <c r="AJ36" i="9"/>
  <c r="AI36" i="9"/>
  <c r="BB35" i="9"/>
  <c r="AK35" i="9"/>
  <c r="AO35" i="9" s="1"/>
  <c r="AJ35" i="9"/>
  <c r="AI35" i="9"/>
  <c r="BB34" i="9"/>
  <c r="AK34" i="9"/>
  <c r="AO34" i="9" s="1"/>
  <c r="AJ34" i="9"/>
  <c r="AI34" i="9"/>
  <c r="BB33" i="9"/>
  <c r="AK33" i="9"/>
  <c r="AO33" i="9" s="1"/>
  <c r="AJ33" i="9"/>
  <c r="AI33" i="9"/>
  <c r="BB32" i="9"/>
  <c r="AK32" i="9"/>
  <c r="AO32" i="9" s="1"/>
  <c r="AJ32" i="9"/>
  <c r="AI32" i="9"/>
  <c r="BB31" i="9"/>
  <c r="AK31" i="9"/>
  <c r="AO31" i="9" s="1"/>
  <c r="AJ31" i="9"/>
  <c r="AI31" i="9"/>
  <c r="BB30" i="9"/>
  <c r="AK30" i="9"/>
  <c r="AO30" i="9" s="1"/>
  <c r="AJ30" i="9"/>
  <c r="AI30" i="9"/>
  <c r="BB29" i="9"/>
  <c r="AK29" i="9"/>
  <c r="AO29" i="9" s="1"/>
  <c r="AJ29" i="9"/>
  <c r="AI29" i="9"/>
  <c r="BB28" i="9"/>
  <c r="AK28" i="9"/>
  <c r="AO28" i="9" s="1"/>
  <c r="AJ28" i="9"/>
  <c r="AI28" i="9"/>
  <c r="BB27" i="9"/>
  <c r="AK27" i="9"/>
  <c r="AO27" i="9" s="1"/>
  <c r="AJ27" i="9"/>
  <c r="AI27" i="9"/>
  <c r="BB26" i="9"/>
  <c r="AK26" i="9"/>
  <c r="AO26" i="9" s="1"/>
  <c r="AJ26" i="9"/>
  <c r="AI26" i="9"/>
  <c r="BB25" i="9"/>
  <c r="AK25" i="9"/>
  <c r="AO25" i="9" s="1"/>
  <c r="AJ25" i="9"/>
  <c r="AI25" i="9"/>
  <c r="BB24" i="9"/>
  <c r="AK24" i="9"/>
  <c r="AO24" i="9" s="1"/>
  <c r="AJ24" i="9"/>
  <c r="AI24" i="9"/>
  <c r="BB23" i="9"/>
  <c r="AK23" i="9"/>
  <c r="AO23" i="9" s="1"/>
  <c r="AJ23" i="9"/>
  <c r="AI23" i="9"/>
  <c r="BB22" i="9"/>
  <c r="AK22" i="9"/>
  <c r="AO22" i="9" s="1"/>
  <c r="AJ22" i="9"/>
  <c r="AI22" i="9"/>
  <c r="BB21" i="9"/>
  <c r="AK21" i="9"/>
  <c r="AO21" i="9" s="1"/>
  <c r="AJ21" i="9"/>
  <c r="AI21" i="9"/>
  <c r="BB20" i="9"/>
  <c r="AK20" i="9"/>
  <c r="AO20" i="9" s="1"/>
  <c r="AJ20" i="9"/>
  <c r="AI20" i="9"/>
  <c r="BB19" i="9"/>
  <c r="AK19" i="9"/>
  <c r="AO19" i="9" s="1"/>
  <c r="AJ19" i="9"/>
  <c r="AI19" i="9"/>
  <c r="BB18" i="9"/>
  <c r="AK18" i="9"/>
  <c r="AO18" i="9" s="1"/>
  <c r="AJ18" i="9"/>
  <c r="AI18" i="9"/>
  <c r="BB17" i="9"/>
  <c r="AK17" i="9"/>
  <c r="AO17" i="9" s="1"/>
  <c r="AJ17" i="9"/>
  <c r="AI17" i="9"/>
  <c r="BB16" i="9"/>
  <c r="AK16" i="9"/>
  <c r="AO16" i="9" s="1"/>
  <c r="AJ16" i="9"/>
  <c r="AI16" i="9"/>
  <c r="BB15" i="9"/>
  <c r="AK15" i="9"/>
  <c r="AO15" i="9" s="1"/>
  <c r="AJ15" i="9"/>
  <c r="AI15" i="9"/>
  <c r="AK14" i="9"/>
  <c r="AO14" i="9" s="1"/>
  <c r="J35" i="7"/>
  <c r="E35" i="7"/>
  <c r="G35" i="7" s="1"/>
  <c r="J34" i="7"/>
  <c r="E34" i="7"/>
  <c r="G34" i="7" s="1"/>
  <c r="J33" i="7"/>
  <c r="E33" i="7"/>
  <c r="F33" i="7" s="1"/>
  <c r="J32" i="7"/>
  <c r="E32" i="7"/>
  <c r="G32" i="7" s="1"/>
  <c r="J31" i="7"/>
  <c r="E31" i="7"/>
  <c r="G31" i="7" s="1"/>
  <c r="J30" i="7"/>
  <c r="E30" i="7"/>
  <c r="G30" i="7" s="1"/>
  <c r="J29" i="7"/>
  <c r="E29" i="7"/>
  <c r="F29" i="7" s="1"/>
  <c r="J28" i="7"/>
  <c r="E28" i="7"/>
  <c r="J27" i="7"/>
  <c r="J26" i="7"/>
  <c r="J25" i="7"/>
  <c r="J24" i="7"/>
  <c r="J23" i="7"/>
  <c r="J22" i="7"/>
  <c r="J21" i="7"/>
  <c r="J20" i="7"/>
  <c r="J19" i="7"/>
  <c r="J18" i="7"/>
  <c r="J17" i="7"/>
  <c r="J16" i="7"/>
  <c r="E16" i="7"/>
  <c r="J15" i="7"/>
  <c r="E15" i="7"/>
  <c r="J14" i="7"/>
  <c r="J13" i="7"/>
  <c r="J12" i="7"/>
  <c r="E12" i="7"/>
  <c r="R61" i="5"/>
  <c r="H61" i="5"/>
  <c r="G61" i="5" s="1"/>
  <c r="E61" i="5"/>
  <c r="R60" i="5"/>
  <c r="H60" i="5"/>
  <c r="G60" i="5" s="1"/>
  <c r="E60" i="5"/>
  <c r="R59" i="5"/>
  <c r="H59" i="5"/>
  <c r="G59" i="5" s="1"/>
  <c r="K59" i="5" s="1"/>
  <c r="E59" i="5"/>
  <c r="R58" i="5"/>
  <c r="H58" i="5"/>
  <c r="G58" i="5" s="1"/>
  <c r="I58" i="5" s="1"/>
  <c r="E58" i="5"/>
  <c r="R57" i="5"/>
  <c r="H57" i="5"/>
  <c r="G57" i="5" s="1"/>
  <c r="K57" i="5" s="1"/>
  <c r="E57" i="5"/>
  <c r="R56" i="5"/>
  <c r="H56" i="5"/>
  <c r="G56" i="5" s="1"/>
  <c r="E56" i="5"/>
  <c r="R55" i="5"/>
  <c r="H55" i="5"/>
  <c r="G55" i="5" s="1"/>
  <c r="E55" i="5"/>
  <c r="R54" i="5"/>
  <c r="H54" i="5"/>
  <c r="G54" i="5" s="1"/>
  <c r="E54" i="5"/>
  <c r="R53" i="5"/>
  <c r="H53" i="5"/>
  <c r="G53" i="5" s="1"/>
  <c r="E53" i="5"/>
  <c r="R52" i="5"/>
  <c r="H52" i="5"/>
  <c r="G52" i="5" s="1"/>
  <c r="E52" i="5"/>
  <c r="R51" i="5"/>
  <c r="H51" i="5"/>
  <c r="G51" i="5" s="1"/>
  <c r="K51" i="5" s="1"/>
  <c r="E51" i="5"/>
  <c r="R50" i="5"/>
  <c r="H50" i="5"/>
  <c r="G50" i="5" s="1"/>
  <c r="E50" i="5"/>
  <c r="R49" i="5"/>
  <c r="H49" i="5"/>
  <c r="G49" i="5" s="1"/>
  <c r="E49" i="5"/>
  <c r="R48" i="5"/>
  <c r="H48" i="5"/>
  <c r="G48" i="5" s="1"/>
  <c r="E48" i="5"/>
  <c r="R47" i="5"/>
  <c r="H47" i="5"/>
  <c r="G47" i="5" s="1"/>
  <c r="E47" i="5"/>
  <c r="R46" i="5"/>
  <c r="H46" i="5"/>
  <c r="G46" i="5" s="1"/>
  <c r="E46" i="5"/>
  <c r="R45" i="5"/>
  <c r="H45" i="5"/>
  <c r="G45" i="5" s="1"/>
  <c r="E45" i="5"/>
  <c r="R44" i="5"/>
  <c r="H44" i="5"/>
  <c r="G44" i="5" s="1"/>
  <c r="E44" i="5"/>
  <c r="R43" i="5"/>
  <c r="H43" i="5"/>
  <c r="G43" i="5" s="1"/>
  <c r="E43" i="5"/>
  <c r="R42" i="5"/>
  <c r="H42" i="5"/>
  <c r="G42" i="5" s="1"/>
  <c r="E42" i="5"/>
  <c r="R41" i="5"/>
  <c r="H41" i="5"/>
  <c r="G41" i="5" s="1"/>
  <c r="K41" i="5" s="1"/>
  <c r="E41" i="5"/>
  <c r="R40" i="5"/>
  <c r="H40" i="5"/>
  <c r="G40" i="5" s="1"/>
  <c r="E40" i="5"/>
  <c r="R39" i="5"/>
  <c r="H39" i="5"/>
  <c r="G39" i="5" s="1"/>
  <c r="E39" i="5"/>
  <c r="R38" i="5"/>
  <c r="H38" i="5"/>
  <c r="G38" i="5" s="1"/>
  <c r="E38" i="5"/>
  <c r="R37" i="5"/>
  <c r="H37" i="5"/>
  <c r="G37" i="5" s="1"/>
  <c r="E37" i="5"/>
  <c r="R36" i="5"/>
  <c r="H36" i="5"/>
  <c r="G36" i="5" s="1"/>
  <c r="E36" i="5"/>
  <c r="R35" i="5"/>
  <c r="H35" i="5"/>
  <c r="G35" i="5" s="1"/>
  <c r="E35" i="5"/>
  <c r="R34" i="5"/>
  <c r="H34" i="5"/>
  <c r="G34" i="5" s="1"/>
  <c r="E34" i="5"/>
  <c r="R33" i="5"/>
  <c r="H33" i="5"/>
  <c r="G33" i="5" s="1"/>
  <c r="K33" i="5" s="1"/>
  <c r="E33" i="5"/>
  <c r="R32" i="5"/>
  <c r="H32" i="5"/>
  <c r="G32" i="5" s="1"/>
  <c r="E32" i="5"/>
  <c r="R31" i="5"/>
  <c r="H31" i="5"/>
  <c r="G31" i="5" s="1"/>
  <c r="E31" i="5"/>
  <c r="R30" i="5"/>
  <c r="H30" i="5"/>
  <c r="G30" i="5" s="1"/>
  <c r="E30" i="5"/>
  <c r="R29" i="5"/>
  <c r="H29" i="5"/>
  <c r="G29" i="5" s="1"/>
  <c r="E29" i="5"/>
  <c r="R28" i="5"/>
  <c r="H28" i="5"/>
  <c r="G28" i="5" s="1"/>
  <c r="E28" i="5"/>
  <c r="R27" i="5"/>
  <c r="H27" i="5"/>
  <c r="G27" i="5" s="1"/>
  <c r="E27" i="5"/>
  <c r="R26" i="5"/>
  <c r="E26" i="5"/>
  <c r="R25" i="5"/>
  <c r="E25" i="5"/>
  <c r="R24" i="5"/>
  <c r="E24" i="5"/>
  <c r="R23" i="5"/>
  <c r="E23" i="5"/>
  <c r="R22" i="5"/>
  <c r="E22" i="5"/>
  <c r="R21" i="5"/>
  <c r="E21" i="5"/>
  <c r="R20" i="5"/>
  <c r="E20" i="5"/>
  <c r="R19" i="5"/>
  <c r="E19" i="5"/>
  <c r="R18" i="5"/>
  <c r="E18" i="5"/>
  <c r="R17" i="5"/>
  <c r="E17" i="5"/>
  <c r="R16" i="5"/>
  <c r="E16" i="5"/>
  <c r="R15" i="5"/>
  <c r="E15" i="5"/>
  <c r="R14" i="5"/>
  <c r="E14" i="5"/>
  <c r="R13" i="5"/>
  <c r="E13" i="5"/>
  <c r="R12" i="5"/>
  <c r="E12" i="5"/>
  <c r="J56" i="4"/>
  <c r="N52" i="4" s="1"/>
  <c r="S51" i="4"/>
  <c r="S47" i="4"/>
  <c r="G26" i="4"/>
  <c r="Q24" i="4"/>
  <c r="Q18" i="4"/>
  <c r="C51" i="3"/>
  <c r="C50" i="3"/>
  <c r="C49" i="3"/>
  <c r="C48" i="3"/>
  <c r="C47" i="3"/>
  <c r="C46" i="3"/>
  <c r="C45" i="3"/>
  <c r="C44" i="3"/>
  <c r="C43" i="3"/>
  <c r="E40" i="3"/>
  <c r="D40" i="3"/>
  <c r="E26" i="7" s="1"/>
  <c r="C40" i="3"/>
  <c r="E39" i="3"/>
  <c r="D39" i="3"/>
  <c r="E25" i="7" s="1"/>
  <c r="C39" i="3"/>
  <c r="L38" i="3"/>
  <c r="D38" i="3"/>
  <c r="E24" i="7" s="1"/>
  <c r="C38" i="3"/>
  <c r="C37" i="3"/>
  <c r="D36" i="3"/>
  <c r="E22" i="7" s="1"/>
  <c r="C36" i="3"/>
  <c r="C34" i="3"/>
  <c r="H32" i="3"/>
  <c r="C32" i="3" s="1"/>
  <c r="E32" i="3"/>
  <c r="D32" i="3"/>
  <c r="E20" i="7" s="1"/>
  <c r="D31" i="3"/>
  <c r="E18" i="7" s="1"/>
  <c r="C31" i="3"/>
  <c r="H30" i="3"/>
  <c r="C30" i="3" s="1"/>
  <c r="E30" i="3"/>
  <c r="C29" i="3"/>
  <c r="H28" i="3"/>
  <c r="E28" i="3"/>
  <c r="C28" i="3"/>
  <c r="B28" i="3" s="1"/>
  <c r="H25" i="3"/>
  <c r="E25" i="3"/>
  <c r="D25" i="3"/>
  <c r="E19" i="7" s="1"/>
  <c r="C25" i="3"/>
  <c r="C24" i="3"/>
  <c r="H23" i="3"/>
  <c r="E23" i="3"/>
  <c r="C23" i="3"/>
  <c r="C22" i="3"/>
  <c r="E21" i="3"/>
  <c r="C21" i="3"/>
  <c r="B21" i="3" s="1"/>
  <c r="B54" i="3"/>
  <c r="Z12" i="9" s="1"/>
  <c r="G57" i="2"/>
  <c r="D24" i="3"/>
  <c r="E17" i="7" s="1"/>
  <c r="N36" i="2"/>
  <c r="V35" i="2"/>
  <c r="V33" i="2" a="1"/>
  <c r="V33" i="2" s="1"/>
  <c r="H29" i="2"/>
  <c r="H28" i="2"/>
  <c r="H27" i="2"/>
  <c r="H26" i="2"/>
  <c r="N19" i="2"/>
  <c r="Z10" i="2" s="1"/>
  <c r="AB18" i="2"/>
  <c r="AB16" i="2"/>
  <c r="AB19" i="2" s="1"/>
  <c r="N16" i="2"/>
  <c r="AE11" i="2" s="1"/>
  <c r="U15" i="2"/>
  <c r="G12" i="2"/>
  <c r="G11" i="2"/>
  <c r="F11" i="2"/>
  <c r="F13" i="2" s="1"/>
  <c r="D34" i="3" s="1"/>
  <c r="AB9" i="2"/>
  <c r="AB10" i="2" s="1"/>
  <c r="AB11" i="2" s="1"/>
  <c r="N10" i="2" s="1"/>
  <c r="N12" i="2" s="1"/>
  <c r="AE8" i="2"/>
  <c r="AB8" i="2"/>
  <c r="AV18" i="9" l="1"/>
  <c r="AV321" i="9"/>
  <c r="AV324" i="9"/>
  <c r="AV327" i="9"/>
  <c r="AV333" i="9"/>
  <c r="AV339" i="9"/>
  <c r="AV345" i="9"/>
  <c r="AV351" i="9"/>
  <c r="AV354" i="9"/>
  <c r="AV357" i="9"/>
  <c r="AV363" i="9"/>
  <c r="AV366" i="9"/>
  <c r="AV369" i="9"/>
  <c r="AV375" i="9"/>
  <c r="AV378" i="9"/>
  <c r="AV381" i="9"/>
  <c r="AV387" i="9"/>
  <c r="AV372" i="9"/>
  <c r="AV360" i="9"/>
  <c r="AV348" i="9"/>
  <c r="AV342" i="9"/>
  <c r="AV336" i="9"/>
  <c r="AV330" i="9"/>
  <c r="AG37" i="16"/>
  <c r="AH37" i="16" s="1"/>
  <c r="AI37" i="16" s="1"/>
  <c r="AB37" i="16"/>
  <c r="AD37" i="16"/>
  <c r="Z37" i="16"/>
  <c r="V37" i="16"/>
  <c r="X37" i="16"/>
  <c r="T38" i="16"/>
  <c r="AF37" i="16"/>
  <c r="AV819" i="9"/>
  <c r="AV822" i="9"/>
  <c r="AV825" i="9"/>
  <c r="AV828" i="9"/>
  <c r="AV831" i="9"/>
  <c r="AV834" i="9"/>
  <c r="AV21" i="9"/>
  <c r="AV24" i="9"/>
  <c r="AV27" i="9"/>
  <c r="AV30" i="9"/>
  <c r="AV33" i="9"/>
  <c r="AV36" i="9"/>
  <c r="AV39" i="9"/>
  <c r="AV42" i="9"/>
  <c r="AV45" i="9"/>
  <c r="AV48" i="9"/>
  <c r="AV51" i="9"/>
  <c r="AV54" i="9"/>
  <c r="AV57" i="9"/>
  <c r="AV60" i="9"/>
  <c r="AV63" i="9"/>
  <c r="AV69" i="9"/>
  <c r="AV72" i="9"/>
  <c r="AV75" i="9"/>
  <c r="AV78" i="9"/>
  <c r="AV81" i="9"/>
  <c r="AV84" i="9"/>
  <c r="AV87" i="9"/>
  <c r="AV90" i="9"/>
  <c r="AV93" i="9"/>
  <c r="AV96" i="9"/>
  <c r="AV99" i="9"/>
  <c r="AV102" i="9"/>
  <c r="AV105" i="9"/>
  <c r="AV108" i="9"/>
  <c r="AV111" i="9"/>
  <c r="AV114" i="9"/>
  <c r="AV117" i="9"/>
  <c r="AV120" i="9"/>
  <c r="AV123" i="9"/>
  <c r="AV126" i="9"/>
  <c r="AV129" i="9"/>
  <c r="AV132" i="9"/>
  <c r="AV135" i="9"/>
  <c r="AV138" i="9"/>
  <c r="AV141" i="9"/>
  <c r="AV144" i="9"/>
  <c r="AV147" i="9"/>
  <c r="AV150" i="9"/>
  <c r="AV153" i="9"/>
  <c r="AV156" i="9"/>
  <c r="AV159" i="9"/>
  <c r="AV162" i="9"/>
  <c r="AV165" i="9"/>
  <c r="AV168" i="9"/>
  <c r="AV171" i="9"/>
  <c r="AV174" i="9"/>
  <c r="AV177" i="9"/>
  <c r="AV180" i="9"/>
  <c r="AV183" i="9"/>
  <c r="AV186" i="9"/>
  <c r="AV189" i="9"/>
  <c r="AV192" i="9"/>
  <c r="AV195" i="9"/>
  <c r="AV198" i="9"/>
  <c r="AV201" i="9"/>
  <c r="AV204" i="9"/>
  <c r="AV207" i="9"/>
  <c r="AV210" i="9"/>
  <c r="AV213" i="9"/>
  <c r="AV216" i="9"/>
  <c r="AV219" i="9"/>
  <c r="AV222" i="9"/>
  <c r="AV225" i="9"/>
  <c r="AV228" i="9"/>
  <c r="AV231" i="9"/>
  <c r="AV234" i="9"/>
  <c r="AV237" i="9"/>
  <c r="AV240" i="9"/>
  <c r="AV243" i="9"/>
  <c r="AV249" i="9"/>
  <c r="AV252" i="9"/>
  <c r="AV255" i="9"/>
  <c r="AV258" i="9"/>
  <c r="AV261" i="9"/>
  <c r="AV264" i="9"/>
  <c r="AV267" i="9"/>
  <c r="AV270" i="9"/>
  <c r="AV273" i="9"/>
  <c r="AV276" i="9"/>
  <c r="AV279" i="9"/>
  <c r="AV282" i="9"/>
  <c r="AV285" i="9"/>
  <c r="AV288" i="9"/>
  <c r="AV291" i="9"/>
  <c r="AV294" i="9"/>
  <c r="AV297" i="9"/>
  <c r="AV300" i="9"/>
  <c r="AV303" i="9"/>
  <c r="AV306" i="9"/>
  <c r="AV309" i="9"/>
  <c r="AV312" i="9"/>
  <c r="AV315" i="9"/>
  <c r="AV318" i="9"/>
  <c r="AV807" i="9"/>
  <c r="AV813" i="9"/>
  <c r="AV816" i="9"/>
  <c r="AV837" i="9"/>
  <c r="AV840" i="9"/>
  <c r="AV843" i="9"/>
  <c r="AV384" i="9"/>
  <c r="AV390" i="9"/>
  <c r="AV393" i="9"/>
  <c r="AV396" i="9"/>
  <c r="AV399" i="9"/>
  <c r="AV402" i="9"/>
  <c r="AV405" i="9"/>
  <c r="AV408" i="9"/>
  <c r="AV411" i="9"/>
  <c r="AV414" i="9"/>
  <c r="AV417" i="9"/>
  <c r="AV420" i="9"/>
  <c r="AV423" i="9"/>
  <c r="AV426" i="9"/>
  <c r="AV429" i="9"/>
  <c r="AV432" i="9"/>
  <c r="AV435" i="9"/>
  <c r="AV438" i="9"/>
  <c r="AV441" i="9"/>
  <c r="AV444" i="9"/>
  <c r="AV447" i="9"/>
  <c r="AV450" i="9"/>
  <c r="AV453" i="9"/>
  <c r="AV456" i="9"/>
  <c r="AV459" i="9"/>
  <c r="AV462" i="9"/>
  <c r="AV465" i="9"/>
  <c r="AV468" i="9"/>
  <c r="AV471" i="9"/>
  <c r="AV474" i="9"/>
  <c r="AV477" i="9"/>
  <c r="AV480" i="9"/>
  <c r="AV483" i="9"/>
  <c r="AV486" i="9"/>
  <c r="AV489" i="9"/>
  <c r="AV492" i="9"/>
  <c r="AV495" i="9"/>
  <c r="AV498" i="9"/>
  <c r="AV501" i="9"/>
  <c r="AV504" i="9"/>
  <c r="AV507" i="9"/>
  <c r="AV510" i="9"/>
  <c r="AV513" i="9"/>
  <c r="AV516" i="9"/>
  <c r="AV519" i="9"/>
  <c r="AV522" i="9"/>
  <c r="AV525" i="9"/>
  <c r="AV528" i="9"/>
  <c r="AV531" i="9"/>
  <c r="AV534" i="9"/>
  <c r="AV537" i="9"/>
  <c r="AV540" i="9"/>
  <c r="AV543" i="9"/>
  <c r="AV546" i="9"/>
  <c r="AV549" i="9"/>
  <c r="AV552" i="9"/>
  <c r="AV555" i="9"/>
  <c r="AV558" i="9"/>
  <c r="AV561" i="9"/>
  <c r="AV564" i="9"/>
  <c r="AV567" i="9"/>
  <c r="AV570" i="9"/>
  <c r="AV573" i="9"/>
  <c r="AV576" i="9"/>
  <c r="AV579" i="9"/>
  <c r="AV582" i="9"/>
  <c r="AV585" i="9"/>
  <c r="AV588" i="9"/>
  <c r="AV591" i="9"/>
  <c r="AV594" i="9"/>
  <c r="AV597" i="9"/>
  <c r="AV600" i="9"/>
  <c r="AV603" i="9"/>
  <c r="AV606" i="9"/>
  <c r="AV609" i="9"/>
  <c r="AV612" i="9"/>
  <c r="AV615" i="9"/>
  <c r="AV618" i="9"/>
  <c r="AV621" i="9"/>
  <c r="AV624" i="9"/>
  <c r="AV627" i="9"/>
  <c r="AV630" i="9"/>
  <c r="AV633" i="9"/>
  <c r="AV636" i="9"/>
  <c r="AV639" i="9"/>
  <c r="AV642" i="9"/>
  <c r="AV645" i="9"/>
  <c r="AV648" i="9"/>
  <c r="AV651" i="9"/>
  <c r="AV654" i="9"/>
  <c r="AV657" i="9"/>
  <c r="AV660" i="9"/>
  <c r="AV663" i="9"/>
  <c r="AV666" i="9"/>
  <c r="AV669" i="9"/>
  <c r="AV672" i="9"/>
  <c r="AV675" i="9"/>
  <c r="AV678" i="9"/>
  <c r="AV681" i="9"/>
  <c r="AV684" i="9"/>
  <c r="AV687" i="9"/>
  <c r="AV690" i="9"/>
  <c r="AV693" i="9"/>
  <c r="AV696" i="9"/>
  <c r="AV699" i="9"/>
  <c r="AV702" i="9"/>
  <c r="AV705" i="9"/>
  <c r="AV708" i="9"/>
  <c r="AV711" i="9"/>
  <c r="AV714" i="9"/>
  <c r="AV717" i="9"/>
  <c r="AV720" i="9"/>
  <c r="AV723" i="9"/>
  <c r="AV726" i="9"/>
  <c r="AV729" i="9"/>
  <c r="AV732" i="9"/>
  <c r="AV735" i="9"/>
  <c r="AV738" i="9"/>
  <c r="AV741" i="9"/>
  <c r="AV744" i="9"/>
  <c r="AV747" i="9"/>
  <c r="AV750" i="9"/>
  <c r="AV753" i="9"/>
  <c r="AV756" i="9"/>
  <c r="AV759" i="9"/>
  <c r="AV762" i="9"/>
  <c r="AV765" i="9"/>
  <c r="AV768" i="9"/>
  <c r="AV771" i="9"/>
  <c r="AV774" i="9"/>
  <c r="AV777" i="9"/>
  <c r="AV780" i="9"/>
  <c r="AV783" i="9"/>
  <c r="AV786" i="9"/>
  <c r="AV789" i="9"/>
  <c r="AV792" i="9"/>
  <c r="AV795" i="9"/>
  <c r="AV798" i="9"/>
  <c r="AV801" i="9"/>
  <c r="AV804" i="9"/>
  <c r="AV846" i="9"/>
  <c r="AV16" i="9"/>
  <c r="AV22" i="9"/>
  <c r="AV25" i="9"/>
  <c r="AV28" i="9"/>
  <c r="AV31" i="9"/>
  <c r="AV34" i="9"/>
  <c r="AV37" i="9"/>
  <c r="AV40" i="9"/>
  <c r="AV43" i="9"/>
  <c r="AV49" i="9"/>
  <c r="AV52" i="9"/>
  <c r="AV55" i="9"/>
  <c r="AV58" i="9"/>
  <c r="AV61" i="9"/>
  <c r="AV64" i="9"/>
  <c r="AV67" i="9"/>
  <c r="AV70" i="9"/>
  <c r="AV73" i="9"/>
  <c r="AV76" i="9"/>
  <c r="AV79" i="9"/>
  <c r="AV82" i="9"/>
  <c r="AV85" i="9"/>
  <c r="AV88" i="9"/>
  <c r="AV91" i="9"/>
  <c r="AV94" i="9"/>
  <c r="AV97" i="9"/>
  <c r="AV100" i="9"/>
  <c r="AV103" i="9"/>
  <c r="AV106" i="9"/>
  <c r="AV109" i="9"/>
  <c r="AV112" i="9"/>
  <c r="AV115" i="9"/>
  <c r="AV118" i="9"/>
  <c r="AV121" i="9"/>
  <c r="AV127" i="9"/>
  <c r="AV130" i="9"/>
  <c r="AV133" i="9"/>
  <c r="AV136" i="9"/>
  <c r="AV139" i="9"/>
  <c r="AV142" i="9"/>
  <c r="AV145" i="9"/>
  <c r="AV148" i="9"/>
  <c r="AV151" i="9"/>
  <c r="AV154" i="9"/>
  <c r="AV157" i="9"/>
  <c r="AV160" i="9"/>
  <c r="AV163" i="9"/>
  <c r="AV169" i="9"/>
  <c r="AV172" i="9"/>
  <c r="AV175" i="9"/>
  <c r="AV178" i="9"/>
  <c r="AV187" i="9"/>
  <c r="AV190" i="9"/>
  <c r="AV193" i="9"/>
  <c r="AV196" i="9"/>
  <c r="AV199" i="9"/>
  <c r="AV202" i="9"/>
  <c r="AV205" i="9"/>
  <c r="AV208" i="9"/>
  <c r="AV211" i="9"/>
  <c r="AV214" i="9"/>
  <c r="AV217" i="9"/>
  <c r="AV220" i="9"/>
  <c r="AV223" i="9"/>
  <c r="AV226" i="9"/>
  <c r="AV232" i="9"/>
  <c r="AV238" i="9"/>
  <c r="AV241" i="9"/>
  <c r="AV244" i="9"/>
  <c r="AV247" i="9"/>
  <c r="AV250" i="9"/>
  <c r="AV256" i="9"/>
  <c r="AV259" i="9"/>
  <c r="AV262" i="9"/>
  <c r="AV265" i="9"/>
  <c r="AV268" i="9"/>
  <c r="AV271" i="9"/>
  <c r="AV274" i="9"/>
  <c r="AV277" i="9"/>
  <c r="AV280" i="9"/>
  <c r="AV283" i="9"/>
  <c r="AV286" i="9"/>
  <c r="AV289" i="9"/>
  <c r="AV292" i="9"/>
  <c r="AV295" i="9"/>
  <c r="AV298" i="9"/>
  <c r="AV304" i="9"/>
  <c r="AV307" i="9"/>
  <c r="AV310" i="9"/>
  <c r="AV313" i="9"/>
  <c r="AV316" i="9"/>
  <c r="AV319" i="9"/>
  <c r="AV322" i="9"/>
  <c r="AV325" i="9"/>
  <c r="AV328" i="9"/>
  <c r="AV331" i="9"/>
  <c r="AV334" i="9"/>
  <c r="AV337" i="9"/>
  <c r="AV340" i="9"/>
  <c r="AV343" i="9"/>
  <c r="AV346" i="9"/>
  <c r="AV349" i="9"/>
  <c r="AV352" i="9"/>
  <c r="AV355" i="9"/>
  <c r="AV358" i="9"/>
  <c r="AV364" i="9"/>
  <c r="AV367" i="9"/>
  <c r="AV370" i="9"/>
  <c r="AV376" i="9"/>
  <c r="AV379" i="9"/>
  <c r="AV382" i="9"/>
  <c r="AV385" i="9"/>
  <c r="AV391" i="9"/>
  <c r="AV397" i="9"/>
  <c r="AV400" i="9"/>
  <c r="AV403" i="9"/>
  <c r="AV406" i="9"/>
  <c r="AV409" i="9"/>
  <c r="AV412" i="9"/>
  <c r="AV418" i="9"/>
  <c r="AV421" i="9"/>
  <c r="AV424" i="9"/>
  <c r="AV427" i="9"/>
  <c r="AV430" i="9"/>
  <c r="AV433" i="9"/>
  <c r="AV436" i="9"/>
  <c r="AV439" i="9"/>
  <c r="AV442" i="9"/>
  <c r="AV448" i="9"/>
  <c r="AV451" i="9"/>
  <c r="AV454" i="9"/>
  <c r="AV457" i="9"/>
  <c r="AV460" i="9"/>
  <c r="AV463" i="9"/>
  <c r="AV466" i="9"/>
  <c r="AV469" i="9"/>
  <c r="AV472" i="9"/>
  <c r="AV478" i="9"/>
  <c r="AV481" i="9"/>
  <c r="AV484" i="9"/>
  <c r="AV487" i="9"/>
  <c r="AV490" i="9"/>
  <c r="AV493" i="9"/>
  <c r="AV496" i="9"/>
  <c r="AV499" i="9"/>
  <c r="AV502" i="9"/>
  <c r="AV505" i="9"/>
  <c r="AV508" i="9"/>
  <c r="AV511" i="9"/>
  <c r="AV514" i="9"/>
  <c r="AV520" i="9"/>
  <c r="AV523" i="9"/>
  <c r="AV526" i="9"/>
  <c r="AV529" i="9"/>
  <c r="AV532" i="9"/>
  <c r="AV849" i="9"/>
  <c r="AV852" i="9"/>
  <c r="AV855" i="9"/>
  <c r="AV858" i="9"/>
  <c r="AV861" i="9"/>
  <c r="AV517" i="9"/>
  <c r="AV535" i="9"/>
  <c r="AV541" i="9"/>
  <c r="AV544" i="9"/>
  <c r="AV547" i="9"/>
  <c r="AV550" i="9"/>
  <c r="AV553" i="9"/>
  <c r="AV556" i="9"/>
  <c r="AV559" i="9"/>
  <c r="AV562" i="9"/>
  <c r="AV565" i="9"/>
  <c r="AV568" i="9"/>
  <c r="AV574" i="9"/>
  <c r="AV577" i="9"/>
  <c r="AV580" i="9"/>
  <c r="AV826" i="9"/>
  <c r="AV832" i="9"/>
  <c r="AV835" i="9"/>
  <c r="AV838" i="9"/>
  <c r="AV841" i="9"/>
  <c r="AV847" i="9"/>
  <c r="AV850" i="9"/>
  <c r="AV856" i="9"/>
  <c r="AV859" i="9"/>
  <c r="AV865" i="9"/>
  <c r="AV868" i="9"/>
  <c r="AV871" i="9"/>
  <c r="AV877" i="9"/>
  <c r="AV880" i="9"/>
  <c r="AV886" i="9"/>
  <c r="AV889" i="9"/>
  <c r="AV892" i="9"/>
  <c r="AV901" i="9"/>
  <c r="AV904" i="9"/>
  <c r="AV907" i="9"/>
  <c r="AV910" i="9"/>
  <c r="AV913" i="9"/>
  <c r="AV864" i="9"/>
  <c r="AV583" i="9"/>
  <c r="AV586" i="9"/>
  <c r="AV589" i="9"/>
  <c r="AV592" i="9"/>
  <c r="AV595" i="9"/>
  <c r="AV598" i="9"/>
  <c r="AV601" i="9"/>
  <c r="AV604" i="9"/>
  <c r="AV607" i="9"/>
  <c r="AV610" i="9"/>
  <c r="AV613" i="9"/>
  <c r="AV616" i="9"/>
  <c r="AV619" i="9"/>
  <c r="AV622" i="9"/>
  <c r="AV625" i="9"/>
  <c r="AV628" i="9"/>
  <c r="AV631" i="9"/>
  <c r="AV634" i="9"/>
  <c r="AV637" i="9"/>
  <c r="AV640" i="9"/>
  <c r="AV643" i="9"/>
  <c r="AV646" i="9"/>
  <c r="AV649" i="9"/>
  <c r="AV652" i="9"/>
  <c r="AV655" i="9"/>
  <c r="AV658" i="9"/>
  <c r="AV661" i="9"/>
  <c r="AV664" i="9"/>
  <c r="AV667" i="9"/>
  <c r="AV670" i="9"/>
  <c r="AV673" i="9"/>
  <c r="AV676" i="9"/>
  <c r="AV679" i="9"/>
  <c r="AV682" i="9"/>
  <c r="AV685" i="9"/>
  <c r="AV691" i="9"/>
  <c r="AV694" i="9"/>
  <c r="AV700" i="9"/>
  <c r="AV703" i="9"/>
  <c r="AV706" i="9"/>
  <c r="AV709" i="9"/>
  <c r="AV712" i="9"/>
  <c r="AV715" i="9"/>
  <c r="AV718" i="9"/>
  <c r="AV721" i="9"/>
  <c r="AV867" i="9"/>
  <c r="AV870" i="9"/>
  <c r="AV873" i="9"/>
  <c r="AV876" i="9"/>
  <c r="AV879" i="9"/>
  <c r="AV882" i="9"/>
  <c r="AV885" i="9"/>
  <c r="AV888" i="9"/>
  <c r="AV891" i="9"/>
  <c r="AV894" i="9"/>
  <c r="AV897" i="9"/>
  <c r="AV900" i="9"/>
  <c r="AV903" i="9"/>
  <c r="AV912" i="9"/>
  <c r="AV915" i="9"/>
  <c r="AV918" i="9"/>
  <c r="AV921" i="9"/>
  <c r="AV924" i="9"/>
  <c r="AV927" i="9"/>
  <c r="AV930" i="9"/>
  <c r="AV724" i="9"/>
  <c r="AV727" i="9"/>
  <c r="AV730" i="9"/>
  <c r="AV736" i="9"/>
  <c r="AV739" i="9"/>
  <c r="AV742" i="9"/>
  <c r="AV748" i="9"/>
  <c r="AV754" i="9"/>
  <c r="AV757" i="9"/>
  <c r="AV760" i="9"/>
  <c r="AV763" i="9"/>
  <c r="AV766" i="9"/>
  <c r="AV769" i="9"/>
  <c r="AV772" i="9"/>
  <c r="AV775" i="9"/>
  <c r="AV781" i="9"/>
  <c r="AV787" i="9"/>
  <c r="AV790" i="9"/>
  <c r="AV793" i="9"/>
  <c r="AV796" i="9"/>
  <c r="AV799" i="9"/>
  <c r="AV805" i="9"/>
  <c r="AV808" i="9"/>
  <c r="AV814" i="9"/>
  <c r="AV820" i="9"/>
  <c r="AV823" i="9"/>
  <c r="AV933" i="9"/>
  <c r="AV906" i="9"/>
  <c r="AV909" i="9"/>
  <c r="AV936" i="9"/>
  <c r="AV939" i="9"/>
  <c r="AV942" i="9"/>
  <c r="AV945" i="9"/>
  <c r="AV951" i="9"/>
  <c r="AV954" i="9"/>
  <c r="AV957" i="9"/>
  <c r="AV960" i="9"/>
  <c r="AV963" i="9"/>
  <c r="AV966" i="9"/>
  <c r="AV972" i="9"/>
  <c r="AV975" i="9"/>
  <c r="AV978" i="9"/>
  <c r="AV981" i="9"/>
  <c r="AV984" i="9"/>
  <c r="AV987" i="9"/>
  <c r="AV990" i="9"/>
  <c r="AV993" i="9"/>
  <c r="AV996" i="9"/>
  <c r="AV999" i="9"/>
  <c r="AV1002" i="9"/>
  <c r="AV1005" i="9"/>
  <c r="AV1008" i="9"/>
  <c r="AV1011" i="9"/>
  <c r="AV1013" i="9"/>
  <c r="AV17" i="9"/>
  <c r="AV23" i="9"/>
  <c r="AV26" i="9"/>
  <c r="AV29" i="9"/>
  <c r="AV32" i="9"/>
  <c r="AV35" i="9"/>
  <c r="AV41" i="9"/>
  <c r="AV47" i="9"/>
  <c r="AV53" i="9"/>
  <c r="AV59" i="9"/>
  <c r="AV62" i="9"/>
  <c r="AV65" i="9"/>
  <c r="AV68" i="9"/>
  <c r="AV77" i="9"/>
  <c r="AV80" i="9"/>
  <c r="AV83" i="9"/>
  <c r="AV86" i="9"/>
  <c r="AV101" i="9"/>
  <c r="AV104" i="9"/>
  <c r="AV107" i="9"/>
  <c r="AV110" i="9"/>
  <c r="AV113" i="9"/>
  <c r="AV116" i="9"/>
  <c r="AV119" i="9"/>
  <c r="AV122" i="9"/>
  <c r="AV125" i="9"/>
  <c r="AV128" i="9"/>
  <c r="AV131" i="9"/>
  <c r="AV137" i="9"/>
  <c r="AV140" i="9"/>
  <c r="AV143" i="9"/>
  <c r="AV146" i="9"/>
  <c r="AV152" i="9"/>
  <c r="AV155" i="9"/>
  <c r="AV161" i="9"/>
  <c r="AV167" i="9"/>
  <c r="AV170" i="9"/>
  <c r="AV173" i="9"/>
  <c r="AV176" i="9"/>
  <c r="AV179" i="9"/>
  <c r="AV182" i="9"/>
  <c r="AV185" i="9"/>
  <c r="AV188" i="9"/>
  <c r="AV194" i="9"/>
  <c r="AV197" i="9"/>
  <c r="AV200" i="9"/>
  <c r="AV203" i="9"/>
  <c r="AV215" i="9"/>
  <c r="AV218" i="9"/>
  <c r="AV221" i="9"/>
  <c r="AV224" i="9"/>
  <c r="AV230" i="9"/>
  <c r="AV233" i="9"/>
  <c r="AV236" i="9"/>
  <c r="AV242" i="9"/>
  <c r="AV245" i="9"/>
  <c r="AV257" i="9"/>
  <c r="AV272" i="9"/>
  <c r="AV275" i="9"/>
  <c r="AV281" i="9"/>
  <c r="AV284" i="9"/>
  <c r="AV287" i="9"/>
  <c r="AV290" i="9"/>
  <c r="AV293" i="9"/>
  <c r="AV296" i="9"/>
  <c r="AV302" i="9"/>
  <c r="AV305" i="9"/>
  <c r="AV311" i="9"/>
  <c r="AV314" i="9"/>
  <c r="AV317" i="9"/>
  <c r="AV320" i="9"/>
  <c r="AV323" i="9"/>
  <c r="AV329" i="9"/>
  <c r="AV332" i="9"/>
  <c r="AV347" i="9"/>
  <c r="AV350" i="9"/>
  <c r="AV353" i="9"/>
  <c r="AV356" i="9"/>
  <c r="AV359" i="9"/>
  <c r="AV362" i="9"/>
  <c r="AV368" i="9"/>
  <c r="AV371" i="9"/>
  <c r="AV374" i="9"/>
  <c r="AV377" i="9"/>
  <c r="AV969" i="9"/>
  <c r="AV948" i="9"/>
  <c r="AV898" i="9"/>
  <c r="AV895" i="9"/>
  <c r="AV883" i="9"/>
  <c r="AV874" i="9"/>
  <c r="AV862" i="9"/>
  <c r="AV853" i="9"/>
  <c r="AV844" i="9"/>
  <c r="AV829" i="9"/>
  <c r="AV817" i="9"/>
  <c r="AV811" i="9"/>
  <c r="AV810" i="9"/>
  <c r="AV802" i="9"/>
  <c r="AV784" i="9"/>
  <c r="AV778" i="9"/>
  <c r="AV751" i="9"/>
  <c r="AV745" i="9"/>
  <c r="AV733" i="9"/>
  <c r="AV697" i="9"/>
  <c r="AV688" i="9"/>
  <c r="AV571" i="9"/>
  <c r="AV538" i="9"/>
  <c r="AV475" i="9"/>
  <c r="AV445" i="9"/>
  <c r="AV415" i="9"/>
  <c r="AV394" i="9"/>
  <c r="AV388" i="9"/>
  <c r="AV373" i="9"/>
  <c r="AV365" i="9"/>
  <c r="AV361" i="9"/>
  <c r="AV344" i="9"/>
  <c r="AV341" i="9"/>
  <c r="AV338" i="9"/>
  <c r="AV335" i="9"/>
  <c r="AV326" i="9"/>
  <c r="AV308" i="9"/>
  <c r="AV301" i="9"/>
  <c r="AV299" i="9"/>
  <c r="AV278" i="9"/>
  <c r="AV269" i="9"/>
  <c r="AV266" i="9"/>
  <c r="AV263" i="9"/>
  <c r="AV260" i="9"/>
  <c r="AV254" i="9"/>
  <c r="AV253" i="9"/>
  <c r="AV251" i="9"/>
  <c r="AV248" i="9"/>
  <c r="AV246" i="9"/>
  <c r="AV239" i="9"/>
  <c r="AV235" i="9"/>
  <c r="AV229" i="9"/>
  <c r="AV227" i="9"/>
  <c r="AV212" i="9"/>
  <c r="AV209" i="9"/>
  <c r="AV206" i="9"/>
  <c r="AV191" i="9"/>
  <c r="AV184" i="9"/>
  <c r="AV181" i="9"/>
  <c r="AV166" i="9"/>
  <c r="AV164" i="9"/>
  <c r="AV158" i="9"/>
  <c r="AV149" i="9"/>
  <c r="AV134" i="9"/>
  <c r="AV124" i="9"/>
  <c r="AV98" i="9"/>
  <c r="AV95" i="9"/>
  <c r="AV92" i="9"/>
  <c r="AV89" i="9"/>
  <c r="AV74" i="9"/>
  <c r="AV71" i="9"/>
  <c r="AV66" i="9"/>
  <c r="AV56" i="9"/>
  <c r="AV50" i="9"/>
  <c r="AV46" i="9"/>
  <c r="AV44" i="9"/>
  <c r="AV38" i="9"/>
  <c r="AV20" i="9"/>
  <c r="AV15" i="9"/>
  <c r="AI11" i="9"/>
  <c r="AJ11" i="9"/>
  <c r="AV19" i="9"/>
  <c r="AV380" i="9"/>
  <c r="AV383" i="9"/>
  <c r="AV386" i="9"/>
  <c r="AV389" i="9"/>
  <c r="AV392" i="9"/>
  <c r="AV395" i="9"/>
  <c r="AV398" i="9"/>
  <c r="AV401" i="9"/>
  <c r="AV404" i="9"/>
  <c r="AV407" i="9"/>
  <c r="AV410" i="9"/>
  <c r="AV413" i="9"/>
  <c r="AV416" i="9"/>
  <c r="AV419" i="9"/>
  <c r="AV422" i="9"/>
  <c r="AV425" i="9"/>
  <c r="AV428" i="9"/>
  <c r="AV431" i="9"/>
  <c r="AV434" i="9"/>
  <c r="AV437" i="9"/>
  <c r="AV440" i="9"/>
  <c r="AV443" i="9"/>
  <c r="AV446" i="9"/>
  <c r="AV449" i="9"/>
  <c r="AV452" i="9"/>
  <c r="AV455" i="9"/>
  <c r="AV458" i="9"/>
  <c r="AV461" i="9"/>
  <c r="AV464" i="9"/>
  <c r="AV467" i="9"/>
  <c r="AV470" i="9"/>
  <c r="AV473" i="9"/>
  <c r="AV476" i="9"/>
  <c r="AV479" i="9"/>
  <c r="AV482" i="9"/>
  <c r="AV485" i="9"/>
  <c r="AV488" i="9"/>
  <c r="AV491" i="9"/>
  <c r="AV494" i="9"/>
  <c r="AV497" i="9"/>
  <c r="AV500" i="9"/>
  <c r="AV503" i="9"/>
  <c r="AV506" i="9"/>
  <c r="AV509" i="9"/>
  <c r="AV512" i="9"/>
  <c r="AV515" i="9"/>
  <c r="AV518" i="9"/>
  <c r="AV521" i="9"/>
  <c r="AV524" i="9"/>
  <c r="AV527" i="9"/>
  <c r="AV530" i="9"/>
  <c r="AV533" i="9"/>
  <c r="AV536" i="9"/>
  <c r="AV539" i="9"/>
  <c r="AV542" i="9"/>
  <c r="AV545" i="9"/>
  <c r="AV548" i="9"/>
  <c r="AV551" i="9"/>
  <c r="AV554" i="9"/>
  <c r="AV557" i="9"/>
  <c r="AV560" i="9"/>
  <c r="AV563" i="9"/>
  <c r="AV566" i="9"/>
  <c r="AV569" i="9"/>
  <c r="AV572" i="9"/>
  <c r="AV575" i="9"/>
  <c r="AV578" i="9"/>
  <c r="AV581" i="9"/>
  <c r="AV584" i="9"/>
  <c r="AV587" i="9"/>
  <c r="AV590" i="9"/>
  <c r="AV593" i="9"/>
  <c r="AV596" i="9"/>
  <c r="AV599" i="9"/>
  <c r="AV602" i="9"/>
  <c r="AV605" i="9"/>
  <c r="AV608" i="9"/>
  <c r="AV611" i="9"/>
  <c r="AV614" i="9"/>
  <c r="AV617" i="9"/>
  <c r="AV620" i="9"/>
  <c r="AV623" i="9"/>
  <c r="AV626" i="9"/>
  <c r="AV629" i="9"/>
  <c r="AV632" i="9"/>
  <c r="AV635" i="9"/>
  <c r="AV638" i="9"/>
  <c r="AV641" i="9"/>
  <c r="AV644" i="9"/>
  <c r="AV647" i="9"/>
  <c r="AV650" i="9"/>
  <c r="AV653" i="9"/>
  <c r="AV656" i="9"/>
  <c r="AV659" i="9"/>
  <c r="AV662" i="9"/>
  <c r="AV665" i="9"/>
  <c r="AV668" i="9"/>
  <c r="AV671" i="9"/>
  <c r="AV674" i="9"/>
  <c r="AV677" i="9"/>
  <c r="AV680" i="9"/>
  <c r="AV683" i="9"/>
  <c r="AV686" i="9"/>
  <c r="AV689" i="9"/>
  <c r="AV692" i="9"/>
  <c r="AV695" i="9"/>
  <c r="AV698" i="9"/>
  <c r="AV701" i="9"/>
  <c r="AV704" i="9"/>
  <c r="AV707" i="9"/>
  <c r="AV710" i="9"/>
  <c r="AV713" i="9"/>
  <c r="AV716" i="9"/>
  <c r="AV719" i="9"/>
  <c r="AV722" i="9"/>
  <c r="AV725" i="9"/>
  <c r="AV728" i="9"/>
  <c r="AV731" i="9"/>
  <c r="AV734" i="9"/>
  <c r="AV737" i="9"/>
  <c r="AV740" i="9"/>
  <c r="AV743" i="9"/>
  <c r="AV746" i="9"/>
  <c r="AV749" i="9"/>
  <c r="AV752" i="9"/>
  <c r="AV755" i="9"/>
  <c r="AV916" i="9"/>
  <c r="AV919" i="9"/>
  <c r="AV922" i="9"/>
  <c r="AV925" i="9"/>
  <c r="AV928" i="9"/>
  <c r="AV931" i="9"/>
  <c r="AV934" i="9"/>
  <c r="AV937" i="9"/>
  <c r="AV940" i="9"/>
  <c r="AV943" i="9"/>
  <c r="AV946" i="9"/>
  <c r="AV949" i="9"/>
  <c r="AV952" i="9"/>
  <c r="AV955" i="9"/>
  <c r="AV958" i="9"/>
  <c r="AV961" i="9"/>
  <c r="AV964" i="9"/>
  <c r="AV967" i="9"/>
  <c r="AV970" i="9"/>
  <c r="AV973" i="9"/>
  <c r="AV976" i="9"/>
  <c r="AV979" i="9"/>
  <c r="AV982" i="9"/>
  <c r="AV985" i="9"/>
  <c r="AV988" i="9"/>
  <c r="AV991" i="9"/>
  <c r="AV994" i="9"/>
  <c r="AV997" i="9"/>
  <c r="AV1000" i="9"/>
  <c r="AV1003" i="9"/>
  <c r="AV1006" i="9"/>
  <c r="AV1009" i="9"/>
  <c r="AV1012" i="9"/>
  <c r="AV758" i="9"/>
  <c r="AV761" i="9"/>
  <c r="AV764" i="9"/>
  <c r="AV767" i="9"/>
  <c r="AV770" i="9"/>
  <c r="AV773" i="9"/>
  <c r="AV776" i="9"/>
  <c r="AV779" i="9"/>
  <c r="AV782" i="9"/>
  <c r="AV785" i="9"/>
  <c r="AV788" i="9"/>
  <c r="AV791" i="9"/>
  <c r="AV794" i="9"/>
  <c r="AV797" i="9"/>
  <c r="AV800" i="9"/>
  <c r="AV803" i="9"/>
  <c r="AV806" i="9"/>
  <c r="AV809" i="9"/>
  <c r="AV812" i="9"/>
  <c r="AV815" i="9"/>
  <c r="AV818" i="9"/>
  <c r="AV821" i="9"/>
  <c r="AV824" i="9"/>
  <c r="AV827" i="9"/>
  <c r="AV830" i="9"/>
  <c r="AV833" i="9"/>
  <c r="AV836" i="9"/>
  <c r="AV839" i="9"/>
  <c r="AV842" i="9"/>
  <c r="AV845" i="9"/>
  <c r="AV848" i="9"/>
  <c r="AV851" i="9"/>
  <c r="AV854" i="9"/>
  <c r="AV857" i="9"/>
  <c r="AV860" i="9"/>
  <c r="AV863" i="9"/>
  <c r="AV866" i="9"/>
  <c r="AV869" i="9"/>
  <c r="AV872" i="9"/>
  <c r="AV875" i="9"/>
  <c r="AV878" i="9"/>
  <c r="AV881" i="9"/>
  <c r="AV884" i="9"/>
  <c r="AV887" i="9"/>
  <c r="AV890" i="9"/>
  <c r="AV893" i="9"/>
  <c r="AV896" i="9"/>
  <c r="AV899" i="9"/>
  <c r="AV902" i="9"/>
  <c r="AV905" i="9"/>
  <c r="AV908" i="9"/>
  <c r="AV911" i="9"/>
  <c r="AV914" i="9"/>
  <c r="AV917" i="9"/>
  <c r="AV920" i="9"/>
  <c r="AV923" i="9"/>
  <c r="AV926" i="9"/>
  <c r="AV929" i="9"/>
  <c r="AV932" i="9"/>
  <c r="AV935" i="9"/>
  <c r="AV938" i="9"/>
  <c r="AV941" i="9"/>
  <c r="AV944" i="9"/>
  <c r="AV947" i="9"/>
  <c r="AV950" i="9"/>
  <c r="AV953" i="9"/>
  <c r="AV956" i="9"/>
  <c r="AV959" i="9"/>
  <c r="AV962" i="9"/>
  <c r="AV965" i="9"/>
  <c r="AV968" i="9"/>
  <c r="AV971" i="9"/>
  <c r="AV974" i="9"/>
  <c r="AV977" i="9"/>
  <c r="AV980" i="9"/>
  <c r="AV983" i="9"/>
  <c r="AV986" i="9"/>
  <c r="AV989" i="9"/>
  <c r="AV992" i="9"/>
  <c r="AV995" i="9"/>
  <c r="AV998" i="9"/>
  <c r="AV1001" i="9"/>
  <c r="AV1004" i="9"/>
  <c r="AV1007" i="9"/>
  <c r="AV1010" i="9"/>
  <c r="AM1012" i="9"/>
  <c r="AN635" i="9"/>
  <c r="AN983" i="9"/>
  <c r="AN992" i="9"/>
  <c r="AN1010" i="9"/>
  <c r="AM672" i="9"/>
  <c r="AM675" i="9"/>
  <c r="AM708" i="9"/>
  <c r="AM711" i="9"/>
  <c r="AM714" i="9"/>
  <c r="AN726" i="9"/>
  <c r="AM744" i="9"/>
  <c r="AN52" i="9"/>
  <c r="AN1008" i="9"/>
  <c r="AN381" i="9"/>
  <c r="AN108" i="9"/>
  <c r="AN156" i="9"/>
  <c r="AN159" i="9"/>
  <c r="AN198" i="9"/>
  <c r="AM420" i="9"/>
  <c r="AM436" i="9"/>
  <c r="AN406" i="9"/>
  <c r="AM783" i="9"/>
  <c r="AN457" i="9"/>
  <c r="AM676" i="9"/>
  <c r="AM679" i="9"/>
  <c r="AN119" i="9"/>
  <c r="AN206" i="9"/>
  <c r="AM236" i="9"/>
  <c r="AM893" i="9"/>
  <c r="AM278" i="9"/>
  <c r="AM281" i="9"/>
  <c r="AN759" i="9"/>
  <c r="AN768" i="9"/>
  <c r="AN771" i="9"/>
  <c r="AN774" i="9"/>
  <c r="AM386" i="9"/>
  <c r="AM258" i="9"/>
  <c r="AM285" i="9"/>
  <c r="AM291" i="9"/>
  <c r="AN452" i="9"/>
  <c r="AN542" i="9"/>
  <c r="AN862" i="9"/>
  <c r="AN874" i="9"/>
  <c r="AN877" i="9"/>
  <c r="AN211" i="9"/>
  <c r="AN214" i="9"/>
  <c r="AN220" i="9"/>
  <c r="AM277" i="9"/>
  <c r="AM453" i="9"/>
  <c r="AN943" i="9"/>
  <c r="AN967" i="9"/>
  <c r="AM582" i="9"/>
  <c r="AN630" i="9"/>
  <c r="AN860" i="9"/>
  <c r="AN866" i="9"/>
  <c r="AN896" i="9"/>
  <c r="AN97" i="9"/>
  <c r="AN100" i="9"/>
  <c r="AN103" i="9"/>
  <c r="AN118" i="9"/>
  <c r="AN196" i="9"/>
  <c r="AN500" i="9"/>
  <c r="AN506" i="9"/>
  <c r="AN509" i="9"/>
  <c r="AM596" i="9"/>
  <c r="AM301" i="9"/>
  <c r="AM322" i="9"/>
  <c r="AM665" i="9"/>
  <c r="AM671" i="9"/>
  <c r="AM674" i="9"/>
  <c r="AN850" i="9"/>
  <c r="AM170" i="9"/>
  <c r="AN173" i="9"/>
  <c r="AM176" i="9"/>
  <c r="AN468" i="9"/>
  <c r="AM471" i="9"/>
  <c r="AN516" i="9"/>
  <c r="AN546" i="9"/>
  <c r="AM341" i="9"/>
  <c r="AM421" i="9"/>
  <c r="AN678" i="9"/>
  <c r="AM684" i="9"/>
  <c r="AM687" i="9"/>
  <c r="AM69" i="9"/>
  <c r="AN380" i="9"/>
  <c r="AN451" i="9"/>
  <c r="AM544" i="9"/>
  <c r="AM914" i="9"/>
  <c r="AN598" i="9"/>
  <c r="AM798" i="9"/>
  <c r="AM959" i="9"/>
  <c r="AM962" i="9"/>
  <c r="AN300" i="9"/>
  <c r="AM339" i="9"/>
  <c r="AM345" i="9"/>
  <c r="AM691" i="9"/>
  <c r="AM697" i="9"/>
  <c r="AM700" i="9"/>
  <c r="AM703" i="9"/>
  <c r="AM998" i="9"/>
  <c r="AN21" i="9"/>
  <c r="AN268" i="9"/>
  <c r="AN310" i="9"/>
  <c r="AN363" i="9"/>
  <c r="AN416" i="9"/>
  <c r="AN478" i="9"/>
  <c r="AN484" i="9"/>
  <c r="AN505" i="9"/>
  <c r="AN514" i="9"/>
  <c r="AN523" i="9"/>
  <c r="AN535" i="9"/>
  <c r="AM594" i="9"/>
  <c r="AN612" i="9"/>
  <c r="AN746" i="9"/>
  <c r="AN749" i="9"/>
  <c r="AN830" i="9"/>
  <c r="AN836" i="9"/>
  <c r="AM839" i="9"/>
  <c r="AN45" i="9"/>
  <c r="AN48" i="9"/>
  <c r="AM457" i="9"/>
  <c r="AN984" i="9"/>
  <c r="AM987" i="9"/>
  <c r="AN245" i="9"/>
  <c r="AM402" i="9"/>
  <c r="AM574" i="9"/>
  <c r="AM580" i="9"/>
  <c r="AM165" i="9"/>
  <c r="AM189" i="9"/>
  <c r="AN473" i="9"/>
  <c r="AN952" i="9"/>
  <c r="AN263" i="9"/>
  <c r="AN266" i="9"/>
  <c r="AM311" i="9"/>
  <c r="AN352" i="9"/>
  <c r="AN379" i="9"/>
  <c r="AN429" i="9"/>
  <c r="AM435" i="9"/>
  <c r="AN530" i="9"/>
  <c r="AM533" i="9"/>
  <c r="AM801" i="9"/>
  <c r="AN73" i="9"/>
  <c r="AM82" i="9"/>
  <c r="AM127" i="9"/>
  <c r="AM130" i="9"/>
  <c r="AN133" i="9"/>
  <c r="AM148" i="9"/>
  <c r="AN246" i="9"/>
  <c r="AM249" i="9"/>
  <c r="AN252" i="9"/>
  <c r="AN388" i="9"/>
  <c r="AM400" i="9"/>
  <c r="AN548" i="9"/>
  <c r="AN664" i="9"/>
  <c r="AN879" i="9"/>
  <c r="AM166" i="9"/>
  <c r="AM175" i="9"/>
  <c r="AM181" i="9"/>
  <c r="AM187" i="9"/>
  <c r="AM226" i="9"/>
  <c r="AM306" i="9"/>
  <c r="AN315" i="9"/>
  <c r="AN365" i="9"/>
  <c r="AM433" i="9"/>
  <c r="AN436" i="9"/>
  <c r="AM531" i="9"/>
  <c r="AN534" i="9"/>
  <c r="AM605" i="9"/>
  <c r="AM620" i="9"/>
  <c r="AM635" i="9"/>
  <c r="AM832" i="9"/>
  <c r="AN838" i="9"/>
  <c r="AM841" i="9"/>
  <c r="AM844" i="9"/>
  <c r="AN882" i="9"/>
  <c r="AM950" i="9"/>
  <c r="AN125" i="9"/>
  <c r="AM131" i="9"/>
  <c r="AN244" i="9"/>
  <c r="AM253" i="9"/>
  <c r="AN318" i="9"/>
  <c r="AN389" i="9"/>
  <c r="AN404" i="9"/>
  <c r="AM561" i="9"/>
  <c r="AM576" i="9"/>
  <c r="AM579" i="9"/>
  <c r="AN582" i="9"/>
  <c r="AM662" i="9"/>
  <c r="AN692" i="9"/>
  <c r="AN707" i="9"/>
  <c r="AM710" i="9"/>
  <c r="AM725" i="9"/>
  <c r="AM728" i="9"/>
  <c r="AM734" i="9"/>
  <c r="AM743" i="9"/>
  <c r="AN66" i="9"/>
  <c r="AN301" i="9"/>
  <c r="AM354" i="9"/>
  <c r="AM881" i="9"/>
  <c r="AM96" i="9"/>
  <c r="AN264" i="9"/>
  <c r="AN267" i="9"/>
  <c r="AM296" i="9"/>
  <c r="AM299" i="9"/>
  <c r="AM328" i="9"/>
  <c r="AN331" i="9"/>
  <c r="AN372" i="9"/>
  <c r="AM398" i="9"/>
  <c r="AN415" i="9"/>
  <c r="AN427" i="9"/>
  <c r="AN450" i="9"/>
  <c r="AN467" i="9"/>
  <c r="AM470" i="9"/>
  <c r="AM488" i="9"/>
  <c r="AN491" i="9"/>
  <c r="AM591" i="9"/>
  <c r="AN594" i="9"/>
  <c r="AM608" i="9"/>
  <c r="AM655" i="9"/>
  <c r="AM28" i="9"/>
  <c r="AM34" i="9"/>
  <c r="AM126" i="9"/>
  <c r="AM132" i="9"/>
  <c r="AM135" i="9"/>
  <c r="AM144" i="9"/>
  <c r="AM147" i="9"/>
  <c r="AN908" i="9"/>
  <c r="AM958" i="9"/>
  <c r="AM961" i="9"/>
  <c r="AM964" i="9"/>
  <c r="AN990" i="9"/>
  <c r="AN273" i="9"/>
  <c r="AN285" i="9"/>
  <c r="AN334" i="9"/>
  <c r="AN810" i="9"/>
  <c r="AM1002" i="9"/>
  <c r="AN168" i="9"/>
  <c r="AN230" i="9"/>
  <c r="AM323" i="9"/>
  <c r="AM422" i="9"/>
  <c r="AM450" i="9"/>
  <c r="AN459" i="9"/>
  <c r="AN600" i="9"/>
  <c r="AN979" i="9"/>
  <c r="AM97" i="9"/>
  <c r="AM112" i="9"/>
  <c r="AM115" i="9"/>
  <c r="AM201" i="9"/>
  <c r="AM326" i="9"/>
  <c r="AM329" i="9"/>
  <c r="AN332" i="9"/>
  <c r="AM370" i="9"/>
  <c r="AM381" i="9"/>
  <c r="AM387" i="9"/>
  <c r="AN445" i="9"/>
  <c r="AM501" i="9"/>
  <c r="AN545" i="9"/>
  <c r="AN562" i="9"/>
  <c r="AN583" i="9"/>
  <c r="AM586" i="9"/>
  <c r="AN659" i="9"/>
  <c r="AN718" i="9"/>
  <c r="AN721" i="9"/>
  <c r="AN727" i="9"/>
  <c r="AM745" i="9"/>
  <c r="AM778" i="9"/>
  <c r="AN781" i="9"/>
  <c r="AN873" i="9"/>
  <c r="AM994" i="9"/>
  <c r="AM1000" i="9"/>
  <c r="AM405" i="9"/>
  <c r="AM528" i="9"/>
  <c r="AM540" i="9"/>
  <c r="AM618" i="9"/>
  <c r="AN627" i="9"/>
  <c r="AM633" i="9"/>
  <c r="AN802" i="9"/>
  <c r="AN811" i="9"/>
  <c r="AN823" i="9"/>
  <c r="AN65" i="9"/>
  <c r="AN68" i="9"/>
  <c r="AN292" i="9"/>
  <c r="AM332" i="9"/>
  <c r="AM382" i="9"/>
  <c r="AM408" i="9"/>
  <c r="AM411" i="9"/>
  <c r="AN466" i="9"/>
  <c r="AM472" i="9"/>
  <c r="AM478" i="9"/>
  <c r="AM560" i="9"/>
  <c r="AM572" i="9"/>
  <c r="AM581" i="9"/>
  <c r="AM871" i="9"/>
  <c r="AN921" i="9"/>
  <c r="AN924" i="9"/>
  <c r="AM110" i="9"/>
  <c r="AM113" i="9"/>
  <c r="AM220" i="9"/>
  <c r="AM237" i="9"/>
  <c r="AN269" i="9"/>
  <c r="AM295" i="9"/>
  <c r="AM327" i="9"/>
  <c r="AM368" i="9"/>
  <c r="AM371" i="9"/>
  <c r="AM380" i="9"/>
  <c r="AM423" i="9"/>
  <c r="AN610" i="9"/>
  <c r="AN648" i="9"/>
  <c r="AN651" i="9"/>
  <c r="AM654" i="9"/>
  <c r="AM657" i="9"/>
  <c r="AM752" i="9"/>
  <c r="AN758" i="9"/>
  <c r="AM761" i="9"/>
  <c r="AM764" i="9"/>
  <c r="AM767" i="9"/>
  <c r="AM773" i="9"/>
  <c r="AM776" i="9"/>
  <c r="AM27" i="9"/>
  <c r="AN54" i="9"/>
  <c r="AN149" i="9"/>
  <c r="AN158" i="9"/>
  <c r="AN229" i="9"/>
  <c r="AM275" i="9"/>
  <c r="AN307" i="9"/>
  <c r="AM403" i="9"/>
  <c r="AM455" i="9"/>
  <c r="AM625" i="9"/>
  <c r="AM696" i="9"/>
  <c r="AM699" i="9"/>
  <c r="AN785" i="9"/>
  <c r="AN898" i="9"/>
  <c r="AN907" i="9"/>
  <c r="AN957" i="9"/>
  <c r="AN963" i="9"/>
  <c r="AN975" i="9"/>
  <c r="AM981" i="9"/>
  <c r="AM505" i="9"/>
  <c r="AN662" i="9"/>
  <c r="AM709" i="9"/>
  <c r="AM712" i="9"/>
  <c r="AN744" i="9"/>
  <c r="AN27" i="9"/>
  <c r="AN33" i="9"/>
  <c r="AN36" i="9"/>
  <c r="AM39" i="9"/>
  <c r="AN111" i="9"/>
  <c r="AN114" i="9"/>
  <c r="AM117" i="9"/>
  <c r="AN140" i="9"/>
  <c r="AN143" i="9"/>
  <c r="AN146" i="9"/>
  <c r="AM149" i="9"/>
  <c r="AN172" i="9"/>
  <c r="AN236" i="9"/>
  <c r="AN247" i="9"/>
  <c r="AN253" i="9"/>
  <c r="AN287" i="9"/>
  <c r="AM290" i="9"/>
  <c r="AM366" i="9"/>
  <c r="AM385" i="9"/>
  <c r="AM404" i="9"/>
  <c r="AM449" i="9"/>
  <c r="AN539" i="9"/>
  <c r="AM542" i="9"/>
  <c r="AN842" i="9"/>
  <c r="AM845" i="9"/>
  <c r="AN927" i="9"/>
  <c r="AM16" i="9"/>
  <c r="AM74" i="9"/>
  <c r="AM164" i="9"/>
  <c r="AM167" i="9"/>
  <c r="AM199" i="9"/>
  <c r="AM202" i="9"/>
  <c r="AN228" i="9"/>
  <c r="AM338" i="9"/>
  <c r="AM369" i="9"/>
  <c r="AN471" i="9"/>
  <c r="AM474" i="9"/>
  <c r="AM512" i="9"/>
  <c r="AN571" i="9"/>
  <c r="AN605" i="9"/>
  <c r="AM698" i="9"/>
  <c r="AN736" i="9"/>
  <c r="AN739" i="9"/>
  <c r="AN780" i="9"/>
  <c r="AM851" i="9"/>
  <c r="AN854" i="9"/>
  <c r="AM857" i="9"/>
  <c r="AM892" i="9"/>
  <c r="AN999" i="9"/>
  <c r="AM22" i="9"/>
  <c r="AM77" i="9"/>
  <c r="AM83" i="9"/>
  <c r="AM86" i="9"/>
  <c r="AM89" i="9"/>
  <c r="AN106" i="9"/>
  <c r="AM242" i="9"/>
  <c r="AM262" i="9"/>
  <c r="AM293" i="9"/>
  <c r="AM375" i="9"/>
  <c r="AN397" i="9"/>
  <c r="AM419" i="9"/>
  <c r="AN438" i="9"/>
  <c r="AN480" i="9"/>
  <c r="AM486" i="9"/>
  <c r="AM515" i="9"/>
  <c r="AM526" i="9"/>
  <c r="AM603" i="9"/>
  <c r="AM617" i="9"/>
  <c r="AN646" i="9"/>
  <c r="AM649" i="9"/>
  <c r="AM652" i="9"/>
  <c r="AM804" i="9"/>
  <c r="AN825" i="9"/>
  <c r="AM828" i="9"/>
  <c r="AM872" i="9"/>
  <c r="AM878" i="9"/>
  <c r="AN965" i="9"/>
  <c r="AM988" i="9"/>
  <c r="AN789" i="9"/>
  <c r="AN55" i="9"/>
  <c r="AM58" i="9"/>
  <c r="AN61" i="9"/>
  <c r="AM121" i="9"/>
  <c r="AN129" i="9"/>
  <c r="AN150" i="9"/>
  <c r="AN167" i="9"/>
  <c r="AM197" i="9"/>
  <c r="AM254" i="9"/>
  <c r="AM271" i="9"/>
  <c r="AM288" i="9"/>
  <c r="AN333" i="9"/>
  <c r="AN347" i="9"/>
  <c r="AN383" i="9"/>
  <c r="AN444" i="9"/>
  <c r="AM452" i="9"/>
  <c r="AN489" i="9"/>
  <c r="AN518" i="9"/>
  <c r="AN529" i="9"/>
  <c r="AN551" i="9"/>
  <c r="AN554" i="9"/>
  <c r="AM571" i="9"/>
  <c r="AN666" i="9"/>
  <c r="AN719" i="9"/>
  <c r="AN751" i="9"/>
  <c r="AN769" i="9"/>
  <c r="AN840" i="9"/>
  <c r="AM843" i="9"/>
  <c r="AM846" i="9"/>
  <c r="AM849" i="9"/>
  <c r="AM887" i="9"/>
  <c r="AN951" i="9"/>
  <c r="AM980" i="9"/>
  <c r="AM200" i="9"/>
  <c r="AN367" i="9"/>
  <c r="AM397" i="9"/>
  <c r="AN447" i="9"/>
  <c r="AN495" i="9"/>
  <c r="AM702" i="9"/>
  <c r="AM784" i="9"/>
  <c r="AN828" i="9"/>
  <c r="AM864" i="9"/>
  <c r="AN870" i="9"/>
  <c r="AN934" i="9"/>
  <c r="AM986" i="9"/>
  <c r="AM17" i="9"/>
  <c r="AM20" i="9"/>
  <c r="AM23" i="9"/>
  <c r="AN26" i="9"/>
  <c r="AM67" i="9"/>
  <c r="AM78" i="9"/>
  <c r="AM84" i="9"/>
  <c r="AM98" i="9"/>
  <c r="AM104" i="9"/>
  <c r="AN162" i="9"/>
  <c r="AN212" i="9"/>
  <c r="AN218" i="9"/>
  <c r="AM243" i="9"/>
  <c r="AN299" i="9"/>
  <c r="AN302" i="9"/>
  <c r="AM365" i="9"/>
  <c r="AM373" i="9"/>
  <c r="AM376" i="9"/>
  <c r="AM379" i="9"/>
  <c r="AM392" i="9"/>
  <c r="AN420" i="9"/>
  <c r="AN422" i="9"/>
  <c r="AN425" i="9"/>
  <c r="AM428" i="9"/>
  <c r="AN524" i="9"/>
  <c r="AM535" i="9"/>
  <c r="AM546" i="9"/>
  <c r="AM549" i="9"/>
  <c r="AN566" i="9"/>
  <c r="AN595" i="9"/>
  <c r="AM598" i="9"/>
  <c r="AM604" i="9"/>
  <c r="AN632" i="9"/>
  <c r="AM641" i="9"/>
  <c r="AM647" i="9"/>
  <c r="AM653" i="9"/>
  <c r="AN687" i="9"/>
  <c r="AN690" i="9"/>
  <c r="AN693" i="9"/>
  <c r="AN790" i="9"/>
  <c r="AM793" i="9"/>
  <c r="AM796" i="9"/>
  <c r="AN799" i="9"/>
  <c r="AM879" i="9"/>
  <c r="AN905" i="9"/>
  <c r="AN32" i="9"/>
  <c r="AM38" i="9"/>
  <c r="AM41" i="9"/>
  <c r="AM44" i="9"/>
  <c r="AM47" i="9"/>
  <c r="AM50" i="9"/>
  <c r="AM56" i="9"/>
  <c r="AM73" i="9"/>
  <c r="AM116" i="9"/>
  <c r="AN139" i="9"/>
  <c r="AN145" i="9"/>
  <c r="AN235" i="9"/>
  <c r="AM289" i="9"/>
  <c r="AN317" i="9"/>
  <c r="AN434" i="9"/>
  <c r="AM448" i="9"/>
  <c r="AM456" i="9"/>
  <c r="AN487" i="9"/>
  <c r="AM522" i="9"/>
  <c r="AN541" i="9"/>
  <c r="AN575" i="9"/>
  <c r="AM587" i="9"/>
  <c r="AM593" i="9"/>
  <c r="AN621" i="9"/>
  <c r="AM847" i="9"/>
  <c r="AM850" i="9"/>
  <c r="AM917" i="9"/>
  <c r="AM929" i="9"/>
  <c r="AN738" i="9"/>
  <c r="AN885" i="9"/>
  <c r="AN891" i="9"/>
  <c r="AM24" i="9"/>
  <c r="AN62" i="9"/>
  <c r="AM76" i="9"/>
  <c r="AM88" i="9"/>
  <c r="AN96" i="9"/>
  <c r="AM99" i="9"/>
  <c r="AM105" i="9"/>
  <c r="AM108" i="9"/>
  <c r="AN148" i="9"/>
  <c r="AM169" i="9"/>
  <c r="AN213" i="9"/>
  <c r="AM238" i="9"/>
  <c r="AN261" i="9"/>
  <c r="AM292" i="9"/>
  <c r="AN320" i="9"/>
  <c r="AN340" i="9"/>
  <c r="AM374" i="9"/>
  <c r="AM390" i="9"/>
  <c r="AM396" i="9"/>
  <c r="AN412" i="9"/>
  <c r="AM418" i="9"/>
  <c r="AM437" i="9"/>
  <c r="AM445" i="9"/>
  <c r="AM465" i="9"/>
  <c r="AN476" i="9"/>
  <c r="AM485" i="9"/>
  <c r="AN508" i="9"/>
  <c r="AN525" i="9"/>
  <c r="AM547" i="9"/>
  <c r="AN567" i="9"/>
  <c r="AM570" i="9"/>
  <c r="AM599" i="9"/>
  <c r="AM602" i="9"/>
  <c r="AM619" i="9"/>
  <c r="AN639" i="9"/>
  <c r="AM642" i="9"/>
  <c r="AN776" i="9"/>
  <c r="AM794" i="9"/>
  <c r="AM797" i="9"/>
  <c r="AM800" i="9"/>
  <c r="AM803" i="9"/>
  <c r="AN806" i="9"/>
  <c r="AM821" i="9"/>
  <c r="AN871" i="9"/>
  <c r="AN903" i="9"/>
  <c r="AN935" i="9"/>
  <c r="AN950" i="9"/>
  <c r="AN22" i="9"/>
  <c r="AM25" i="9"/>
  <c r="AN30" i="9"/>
  <c r="AM33" i="9"/>
  <c r="AN38" i="9"/>
  <c r="AM71" i="9"/>
  <c r="AM85" i="9"/>
  <c r="AN742" i="9"/>
  <c r="AM205" i="9"/>
  <c r="AN205" i="9"/>
  <c r="AN413" i="9"/>
  <c r="AM413" i="9"/>
  <c r="AN20" i="9"/>
  <c r="AN53" i="9"/>
  <c r="AM64" i="9"/>
  <c r="AM94" i="9"/>
  <c r="AN102" i="9"/>
  <c r="AN113" i="9"/>
  <c r="AN124" i="9"/>
  <c r="AN135" i="9"/>
  <c r="AN147" i="9"/>
  <c r="AM719" i="9"/>
  <c r="AM36" i="9"/>
  <c r="AN132" i="9"/>
  <c r="AM316" i="9"/>
  <c r="AN316" i="9"/>
  <c r="AN498" i="9"/>
  <c r="AM498" i="9"/>
  <c r="AM42" i="9"/>
  <c r="AN56" i="9"/>
  <c r="AN67" i="9"/>
  <c r="AN72" i="9"/>
  <c r="AN116" i="9"/>
  <c r="AN308" i="9"/>
  <c r="AN356" i="9"/>
  <c r="AM356" i="9"/>
  <c r="AN464" i="9"/>
  <c r="AM464" i="9"/>
  <c r="AN90" i="9"/>
  <c r="AM90" i="9"/>
  <c r="AN18" i="9"/>
  <c r="AM21" i="9"/>
  <c r="AN51" i="9"/>
  <c r="AM62" i="9"/>
  <c r="AM395" i="9"/>
  <c r="AN395" i="9"/>
  <c r="AN601" i="9"/>
  <c r="AN644" i="9"/>
  <c r="AN29" i="9"/>
  <c r="AM37" i="9"/>
  <c r="AN39" i="9"/>
  <c r="AN89" i="9"/>
  <c r="AN92" i="9"/>
  <c r="AM95" i="9"/>
  <c r="AN130" i="9"/>
  <c r="AM163" i="9"/>
  <c r="AN163" i="9"/>
  <c r="AM35" i="9"/>
  <c r="AM40" i="9"/>
  <c r="AN43" i="9"/>
  <c r="AN46" i="9"/>
  <c r="AM57" i="9"/>
  <c r="AM68" i="9"/>
  <c r="AN81" i="9"/>
  <c r="AN84" i="9"/>
  <c r="AN87" i="9"/>
  <c r="AM227" i="9"/>
  <c r="AN227" i="9"/>
  <c r="AN284" i="9"/>
  <c r="AM284" i="9"/>
  <c r="AM694" i="9"/>
  <c r="AN694" i="9"/>
  <c r="AM32" i="9"/>
  <c r="AM49" i="9"/>
  <c r="AM63" i="9"/>
  <c r="AM65" i="9"/>
  <c r="AN120" i="9"/>
  <c r="AM120" i="9"/>
  <c r="AM891" i="9"/>
  <c r="AM899" i="9"/>
  <c r="AM910" i="9"/>
  <c r="AM996" i="9"/>
  <c r="AM151" i="9"/>
  <c r="AM154" i="9"/>
  <c r="AN157" i="9"/>
  <c r="AN179" i="9"/>
  <c r="AN182" i="9"/>
  <c r="AN188" i="9"/>
  <c r="AN190" i="9"/>
  <c r="AM196" i="9"/>
  <c r="AN204" i="9"/>
  <c r="AM207" i="9"/>
  <c r="AM210" i="9"/>
  <c r="AN239" i="9"/>
  <c r="AM272" i="9"/>
  <c r="AN326" i="9"/>
  <c r="AM350" i="9"/>
  <c r="AN399" i="9"/>
  <c r="AN435" i="9"/>
  <c r="AN437" i="9"/>
  <c r="AM487" i="9"/>
  <c r="AN492" i="9"/>
  <c r="AM503" i="9"/>
  <c r="AN579" i="9"/>
  <c r="AN584" i="9"/>
  <c r="AN590" i="9"/>
  <c r="AN673" i="9"/>
  <c r="AN685" i="9"/>
  <c r="AN724" i="9"/>
  <c r="AN783" i="9"/>
  <c r="AN797" i="9"/>
  <c r="AM160" i="9"/>
  <c r="AM224" i="9"/>
  <c r="AM248" i="9"/>
  <c r="AM256" i="9"/>
  <c r="AM259" i="9"/>
  <c r="AM305" i="9"/>
  <c r="AM313" i="9"/>
  <c r="AM321" i="9"/>
  <c r="AM337" i="9"/>
  <c r="AM342" i="9"/>
  <c r="AM353" i="9"/>
  <c r="AM358" i="9"/>
  <c r="AM384" i="9"/>
  <c r="AM389" i="9"/>
  <c r="AM407" i="9"/>
  <c r="AM430" i="9"/>
  <c r="AM440" i="9"/>
  <c r="AM443" i="9"/>
  <c r="AM476" i="9"/>
  <c r="AM490" i="9"/>
  <c r="AM517" i="9"/>
  <c r="AM519" i="9"/>
  <c r="AM552" i="9"/>
  <c r="AM555" i="9"/>
  <c r="AM563" i="9"/>
  <c r="AN611" i="9"/>
  <c r="AN622" i="9"/>
  <c r="AM636" i="9"/>
  <c r="AM646" i="9"/>
  <c r="AM705" i="9"/>
  <c r="AN716" i="9"/>
  <c r="AM730" i="9"/>
  <c r="AN733" i="9"/>
  <c r="AM739" i="9"/>
  <c r="AN755" i="9"/>
  <c r="AM758" i="9"/>
  <c r="AN775" i="9"/>
  <c r="AN829" i="9"/>
  <c r="AN857" i="9"/>
  <c r="AN880" i="9"/>
  <c r="AM883" i="9"/>
  <c r="AM886" i="9"/>
  <c r="AM916" i="9"/>
  <c r="AM919" i="9"/>
  <c r="AM933" i="9"/>
  <c r="AM939" i="9"/>
  <c r="AM942" i="9"/>
  <c r="AN1005" i="9"/>
  <c r="AM1008" i="9"/>
  <c r="AN237" i="9"/>
  <c r="AN270" i="9"/>
  <c r="AN278" i="9"/>
  <c r="AN286" i="9"/>
  <c r="AN294" i="9"/>
  <c r="AN324" i="9"/>
  <c r="AM340" i="9"/>
  <c r="AN361" i="9"/>
  <c r="AN387" i="9"/>
  <c r="AN461" i="9"/>
  <c r="AN469" i="9"/>
  <c r="AN482" i="9"/>
  <c r="AN485" i="9"/>
  <c r="AN512" i="9"/>
  <c r="AM639" i="9"/>
  <c r="AN660" i="9"/>
  <c r="AN668" i="9"/>
  <c r="AN671" i="9"/>
  <c r="AN688" i="9"/>
  <c r="AN750" i="9"/>
  <c r="AN767" i="9"/>
  <c r="AN770" i="9"/>
  <c r="AN778" i="9"/>
  <c r="AN792" i="9"/>
  <c r="AM809" i="9"/>
  <c r="AN812" i="9"/>
  <c r="AN821" i="9"/>
  <c r="AM838" i="9"/>
  <c r="AN875" i="9"/>
  <c r="AN897" i="9"/>
  <c r="AN922" i="9"/>
  <c r="AN1011" i="9"/>
  <c r="AM114" i="9"/>
  <c r="AM122" i="9"/>
  <c r="AM125" i="9"/>
  <c r="AN174" i="9"/>
  <c r="AN180" i="9"/>
  <c r="AN183" i="9"/>
  <c r="AN186" i="9"/>
  <c r="AM194" i="9"/>
  <c r="AN222" i="9"/>
  <c r="AM235" i="9"/>
  <c r="AN262" i="9"/>
  <c r="AM265" i="9"/>
  <c r="AM268" i="9"/>
  <c r="AM300" i="9"/>
  <c r="AM308" i="9"/>
  <c r="AN348" i="9"/>
  <c r="AN364" i="9"/>
  <c r="AN377" i="9"/>
  <c r="AN443" i="9"/>
  <c r="AN517" i="9"/>
  <c r="AN532" i="9"/>
  <c r="AN558" i="9"/>
  <c r="AN577" i="9"/>
  <c r="AN585" i="9"/>
  <c r="AN588" i="9"/>
  <c r="AN591" i="9"/>
  <c r="AM601" i="9"/>
  <c r="AN609" i="9"/>
  <c r="AN634" i="9"/>
  <c r="AM644" i="9"/>
  <c r="AN677" i="9"/>
  <c r="AN680" i="9"/>
  <c r="AN683" i="9"/>
  <c r="AN686" i="9"/>
  <c r="AM742" i="9"/>
  <c r="AN753" i="9"/>
  <c r="AN827" i="9"/>
  <c r="AN847" i="9"/>
  <c r="AN852" i="9"/>
  <c r="AN855" i="9"/>
  <c r="AN886" i="9"/>
  <c r="AM908" i="9"/>
  <c r="AN928" i="9"/>
  <c r="AN942" i="9"/>
  <c r="AN997" i="9"/>
  <c r="AN335" i="9"/>
  <c r="AN351" i="9"/>
  <c r="AN405" i="9"/>
  <c r="AN472" i="9"/>
  <c r="AN493" i="9"/>
  <c r="AN504" i="9"/>
  <c r="AN537" i="9"/>
  <c r="AN550" i="9"/>
  <c r="AM612" i="9"/>
  <c r="AN655" i="9"/>
  <c r="AN703" i="9"/>
  <c r="AN804" i="9"/>
  <c r="AM833" i="9"/>
  <c r="AN940" i="9"/>
  <c r="AN978" i="9"/>
  <c r="AN981" i="9"/>
  <c r="AN989" i="9"/>
  <c r="AM79" i="9"/>
  <c r="AM128" i="9"/>
  <c r="AM136" i="9"/>
  <c r="AN142" i="9"/>
  <c r="AM161" i="9"/>
  <c r="AN189" i="9"/>
  <c r="AN197" i="9"/>
  <c r="AM230" i="9"/>
  <c r="AN243" i="9"/>
  <c r="AN257" i="9"/>
  <c r="AN260" i="9"/>
  <c r="AN276" i="9"/>
  <c r="AM279" i="9"/>
  <c r="AN303" i="9"/>
  <c r="AN306" i="9"/>
  <c r="AN319" i="9"/>
  <c r="AM325" i="9"/>
  <c r="AM343" i="9"/>
  <c r="AM359" i="9"/>
  <c r="AM372" i="9"/>
  <c r="AM393" i="9"/>
  <c r="AM416" i="9"/>
  <c r="AN431" i="9"/>
  <c r="AN441" i="9"/>
  <c r="AM444" i="9"/>
  <c r="AM446" i="9"/>
  <c r="AM462" i="9"/>
  <c r="AM475" i="9"/>
  <c r="AM483" i="9"/>
  <c r="AM496" i="9"/>
  <c r="AN507" i="9"/>
  <c r="AN510" i="9"/>
  <c r="AN520" i="9"/>
  <c r="AN540" i="9"/>
  <c r="AM545" i="9"/>
  <c r="AM553" i="9"/>
  <c r="AM556" i="9"/>
  <c r="AN564" i="9"/>
  <c r="AM567" i="9"/>
  <c r="AM597" i="9"/>
  <c r="AN629" i="9"/>
  <c r="AM632" i="9"/>
  <c r="AM650" i="9"/>
  <c r="AN658" i="9"/>
  <c r="AM661" i="9"/>
  <c r="AM666" i="9"/>
  <c r="AM689" i="9"/>
  <c r="AM720" i="9"/>
  <c r="AN737" i="9"/>
  <c r="AN748" i="9"/>
  <c r="AM762" i="9"/>
  <c r="AN765" i="9"/>
  <c r="AM771" i="9"/>
  <c r="AN779" i="9"/>
  <c r="AN807" i="9"/>
  <c r="AN867" i="9"/>
  <c r="AM876" i="9"/>
  <c r="AM898" i="9"/>
  <c r="AM903" i="9"/>
  <c r="AM920" i="9"/>
  <c r="AM926" i="9"/>
  <c r="AN964" i="9"/>
  <c r="AM970" i="9"/>
  <c r="AN959" i="9"/>
  <c r="AN1009" i="9"/>
  <c r="AN101" i="9"/>
  <c r="AN109" i="9"/>
  <c r="AM156" i="9"/>
  <c r="AN164" i="9"/>
  <c r="AN178" i="9"/>
  <c r="AN187" i="9"/>
  <c r="AM192" i="9"/>
  <c r="AN195" i="9"/>
  <c r="AM209" i="9"/>
  <c r="AM223" i="9"/>
  <c r="AM244" i="9"/>
  <c r="AM255" i="9"/>
  <c r="AM274" i="9"/>
  <c r="AN309" i="9"/>
  <c r="AM317" i="9"/>
  <c r="AM333" i="9"/>
  <c r="AN349" i="9"/>
  <c r="AN390" i="9"/>
  <c r="AM401" i="9"/>
  <c r="AM406" i="9"/>
  <c r="AN411" i="9"/>
  <c r="AN419" i="9"/>
  <c r="AN421" i="9"/>
  <c r="AM491" i="9"/>
  <c r="AM516" i="9"/>
  <c r="AN578" i="9"/>
  <c r="AM583" i="9"/>
  <c r="AM621" i="9"/>
  <c r="AM627" i="9"/>
  <c r="AM645" i="9"/>
  <c r="AN653" i="9"/>
  <c r="AM664" i="9"/>
  <c r="AN675" i="9"/>
  <c r="AN681" i="9"/>
  <c r="AN698" i="9"/>
  <c r="AN723" i="9"/>
  <c r="AM726" i="9"/>
  <c r="AN743" i="9"/>
  <c r="AM757" i="9"/>
  <c r="AN782" i="9"/>
  <c r="AM805" i="9"/>
  <c r="AM834" i="9"/>
  <c r="AM837" i="9"/>
  <c r="AN848" i="9"/>
  <c r="AM856" i="9"/>
  <c r="AN909" i="9"/>
  <c r="AM915" i="9"/>
  <c r="AN976" i="9"/>
  <c r="AM990" i="9"/>
  <c r="AN1001" i="9"/>
  <c r="AN123" i="9"/>
  <c r="AM304" i="9"/>
  <c r="AM312" i="9"/>
  <c r="AM315" i="9"/>
  <c r="AM320" i="9"/>
  <c r="AM336" i="9"/>
  <c r="AM357" i="9"/>
  <c r="AM388" i="9"/>
  <c r="AM409" i="9"/>
  <c r="AM414" i="9"/>
  <c r="AM424" i="9"/>
  <c r="AM427" i="9"/>
  <c r="AM429" i="9"/>
  <c r="AM434" i="9"/>
  <c r="AM439" i="9"/>
  <c r="AM494" i="9"/>
  <c r="AM518" i="9"/>
  <c r="AM523" i="9"/>
  <c r="AM538" i="9"/>
  <c r="AM562" i="9"/>
  <c r="AM565" i="9"/>
  <c r="AM630" i="9"/>
  <c r="AM659" i="9"/>
  <c r="AM704" i="9"/>
  <c r="AM707" i="9"/>
  <c r="AM729" i="9"/>
  <c r="AM732" i="9"/>
  <c r="AM735" i="9"/>
  <c r="AM741" i="9"/>
  <c r="AM746" i="9"/>
  <c r="AM751" i="9"/>
  <c r="AM774" i="9"/>
  <c r="AM808" i="9"/>
  <c r="AN859" i="9"/>
  <c r="AM862" i="9"/>
  <c r="AM868" i="9"/>
  <c r="AM904" i="9"/>
  <c r="AN918" i="9"/>
  <c r="AM952" i="9"/>
  <c r="AM1013" i="9"/>
  <c r="AN80" i="9"/>
  <c r="AM137" i="9"/>
  <c r="AM198" i="9"/>
  <c r="AN221" i="9"/>
  <c r="AM280" i="9"/>
  <c r="AN283" i="9"/>
  <c r="AM344" i="9"/>
  <c r="AM347" i="9"/>
  <c r="AM355" i="9"/>
  <c r="AM360" i="9"/>
  <c r="AM363" i="9"/>
  <c r="AM391" i="9"/>
  <c r="AN396" i="9"/>
  <c r="AM417" i="9"/>
  <c r="AM432" i="9"/>
  <c r="AM460" i="9"/>
  <c r="AM481" i="9"/>
  <c r="AM497" i="9"/>
  <c r="AM541" i="9"/>
  <c r="AM568" i="9"/>
  <c r="AM616" i="9"/>
  <c r="AM667" i="9"/>
  <c r="AM670" i="9"/>
  <c r="AM690" i="9"/>
  <c r="AN712" i="9"/>
  <c r="AM721" i="9"/>
  <c r="AM760" i="9"/>
  <c r="AM766" i="9"/>
  <c r="AM777" i="9"/>
  <c r="AM791" i="9"/>
  <c r="AM817" i="9"/>
  <c r="AM820" i="9"/>
  <c r="AM971" i="9"/>
  <c r="AN15" i="9"/>
  <c r="AM18" i="9"/>
  <c r="AN25" i="9"/>
  <c r="AN37" i="9"/>
  <c r="AN42" i="9"/>
  <c r="AN59" i="9"/>
  <c r="AN78" i="9"/>
  <c r="AM81" i="9"/>
  <c r="AN151" i="9"/>
  <c r="AN175" i="9"/>
  <c r="AM182" i="9"/>
  <c r="AN194" i="9"/>
  <c r="AM208" i="9"/>
  <c r="AM213" i="9"/>
  <c r="AM215" i="9"/>
  <c r="AM225" i="9"/>
  <c r="AM246" i="9"/>
  <c r="AN290" i="9"/>
  <c r="AN297" i="9"/>
  <c r="AN304" i="9"/>
  <c r="AM309" i="9"/>
  <c r="AN311" i="9"/>
  <c r="AN314" i="9"/>
  <c r="AN342" i="9"/>
  <c r="AN345" i="9"/>
  <c r="AN355" i="9"/>
  <c r="AN357" i="9"/>
  <c r="AM30" i="9"/>
  <c r="AN35" i="9"/>
  <c r="AM45" i="9"/>
  <c r="AN47" i="9"/>
  <c r="AN64" i="9"/>
  <c r="AN71" i="9"/>
  <c r="AN76" i="9"/>
  <c r="AN86" i="9"/>
  <c r="AN93" i="9"/>
  <c r="AN107" i="9"/>
  <c r="AN128" i="9"/>
  <c r="AN137" i="9"/>
  <c r="AM140" i="9"/>
  <c r="AM142" i="9"/>
  <c r="AM145" i="9"/>
  <c r="AM157" i="9"/>
  <c r="AN166" i="9"/>
  <c r="AN171" i="9"/>
  <c r="AM173" i="9"/>
  <c r="AM185" i="9"/>
  <c r="AM206" i="9"/>
  <c r="AM232" i="9"/>
  <c r="AM239" i="9"/>
  <c r="AM283" i="9"/>
  <c r="AM302" i="9"/>
  <c r="AM331" i="9"/>
  <c r="AN350" i="9"/>
  <c r="AN400" i="9"/>
  <c r="AN458" i="9"/>
  <c r="AM458" i="9"/>
  <c r="AM479" i="9"/>
  <c r="AN479" i="9"/>
  <c r="AM52" i="9"/>
  <c r="AM100" i="9"/>
  <c r="AM109" i="9"/>
  <c r="AM123" i="9"/>
  <c r="AM162" i="9"/>
  <c r="AM178" i="9"/>
  <c r="AM180" i="9"/>
  <c r="AM204" i="9"/>
  <c r="AM211" i="9"/>
  <c r="AM307" i="9"/>
  <c r="AM348" i="9"/>
  <c r="AN403" i="9"/>
  <c r="AN563" i="9"/>
  <c r="AN16" i="9"/>
  <c r="AN23" i="9"/>
  <c r="AN40" i="9"/>
  <c r="AN50" i="9"/>
  <c r="AN57" i="9"/>
  <c r="AM60" i="9"/>
  <c r="AN69" i="9"/>
  <c r="AN74" i="9"/>
  <c r="AM91" i="9"/>
  <c r="AN105" i="9"/>
  <c r="AN121" i="9"/>
  <c r="AN152" i="9"/>
  <c r="AN155" i="9"/>
  <c r="AN160" i="9"/>
  <c r="AN202" i="9"/>
  <c r="AM252" i="9"/>
  <c r="AN254" i="9"/>
  <c r="AN259" i="9"/>
  <c r="AN271" i="9"/>
  <c r="AM276" i="9"/>
  <c r="AN281" i="9"/>
  <c r="AN298" i="9"/>
  <c r="AN322" i="9"/>
  <c r="AM324" i="9"/>
  <c r="AN329" i="9"/>
  <c r="AN336" i="9"/>
  <c r="AN343" i="9"/>
  <c r="AN346" i="9"/>
  <c r="AN368" i="9"/>
  <c r="AN393" i="9"/>
  <c r="AN19" i="9"/>
  <c r="AN28" i="9"/>
  <c r="AN77" i="9"/>
  <c r="AN82" i="9"/>
  <c r="AN98" i="9"/>
  <c r="AM103" i="9"/>
  <c r="AN112" i="9"/>
  <c r="AM124" i="9"/>
  <c r="AN126" i="9"/>
  <c r="AM129" i="9"/>
  <c r="AN131" i="9"/>
  <c r="AN138" i="9"/>
  <c r="AM150" i="9"/>
  <c r="AN169" i="9"/>
  <c r="AM172" i="9"/>
  <c r="AN176" i="9"/>
  <c r="AM190" i="9"/>
  <c r="AN216" i="9"/>
  <c r="AN219" i="9"/>
  <c r="AM247" i="9"/>
  <c r="AM257" i="9"/>
  <c r="AM264" i="9"/>
  <c r="AN291" i="9"/>
  <c r="AN293" i="9"/>
  <c r="AM310" i="9"/>
  <c r="AN339" i="9"/>
  <c r="AN341" i="9"/>
  <c r="AM361" i="9"/>
  <c r="AN371" i="9"/>
  <c r="AN373" i="9"/>
  <c r="AN428" i="9"/>
  <c r="AN477" i="9"/>
  <c r="AM477" i="9"/>
  <c r="AM26" i="9"/>
  <c r="AM31" i="9"/>
  <c r="AM43" i="9"/>
  <c r="AM53" i="9"/>
  <c r="AM55" i="9"/>
  <c r="AN60" i="9"/>
  <c r="AM87" i="9"/>
  <c r="AN91" i="9"/>
  <c r="AM119" i="9"/>
  <c r="AN141" i="9"/>
  <c r="AM146" i="9"/>
  <c r="AM158" i="9"/>
  <c r="AM174" i="9"/>
  <c r="AM183" i="9"/>
  <c r="AM188" i="9"/>
  <c r="AM195" i="9"/>
  <c r="AM214" i="9"/>
  <c r="AM221" i="9"/>
  <c r="AM228" i="9"/>
  <c r="AM233" i="9"/>
  <c r="AM240" i="9"/>
  <c r="AM245" i="9"/>
  <c r="AM269" i="9"/>
  <c r="AM286" i="9"/>
  <c r="AM334" i="9"/>
  <c r="AN358" i="9"/>
  <c r="AM364" i="9"/>
  <c r="AN14" i="9"/>
  <c r="AN24" i="9"/>
  <c r="AN41" i="9"/>
  <c r="AN58" i="9"/>
  <c r="AN94" i="9"/>
  <c r="AN110" i="9"/>
  <c r="AN153" i="9"/>
  <c r="AN165" i="9"/>
  <c r="AN193" i="9"/>
  <c r="AN282" i="9"/>
  <c r="AN313" i="9"/>
  <c r="AN327" i="9"/>
  <c r="AN330" i="9"/>
  <c r="AN17" i="9"/>
  <c r="AN34" i="9"/>
  <c r="AN70" i="9"/>
  <c r="AN75" i="9"/>
  <c r="AN85" i="9"/>
  <c r="AN99" i="9"/>
  <c r="AM101" i="9"/>
  <c r="AN115" i="9"/>
  <c r="AN117" i="9"/>
  <c r="AN122" i="9"/>
  <c r="AN177" i="9"/>
  <c r="AM179" i="9"/>
  <c r="AN203" i="9"/>
  <c r="AN210" i="9"/>
  <c r="AM212" i="9"/>
  <c r="AN217" i="9"/>
  <c r="AN255" i="9"/>
  <c r="AM260" i="9"/>
  <c r="AN275" i="9"/>
  <c r="AN277" i="9"/>
  <c r="AM294" i="9"/>
  <c r="AN323" i="9"/>
  <c r="AN325" i="9"/>
  <c r="AM349" i="9"/>
  <c r="AN384" i="9"/>
  <c r="AN409" i="9"/>
  <c r="AM412" i="9"/>
  <c r="AN499" i="9"/>
  <c r="AM499" i="9"/>
  <c r="AN44" i="9"/>
  <c r="AN49" i="9"/>
  <c r="AM54" i="9"/>
  <c r="AM66" i="9"/>
  <c r="AN83" i="9"/>
  <c r="AM106" i="9"/>
  <c r="AN134" i="9"/>
  <c r="AN144" i="9"/>
  <c r="AM159" i="9"/>
  <c r="AM184" i="9"/>
  <c r="AM191" i="9"/>
  <c r="AM222" i="9"/>
  <c r="AM229" i="9"/>
  <c r="AM231" i="9"/>
  <c r="AN238" i="9"/>
  <c r="AM241" i="9"/>
  <c r="AN251" i="9"/>
  <c r="AM270" i="9"/>
  <c r="AM318" i="9"/>
  <c r="AM352" i="9"/>
  <c r="AM377" i="9"/>
  <c r="AN374" i="9"/>
  <c r="AN511" i="9"/>
  <c r="AM511" i="9"/>
  <c r="AM261" i="9"/>
  <c r="AM263" i="9"/>
  <c r="AM273" i="9"/>
  <c r="AN289" i="9"/>
  <c r="AN305" i="9"/>
  <c r="AN321" i="9"/>
  <c r="AN337" i="9"/>
  <c r="AN353" i="9"/>
  <c r="AN369" i="9"/>
  <c r="AN385" i="9"/>
  <c r="AN401" i="9"/>
  <c r="AN417" i="9"/>
  <c r="AN433" i="9"/>
  <c r="AM451" i="9"/>
  <c r="AN453" i="9"/>
  <c r="AN460" i="9"/>
  <c r="AN463" i="9"/>
  <c r="AM492" i="9"/>
  <c r="AN501" i="9"/>
  <c r="AM504" i="9"/>
  <c r="AM513" i="9"/>
  <c r="AN522" i="9"/>
  <c r="AN527" i="9"/>
  <c r="AM532" i="9"/>
  <c r="AM534" i="9"/>
  <c r="AN547" i="9"/>
  <c r="AN555" i="9"/>
  <c r="AM566" i="9"/>
  <c r="AN587" i="9"/>
  <c r="AN682" i="9"/>
  <c r="AM682" i="9"/>
  <c r="AN710" i="9"/>
  <c r="AM869" i="9"/>
  <c r="AN869" i="9"/>
  <c r="AN280" i="9"/>
  <c r="AM287" i="9"/>
  <c r="AN296" i="9"/>
  <c r="AM303" i="9"/>
  <c r="AN312" i="9"/>
  <c r="AM319" i="9"/>
  <c r="AN328" i="9"/>
  <c r="AM335" i="9"/>
  <c r="AN344" i="9"/>
  <c r="AM351" i="9"/>
  <c r="AN360" i="9"/>
  <c r="AM367" i="9"/>
  <c r="AN376" i="9"/>
  <c r="AM383" i="9"/>
  <c r="AN392" i="9"/>
  <c r="AM399" i="9"/>
  <c r="AN408" i="9"/>
  <c r="AM415" i="9"/>
  <c r="AN424" i="9"/>
  <c r="AM431" i="9"/>
  <c r="AN440" i="9"/>
  <c r="AM447" i="9"/>
  <c r="AN456" i="9"/>
  <c r="AM468" i="9"/>
  <c r="AN475" i="9"/>
  <c r="AN488" i="9"/>
  <c r="AM495" i="9"/>
  <c r="AM520" i="9"/>
  <c r="AM530" i="9"/>
  <c r="AM577" i="9"/>
  <c r="AN614" i="9"/>
  <c r="AM614" i="9"/>
  <c r="AN628" i="9"/>
  <c r="AM628" i="9"/>
  <c r="AM438" i="9"/>
  <c r="AM473" i="9"/>
  <c r="AM482" i="9"/>
  <c r="AM484" i="9"/>
  <c r="AM506" i="9"/>
  <c r="AM537" i="9"/>
  <c r="AM539" i="9"/>
  <c r="AM551" i="9"/>
  <c r="AM558" i="9"/>
  <c r="AN818" i="9"/>
  <c r="AM818" i="9"/>
  <c r="AN925" i="9"/>
  <c r="AM925" i="9"/>
  <c r="AN338" i="9"/>
  <c r="AN354" i="9"/>
  <c r="AN370" i="9"/>
  <c r="AN386" i="9"/>
  <c r="AN402" i="9"/>
  <c r="AN418" i="9"/>
  <c r="AN454" i="9"/>
  <c r="AM466" i="9"/>
  <c r="AN486" i="9"/>
  <c r="AN502" i="9"/>
  <c r="AN533" i="9"/>
  <c r="AM425" i="9"/>
  <c r="AM441" i="9"/>
  <c r="AM459" i="9"/>
  <c r="AM480" i="9"/>
  <c r="AM489" i="9"/>
  <c r="AM514" i="9"/>
  <c r="AN528" i="9"/>
  <c r="AM575" i="9"/>
  <c r="AM469" i="9"/>
  <c r="AM500" i="9"/>
  <c r="AM507" i="9"/>
  <c r="AN607" i="9"/>
  <c r="AM607" i="9"/>
  <c r="AM884" i="9"/>
  <c r="AN884" i="9"/>
  <c r="AN816" i="9"/>
  <c r="AM816" i="9"/>
  <c r="AN432" i="9"/>
  <c r="AN448" i="9"/>
  <c r="AN462" i="9"/>
  <c r="AN483" i="9"/>
  <c r="AN496" i="9"/>
  <c r="AN521" i="9"/>
  <c r="AN589" i="9"/>
  <c r="AN973" i="9"/>
  <c r="AM973" i="9"/>
  <c r="AN503" i="9"/>
  <c r="AN526" i="9"/>
  <c r="AN531" i="9"/>
  <c r="AN557" i="9"/>
  <c r="AM643" i="9"/>
  <c r="AN643" i="9"/>
  <c r="AN359" i="9"/>
  <c r="AN362" i="9"/>
  <c r="AN366" i="9"/>
  <c r="AN375" i="9"/>
  <c r="AN378" i="9"/>
  <c r="AN382" i="9"/>
  <c r="AN391" i="9"/>
  <c r="AN394" i="9"/>
  <c r="AN398" i="9"/>
  <c r="AN407" i="9"/>
  <c r="AN410" i="9"/>
  <c r="AN414" i="9"/>
  <c r="AN423" i="9"/>
  <c r="AN426" i="9"/>
  <c r="AN430" i="9"/>
  <c r="AN439" i="9"/>
  <c r="AN442" i="9"/>
  <c r="AN446" i="9"/>
  <c r="AN455" i="9"/>
  <c r="AM467" i="9"/>
  <c r="AN470" i="9"/>
  <c r="AN474" i="9"/>
  <c r="AN490" i="9"/>
  <c r="AN494" i="9"/>
  <c r="AM508" i="9"/>
  <c r="AN515" i="9"/>
  <c r="AN519" i="9"/>
  <c r="AM524" i="9"/>
  <c r="AM536" i="9"/>
  <c r="AM550" i="9"/>
  <c r="AN568" i="9"/>
  <c r="AN735" i="9"/>
  <c r="AN932" i="9"/>
  <c r="AM932" i="9"/>
  <c r="AM548" i="9"/>
  <c r="AN553" i="9"/>
  <c r="AN560" i="9"/>
  <c r="AN570" i="9"/>
  <c r="AM584" i="9"/>
  <c r="AM606" i="9"/>
  <c r="AM611" i="9"/>
  <c r="AM613" i="9"/>
  <c r="AN618" i="9"/>
  <c r="AN623" i="9"/>
  <c r="AM640" i="9"/>
  <c r="AN647" i="9"/>
  <c r="AM677" i="9"/>
  <c r="AM692" i="9"/>
  <c r="AN702" i="9"/>
  <c r="AM717" i="9"/>
  <c r="AM727" i="9"/>
  <c r="AN732" i="9"/>
  <c r="AM737" i="9"/>
  <c r="AN754" i="9"/>
  <c r="AM759" i="9"/>
  <c r="AN764" i="9"/>
  <c r="AM769" i="9"/>
  <c r="AN786" i="9"/>
  <c r="AM789" i="9"/>
  <c r="AN791" i="9"/>
  <c r="AN801" i="9"/>
  <c r="AM811" i="9"/>
  <c r="AM823" i="9"/>
  <c r="AN831" i="9"/>
  <c r="AN841" i="9"/>
  <c r="AN846" i="9"/>
  <c r="AM866" i="9"/>
  <c r="AM874" i="9"/>
  <c r="AN889" i="9"/>
  <c r="AN894" i="9"/>
  <c r="AN914" i="9"/>
  <c r="AM927" i="9"/>
  <c r="AM955" i="9"/>
  <c r="AM960" i="9"/>
  <c r="AM978" i="9"/>
  <c r="AN1003" i="9"/>
  <c r="AN604" i="9"/>
  <c r="AM626" i="9"/>
  <c r="AN633" i="9"/>
  <c r="AN638" i="9"/>
  <c r="AN645" i="9"/>
  <c r="AN650" i="9"/>
  <c r="AN657" i="9"/>
  <c r="AN667" i="9"/>
  <c r="AN672" i="9"/>
  <c r="AM680" i="9"/>
  <c r="AN725" i="9"/>
  <c r="AN757" i="9"/>
  <c r="AN794" i="9"/>
  <c r="AM799" i="9"/>
  <c r="AN839" i="9"/>
  <c r="AN844" i="9"/>
  <c r="AN849" i="9"/>
  <c r="AM897" i="9"/>
  <c r="AN902" i="9"/>
  <c r="AM907" i="9"/>
  <c r="AN912" i="9"/>
  <c r="AN917" i="9"/>
  <c r="AM937" i="9"/>
  <c r="AN945" i="9"/>
  <c r="AN948" i="9"/>
  <c r="AM968" i="9"/>
  <c r="AM976" i="9"/>
  <c r="AN993" i="9"/>
  <c r="AM1006" i="9"/>
  <c r="AN580" i="9"/>
  <c r="AM592" i="9"/>
  <c r="AM609" i="9"/>
  <c r="AN616" i="9"/>
  <c r="AM631" i="9"/>
  <c r="AM648" i="9"/>
  <c r="AM660" i="9"/>
  <c r="AN670" i="9"/>
  <c r="AM695" i="9"/>
  <c r="AN700" i="9"/>
  <c r="AN705" i="9"/>
  <c r="AM718" i="9"/>
  <c r="AN720" i="9"/>
  <c r="AM723" i="9"/>
  <c r="AN730" i="9"/>
  <c r="AM750" i="9"/>
  <c r="AN752" i="9"/>
  <c r="AM755" i="9"/>
  <c r="AN762" i="9"/>
  <c r="AM782" i="9"/>
  <c r="AN784" i="9"/>
  <c r="AN787" i="9"/>
  <c r="AM792" i="9"/>
  <c r="AM814" i="9"/>
  <c r="AN826" i="9"/>
  <c r="AN834" i="9"/>
  <c r="AN837" i="9"/>
  <c r="AN864" i="9"/>
  <c r="AN892" i="9"/>
  <c r="AN923" i="9"/>
  <c r="AN930" i="9"/>
  <c r="AN937" i="9"/>
  <c r="AN953" i="9"/>
  <c r="AN971" i="9"/>
  <c r="AN991" i="9"/>
  <c r="AM1004" i="9"/>
  <c r="AN544" i="9"/>
  <c r="AN561" i="9"/>
  <c r="AN573" i="9"/>
  <c r="AM578" i="9"/>
  <c r="AM585" i="9"/>
  <c r="AM595" i="9"/>
  <c r="AN602" i="9"/>
  <c r="AN619" i="9"/>
  <c r="AM624" i="9"/>
  <c r="AM629" i="9"/>
  <c r="AN636" i="9"/>
  <c r="AN641" i="9"/>
  <c r="AN665" i="9"/>
  <c r="AM668" i="9"/>
  <c r="AM673" i="9"/>
  <c r="AM683" i="9"/>
  <c r="AM688" i="9"/>
  <c r="AM693" i="9"/>
  <c r="AN708" i="9"/>
  <c r="AM713" i="9"/>
  <c r="AM733" i="9"/>
  <c r="AN745" i="9"/>
  <c r="AM748" i="9"/>
  <c r="AM765" i="9"/>
  <c r="AN777" i="9"/>
  <c r="AM780" i="9"/>
  <c r="AN814" i="9"/>
  <c r="AM819" i="9"/>
  <c r="AN832" i="9"/>
  <c r="AM840" i="9"/>
  <c r="AM852" i="9"/>
  <c r="AM875" i="9"/>
  <c r="AM885" i="9"/>
  <c r="AN887" i="9"/>
  <c r="AN890" i="9"/>
  <c r="AN895" i="9"/>
  <c r="AN900" i="9"/>
  <c r="AM905" i="9"/>
  <c r="AN910" i="9"/>
  <c r="AM928" i="9"/>
  <c r="AM956" i="9"/>
  <c r="AN961" i="9"/>
  <c r="AN966" i="9"/>
  <c r="AM974" i="9"/>
  <c r="AM984" i="9"/>
  <c r="AN559" i="9"/>
  <c r="AM564" i="9"/>
  <c r="AM651" i="9"/>
  <c r="AM658" i="9"/>
  <c r="AM663" i="9"/>
  <c r="AM686" i="9"/>
  <c r="AM716" i="9"/>
  <c r="AM753" i="9"/>
  <c r="AM775" i="9"/>
  <c r="AM785" i="9"/>
  <c r="AN795" i="9"/>
  <c r="AN809" i="9"/>
  <c r="AM824" i="9"/>
  <c r="AM827" i="9"/>
  <c r="AM835" i="9"/>
  <c r="AM880" i="9"/>
  <c r="AN920" i="9"/>
  <c r="AN996" i="9"/>
  <c r="AM678" i="9"/>
  <c r="AN728" i="9"/>
  <c r="AN760" i="9"/>
  <c r="AM790" i="9"/>
  <c r="AN913" i="9"/>
  <c r="AN946" i="9"/>
  <c r="AN949" i="9"/>
  <c r="AN969" i="9"/>
  <c r="AN1007" i="9"/>
  <c r="AN552" i="9"/>
  <c r="AM554" i="9"/>
  <c r="AN569" i="9"/>
  <c r="AM588" i="9"/>
  <c r="AN593" i="9"/>
  <c r="AN617" i="9"/>
  <c r="AM622" i="9"/>
  <c r="AM634" i="9"/>
  <c r="AN661" i="9"/>
  <c r="AN676" i="9"/>
  <c r="AM681" i="9"/>
  <c r="AM701" i="9"/>
  <c r="AN711" i="9"/>
  <c r="AM736" i="9"/>
  <c r="AN741" i="9"/>
  <c r="AM768" i="9"/>
  <c r="AN773" i="9"/>
  <c r="AN788" i="9"/>
  <c r="AN800" i="9"/>
  <c r="AN815" i="9"/>
  <c r="AN817" i="9"/>
  <c r="AN822" i="9"/>
  <c r="AN845" i="9"/>
  <c r="AN865" i="9"/>
  <c r="AM873" i="9"/>
  <c r="AN878" i="9"/>
  <c r="AM888" i="9"/>
  <c r="AN893" i="9"/>
  <c r="AM921" i="9"/>
  <c r="AM924" i="9"/>
  <c r="AN926" i="9"/>
  <c r="AM931" i="9"/>
  <c r="AN933" i="9"/>
  <c r="AM936" i="9"/>
  <c r="AN938" i="9"/>
  <c r="AN941" i="9"/>
  <c r="AM954" i="9"/>
  <c r="AM972" i="9"/>
  <c r="AN977" i="9"/>
  <c r="AM982" i="9"/>
  <c r="AN987" i="9"/>
  <c r="AM992" i="9"/>
  <c r="AM944" i="9"/>
  <c r="AM1010" i="9"/>
  <c r="AN576" i="9"/>
  <c r="AN586" i="9"/>
  <c r="AN603" i="9"/>
  <c r="AN620" i="9"/>
  <c r="AN625" i="9"/>
  <c r="AN637" i="9"/>
  <c r="AN656" i="9"/>
  <c r="AN684" i="9"/>
  <c r="AN689" i="9"/>
  <c r="AN691" i="9"/>
  <c r="AN696" i="9"/>
  <c r="AN709" i="9"/>
  <c r="AN714" i="9"/>
  <c r="AN734" i="9"/>
  <c r="AN766" i="9"/>
  <c r="AN793" i="9"/>
  <c r="AN798" i="9"/>
  <c r="AN805" i="9"/>
  <c r="AN813" i="9"/>
  <c r="AN820" i="9"/>
  <c r="AN863" i="9"/>
  <c r="AN868" i="9"/>
  <c r="AN876" i="9"/>
  <c r="AM896" i="9"/>
  <c r="AN901" i="9"/>
  <c r="AN911" i="9"/>
  <c r="AN916" i="9"/>
  <c r="AN929" i="9"/>
  <c r="AN543" i="9"/>
  <c r="AN596" i="9"/>
  <c r="AN615" i="9"/>
  <c r="AN652" i="9"/>
  <c r="AN654" i="9"/>
  <c r="AN669" i="9"/>
  <c r="AN704" i="9"/>
  <c r="AM749" i="9"/>
  <c r="AN761" i="9"/>
  <c r="AM781" i="9"/>
  <c r="AN796" i="9"/>
  <c r="AN843" i="9"/>
  <c r="AN853" i="9"/>
  <c r="AN858" i="9"/>
  <c r="AN861" i="9"/>
  <c r="AN881" i="9"/>
  <c r="AN906" i="9"/>
  <c r="AN919" i="9"/>
  <c r="AN947" i="9"/>
  <c r="AN985" i="9"/>
  <c r="AN995" i="9"/>
  <c r="AM1005" i="9"/>
  <c r="G33" i="7"/>
  <c r="G29" i="7"/>
  <c r="E41" i="3"/>
  <c r="O50" i="4"/>
  <c r="N51" i="4"/>
  <c r="O51" i="4"/>
  <c r="O52" i="4"/>
  <c r="P52" i="4" s="1"/>
  <c r="N50" i="4"/>
  <c r="Z9" i="2"/>
  <c r="V21" i="2" s="1" a="1"/>
  <c r="V21" i="2" s="1"/>
  <c r="D37" i="3" s="1"/>
  <c r="B37" i="3" s="1"/>
  <c r="G17" i="7"/>
  <c r="F17" i="7"/>
  <c r="K32" i="5"/>
  <c r="I32" i="5"/>
  <c r="E21" i="7"/>
  <c r="E34" i="3"/>
  <c r="I46" i="5"/>
  <c r="K46" i="5"/>
  <c r="K37" i="5"/>
  <c r="I37" i="5"/>
  <c r="K28" i="5"/>
  <c r="I28" i="5"/>
  <c r="K56" i="5"/>
  <c r="I56" i="5"/>
  <c r="G12" i="7"/>
  <c r="K42" i="5"/>
  <c r="I42" i="5"/>
  <c r="I38" i="5"/>
  <c r="K38" i="5"/>
  <c r="I52" i="5"/>
  <c r="K52" i="5"/>
  <c r="K61" i="5"/>
  <c r="I61" i="5"/>
  <c r="N24" i="2"/>
  <c r="N26" i="2" s="1"/>
  <c r="Z11" i="2" s="1"/>
  <c r="AB22" i="2"/>
  <c r="AB24" i="2" s="1"/>
  <c r="K29" i="5"/>
  <c r="I29" i="5"/>
  <c r="K34" i="5"/>
  <c r="I34" i="5"/>
  <c r="K48" i="5"/>
  <c r="I48" i="5"/>
  <c r="K53" i="5"/>
  <c r="I53" i="5"/>
  <c r="I30" i="5"/>
  <c r="K30" i="5"/>
  <c r="K44" i="5"/>
  <c r="I44" i="5"/>
  <c r="K49" i="5"/>
  <c r="I49" i="5"/>
  <c r="K40" i="5"/>
  <c r="I40" i="5"/>
  <c r="E14" i="7"/>
  <c r="D29" i="3"/>
  <c r="D22" i="3"/>
  <c r="B22" i="3" s="1"/>
  <c r="K45" i="5"/>
  <c r="I45" i="5"/>
  <c r="K50" i="5"/>
  <c r="I50" i="5"/>
  <c r="K36" i="5"/>
  <c r="I36" i="5"/>
  <c r="B30" i="3"/>
  <c r="B35" i="3"/>
  <c r="G25" i="7"/>
  <c r="F25" i="7"/>
  <c r="B46" i="3"/>
  <c r="G24" i="4" s="1"/>
  <c r="I51" i="5"/>
  <c r="B24" i="3"/>
  <c r="B36" i="3"/>
  <c r="B40" i="3"/>
  <c r="B47" i="3"/>
  <c r="G22" i="7"/>
  <c r="F22" i="7"/>
  <c r="I59" i="5"/>
  <c r="B25" i="3"/>
  <c r="B31" i="3"/>
  <c r="E36" i="3"/>
  <c r="G26" i="7"/>
  <c r="F26" i="7"/>
  <c r="B48" i="3"/>
  <c r="I27" i="5"/>
  <c r="I35" i="5"/>
  <c r="I43" i="5"/>
  <c r="I55" i="5"/>
  <c r="G19" i="7"/>
  <c r="G18" i="7"/>
  <c r="F18" i="7"/>
  <c r="B49" i="3"/>
  <c r="K27" i="5"/>
  <c r="K35" i="5"/>
  <c r="K43" i="5"/>
  <c r="K55" i="5"/>
  <c r="B32" i="3"/>
  <c r="I54" i="5"/>
  <c r="B50" i="3"/>
  <c r="W12" i="9" s="1"/>
  <c r="I33" i="5"/>
  <c r="I41" i="5"/>
  <c r="K58" i="5"/>
  <c r="G20" i="7"/>
  <c r="F20" i="7"/>
  <c r="B38" i="3"/>
  <c r="K54" i="5"/>
  <c r="B43" i="3"/>
  <c r="F23" i="4" s="1"/>
  <c r="B51" i="3"/>
  <c r="X12" i="9" s="1"/>
  <c r="G24" i="7"/>
  <c r="F24" i="7"/>
  <c r="I57" i="5"/>
  <c r="B34" i="3"/>
  <c r="E38" i="3"/>
  <c r="B44" i="3"/>
  <c r="G23" i="4" s="1"/>
  <c r="B53" i="3"/>
  <c r="Y12" i="9" s="1"/>
  <c r="I31" i="5"/>
  <c r="I39" i="5"/>
  <c r="I47" i="5"/>
  <c r="B23" i="3"/>
  <c r="B29" i="3"/>
  <c r="I60" i="5"/>
  <c r="B39" i="3"/>
  <c r="B45" i="3"/>
  <c r="F24" i="4" s="1"/>
  <c r="K31" i="5"/>
  <c r="K39" i="5"/>
  <c r="K47" i="5"/>
  <c r="K60" i="5"/>
  <c r="G16" i="7"/>
  <c r="AO12" i="9"/>
  <c r="G15" i="7"/>
  <c r="F16" i="7"/>
  <c r="AM118" i="9"/>
  <c r="F32" i="7"/>
  <c r="AN31" i="9"/>
  <c r="AM152" i="9"/>
  <c r="AN170" i="9"/>
  <c r="AM217" i="9"/>
  <c r="AN226" i="9"/>
  <c r="AN241" i="9"/>
  <c r="AN256" i="9"/>
  <c r="AM14" i="9"/>
  <c r="AM19" i="9"/>
  <c r="AM48" i="9"/>
  <c r="AM70" i="9"/>
  <c r="AM72" i="9"/>
  <c r="AM111" i="9"/>
  <c r="AM193" i="9"/>
  <c r="AN232" i="9"/>
  <c r="AN104" i="9"/>
  <c r="AM155" i="9"/>
  <c r="AN184" i="9"/>
  <c r="AN208" i="9"/>
  <c r="AN223" i="9"/>
  <c r="AM29" i="9"/>
  <c r="AN63" i="9"/>
  <c r="AM75" i="9"/>
  <c r="AM168" i="9"/>
  <c r="AN199" i="9"/>
  <c r="AN242" i="9"/>
  <c r="AM251" i="9"/>
  <c r="AN272" i="9"/>
  <c r="AM15" i="9"/>
  <c r="AM46" i="9"/>
  <c r="AM51" i="9"/>
  <c r="AM80" i="9"/>
  <c r="AM92" i="9"/>
  <c r="AM102" i="9"/>
  <c r="AM133" i="9"/>
  <c r="AM138" i="9"/>
  <c r="AM143" i="9"/>
  <c r="AN181" i="9"/>
  <c r="AM297" i="9"/>
  <c r="AN233" i="9"/>
  <c r="AN248" i="9"/>
  <c r="AN136" i="9"/>
  <c r="AM153" i="9"/>
  <c r="AM171" i="9"/>
  <c r="AN185" i="9"/>
  <c r="AM203" i="9"/>
  <c r="AN209" i="9"/>
  <c r="AM218" i="9"/>
  <c r="F30" i="7"/>
  <c r="F34" i="7"/>
  <c r="AM61" i="9"/>
  <c r="AN95" i="9"/>
  <c r="AM107" i="9"/>
  <c r="AN200" i="9"/>
  <c r="AN224" i="9"/>
  <c r="AN258" i="9"/>
  <c r="AM267" i="9"/>
  <c r="AN288" i="9"/>
  <c r="AN88" i="9"/>
  <c r="AM134" i="9"/>
  <c r="AN161" i="9"/>
  <c r="AN191" i="9"/>
  <c r="AN215" i="9"/>
  <c r="AM59" i="9"/>
  <c r="AM141" i="9"/>
  <c r="AM177" i="9"/>
  <c r="AN234" i="9"/>
  <c r="AM234" i="9"/>
  <c r="AN249" i="9"/>
  <c r="AN279" i="9"/>
  <c r="F31" i="7"/>
  <c r="F35" i="7"/>
  <c r="AM93" i="9"/>
  <c r="AN127" i="9"/>
  <c r="AM139" i="9"/>
  <c r="AN154" i="9"/>
  <c r="AN201" i="9"/>
  <c r="AM216" i="9"/>
  <c r="AM219" i="9"/>
  <c r="AN225" i="9"/>
  <c r="AN240" i="9"/>
  <c r="AN274" i="9"/>
  <c r="F15" i="7"/>
  <c r="AM186" i="9"/>
  <c r="AN79" i="9"/>
  <c r="AN192" i="9"/>
  <c r="AN207" i="9"/>
  <c r="AN231" i="9"/>
  <c r="AN250" i="9"/>
  <c r="AM250" i="9"/>
  <c r="AN265" i="9"/>
  <c r="AN295" i="9"/>
  <c r="AN706" i="9"/>
  <c r="AM706" i="9"/>
  <c r="AN497" i="9"/>
  <c r="AN574" i="9"/>
  <c r="AM590" i="9"/>
  <c r="AN538" i="9"/>
  <c r="AN624" i="9"/>
  <c r="AN729" i="9"/>
  <c r="AN772" i="9"/>
  <c r="AM772" i="9"/>
  <c r="AN481" i="9"/>
  <c r="AM509" i="9"/>
  <c r="AM521" i="9"/>
  <c r="AN556" i="9"/>
  <c r="AM569" i="9"/>
  <c r="AM610" i="9"/>
  <c r="AN642" i="9"/>
  <c r="AN697" i="9"/>
  <c r="AN713" i="9"/>
  <c r="AM502" i="9"/>
  <c r="AN572" i="9"/>
  <c r="AN599" i="9"/>
  <c r="AN613" i="9"/>
  <c r="AN663" i="9"/>
  <c r="AM669" i="9"/>
  <c r="AN756" i="9"/>
  <c r="AM756" i="9"/>
  <c r="AM543" i="9"/>
  <c r="AN465" i="9"/>
  <c r="AM493" i="9"/>
  <c r="AM529" i="9"/>
  <c r="AM559" i="9"/>
  <c r="AM685" i="9"/>
  <c r="AN740" i="9"/>
  <c r="AM740" i="9"/>
  <c r="AN763" i="9"/>
  <c r="AM763" i="9"/>
  <c r="AN536" i="9"/>
  <c r="AM600" i="9"/>
  <c r="AN608" i="9"/>
  <c r="AN679" i="9"/>
  <c r="AN717" i="9"/>
  <c r="AN701" i="9"/>
  <c r="AN747" i="9"/>
  <c r="AM747" i="9"/>
  <c r="AN449" i="9"/>
  <c r="AN549" i="9"/>
  <c r="AN597" i="9"/>
  <c r="AN631" i="9"/>
  <c r="AN649" i="9"/>
  <c r="AN695" i="9"/>
  <c r="AM724" i="9"/>
  <c r="AM266" i="9"/>
  <c r="AM282" i="9"/>
  <c r="AM298" i="9"/>
  <c r="AM314" i="9"/>
  <c r="AM330" i="9"/>
  <c r="AM346" i="9"/>
  <c r="AM362" i="9"/>
  <c r="AM378" i="9"/>
  <c r="AM394" i="9"/>
  <c r="AM410" i="9"/>
  <c r="AM426" i="9"/>
  <c r="AM442" i="9"/>
  <c r="AM463" i="9"/>
  <c r="AM510" i="9"/>
  <c r="AM557" i="9"/>
  <c r="AN565" i="9"/>
  <c r="AM637" i="9"/>
  <c r="AN640" i="9"/>
  <c r="AN731" i="9"/>
  <c r="AM731" i="9"/>
  <c r="AM527" i="9"/>
  <c r="AM573" i="9"/>
  <c r="AN581" i="9"/>
  <c r="AN715" i="9"/>
  <c r="AM715" i="9"/>
  <c r="AM461" i="9"/>
  <c r="AM589" i="9"/>
  <c r="AN592" i="9"/>
  <c r="AN606" i="9"/>
  <c r="AN626" i="9"/>
  <c r="AN674" i="9"/>
  <c r="AM454" i="9"/>
  <c r="AN513" i="9"/>
  <c r="AM525" i="9"/>
  <c r="AM623" i="9"/>
  <c r="AM615" i="9"/>
  <c r="AM638" i="9"/>
  <c r="AM656" i="9"/>
  <c r="AN699" i="9"/>
  <c r="AN722" i="9"/>
  <c r="AM722" i="9"/>
  <c r="AM826" i="9"/>
  <c r="AN819" i="9"/>
  <c r="AM867" i="9"/>
  <c r="AM906" i="9"/>
  <c r="AM967" i="9"/>
  <c r="AM993" i="9"/>
  <c r="AM788" i="9"/>
  <c r="AM802" i="9"/>
  <c r="AM831" i="9"/>
  <c r="AM855" i="9"/>
  <c r="AM860" i="9"/>
  <c r="AM877" i="9"/>
  <c r="AM901" i="9"/>
  <c r="AM913" i="9"/>
  <c r="AM930" i="9"/>
  <c r="AM945" i="9"/>
  <c r="AM953" i="9"/>
  <c r="AM999" i="9"/>
  <c r="AM779" i="9"/>
  <c r="AM795" i="9"/>
  <c r="AM836" i="9"/>
  <c r="AM848" i="9"/>
  <c r="AM858" i="9"/>
  <c r="AN872" i="9"/>
  <c r="AM889" i="9"/>
  <c r="AM894" i="9"/>
  <c r="AN899" i="9"/>
  <c r="AM918" i="9"/>
  <c r="AM923" i="9"/>
  <c r="AM940" i="9"/>
  <c r="AM948" i="9"/>
  <c r="AN956" i="9"/>
  <c r="AN970" i="9"/>
  <c r="AN1002" i="9"/>
  <c r="AM738" i="9"/>
  <c r="AM754" i="9"/>
  <c r="AM770" i="9"/>
  <c r="AM786" i="9"/>
  <c r="AM807" i="9"/>
  <c r="AM812" i="9"/>
  <c r="AM829" i="9"/>
  <c r="AM853" i="9"/>
  <c r="AM865" i="9"/>
  <c r="AM882" i="9"/>
  <c r="AM911" i="9"/>
  <c r="AM935" i="9"/>
  <c r="AM979" i="9"/>
  <c r="AM1011" i="9"/>
  <c r="AM810" i="9"/>
  <c r="AN824" i="9"/>
  <c r="AN851" i="9"/>
  <c r="AM870" i="9"/>
  <c r="AM938" i="9"/>
  <c r="AM946" i="9"/>
  <c r="AN962" i="9"/>
  <c r="AM965" i="9"/>
  <c r="AN982" i="9"/>
  <c r="AM985" i="9"/>
  <c r="AM863" i="9"/>
  <c r="AM909" i="9"/>
  <c r="AM943" i="9"/>
  <c r="AM951" i="9"/>
  <c r="AN988" i="9"/>
  <c r="AM991" i="9"/>
  <c r="AN803" i="9"/>
  <c r="AM822" i="9"/>
  <c r="AM890" i="9"/>
  <c r="AN904" i="9"/>
  <c r="AN931" i="9"/>
  <c r="AN968" i="9"/>
  <c r="AN994" i="9"/>
  <c r="AM997" i="9"/>
  <c r="AM815" i="9"/>
  <c r="AM861" i="9"/>
  <c r="AN954" i="9"/>
  <c r="AM957" i="9"/>
  <c r="AN1000" i="9"/>
  <c r="AM1003" i="9"/>
  <c r="AM842" i="9"/>
  <c r="AN856" i="9"/>
  <c r="AN883" i="9"/>
  <c r="AM902" i="9"/>
  <c r="AM941" i="9"/>
  <c r="AM949" i="9"/>
  <c r="AN974" i="9"/>
  <c r="AM977" i="9"/>
  <c r="AN1006" i="9"/>
  <c r="AM1009" i="9"/>
  <c r="AM813" i="9"/>
  <c r="AM895" i="9"/>
  <c r="AN960" i="9"/>
  <c r="AM963" i="9"/>
  <c r="AN980" i="9"/>
  <c r="AM983" i="9"/>
  <c r="AN1012" i="9"/>
  <c r="AM787" i="9"/>
  <c r="AN808" i="9"/>
  <c r="AM825" i="9"/>
  <c r="AM830" i="9"/>
  <c r="AN835" i="9"/>
  <c r="AM854" i="9"/>
  <c r="AM859" i="9"/>
  <c r="AM900" i="9"/>
  <c r="AM912" i="9"/>
  <c r="AM922" i="9"/>
  <c r="AN936" i="9"/>
  <c r="AN939" i="9"/>
  <c r="AN955" i="9"/>
  <c r="AM966" i="9"/>
  <c r="AN986" i="9"/>
  <c r="AM989" i="9"/>
  <c r="AM995" i="9"/>
  <c r="AM806" i="9"/>
  <c r="AN888" i="9"/>
  <c r="AN915" i="9"/>
  <c r="AM934" i="9"/>
  <c r="AN944" i="9"/>
  <c r="AM947" i="9"/>
  <c r="AM969" i="9"/>
  <c r="AN998" i="9"/>
  <c r="AM1001" i="9"/>
  <c r="AN833" i="9"/>
  <c r="AN958" i="9"/>
  <c r="AN972" i="9"/>
  <c r="AM975" i="9"/>
  <c r="AN1004" i="9"/>
  <c r="AM1007" i="9"/>
  <c r="AN1013" i="9"/>
  <c r="H11" i="11"/>
  <c r="I11" i="11"/>
  <c r="J11" i="11" s="1"/>
  <c r="H12" i="11"/>
  <c r="F25" i="12"/>
  <c r="F42" i="12"/>
  <c r="F76" i="12"/>
  <c r="F59" i="12"/>
  <c r="F8" i="12"/>
  <c r="U38" i="12"/>
  <c r="R13" i="15"/>
  <c r="T39" i="16" l="1"/>
  <c r="AG38" i="16"/>
  <c r="AH38" i="16" s="1"/>
  <c r="AI38" i="16" s="1"/>
  <c r="AD38" i="16"/>
  <c r="X38" i="16"/>
  <c r="Z38" i="16"/>
  <c r="AB38" i="16"/>
  <c r="AF38" i="16"/>
  <c r="V38" i="16"/>
  <c r="AV12" i="9"/>
  <c r="AV6" i="9" s="1"/>
  <c r="AN12" i="9"/>
  <c r="E27" i="7"/>
  <c r="G27" i="7" s="1"/>
  <c r="L30" i="5"/>
  <c r="L60" i="5"/>
  <c r="L32" i="5"/>
  <c r="L54" i="5"/>
  <c r="L61" i="5"/>
  <c r="L55" i="5"/>
  <c r="L58" i="5"/>
  <c r="L59" i="5"/>
  <c r="L41" i="5"/>
  <c r="L48" i="5"/>
  <c r="L57" i="5"/>
  <c r="L47" i="5"/>
  <c r="L46" i="5"/>
  <c r="L49" i="5"/>
  <c r="L43" i="5"/>
  <c r="L52" i="5"/>
  <c r="L45" i="5"/>
  <c r="L56" i="5"/>
  <c r="L36" i="5"/>
  <c r="L40" i="5"/>
  <c r="L53" i="5"/>
  <c r="L51" i="5"/>
  <c r="L29" i="5"/>
  <c r="L37" i="5"/>
  <c r="L27" i="5"/>
  <c r="L31" i="5"/>
  <c r="L42" i="5"/>
  <c r="P50" i="4"/>
  <c r="P51" i="4"/>
  <c r="Q12" i="9"/>
  <c r="G20" i="4"/>
  <c r="F20" i="4"/>
  <c r="L12" i="9"/>
  <c r="F16" i="4"/>
  <c r="C12" i="9"/>
  <c r="F11" i="4"/>
  <c r="M12" i="9"/>
  <c r="G16" i="4"/>
  <c r="I12" i="9"/>
  <c r="G12" i="4"/>
  <c r="O49" i="4" s="1"/>
  <c r="P12" i="9"/>
  <c r="G19" i="4"/>
  <c r="R50" i="4" s="1"/>
  <c r="F19" i="4"/>
  <c r="Q50" i="4" s="1"/>
  <c r="G14" i="7"/>
  <c r="F14" i="7"/>
  <c r="G12" i="11"/>
  <c r="H13" i="11" s="1"/>
  <c r="T12" i="9"/>
  <c r="F25" i="4"/>
  <c r="H12" i="9"/>
  <c r="G11" i="4"/>
  <c r="R12" i="9"/>
  <c r="G21" i="4"/>
  <c r="F21" i="4"/>
  <c r="D12" i="9"/>
  <c r="F12" i="4"/>
  <c r="N49" i="4" s="1"/>
  <c r="E13" i="7"/>
  <c r="G12" i="9"/>
  <c r="G10" i="4"/>
  <c r="AM12" i="9"/>
  <c r="U12" i="9"/>
  <c r="G25" i="4"/>
  <c r="Q21" i="4" s="1"/>
  <c r="G21" i="7"/>
  <c r="F21" i="7"/>
  <c r="K12" i="9"/>
  <c r="G14" i="4"/>
  <c r="V12" i="9"/>
  <c r="F26" i="4"/>
  <c r="O12" i="9"/>
  <c r="G18" i="4"/>
  <c r="F18" i="4"/>
  <c r="N12" i="9"/>
  <c r="G17" i="4"/>
  <c r="R52" i="4" s="1"/>
  <c r="F17" i="4"/>
  <c r="Q52" i="4" s="1"/>
  <c r="J12" i="9"/>
  <c r="G13" i="4"/>
  <c r="E12" i="9"/>
  <c r="F13" i="4"/>
  <c r="L39" i="5"/>
  <c r="L33" i="5"/>
  <c r="F12" i="9"/>
  <c r="F14" i="4"/>
  <c r="L50" i="5"/>
  <c r="H48" i="12"/>
  <c r="H34" i="12"/>
  <c r="H47" i="12"/>
  <c r="H30" i="12"/>
  <c r="H26" i="12"/>
  <c r="H16" i="12"/>
  <c r="H46" i="12"/>
  <c r="H15" i="12"/>
  <c r="H45" i="12"/>
  <c r="H14" i="12"/>
  <c r="H44" i="12"/>
  <c r="H33" i="12"/>
  <c r="H13" i="12"/>
  <c r="H43" i="12"/>
  <c r="H29" i="12"/>
  <c r="H25" i="12"/>
  <c r="H12" i="12"/>
  <c r="H42" i="12"/>
  <c r="H21" i="12"/>
  <c r="H11" i="12"/>
  <c r="H41" i="12"/>
  <c r="H9" i="12"/>
  <c r="H32" i="12"/>
  <c r="I32" i="12" s="1"/>
  <c r="H28" i="12"/>
  <c r="H8" i="12"/>
  <c r="H53" i="12"/>
  <c r="H40" i="12"/>
  <c r="H24" i="12"/>
  <c r="H52" i="12"/>
  <c r="H51" i="12"/>
  <c r="H37" i="12"/>
  <c r="H31" i="12"/>
  <c r="H27" i="12"/>
  <c r="H19" i="12"/>
  <c r="H50" i="12"/>
  <c r="H36" i="12"/>
  <c r="H18" i="12"/>
  <c r="H49" i="12"/>
  <c r="H35" i="12"/>
  <c r="H17" i="12"/>
  <c r="H20" i="12"/>
  <c r="H10" i="12"/>
  <c r="L44" i="5"/>
  <c r="E23" i="7"/>
  <c r="E37" i="3"/>
  <c r="B12" i="9"/>
  <c r="F10" i="4"/>
  <c r="L35" i="5"/>
  <c r="L34" i="5"/>
  <c r="L38" i="5"/>
  <c r="L28" i="5"/>
  <c r="T16" i="2"/>
  <c r="Z12" i="2" s="1"/>
  <c r="F30" i="4" l="1"/>
  <c r="N11" i="4" s="1"/>
  <c r="G30" i="4"/>
  <c r="N26" i="4" s="1"/>
  <c r="T40" i="16"/>
  <c r="AG39" i="16"/>
  <c r="AH39" i="16" s="1"/>
  <c r="AI39" i="16" s="1"/>
  <c r="AB39" i="16"/>
  <c r="AD39" i="16"/>
  <c r="X39" i="16"/>
  <c r="Z39" i="16"/>
  <c r="AF39" i="16"/>
  <c r="V39" i="16"/>
  <c r="F27" i="7"/>
  <c r="Q17" i="4"/>
  <c r="S52" i="4"/>
  <c r="Q11" i="4"/>
  <c r="Q13" i="4"/>
  <c r="Q15" i="4"/>
  <c r="R49" i="4"/>
  <c r="Q27" i="4"/>
  <c r="Q25" i="4"/>
  <c r="Q23" i="4"/>
  <c r="O11" i="4"/>
  <c r="O15" i="4"/>
  <c r="O26" i="4"/>
  <c r="O21" i="4"/>
  <c r="O23" i="4"/>
  <c r="O25" i="4"/>
  <c r="O47" i="4"/>
  <c r="O28" i="4"/>
  <c r="O22" i="4"/>
  <c r="O27" i="4"/>
  <c r="P27" i="4" s="1"/>
  <c r="O24" i="4"/>
  <c r="O12" i="4"/>
  <c r="R12" i="4" s="1"/>
  <c r="O17" i="4"/>
  <c r="O14" i="4"/>
  <c r="O16" i="4"/>
  <c r="N47" i="4"/>
  <c r="O13" i="4"/>
  <c r="O18" i="4"/>
  <c r="I16" i="12"/>
  <c r="G13" i="7"/>
  <c r="F13" i="7"/>
  <c r="Q49" i="4"/>
  <c r="P49" i="4"/>
  <c r="I50" i="12"/>
  <c r="G23" i="7"/>
  <c r="F23" i="7"/>
  <c r="N17" i="4"/>
  <c r="Q46" i="4"/>
  <c r="N18" i="4"/>
  <c r="I12" i="11"/>
  <c r="J12" i="11" s="1"/>
  <c r="G13" i="11"/>
  <c r="S50" i="4"/>
  <c r="T41" i="16" l="1"/>
  <c r="AG40" i="16"/>
  <c r="AH40" i="16" s="1"/>
  <c r="AI40" i="16" s="1"/>
  <c r="AB40" i="16"/>
  <c r="AD40" i="16"/>
  <c r="X40" i="16"/>
  <c r="Z40" i="16"/>
  <c r="AF40" i="16"/>
  <c r="V40" i="16"/>
  <c r="N13" i="4"/>
  <c r="P13" i="4" s="1"/>
  <c r="N42" i="4"/>
  <c r="N41" i="4"/>
  <c r="AI13" i="6" s="1"/>
  <c r="N25" i="4"/>
  <c r="P25" i="4" s="1"/>
  <c r="R17" i="4"/>
  <c r="R13" i="4"/>
  <c r="P17" i="4"/>
  <c r="S49" i="4"/>
  <c r="P11" i="4"/>
  <c r="R25" i="4"/>
  <c r="R11" i="4"/>
  <c r="R14" i="4"/>
  <c r="S46" i="4"/>
  <c r="R28" i="4"/>
  <c r="P28" i="4"/>
  <c r="I13" i="11"/>
  <c r="J13" i="11" s="1"/>
  <c r="G14" i="11"/>
  <c r="R48" i="4"/>
  <c r="O53" i="4"/>
  <c r="R53" i="4" s="1"/>
  <c r="R24" i="4"/>
  <c r="N14" i="4"/>
  <c r="P14" i="4" s="1"/>
  <c r="R15" i="4"/>
  <c r="N24" i="4"/>
  <c r="P24" i="4" s="1"/>
  <c r="N21" i="4"/>
  <c r="P21" i="4" s="1"/>
  <c r="N23" i="4"/>
  <c r="P23" i="4" s="1"/>
  <c r="N22" i="4"/>
  <c r="P22" i="4" s="1"/>
  <c r="N16" i="4"/>
  <c r="P16" i="4" s="1"/>
  <c r="R22" i="4"/>
  <c r="N12" i="4"/>
  <c r="P12" i="4" s="1"/>
  <c r="N15" i="4"/>
  <c r="P15" i="4" s="1"/>
  <c r="R27" i="4"/>
  <c r="P18" i="4"/>
  <c r="R18" i="4"/>
  <c r="P26" i="4"/>
  <c r="R26" i="4"/>
  <c r="Q48" i="4"/>
  <c r="P47" i="4"/>
  <c r="N53" i="4"/>
  <c r="R21" i="4"/>
  <c r="R23" i="4"/>
  <c r="R16" i="4"/>
  <c r="H14" i="11"/>
  <c r="H15" i="11" l="1"/>
  <c r="T42" i="16"/>
  <c r="AG41" i="16"/>
  <c r="AH41" i="16" s="1"/>
  <c r="AI41" i="16" s="1"/>
  <c r="AD41" i="16"/>
  <c r="Z41" i="16"/>
  <c r="X41" i="16"/>
  <c r="AB41" i="16"/>
  <c r="V41" i="16"/>
  <c r="AF41" i="16"/>
  <c r="N35" i="4"/>
  <c r="N36" i="4"/>
  <c r="AH8" i="15" s="1"/>
  <c r="W11" i="15" s="1"/>
  <c r="W63" i="15" s="1"/>
  <c r="O35" i="4"/>
  <c r="O36" i="4"/>
  <c r="S48" i="4"/>
  <c r="AG13" i="15"/>
  <c r="G11" i="15" s="1"/>
  <c r="AG13" i="5"/>
  <c r="G11" i="5" s="1"/>
  <c r="R54" i="4"/>
  <c r="I14" i="11"/>
  <c r="J14" i="11" s="1"/>
  <c r="G15" i="11"/>
  <c r="Q53" i="4"/>
  <c r="S53" i="4" s="1"/>
  <c r="P53" i="4"/>
  <c r="AH13" i="15"/>
  <c r="T11" i="15" s="1"/>
  <c r="AJ13" i="6"/>
  <c r="T11" i="6" s="1"/>
  <c r="X11" i="6" s="1"/>
  <c r="AH13" i="5"/>
  <c r="T11" i="5" s="1"/>
  <c r="T43" i="16" l="1"/>
  <c r="AG42" i="16"/>
  <c r="AH42" i="16" s="1"/>
  <c r="AI42" i="16" s="1"/>
  <c r="AD42" i="16"/>
  <c r="X42" i="16"/>
  <c r="Z42" i="16"/>
  <c r="V42" i="16"/>
  <c r="AB42" i="16"/>
  <c r="AF42" i="16"/>
  <c r="AJ8" i="6"/>
  <c r="W11" i="6" s="1"/>
  <c r="K11" i="6"/>
  <c r="AH8" i="5"/>
  <c r="W11" i="5" s="1"/>
  <c r="W12" i="5" s="1"/>
  <c r="W13" i="5" s="1"/>
  <c r="W14" i="5" s="1"/>
  <c r="W15" i="5" s="1"/>
  <c r="W16" i="5" s="1"/>
  <c r="W17" i="5" s="1"/>
  <c r="W18" i="5" s="1"/>
  <c r="W19" i="5" s="1"/>
  <c r="W20" i="5" s="1"/>
  <c r="W21" i="5" s="1"/>
  <c r="W22" i="5" s="1"/>
  <c r="W23" i="5" s="1"/>
  <c r="W24" i="5" s="1"/>
  <c r="W25" i="5" s="1"/>
  <c r="W26" i="5" s="1"/>
  <c r="W27" i="5" s="1"/>
  <c r="W28" i="5" s="1"/>
  <c r="W29" i="5" s="1"/>
  <c r="W30" i="5" s="1"/>
  <c r="W31" i="5" s="1"/>
  <c r="W32" i="5" s="1"/>
  <c r="W33" i="5" s="1"/>
  <c r="W34" i="5" s="1"/>
  <c r="W35" i="5" s="1"/>
  <c r="W36" i="5" s="1"/>
  <c r="W37" i="5" s="1"/>
  <c r="W38" i="5" s="1"/>
  <c r="W39" i="5" s="1"/>
  <c r="W40" i="5" s="1"/>
  <c r="W41" i="5" s="1"/>
  <c r="W42" i="5" s="1"/>
  <c r="W43" i="5" s="1"/>
  <c r="W44" i="5" s="1"/>
  <c r="W45" i="5" s="1"/>
  <c r="W46" i="5" s="1"/>
  <c r="W47" i="5" s="1"/>
  <c r="W48" i="5" s="1"/>
  <c r="W49" i="5" s="1"/>
  <c r="W50" i="5" s="1"/>
  <c r="W51" i="5" s="1"/>
  <c r="W52" i="5" s="1"/>
  <c r="W53" i="5" s="1"/>
  <c r="W54" i="5" s="1"/>
  <c r="W55" i="5" s="1"/>
  <c r="W56" i="5" s="1"/>
  <c r="W57" i="5" s="1"/>
  <c r="W58" i="5" s="1"/>
  <c r="W59" i="5" s="1"/>
  <c r="W60" i="5" s="1"/>
  <c r="W61" i="5" s="1"/>
  <c r="P36" i="4"/>
  <c r="Q36" i="4"/>
  <c r="X11" i="15"/>
  <c r="U11" i="15"/>
  <c r="V11" i="15" s="1"/>
  <c r="K11" i="5"/>
  <c r="H11" i="5"/>
  <c r="H12" i="5" s="1"/>
  <c r="G12" i="5" s="1"/>
  <c r="I15" i="11"/>
  <c r="J15" i="11" s="1"/>
  <c r="G16" i="11"/>
  <c r="H12" i="6"/>
  <c r="G12" i="6" s="1"/>
  <c r="AH11" i="15"/>
  <c r="Y11" i="15" s="1"/>
  <c r="AH11" i="5"/>
  <c r="Y11" i="5" s="1"/>
  <c r="AJ11" i="6"/>
  <c r="Y11" i="6" s="1"/>
  <c r="AG8" i="15"/>
  <c r="J11" i="15" s="1"/>
  <c r="J63" i="15" s="1"/>
  <c r="AI8" i="6"/>
  <c r="J11" i="6" s="1"/>
  <c r="AG8" i="5"/>
  <c r="J11" i="5" s="1"/>
  <c r="D74" i="15"/>
  <c r="K11" i="15"/>
  <c r="H11" i="15"/>
  <c r="H12" i="15" s="1"/>
  <c r="AG11" i="15"/>
  <c r="L11" i="15" s="1"/>
  <c r="AG11" i="5"/>
  <c r="L11" i="5" s="1"/>
  <c r="H16" i="11"/>
  <c r="Q54" i="4"/>
  <c r="S54" i="4" s="1"/>
  <c r="X11" i="5"/>
  <c r="U11" i="5"/>
  <c r="V11" i="5" s="1"/>
  <c r="U11" i="6"/>
  <c r="U12" i="6" s="1"/>
  <c r="T12" i="6" s="1"/>
  <c r="X12" i="6" s="1"/>
  <c r="Y12" i="6" l="1"/>
  <c r="U13" i="6"/>
  <c r="T13" i="6" s="1"/>
  <c r="T44" i="16"/>
  <c r="AG43" i="16"/>
  <c r="AH43" i="16" s="1"/>
  <c r="AI43" i="16" s="1"/>
  <c r="AD43" i="16"/>
  <c r="Z43" i="16"/>
  <c r="AB43" i="16"/>
  <c r="X43" i="16"/>
  <c r="AF43" i="16"/>
  <c r="V43" i="16"/>
  <c r="L12" i="6"/>
  <c r="U12" i="15"/>
  <c r="T12" i="15" s="1"/>
  <c r="Y12" i="15" s="1"/>
  <c r="I12" i="6"/>
  <c r="K12" i="6"/>
  <c r="R36" i="4"/>
  <c r="I11" i="5"/>
  <c r="V12" i="6"/>
  <c r="G12" i="15"/>
  <c r="H13" i="15" s="1"/>
  <c r="U12" i="5"/>
  <c r="T12" i="5" s="1"/>
  <c r="H13" i="5"/>
  <c r="G13" i="5" s="1"/>
  <c r="L12" i="5"/>
  <c r="L64" i="5" s="1"/>
  <c r="K12" i="5"/>
  <c r="K63" i="5" s="1"/>
  <c r="I12" i="5"/>
  <c r="I11" i="6"/>
  <c r="V11" i="6"/>
  <c r="I11" i="15"/>
  <c r="G17" i="11"/>
  <c r="I16" i="11"/>
  <c r="J16" i="11" s="1"/>
  <c r="J12" i="5"/>
  <c r="J13" i="5" s="1"/>
  <c r="J14" i="5" s="1"/>
  <c r="J15" i="5" s="1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J39" i="5" s="1"/>
  <c r="J40" i="5" s="1"/>
  <c r="J41" i="5" s="1"/>
  <c r="J42" i="5" s="1"/>
  <c r="J43" i="5" s="1"/>
  <c r="J44" i="5" s="1"/>
  <c r="J45" i="5" s="1"/>
  <c r="J46" i="5" s="1"/>
  <c r="J47" i="5" s="1"/>
  <c r="J48" i="5" s="1"/>
  <c r="J49" i="5" s="1"/>
  <c r="J50" i="5" s="1"/>
  <c r="J51" i="5" s="1"/>
  <c r="J52" i="5" s="1"/>
  <c r="J53" i="5" s="1"/>
  <c r="J54" i="5" s="1"/>
  <c r="J55" i="5" s="1"/>
  <c r="J56" i="5" s="1"/>
  <c r="J57" i="5" s="1"/>
  <c r="J58" i="5" s="1"/>
  <c r="J59" i="5" s="1"/>
  <c r="J60" i="5" s="1"/>
  <c r="J61" i="5" s="1"/>
  <c r="W63" i="5"/>
  <c r="H17" i="11"/>
  <c r="Y13" i="6" l="1"/>
  <c r="U14" i="6"/>
  <c r="T14" i="6" s="1"/>
  <c r="Y14" i="6" s="1"/>
  <c r="T45" i="16"/>
  <c r="AG44" i="16"/>
  <c r="AH44" i="16" s="1"/>
  <c r="AI44" i="16" s="1"/>
  <c r="AD44" i="16"/>
  <c r="AB44" i="16"/>
  <c r="X44" i="16"/>
  <c r="Z44" i="16"/>
  <c r="V44" i="16"/>
  <c r="AF44" i="16"/>
  <c r="U13" i="15"/>
  <c r="T13" i="15" s="1"/>
  <c r="U14" i="15" s="1"/>
  <c r="T14" i="15" s="1"/>
  <c r="V12" i="15"/>
  <c r="X12" i="15"/>
  <c r="G13" i="15"/>
  <c r="J63" i="5"/>
  <c r="L63" i="5"/>
  <c r="J64" i="5"/>
  <c r="I17" i="11"/>
  <c r="J17" i="11" s="1"/>
  <c r="G18" i="11"/>
  <c r="K64" i="5"/>
  <c r="L12" i="15"/>
  <c r="K12" i="15"/>
  <c r="I12" i="15"/>
  <c r="I13" i="5"/>
  <c r="H14" i="5"/>
  <c r="G14" i="5" s="1"/>
  <c r="L13" i="5"/>
  <c r="K13" i="5"/>
  <c r="H18" i="11"/>
  <c r="X13" i="6"/>
  <c r="V13" i="6"/>
  <c r="Y12" i="5"/>
  <c r="Y63" i="5" s="1"/>
  <c r="X12" i="5"/>
  <c r="X63" i="5" s="1"/>
  <c r="V12" i="5"/>
  <c r="U13" i="5"/>
  <c r="T13" i="5" s="1"/>
  <c r="H13" i="6"/>
  <c r="G13" i="6" s="1"/>
  <c r="T46" i="16" l="1"/>
  <c r="AG45" i="16"/>
  <c r="AH45" i="16" s="1"/>
  <c r="AI45" i="16" s="1"/>
  <c r="Z45" i="16"/>
  <c r="AD45" i="16"/>
  <c r="V45" i="16"/>
  <c r="X45" i="16"/>
  <c r="AB45" i="16"/>
  <c r="AF45" i="16"/>
  <c r="L13" i="6"/>
  <c r="Y13" i="15"/>
  <c r="X13" i="15"/>
  <c r="V13" i="15"/>
  <c r="U15" i="15"/>
  <c r="T15" i="15" s="1"/>
  <c r="Y14" i="15"/>
  <c r="X14" i="15"/>
  <c r="V14" i="15"/>
  <c r="G19" i="11"/>
  <c r="I18" i="11"/>
  <c r="J18" i="11" s="1"/>
  <c r="K66" i="5"/>
  <c r="H2" i="5" s="1"/>
  <c r="L13" i="15"/>
  <c r="K13" i="15"/>
  <c r="I13" i="15"/>
  <c r="H14" i="15"/>
  <c r="H19" i="11"/>
  <c r="U15" i="6"/>
  <c r="T15" i="6" s="1"/>
  <c r="Y15" i="6" s="1"/>
  <c r="X14" i="6"/>
  <c r="V14" i="6"/>
  <c r="Y13" i="5"/>
  <c r="X13" i="5"/>
  <c r="V13" i="5"/>
  <c r="U14" i="5"/>
  <c r="T14" i="5" s="1"/>
  <c r="I14" i="5"/>
  <c r="H15" i="5"/>
  <c r="G15" i="5" s="1"/>
  <c r="L14" i="5"/>
  <c r="K14" i="5"/>
  <c r="T47" i="16" l="1"/>
  <c r="AG46" i="16"/>
  <c r="AH46" i="16" s="1"/>
  <c r="AI46" i="16" s="1"/>
  <c r="AB46" i="16"/>
  <c r="AD46" i="16"/>
  <c r="Z46" i="16"/>
  <c r="X46" i="16"/>
  <c r="V46" i="16"/>
  <c r="AF46" i="16"/>
  <c r="K13" i="6"/>
  <c r="L15" i="5"/>
  <c r="K15" i="5"/>
  <c r="I15" i="5"/>
  <c r="H16" i="5"/>
  <c r="G16" i="5" s="1"/>
  <c r="G14" i="15"/>
  <c r="H15" i="15" s="1"/>
  <c r="X15" i="6"/>
  <c r="V15" i="6"/>
  <c r="U16" i="6"/>
  <c r="T16" i="6" s="1"/>
  <c r="Y16" i="6" s="1"/>
  <c r="V15" i="15"/>
  <c r="U16" i="15"/>
  <c r="T16" i="15" s="1"/>
  <c r="Y15" i="15"/>
  <c r="X15" i="15"/>
  <c r="I13" i="6"/>
  <c r="H14" i="6"/>
  <c r="G14" i="6" s="1"/>
  <c r="H20" i="11"/>
  <c r="I19" i="11"/>
  <c r="J19" i="11" s="1"/>
  <c r="G20" i="11"/>
  <c r="Y14" i="5"/>
  <c r="X14" i="5"/>
  <c r="V14" i="5"/>
  <c r="U15" i="5"/>
  <c r="T15" i="5" s="1"/>
  <c r="T48" i="16" l="1"/>
  <c r="AG47" i="16"/>
  <c r="AH47" i="16" s="1"/>
  <c r="AI47" i="16" s="1"/>
  <c r="AD47" i="16"/>
  <c r="AB47" i="16"/>
  <c r="X47" i="16"/>
  <c r="Z47" i="16"/>
  <c r="V47" i="16"/>
  <c r="AF47" i="16"/>
  <c r="L14" i="6"/>
  <c r="Y15" i="5"/>
  <c r="X15" i="5"/>
  <c r="V15" i="5"/>
  <c r="U16" i="5"/>
  <c r="T16" i="5" s="1"/>
  <c r="G21" i="11"/>
  <c r="I20" i="11"/>
  <c r="J20" i="11" s="1"/>
  <c r="G15" i="15"/>
  <c r="U17" i="6"/>
  <c r="T17" i="6" s="1"/>
  <c r="Y17" i="6" s="1"/>
  <c r="X16" i="6"/>
  <c r="V16" i="6"/>
  <c r="H21" i="11"/>
  <c r="L16" i="5"/>
  <c r="K16" i="5"/>
  <c r="I16" i="5"/>
  <c r="H17" i="5"/>
  <c r="G17" i="5" s="1"/>
  <c r="L14" i="15"/>
  <c r="K14" i="15"/>
  <c r="I14" i="15"/>
  <c r="V16" i="15"/>
  <c r="U17" i="15"/>
  <c r="T17" i="15" s="1"/>
  <c r="Y16" i="15"/>
  <c r="X16" i="15"/>
  <c r="T49" i="16" l="1"/>
  <c r="AG48" i="16"/>
  <c r="AH48" i="16" s="1"/>
  <c r="AI48" i="16" s="1"/>
  <c r="AB48" i="16"/>
  <c r="AD48" i="16"/>
  <c r="X48" i="16"/>
  <c r="V48" i="16"/>
  <c r="Z48" i="16"/>
  <c r="AF48" i="16"/>
  <c r="H22" i="11"/>
  <c r="X17" i="6"/>
  <c r="K14" i="6"/>
  <c r="L17" i="5"/>
  <c r="K17" i="5"/>
  <c r="I17" i="5"/>
  <c r="H18" i="5"/>
  <c r="G18" i="5" s="1"/>
  <c r="U17" i="5"/>
  <c r="T17" i="5" s="1"/>
  <c r="Y16" i="5"/>
  <c r="X16" i="5"/>
  <c r="V16" i="5"/>
  <c r="I14" i="6"/>
  <c r="L15" i="15"/>
  <c r="K15" i="15"/>
  <c r="I15" i="15"/>
  <c r="V17" i="6"/>
  <c r="U18" i="6"/>
  <c r="T18" i="6" s="1"/>
  <c r="Y18" i="6" s="1"/>
  <c r="X17" i="15"/>
  <c r="V17" i="15"/>
  <c r="U18" i="15"/>
  <c r="T18" i="15" s="1"/>
  <c r="Y17" i="15"/>
  <c r="H16" i="15"/>
  <c r="G22" i="11"/>
  <c r="I21" i="11"/>
  <c r="J21" i="11" s="1"/>
  <c r="H15" i="6"/>
  <c r="G15" i="6" s="1"/>
  <c r="T50" i="16" l="1"/>
  <c r="AG49" i="16"/>
  <c r="AH49" i="16" s="1"/>
  <c r="AI49" i="16" s="1"/>
  <c r="AB49" i="16"/>
  <c r="AD49" i="16"/>
  <c r="V49" i="16"/>
  <c r="X49" i="16"/>
  <c r="Z49" i="16"/>
  <c r="AF49" i="16"/>
  <c r="L15" i="6"/>
  <c r="I22" i="11"/>
  <c r="J22" i="11" s="1"/>
  <c r="G23" i="11"/>
  <c r="Y18" i="15"/>
  <c r="X18" i="15"/>
  <c r="V18" i="15"/>
  <c r="U19" i="15"/>
  <c r="T19" i="15" s="1"/>
  <c r="G16" i="15"/>
  <c r="H23" i="11"/>
  <c r="L18" i="5"/>
  <c r="K18" i="5"/>
  <c r="I18" i="5"/>
  <c r="H19" i="5"/>
  <c r="G19" i="5" s="1"/>
  <c r="V17" i="5"/>
  <c r="U18" i="5"/>
  <c r="T18" i="5" s="1"/>
  <c r="Y17" i="5"/>
  <c r="X17" i="5"/>
  <c r="X18" i="6"/>
  <c r="V18" i="6"/>
  <c r="U19" i="6"/>
  <c r="T19" i="6" s="1"/>
  <c r="Y19" i="6" s="1"/>
  <c r="K15" i="6"/>
  <c r="H24" i="11" l="1"/>
  <c r="H25" i="11" s="1"/>
  <c r="T51" i="16"/>
  <c r="AG50" i="16"/>
  <c r="AH50" i="16" s="1"/>
  <c r="AI50" i="16" s="1"/>
  <c r="AD50" i="16"/>
  <c r="AB50" i="16"/>
  <c r="X50" i="16"/>
  <c r="Z50" i="16"/>
  <c r="AF50" i="16"/>
  <c r="V50" i="16"/>
  <c r="H16" i="6"/>
  <c r="G16" i="6" s="1"/>
  <c r="I15" i="6"/>
  <c r="L19" i="5"/>
  <c r="K19" i="5"/>
  <c r="I19" i="5"/>
  <c r="H20" i="5"/>
  <c r="G20" i="5" s="1"/>
  <c r="L16" i="15"/>
  <c r="K16" i="15"/>
  <c r="I16" i="15"/>
  <c r="H17" i="15"/>
  <c r="X19" i="6"/>
  <c r="V19" i="6"/>
  <c r="U20" i="6"/>
  <c r="T20" i="6" s="1"/>
  <c r="Y20" i="6" s="1"/>
  <c r="X18" i="5"/>
  <c r="V18" i="5"/>
  <c r="U19" i="5"/>
  <c r="T19" i="5" s="1"/>
  <c r="Y18" i="5"/>
  <c r="G24" i="11"/>
  <c r="I23" i="11"/>
  <c r="J23" i="11" s="1"/>
  <c r="Y19" i="15"/>
  <c r="X19" i="15"/>
  <c r="V19" i="15"/>
  <c r="U20" i="15"/>
  <c r="T20" i="15" s="1"/>
  <c r="T52" i="16" l="1"/>
  <c r="AG51" i="16"/>
  <c r="AH51" i="16" s="1"/>
  <c r="AI51" i="16" s="1"/>
  <c r="AB51" i="16"/>
  <c r="AD51" i="16"/>
  <c r="X51" i="16"/>
  <c r="Z51" i="16"/>
  <c r="AF51" i="16"/>
  <c r="V51" i="16"/>
  <c r="L16" i="6"/>
  <c r="K16" i="6"/>
  <c r="H21" i="5"/>
  <c r="G21" i="5" s="1"/>
  <c r="L20" i="5"/>
  <c r="K20" i="5"/>
  <c r="I20" i="5"/>
  <c r="G25" i="11"/>
  <c r="I24" i="11"/>
  <c r="J24" i="11" s="1"/>
  <c r="G17" i="15"/>
  <c r="Y20" i="15"/>
  <c r="X20" i="15"/>
  <c r="V20" i="15"/>
  <c r="U21" i="15"/>
  <c r="T21" i="15" s="1"/>
  <c r="Y19" i="5"/>
  <c r="X19" i="5"/>
  <c r="V19" i="5"/>
  <c r="U20" i="5"/>
  <c r="T20" i="5" s="1"/>
  <c r="I16" i="6"/>
  <c r="X20" i="6"/>
  <c r="V20" i="6"/>
  <c r="U21" i="6"/>
  <c r="T21" i="6" s="1"/>
  <c r="Y21" i="6" s="1"/>
  <c r="H17" i="6"/>
  <c r="G17" i="6" s="1"/>
  <c r="T53" i="16" l="1"/>
  <c r="AG52" i="16"/>
  <c r="AH52" i="16" s="1"/>
  <c r="AI52" i="16" s="1"/>
  <c r="AB52" i="16"/>
  <c r="AD52" i="16"/>
  <c r="X52" i="16"/>
  <c r="Z52" i="16"/>
  <c r="AF52" i="16"/>
  <c r="V52" i="16"/>
  <c r="L17" i="6"/>
  <c r="G26" i="11"/>
  <c r="I25" i="11"/>
  <c r="J25" i="11" s="1"/>
  <c r="L17" i="15"/>
  <c r="K17" i="15"/>
  <c r="I17" i="15"/>
  <c r="H18" i="15"/>
  <c r="U22" i="6"/>
  <c r="T22" i="6" s="1"/>
  <c r="X21" i="6"/>
  <c r="V21" i="6"/>
  <c r="H22" i="5"/>
  <c r="G22" i="5" s="1"/>
  <c r="L21" i="5"/>
  <c r="K21" i="5"/>
  <c r="I21" i="5"/>
  <c r="Y20" i="5"/>
  <c r="X20" i="5"/>
  <c r="V20" i="5"/>
  <c r="U21" i="5"/>
  <c r="T21" i="5" s="1"/>
  <c r="Y21" i="15"/>
  <c r="X21" i="15"/>
  <c r="V21" i="15"/>
  <c r="U22" i="15"/>
  <c r="T22" i="15" s="1"/>
  <c r="H26" i="11"/>
  <c r="H27" i="11" l="1"/>
  <c r="T54" i="16"/>
  <c r="AG53" i="16"/>
  <c r="AH53" i="16" s="1"/>
  <c r="AI53" i="16" s="1"/>
  <c r="AD53" i="16"/>
  <c r="AB53" i="16"/>
  <c r="Z53" i="16"/>
  <c r="X53" i="16"/>
  <c r="V53" i="16"/>
  <c r="AF53" i="16"/>
  <c r="Y22" i="6"/>
  <c r="H18" i="6"/>
  <c r="X22" i="6"/>
  <c r="V22" i="6"/>
  <c r="U23" i="6"/>
  <c r="T23" i="6" s="1"/>
  <c r="Y23" i="6" s="1"/>
  <c r="I22" i="5"/>
  <c r="H23" i="5"/>
  <c r="G23" i="5" s="1"/>
  <c r="L22" i="5"/>
  <c r="K22" i="5"/>
  <c r="G18" i="15"/>
  <c r="H19" i="15" s="1"/>
  <c r="Y22" i="15"/>
  <c r="X22" i="15"/>
  <c r="V22" i="15"/>
  <c r="U23" i="15"/>
  <c r="T23" i="15" s="1"/>
  <c r="K17" i="6"/>
  <c r="I17" i="6"/>
  <c r="Y21" i="5"/>
  <c r="X21" i="5"/>
  <c r="V21" i="5"/>
  <c r="U22" i="5"/>
  <c r="T22" i="5" s="1"/>
  <c r="I26" i="11"/>
  <c r="J26" i="11" s="1"/>
  <c r="G27" i="11"/>
  <c r="H28" i="11" l="1"/>
  <c r="T55" i="16"/>
  <c r="AG54" i="16"/>
  <c r="AH54" i="16" s="1"/>
  <c r="AI54" i="16" s="1"/>
  <c r="AD54" i="16"/>
  <c r="X54" i="16"/>
  <c r="Z54" i="16"/>
  <c r="V54" i="16"/>
  <c r="AB54" i="16"/>
  <c r="AF54" i="16"/>
  <c r="G18" i="6"/>
  <c r="G19" i="15"/>
  <c r="Y22" i="5"/>
  <c r="X22" i="5"/>
  <c r="V22" i="5"/>
  <c r="U23" i="5"/>
  <c r="T23" i="5" s="1"/>
  <c r="U24" i="6"/>
  <c r="T24" i="6" s="1"/>
  <c r="Y24" i="6" s="1"/>
  <c r="X23" i="6"/>
  <c r="V23" i="6"/>
  <c r="G28" i="11"/>
  <c r="I27" i="11"/>
  <c r="J27" i="11" s="1"/>
  <c r="L18" i="15"/>
  <c r="K18" i="15"/>
  <c r="I18" i="15"/>
  <c r="L23" i="5"/>
  <c r="K23" i="5"/>
  <c r="I23" i="5"/>
  <c r="H24" i="5"/>
  <c r="G24" i="5" s="1"/>
  <c r="Y23" i="15"/>
  <c r="X23" i="15"/>
  <c r="V23" i="15"/>
  <c r="U24" i="15"/>
  <c r="T24" i="15" s="1"/>
  <c r="T56" i="16" l="1"/>
  <c r="AG55" i="16"/>
  <c r="AH55" i="16" s="1"/>
  <c r="AI55" i="16" s="1"/>
  <c r="AD55" i="16"/>
  <c r="AB55" i="16"/>
  <c r="Z55" i="16"/>
  <c r="X55" i="16"/>
  <c r="V55" i="16"/>
  <c r="AF55" i="16"/>
  <c r="L18" i="6"/>
  <c r="H19" i="6"/>
  <c r="G19" i="6" s="1"/>
  <c r="I18" i="6"/>
  <c r="K18" i="6"/>
  <c r="W24" i="6"/>
  <c r="L24" i="5"/>
  <c r="K24" i="5"/>
  <c r="I24" i="5"/>
  <c r="H25" i="5"/>
  <c r="G25" i="5" s="1"/>
  <c r="G29" i="11"/>
  <c r="I28" i="11"/>
  <c r="J28" i="11" s="1"/>
  <c r="Y23" i="5"/>
  <c r="X23" i="5"/>
  <c r="V23" i="5"/>
  <c r="U24" i="5"/>
  <c r="T24" i="5" s="1"/>
  <c r="U25" i="6"/>
  <c r="T25" i="6" s="1"/>
  <c r="Y25" i="6" s="1"/>
  <c r="X24" i="6"/>
  <c r="V24" i="6"/>
  <c r="H29" i="11"/>
  <c r="L19" i="15"/>
  <c r="K19" i="15"/>
  <c r="I19" i="15"/>
  <c r="Y24" i="15"/>
  <c r="X24" i="15"/>
  <c r="V24" i="15"/>
  <c r="U25" i="15"/>
  <c r="T25" i="15" s="1"/>
  <c r="H20" i="15"/>
  <c r="T57" i="16" l="1"/>
  <c r="AG56" i="16"/>
  <c r="AH56" i="16" s="1"/>
  <c r="AI56" i="16" s="1"/>
  <c r="AD56" i="16"/>
  <c r="X56" i="16"/>
  <c r="AB56" i="16"/>
  <c r="Z56" i="16"/>
  <c r="V56" i="16"/>
  <c r="AF56" i="16"/>
  <c r="L19" i="6"/>
  <c r="H20" i="6"/>
  <c r="W25" i="6"/>
  <c r="G20" i="15"/>
  <c r="U25" i="5"/>
  <c r="T25" i="5" s="1"/>
  <c r="Y24" i="5"/>
  <c r="X24" i="5"/>
  <c r="V24" i="5"/>
  <c r="L25" i="5"/>
  <c r="K25" i="5"/>
  <c r="I25" i="5"/>
  <c r="H26" i="5"/>
  <c r="G26" i="5" s="1"/>
  <c r="K19" i="6"/>
  <c r="I19" i="6"/>
  <c r="Y25" i="15"/>
  <c r="X25" i="15"/>
  <c r="V25" i="15"/>
  <c r="U26" i="15"/>
  <c r="T26" i="15" s="1"/>
  <c r="V25" i="6"/>
  <c r="U26" i="6"/>
  <c r="T26" i="6" s="1"/>
  <c r="Y26" i="6" s="1"/>
  <c r="X25" i="6"/>
  <c r="G30" i="11"/>
  <c r="I29" i="11"/>
  <c r="J29" i="11" s="1"/>
  <c r="H30" i="11"/>
  <c r="T58" i="16" l="1"/>
  <c r="AG57" i="16"/>
  <c r="AH57" i="16" s="1"/>
  <c r="AI57" i="16" s="1"/>
  <c r="Z57" i="16"/>
  <c r="AD57" i="16"/>
  <c r="AB57" i="16"/>
  <c r="X57" i="16"/>
  <c r="V57" i="16"/>
  <c r="AF57" i="16"/>
  <c r="H31" i="11"/>
  <c r="G20" i="6"/>
  <c r="W26" i="6"/>
  <c r="Y26" i="15"/>
  <c r="X26" i="15"/>
  <c r="V26" i="15"/>
  <c r="U27" i="15"/>
  <c r="T27" i="15" s="1"/>
  <c r="X26" i="6"/>
  <c r="V26" i="6"/>
  <c r="U27" i="6"/>
  <c r="T27" i="6" s="1"/>
  <c r="Y27" i="6" s="1"/>
  <c r="L20" i="15"/>
  <c r="K20" i="15"/>
  <c r="I20" i="15"/>
  <c r="V25" i="5"/>
  <c r="U26" i="5"/>
  <c r="T26" i="5" s="1"/>
  <c r="Y25" i="5"/>
  <c r="X25" i="5"/>
  <c r="H21" i="15"/>
  <c r="L26" i="5"/>
  <c r="K26" i="5"/>
  <c r="I26" i="5"/>
  <c r="I30" i="11"/>
  <c r="J30" i="11" s="1"/>
  <c r="G31" i="11"/>
  <c r="H32" i="11" l="1"/>
  <c r="T59" i="16"/>
  <c r="AG58" i="16"/>
  <c r="AH58" i="16" s="1"/>
  <c r="AI58" i="16" s="1"/>
  <c r="AB58" i="16"/>
  <c r="AD58" i="16"/>
  <c r="Z58" i="16"/>
  <c r="X58" i="16"/>
  <c r="V58" i="16"/>
  <c r="AF58" i="16"/>
  <c r="L20" i="6"/>
  <c r="K20" i="6"/>
  <c r="I20" i="6"/>
  <c r="H21" i="6"/>
  <c r="G21" i="6" s="1"/>
  <c r="W27" i="6"/>
  <c r="X26" i="5"/>
  <c r="V26" i="5"/>
  <c r="U27" i="5"/>
  <c r="T27" i="5" s="1"/>
  <c r="Y26" i="5"/>
  <c r="Y27" i="15"/>
  <c r="X27" i="15"/>
  <c r="V27" i="15"/>
  <c r="U28" i="15"/>
  <c r="T28" i="15" s="1"/>
  <c r="X27" i="6"/>
  <c r="V27" i="6"/>
  <c r="U28" i="6"/>
  <c r="T28" i="6" s="1"/>
  <c r="Y28" i="6" s="1"/>
  <c r="G32" i="11"/>
  <c r="I31" i="11"/>
  <c r="J31" i="11" s="1"/>
  <c r="G21" i="15"/>
  <c r="H22" i="15" s="1"/>
  <c r="T60" i="16" l="1"/>
  <c r="AG59" i="16"/>
  <c r="AH59" i="16" s="1"/>
  <c r="AI59" i="16" s="1"/>
  <c r="Z59" i="16"/>
  <c r="AD59" i="16"/>
  <c r="X59" i="16"/>
  <c r="AB59" i="16"/>
  <c r="V59" i="16"/>
  <c r="AF59" i="16"/>
  <c r="L21" i="6"/>
  <c r="W28" i="6"/>
  <c r="G22" i="15"/>
  <c r="G33" i="11"/>
  <c r="I32" i="11"/>
  <c r="J32" i="11" s="1"/>
  <c r="I21" i="6"/>
  <c r="K21" i="6"/>
  <c r="X28" i="6"/>
  <c r="V28" i="6"/>
  <c r="U29" i="6"/>
  <c r="T29" i="6" s="1"/>
  <c r="Y29" i="6" s="1"/>
  <c r="Y27" i="5"/>
  <c r="X27" i="5"/>
  <c r="V27" i="5"/>
  <c r="U28" i="5"/>
  <c r="T28" i="5" s="1"/>
  <c r="H22" i="6"/>
  <c r="H33" i="11"/>
  <c r="Y28" i="15"/>
  <c r="X28" i="15"/>
  <c r="V28" i="15"/>
  <c r="U29" i="15"/>
  <c r="T29" i="15" s="1"/>
  <c r="L21" i="15"/>
  <c r="K21" i="15"/>
  <c r="I21" i="15"/>
  <c r="H34" i="11" l="1"/>
  <c r="T61" i="16"/>
  <c r="AG60" i="16"/>
  <c r="AH60" i="16" s="1"/>
  <c r="AI60" i="16" s="1"/>
  <c r="AB60" i="16"/>
  <c r="AD60" i="16"/>
  <c r="X60" i="16"/>
  <c r="Z60" i="16"/>
  <c r="V60" i="16"/>
  <c r="AF60" i="16"/>
  <c r="W29" i="6"/>
  <c r="X29" i="6"/>
  <c r="V29" i="6"/>
  <c r="U30" i="6"/>
  <c r="T30" i="6" s="1"/>
  <c r="Y30" i="6" s="1"/>
  <c r="U30" i="15"/>
  <c r="T30" i="15" s="1"/>
  <c r="Y29" i="15"/>
  <c r="X29" i="15"/>
  <c r="V29" i="15"/>
  <c r="I33" i="11"/>
  <c r="J33" i="11" s="1"/>
  <c r="G34" i="11"/>
  <c r="G22" i="6"/>
  <c r="L22" i="15"/>
  <c r="K22" i="15"/>
  <c r="I22" i="15"/>
  <c r="Y28" i="5"/>
  <c r="X28" i="5"/>
  <c r="V28" i="5"/>
  <c r="U29" i="5"/>
  <c r="T29" i="5" s="1"/>
  <c r="H23" i="15"/>
  <c r="T62" i="16" l="1"/>
  <c r="AG61" i="16"/>
  <c r="AH61" i="16" s="1"/>
  <c r="AI61" i="16" s="1"/>
  <c r="AB61" i="16"/>
  <c r="AD61" i="16"/>
  <c r="Z61" i="16"/>
  <c r="X61" i="16"/>
  <c r="AF61" i="16"/>
  <c r="V61" i="16"/>
  <c r="L22" i="6"/>
  <c r="W30" i="6"/>
  <c r="H23" i="6"/>
  <c r="G23" i="6" s="1"/>
  <c r="G23" i="15"/>
  <c r="H24" i="15" s="1"/>
  <c r="I34" i="11"/>
  <c r="J34" i="11" s="1"/>
  <c r="G35" i="11"/>
  <c r="X30" i="6"/>
  <c r="V30" i="6"/>
  <c r="U31" i="6"/>
  <c r="T31" i="6" s="1"/>
  <c r="Y31" i="6" s="1"/>
  <c r="H35" i="11"/>
  <c r="H36" i="11" s="1"/>
  <c r="U31" i="15"/>
  <c r="T31" i="15" s="1"/>
  <c r="Y30" i="15"/>
  <c r="X30" i="15"/>
  <c r="V30" i="15"/>
  <c r="Y29" i="5"/>
  <c r="X29" i="5"/>
  <c r="V29" i="5"/>
  <c r="U30" i="5"/>
  <c r="T30" i="5" s="1"/>
  <c r="I22" i="6"/>
  <c r="K22" i="6"/>
  <c r="T63" i="16" l="1"/>
  <c r="AD62" i="16"/>
  <c r="AG62" i="16"/>
  <c r="AH62" i="16" s="1"/>
  <c r="AI62" i="16" s="1"/>
  <c r="X62" i="16"/>
  <c r="AB62" i="16"/>
  <c r="Z62" i="16"/>
  <c r="V62" i="16"/>
  <c r="AF62" i="16"/>
  <c r="L23" i="6"/>
  <c r="W31" i="6"/>
  <c r="G24" i="15"/>
  <c r="V31" i="15"/>
  <c r="U32" i="15"/>
  <c r="T32" i="15" s="1"/>
  <c r="Y31" i="15"/>
  <c r="X31" i="15"/>
  <c r="I23" i="15"/>
  <c r="L23" i="15"/>
  <c r="K23" i="15"/>
  <c r="K23" i="6"/>
  <c r="I23" i="6"/>
  <c r="U32" i="6"/>
  <c r="T32" i="6" s="1"/>
  <c r="Y32" i="6" s="1"/>
  <c r="V31" i="6"/>
  <c r="X31" i="6"/>
  <c r="G36" i="11"/>
  <c r="H37" i="11" s="1"/>
  <c r="I35" i="11"/>
  <c r="J35" i="11" s="1"/>
  <c r="Y30" i="5"/>
  <c r="X30" i="5"/>
  <c r="V30" i="5"/>
  <c r="U31" i="5"/>
  <c r="T31" i="5" s="1"/>
  <c r="H24" i="6"/>
  <c r="T64" i="16" l="1"/>
  <c r="AB63" i="16"/>
  <c r="AD63" i="16"/>
  <c r="AG63" i="16"/>
  <c r="AH63" i="16" s="1"/>
  <c r="AI63" i="16" s="1"/>
  <c r="X63" i="16"/>
  <c r="Z63" i="16"/>
  <c r="AF63" i="16"/>
  <c r="V63" i="16"/>
  <c r="W32" i="6"/>
  <c r="V32" i="6"/>
  <c r="U33" i="6"/>
  <c r="T33" i="6" s="1"/>
  <c r="Y33" i="6" s="1"/>
  <c r="X32" i="6"/>
  <c r="G24" i="6"/>
  <c r="L24" i="6" s="1"/>
  <c r="V32" i="15"/>
  <c r="U33" i="15"/>
  <c r="T33" i="15" s="1"/>
  <c r="Y32" i="15"/>
  <c r="X32" i="15"/>
  <c r="Y31" i="5"/>
  <c r="X31" i="5"/>
  <c r="V31" i="5"/>
  <c r="U32" i="5"/>
  <c r="T32" i="5" s="1"/>
  <c r="G37" i="11"/>
  <c r="I36" i="11"/>
  <c r="J36" i="11" s="1"/>
  <c r="I24" i="15"/>
  <c r="L24" i="15"/>
  <c r="K24" i="15"/>
  <c r="H25" i="15"/>
  <c r="T65" i="16" l="1"/>
  <c r="AG64" i="16"/>
  <c r="AH64" i="16" s="1"/>
  <c r="AI64" i="16" s="1"/>
  <c r="AB64" i="16"/>
  <c r="AD64" i="16"/>
  <c r="X64" i="16"/>
  <c r="Z64" i="16"/>
  <c r="AF64" i="16"/>
  <c r="V64" i="16"/>
  <c r="J24" i="6"/>
  <c r="W33" i="6"/>
  <c r="U33" i="5"/>
  <c r="T33" i="5" s="1"/>
  <c r="Y32" i="5"/>
  <c r="X32" i="5"/>
  <c r="V32" i="5"/>
  <c r="G25" i="15"/>
  <c r="H26" i="15" s="1"/>
  <c r="I37" i="11"/>
  <c r="J37" i="11" s="1"/>
  <c r="G38" i="11"/>
  <c r="X33" i="6"/>
  <c r="V33" i="6"/>
  <c r="U34" i="6"/>
  <c r="T34" i="6" s="1"/>
  <c r="Y34" i="6" s="1"/>
  <c r="X33" i="15"/>
  <c r="V33" i="15"/>
  <c r="U34" i="15"/>
  <c r="T34" i="15" s="1"/>
  <c r="Y33" i="15"/>
  <c r="K24" i="6"/>
  <c r="I24" i="6"/>
  <c r="H25" i="6"/>
  <c r="H38" i="11"/>
  <c r="T66" i="16" l="1"/>
  <c r="AG65" i="16"/>
  <c r="AH65" i="16" s="1"/>
  <c r="AI65" i="16" s="1"/>
  <c r="AD65" i="16"/>
  <c r="AB65" i="16"/>
  <c r="Z65" i="16"/>
  <c r="X65" i="16"/>
  <c r="AF65" i="16"/>
  <c r="V65" i="16"/>
  <c r="W34" i="6"/>
  <c r="G26" i="15"/>
  <c r="Y34" i="15"/>
  <c r="X34" i="15"/>
  <c r="V34" i="15"/>
  <c r="U35" i="15"/>
  <c r="T35" i="15" s="1"/>
  <c r="V34" i="6"/>
  <c r="X34" i="6"/>
  <c r="U35" i="6"/>
  <c r="T35" i="6" s="1"/>
  <c r="Y35" i="6" s="1"/>
  <c r="G39" i="11"/>
  <c r="I38" i="11"/>
  <c r="J38" i="11" s="1"/>
  <c r="H39" i="11"/>
  <c r="G25" i="6"/>
  <c r="L25" i="6" s="1"/>
  <c r="K25" i="15"/>
  <c r="I25" i="15"/>
  <c r="L25" i="15"/>
  <c r="V33" i="5"/>
  <c r="U34" i="5"/>
  <c r="T34" i="5" s="1"/>
  <c r="Y33" i="5"/>
  <c r="X33" i="5"/>
  <c r="T67" i="16" l="1"/>
  <c r="AG66" i="16"/>
  <c r="AH66" i="16" s="1"/>
  <c r="AI66" i="16" s="1"/>
  <c r="AD66" i="16"/>
  <c r="X66" i="16"/>
  <c r="Z66" i="16"/>
  <c r="AB66" i="16"/>
  <c r="AF66" i="16"/>
  <c r="V66" i="16"/>
  <c r="W35" i="6"/>
  <c r="J25" i="6"/>
  <c r="H26" i="6"/>
  <c r="G26" i="6" s="1"/>
  <c r="L26" i="6" s="1"/>
  <c r="G40" i="11"/>
  <c r="I39" i="11"/>
  <c r="J39" i="11" s="1"/>
  <c r="K25" i="6"/>
  <c r="I25" i="6"/>
  <c r="X34" i="5"/>
  <c r="V34" i="5"/>
  <c r="U35" i="5"/>
  <c r="T35" i="5" s="1"/>
  <c r="Y34" i="5"/>
  <c r="X35" i="6"/>
  <c r="V35" i="6"/>
  <c r="U36" i="6"/>
  <c r="T36" i="6" s="1"/>
  <c r="Y36" i="6" s="1"/>
  <c r="H40" i="11"/>
  <c r="L26" i="15"/>
  <c r="K26" i="15"/>
  <c r="I26" i="15"/>
  <c r="Y35" i="15"/>
  <c r="X35" i="15"/>
  <c r="V35" i="15"/>
  <c r="U36" i="15"/>
  <c r="T36" i="15" s="1"/>
  <c r="H27" i="15"/>
  <c r="H41" i="11" l="1"/>
  <c r="T68" i="16"/>
  <c r="AG67" i="16"/>
  <c r="AH67" i="16" s="1"/>
  <c r="AI67" i="16" s="1"/>
  <c r="AD67" i="16"/>
  <c r="Z67" i="16"/>
  <c r="AB67" i="16"/>
  <c r="X67" i="16"/>
  <c r="V67" i="16"/>
  <c r="AF67" i="16"/>
  <c r="J26" i="6"/>
  <c r="W36" i="6"/>
  <c r="Y36" i="15"/>
  <c r="X36" i="15"/>
  <c r="V36" i="15"/>
  <c r="U37" i="15"/>
  <c r="T37" i="15" s="1"/>
  <c r="Y35" i="5"/>
  <c r="X35" i="5"/>
  <c r="V35" i="5"/>
  <c r="U36" i="5"/>
  <c r="T36" i="5" s="1"/>
  <c r="G41" i="11"/>
  <c r="I40" i="11"/>
  <c r="J40" i="11" s="1"/>
  <c r="G27" i="15"/>
  <c r="K26" i="6"/>
  <c r="I26" i="6"/>
  <c r="U37" i="6"/>
  <c r="T37" i="6" s="1"/>
  <c r="Y37" i="6" s="1"/>
  <c r="X36" i="6"/>
  <c r="V36" i="6"/>
  <c r="H27" i="6"/>
  <c r="H42" i="11" l="1"/>
  <c r="T69" i="16"/>
  <c r="AG68" i="16"/>
  <c r="AH68" i="16" s="1"/>
  <c r="AI68" i="16" s="1"/>
  <c r="AD68" i="16"/>
  <c r="Z68" i="16"/>
  <c r="AB68" i="16"/>
  <c r="X68" i="16"/>
  <c r="V68" i="16"/>
  <c r="AF68" i="16"/>
  <c r="W37" i="6"/>
  <c r="L27" i="15"/>
  <c r="K27" i="15"/>
  <c r="I27" i="15"/>
  <c r="I41" i="11"/>
  <c r="J41" i="11" s="1"/>
  <c r="G42" i="11"/>
  <c r="Y37" i="15"/>
  <c r="X37" i="15"/>
  <c r="V37" i="15"/>
  <c r="U38" i="15"/>
  <c r="T38" i="15" s="1"/>
  <c r="H28" i="15"/>
  <c r="G27" i="6"/>
  <c r="L27" i="6" s="1"/>
  <c r="U38" i="6"/>
  <c r="T38" i="6" s="1"/>
  <c r="Y38" i="6" s="1"/>
  <c r="V37" i="6"/>
  <c r="X37" i="6"/>
  <c r="Y36" i="5"/>
  <c r="X36" i="5"/>
  <c r="V36" i="5"/>
  <c r="U37" i="5"/>
  <c r="T37" i="5" s="1"/>
  <c r="T70" i="16" l="1"/>
  <c r="AG69" i="16"/>
  <c r="AH69" i="16" s="1"/>
  <c r="AI69" i="16" s="1"/>
  <c r="AB69" i="16"/>
  <c r="AD69" i="16"/>
  <c r="Z69" i="16"/>
  <c r="X69" i="16"/>
  <c r="AF69" i="16"/>
  <c r="V69" i="16"/>
  <c r="W38" i="6"/>
  <c r="J27" i="6"/>
  <c r="V38" i="6"/>
  <c r="U39" i="6"/>
  <c r="T39" i="6" s="1"/>
  <c r="Y39" i="6" s="1"/>
  <c r="X38" i="6"/>
  <c r="G28" i="15"/>
  <c r="H29" i="15" s="1"/>
  <c r="I42" i="11"/>
  <c r="J42" i="11" s="1"/>
  <c r="G43" i="11"/>
  <c r="Y38" i="15"/>
  <c r="X38" i="15"/>
  <c r="V38" i="15"/>
  <c r="U39" i="15"/>
  <c r="T39" i="15" s="1"/>
  <c r="I27" i="6"/>
  <c r="K27" i="6"/>
  <c r="H43" i="11"/>
  <c r="H28" i="6"/>
  <c r="Y37" i="5"/>
  <c r="X37" i="5"/>
  <c r="V37" i="5"/>
  <c r="U38" i="5"/>
  <c r="T38" i="5" s="1"/>
  <c r="T71" i="16" l="1"/>
  <c r="AG70" i="16"/>
  <c r="AH70" i="16" s="1"/>
  <c r="AI70" i="16" s="1"/>
  <c r="AB70" i="16"/>
  <c r="AD70" i="16"/>
  <c r="Z70" i="16"/>
  <c r="X70" i="16"/>
  <c r="AF70" i="16"/>
  <c r="V70" i="16"/>
  <c r="H44" i="11"/>
  <c r="W39" i="6"/>
  <c r="G29" i="15"/>
  <c r="Y39" i="15"/>
  <c r="X39" i="15"/>
  <c r="V39" i="15"/>
  <c r="U40" i="15"/>
  <c r="T40" i="15" s="1"/>
  <c r="Y38" i="5"/>
  <c r="X38" i="5"/>
  <c r="V38" i="5"/>
  <c r="U39" i="5"/>
  <c r="T39" i="5" s="1"/>
  <c r="X39" i="6"/>
  <c r="V39" i="6"/>
  <c r="U40" i="6"/>
  <c r="T40" i="6" s="1"/>
  <c r="Y40" i="6" s="1"/>
  <c r="I43" i="11"/>
  <c r="J43" i="11" s="1"/>
  <c r="G44" i="11"/>
  <c r="L28" i="15"/>
  <c r="K28" i="15"/>
  <c r="I28" i="15"/>
  <c r="G28" i="6"/>
  <c r="L28" i="6" s="1"/>
  <c r="T72" i="16" l="1"/>
  <c r="AG71" i="16"/>
  <c r="AH71" i="16" s="1"/>
  <c r="AI71" i="16" s="1"/>
  <c r="Z71" i="16"/>
  <c r="AD71" i="16"/>
  <c r="AB71" i="16"/>
  <c r="X71" i="16"/>
  <c r="V71" i="16"/>
  <c r="AF71" i="16"/>
  <c r="J28" i="6"/>
  <c r="W40" i="6"/>
  <c r="X40" i="6"/>
  <c r="V40" i="6"/>
  <c r="U41" i="6"/>
  <c r="T41" i="6" s="1"/>
  <c r="Y41" i="6" s="1"/>
  <c r="K28" i="6"/>
  <c r="I28" i="6"/>
  <c r="Y40" i="15"/>
  <c r="X40" i="15"/>
  <c r="V40" i="15"/>
  <c r="U41" i="15"/>
  <c r="T41" i="15" s="1"/>
  <c r="H29" i="6"/>
  <c r="L29" i="15"/>
  <c r="K29" i="15"/>
  <c r="I29" i="15"/>
  <c r="Y39" i="5"/>
  <c r="X39" i="5"/>
  <c r="V39" i="5"/>
  <c r="U40" i="5"/>
  <c r="T40" i="5" s="1"/>
  <c r="H30" i="15"/>
  <c r="G45" i="11"/>
  <c r="I44" i="11"/>
  <c r="J44" i="11" s="1"/>
  <c r="H45" i="11"/>
  <c r="H46" i="11" s="1"/>
  <c r="T73" i="16" l="1"/>
  <c r="AG72" i="16"/>
  <c r="AH72" i="16" s="1"/>
  <c r="AI72" i="16" s="1"/>
  <c r="AB72" i="16"/>
  <c r="AD72" i="16"/>
  <c r="X72" i="16"/>
  <c r="Z72" i="16"/>
  <c r="V72" i="16"/>
  <c r="AF72" i="16"/>
  <c r="W41" i="6"/>
  <c r="G29" i="6"/>
  <c r="L29" i="6" s="1"/>
  <c r="Y41" i="15"/>
  <c r="X41" i="15"/>
  <c r="V41" i="15"/>
  <c r="U42" i="15"/>
  <c r="T42" i="15" s="1"/>
  <c r="V41" i="6"/>
  <c r="X41" i="6"/>
  <c r="U42" i="6"/>
  <c r="T42" i="6" s="1"/>
  <c r="Y42" i="6" s="1"/>
  <c r="U41" i="5"/>
  <c r="T41" i="5" s="1"/>
  <c r="Y40" i="5"/>
  <c r="X40" i="5"/>
  <c r="V40" i="5"/>
  <c r="G30" i="15"/>
  <c r="H31" i="15" s="1"/>
  <c r="G46" i="11"/>
  <c r="I45" i="11"/>
  <c r="J45" i="11" s="1"/>
  <c r="T74" i="16" l="1"/>
  <c r="AG73" i="16"/>
  <c r="AH73" i="16" s="1"/>
  <c r="AI73" i="16" s="1"/>
  <c r="AB73" i="16"/>
  <c r="AD73" i="16"/>
  <c r="Z73" i="16"/>
  <c r="X73" i="16"/>
  <c r="AF73" i="16"/>
  <c r="V73" i="16"/>
  <c r="W42" i="6"/>
  <c r="J29" i="6"/>
  <c r="G31" i="15"/>
  <c r="V41" i="5"/>
  <c r="U42" i="5"/>
  <c r="T42" i="5" s="1"/>
  <c r="Y41" i="5"/>
  <c r="X41" i="5"/>
  <c r="L30" i="15"/>
  <c r="K30" i="15"/>
  <c r="I30" i="15"/>
  <c r="V42" i="6"/>
  <c r="U43" i="6"/>
  <c r="T43" i="6" s="1"/>
  <c r="Y43" i="6" s="1"/>
  <c r="X42" i="6"/>
  <c r="Y42" i="15"/>
  <c r="X42" i="15"/>
  <c r="V42" i="15"/>
  <c r="U43" i="15"/>
  <c r="T43" i="15" s="1"/>
  <c r="K29" i="6"/>
  <c r="I29" i="6"/>
  <c r="I46" i="11"/>
  <c r="J46" i="11" s="1"/>
  <c r="G47" i="11"/>
  <c r="H47" i="11"/>
  <c r="H48" i="11" s="1"/>
  <c r="H30" i="6"/>
  <c r="T75" i="16" l="1"/>
  <c r="AD74" i="16"/>
  <c r="AG74" i="16"/>
  <c r="AH74" i="16" s="1"/>
  <c r="AI74" i="16" s="1"/>
  <c r="X74" i="16"/>
  <c r="AB74" i="16"/>
  <c r="Z74" i="16"/>
  <c r="V74" i="16"/>
  <c r="AF74" i="16"/>
  <c r="W43" i="6"/>
  <c r="X42" i="5"/>
  <c r="V42" i="5"/>
  <c r="U43" i="5"/>
  <c r="T43" i="5" s="1"/>
  <c r="Y42" i="5"/>
  <c r="G30" i="6"/>
  <c r="L30" i="6" s="1"/>
  <c r="L31" i="15"/>
  <c r="K31" i="15"/>
  <c r="I31" i="15"/>
  <c r="X43" i="6"/>
  <c r="U44" i="6"/>
  <c r="T44" i="6" s="1"/>
  <c r="Y44" i="6" s="1"/>
  <c r="V43" i="6"/>
  <c r="G48" i="11"/>
  <c r="I47" i="11"/>
  <c r="J47" i="11" s="1"/>
  <c r="Y43" i="15"/>
  <c r="X43" i="15"/>
  <c r="V43" i="15"/>
  <c r="U44" i="15"/>
  <c r="T44" i="15" s="1"/>
  <c r="H32" i="15"/>
  <c r="T76" i="16" l="1"/>
  <c r="AG75" i="16"/>
  <c r="AH75" i="16" s="1"/>
  <c r="AI75" i="16" s="1"/>
  <c r="AB75" i="16"/>
  <c r="AD75" i="16"/>
  <c r="X75" i="16"/>
  <c r="Z75" i="16"/>
  <c r="AF75" i="16"/>
  <c r="V75" i="16"/>
  <c r="J30" i="6"/>
  <c r="W44" i="6"/>
  <c r="G49" i="11"/>
  <c r="I48" i="11"/>
  <c r="J48" i="11" s="1"/>
  <c r="H49" i="11"/>
  <c r="Y43" i="5"/>
  <c r="X43" i="5"/>
  <c r="V43" i="5"/>
  <c r="U44" i="5"/>
  <c r="T44" i="5" s="1"/>
  <c r="Y44" i="15"/>
  <c r="X44" i="15"/>
  <c r="V44" i="15"/>
  <c r="U45" i="15"/>
  <c r="T45" i="15" s="1"/>
  <c r="X44" i="6"/>
  <c r="V44" i="6"/>
  <c r="U45" i="6"/>
  <c r="T45" i="6" s="1"/>
  <c r="Y45" i="6" s="1"/>
  <c r="K30" i="6"/>
  <c r="I30" i="6"/>
  <c r="G32" i="15"/>
  <c r="H31" i="6"/>
  <c r="H50" i="11" l="1"/>
  <c r="T77" i="16"/>
  <c r="AG76" i="16"/>
  <c r="AH76" i="16" s="1"/>
  <c r="AI76" i="16" s="1"/>
  <c r="AB76" i="16"/>
  <c r="AD76" i="16"/>
  <c r="X76" i="16"/>
  <c r="Z76" i="16"/>
  <c r="V76" i="16"/>
  <c r="AF76" i="16"/>
  <c r="W45" i="6"/>
  <c r="X45" i="6"/>
  <c r="V45" i="6"/>
  <c r="U46" i="6"/>
  <c r="T46" i="6" s="1"/>
  <c r="Y46" i="6" s="1"/>
  <c r="L32" i="15"/>
  <c r="K32" i="15"/>
  <c r="I32" i="15"/>
  <c r="G31" i="6"/>
  <c r="L31" i="6" s="1"/>
  <c r="Y44" i="5"/>
  <c r="X44" i="5"/>
  <c r="V44" i="5"/>
  <c r="U45" i="5"/>
  <c r="T45" i="5" s="1"/>
  <c r="U46" i="15"/>
  <c r="T46" i="15" s="1"/>
  <c r="Y45" i="15"/>
  <c r="X45" i="15"/>
  <c r="V45" i="15"/>
  <c r="H33" i="15"/>
  <c r="I49" i="11"/>
  <c r="J49" i="11" s="1"/>
  <c r="G50" i="11"/>
  <c r="H51" i="11" l="1"/>
  <c r="T78" i="16"/>
  <c r="AG77" i="16"/>
  <c r="AH77" i="16" s="1"/>
  <c r="AI77" i="16" s="1"/>
  <c r="AD77" i="16"/>
  <c r="AB77" i="16"/>
  <c r="Z77" i="16"/>
  <c r="X77" i="16"/>
  <c r="V77" i="16"/>
  <c r="AF77" i="16"/>
  <c r="J31" i="6"/>
  <c r="W46" i="6"/>
  <c r="U47" i="15"/>
  <c r="T47" i="15" s="1"/>
  <c r="Y46" i="15"/>
  <c r="X46" i="15"/>
  <c r="V46" i="15"/>
  <c r="K31" i="6"/>
  <c r="I31" i="6"/>
  <c r="Y45" i="5"/>
  <c r="X45" i="5"/>
  <c r="V45" i="5"/>
  <c r="U46" i="5"/>
  <c r="T46" i="5" s="1"/>
  <c r="H32" i="6"/>
  <c r="G51" i="11"/>
  <c r="I50" i="11"/>
  <c r="J50" i="11" s="1"/>
  <c r="G33" i="15"/>
  <c r="H34" i="15" s="1"/>
  <c r="X46" i="6"/>
  <c r="V46" i="6"/>
  <c r="U47" i="6"/>
  <c r="T47" i="6" s="1"/>
  <c r="Y47" i="6" s="1"/>
  <c r="H52" i="11" l="1"/>
  <c r="T79" i="16"/>
  <c r="AG78" i="16"/>
  <c r="AH78" i="16" s="1"/>
  <c r="AI78" i="16" s="1"/>
  <c r="AD78" i="16"/>
  <c r="X78" i="16"/>
  <c r="AB78" i="16"/>
  <c r="Z78" i="16"/>
  <c r="AF78" i="16"/>
  <c r="V78" i="16"/>
  <c r="W47" i="6"/>
  <c r="V47" i="6"/>
  <c r="U48" i="6"/>
  <c r="T48" i="6" s="1"/>
  <c r="Y48" i="6" s="1"/>
  <c r="X47" i="6"/>
  <c r="G52" i="11"/>
  <c r="I51" i="11"/>
  <c r="J51" i="11" s="1"/>
  <c r="G34" i="15"/>
  <c r="G32" i="6"/>
  <c r="L32" i="6" s="1"/>
  <c r="U47" i="5"/>
  <c r="T47" i="5" s="1"/>
  <c r="Y46" i="5"/>
  <c r="X46" i="5"/>
  <c r="V46" i="5"/>
  <c r="L33" i="15"/>
  <c r="K33" i="15"/>
  <c r="I33" i="15"/>
  <c r="V47" i="15"/>
  <c r="U48" i="15"/>
  <c r="T48" i="15" s="1"/>
  <c r="Y47" i="15"/>
  <c r="X47" i="15"/>
  <c r="T80" i="16" l="1"/>
  <c r="AG79" i="16"/>
  <c r="AH79" i="16" s="1"/>
  <c r="AI79" i="16" s="1"/>
  <c r="AD79" i="16"/>
  <c r="Z79" i="16"/>
  <c r="AB79" i="16"/>
  <c r="X79" i="16"/>
  <c r="V79" i="16"/>
  <c r="AF79" i="16"/>
  <c r="J32" i="6"/>
  <c r="W48" i="6"/>
  <c r="H33" i="6"/>
  <c r="G33" i="6" s="1"/>
  <c r="L33" i="6" s="1"/>
  <c r="V48" i="15"/>
  <c r="U49" i="15"/>
  <c r="T49" i="15" s="1"/>
  <c r="Y48" i="15"/>
  <c r="X48" i="15"/>
  <c r="L34" i="15"/>
  <c r="K34" i="15"/>
  <c r="I34" i="15"/>
  <c r="K32" i="6"/>
  <c r="I32" i="6"/>
  <c r="H35" i="15"/>
  <c r="I52" i="11"/>
  <c r="J52" i="11" s="1"/>
  <c r="G53" i="11"/>
  <c r="U48" i="5"/>
  <c r="T48" i="5" s="1"/>
  <c r="Y47" i="5"/>
  <c r="X47" i="5"/>
  <c r="V47" i="5"/>
  <c r="U49" i="6"/>
  <c r="T49" i="6" s="1"/>
  <c r="Y49" i="6" s="1"/>
  <c r="X48" i="6"/>
  <c r="V48" i="6"/>
  <c r="H53" i="11"/>
  <c r="T81" i="16" l="1"/>
  <c r="AG80" i="16"/>
  <c r="AH80" i="16" s="1"/>
  <c r="AI80" i="16" s="1"/>
  <c r="AD80" i="16"/>
  <c r="Z80" i="16"/>
  <c r="X80" i="16"/>
  <c r="AB80" i="16"/>
  <c r="AF80" i="16"/>
  <c r="V80" i="16"/>
  <c r="J33" i="6"/>
  <c r="W49" i="6"/>
  <c r="U49" i="5"/>
  <c r="T49" i="5" s="1"/>
  <c r="Y48" i="5"/>
  <c r="X48" i="5"/>
  <c r="V48" i="5"/>
  <c r="V49" i="15"/>
  <c r="U50" i="15"/>
  <c r="T50" i="15" s="1"/>
  <c r="Y49" i="15"/>
  <c r="X49" i="15"/>
  <c r="I53" i="11"/>
  <c r="J53" i="11" s="1"/>
  <c r="G54" i="11"/>
  <c r="H54" i="11"/>
  <c r="G35" i="15"/>
  <c r="K33" i="6"/>
  <c r="I33" i="6"/>
  <c r="V49" i="6"/>
  <c r="U50" i="6"/>
  <c r="T50" i="6" s="1"/>
  <c r="Y50" i="6" s="1"/>
  <c r="X49" i="6"/>
  <c r="H34" i="6"/>
  <c r="T82" i="16" l="1"/>
  <c r="AG81" i="16"/>
  <c r="AH81" i="16" s="1"/>
  <c r="AI81" i="16" s="1"/>
  <c r="Z81" i="16"/>
  <c r="AD81" i="16"/>
  <c r="AB81" i="16"/>
  <c r="X81" i="16"/>
  <c r="V81" i="16"/>
  <c r="AF81" i="16"/>
  <c r="H55" i="11"/>
  <c r="W50" i="6"/>
  <c r="G55" i="11"/>
  <c r="I54" i="11"/>
  <c r="J54" i="11" s="1"/>
  <c r="L35" i="15"/>
  <c r="K35" i="15"/>
  <c r="I35" i="15"/>
  <c r="V50" i="15"/>
  <c r="U51" i="15"/>
  <c r="T51" i="15" s="1"/>
  <c r="Y50" i="15"/>
  <c r="X50" i="15"/>
  <c r="G34" i="6"/>
  <c r="L34" i="6" s="1"/>
  <c r="H36" i="15"/>
  <c r="V50" i="6"/>
  <c r="X50" i="6"/>
  <c r="U51" i="6"/>
  <c r="T51" i="6" s="1"/>
  <c r="Y51" i="6" s="1"/>
  <c r="Y49" i="5"/>
  <c r="X49" i="5"/>
  <c r="V49" i="5"/>
  <c r="U50" i="5"/>
  <c r="T50" i="5" s="1"/>
  <c r="T83" i="16" l="1"/>
  <c r="AB82" i="16"/>
  <c r="AG82" i="16"/>
  <c r="AH82" i="16" s="1"/>
  <c r="AI82" i="16" s="1"/>
  <c r="AD82" i="16"/>
  <c r="V82" i="16"/>
  <c r="X82" i="16"/>
  <c r="Z82" i="16"/>
  <c r="AF82" i="16"/>
  <c r="J34" i="6"/>
  <c r="W51" i="6"/>
  <c r="H35" i="6"/>
  <c r="G35" i="6" s="1"/>
  <c r="L35" i="6" s="1"/>
  <c r="G36" i="15"/>
  <c r="K34" i="6"/>
  <c r="I34" i="6"/>
  <c r="Y50" i="5"/>
  <c r="X50" i="5"/>
  <c r="V50" i="5"/>
  <c r="U51" i="5"/>
  <c r="T51" i="5" s="1"/>
  <c r="G56" i="11"/>
  <c r="I55" i="11"/>
  <c r="J55" i="11" s="1"/>
  <c r="V51" i="15"/>
  <c r="U52" i="15"/>
  <c r="T52" i="15" s="1"/>
  <c r="Y51" i="15"/>
  <c r="X51" i="15"/>
  <c r="X51" i="6"/>
  <c r="V51" i="6"/>
  <c r="U52" i="6"/>
  <c r="T52" i="6" s="1"/>
  <c r="Y52" i="6" s="1"/>
  <c r="H56" i="11"/>
  <c r="T84" i="16" l="1"/>
  <c r="AG83" i="16"/>
  <c r="AH83" i="16" s="1"/>
  <c r="AI83" i="16" s="1"/>
  <c r="Z83" i="16"/>
  <c r="AD83" i="16"/>
  <c r="AB83" i="16"/>
  <c r="X83" i="16"/>
  <c r="V83" i="16"/>
  <c r="AF83" i="16"/>
  <c r="W52" i="6"/>
  <c r="J35" i="6"/>
  <c r="V52" i="15"/>
  <c r="U53" i="15"/>
  <c r="T53" i="15" s="1"/>
  <c r="Y52" i="15"/>
  <c r="X52" i="15"/>
  <c r="H57" i="11"/>
  <c r="G57" i="11"/>
  <c r="I56" i="11"/>
  <c r="J56" i="11" s="1"/>
  <c r="Y51" i="5"/>
  <c r="X51" i="5"/>
  <c r="V51" i="5"/>
  <c r="U52" i="5"/>
  <c r="T52" i="5" s="1"/>
  <c r="I35" i="6"/>
  <c r="K35" i="6"/>
  <c r="X52" i="6"/>
  <c r="U53" i="6"/>
  <c r="T53" i="6" s="1"/>
  <c r="Y53" i="6" s="1"/>
  <c r="V52" i="6"/>
  <c r="L36" i="15"/>
  <c r="K36" i="15"/>
  <c r="I36" i="15"/>
  <c r="H37" i="15"/>
  <c r="H36" i="6"/>
  <c r="H58" i="11" l="1"/>
  <c r="T85" i="16"/>
  <c r="AG84" i="16"/>
  <c r="AH84" i="16" s="1"/>
  <c r="AI84" i="16" s="1"/>
  <c r="AB84" i="16"/>
  <c r="AD84" i="16"/>
  <c r="Z84" i="16"/>
  <c r="X84" i="16"/>
  <c r="AF84" i="16"/>
  <c r="V84" i="16"/>
  <c r="W53" i="6"/>
  <c r="G58" i="11"/>
  <c r="I57" i="11"/>
  <c r="J57" i="11" s="1"/>
  <c r="G37" i="15"/>
  <c r="H38" i="15" s="1"/>
  <c r="U53" i="5"/>
  <c r="T53" i="5" s="1"/>
  <c r="Y52" i="5"/>
  <c r="X52" i="5"/>
  <c r="V52" i="5"/>
  <c r="V53" i="15"/>
  <c r="U54" i="15"/>
  <c r="T54" i="15" s="1"/>
  <c r="Y53" i="15"/>
  <c r="X53" i="15"/>
  <c r="G36" i="6"/>
  <c r="L36" i="6" s="1"/>
  <c r="V53" i="6"/>
  <c r="U54" i="6"/>
  <c r="T54" i="6" s="1"/>
  <c r="Y54" i="6" s="1"/>
  <c r="X53" i="6"/>
  <c r="T86" i="16" l="1"/>
  <c r="AG85" i="16"/>
  <c r="AH85" i="16" s="1"/>
  <c r="AI85" i="16" s="1"/>
  <c r="AB85" i="16"/>
  <c r="AD85" i="16"/>
  <c r="X85" i="16"/>
  <c r="Z85" i="16"/>
  <c r="AF85" i="16"/>
  <c r="V85" i="16"/>
  <c r="J36" i="6"/>
  <c r="W54" i="6"/>
  <c r="H37" i="6"/>
  <c r="G37" i="6" s="1"/>
  <c r="L37" i="6" s="1"/>
  <c r="G38" i="15"/>
  <c r="H39" i="15" s="1"/>
  <c r="V54" i="15"/>
  <c r="U55" i="15"/>
  <c r="T55" i="15" s="1"/>
  <c r="Y54" i="15"/>
  <c r="X54" i="15"/>
  <c r="U54" i="5"/>
  <c r="T54" i="5" s="1"/>
  <c r="Y53" i="5"/>
  <c r="X53" i="5"/>
  <c r="V53" i="5"/>
  <c r="K36" i="6"/>
  <c r="I36" i="6"/>
  <c r="G59" i="11"/>
  <c r="I58" i="11"/>
  <c r="J58" i="11" s="1"/>
  <c r="L37" i="15"/>
  <c r="K37" i="15"/>
  <c r="I37" i="15"/>
  <c r="U55" i="6"/>
  <c r="T55" i="6" s="1"/>
  <c r="Y55" i="6" s="1"/>
  <c r="X54" i="6"/>
  <c r="V54" i="6"/>
  <c r="H59" i="11"/>
  <c r="T87" i="16" l="1"/>
  <c r="AG86" i="16"/>
  <c r="AH86" i="16" s="1"/>
  <c r="AI86" i="16" s="1"/>
  <c r="AD86" i="16"/>
  <c r="X86" i="16"/>
  <c r="AB86" i="16"/>
  <c r="Z86" i="16"/>
  <c r="V86" i="16"/>
  <c r="AF86" i="16"/>
  <c r="W55" i="6"/>
  <c r="J37" i="6"/>
  <c r="I59" i="11"/>
  <c r="J59" i="11" s="1"/>
  <c r="G60" i="11"/>
  <c r="H60" i="11"/>
  <c r="V55" i="15"/>
  <c r="U56" i="15"/>
  <c r="T56" i="15" s="1"/>
  <c r="Y55" i="15"/>
  <c r="X55" i="15"/>
  <c r="G39" i="15"/>
  <c r="V55" i="6"/>
  <c r="U56" i="6"/>
  <c r="T56" i="6" s="1"/>
  <c r="Y56" i="6" s="1"/>
  <c r="X55" i="6"/>
  <c r="L38" i="15"/>
  <c r="K38" i="15"/>
  <c r="I38" i="15"/>
  <c r="K37" i="6"/>
  <c r="I37" i="6"/>
  <c r="U55" i="5"/>
  <c r="T55" i="5" s="1"/>
  <c r="X54" i="5"/>
  <c r="V54" i="5"/>
  <c r="Y54" i="5"/>
  <c r="H38" i="6"/>
  <c r="H61" i="11" l="1"/>
  <c r="T88" i="16"/>
  <c r="AG87" i="16"/>
  <c r="AH87" i="16" s="1"/>
  <c r="AI87" i="16" s="1"/>
  <c r="AB87" i="16"/>
  <c r="AD87" i="16"/>
  <c r="X87" i="16"/>
  <c r="Z87" i="16"/>
  <c r="V87" i="16"/>
  <c r="AF87" i="16"/>
  <c r="W56" i="6"/>
  <c r="I39" i="15"/>
  <c r="L39" i="15"/>
  <c r="K39" i="15"/>
  <c r="X56" i="6"/>
  <c r="V56" i="6"/>
  <c r="U57" i="6"/>
  <c r="T57" i="6" s="1"/>
  <c r="Y57" i="6" s="1"/>
  <c r="G38" i="6"/>
  <c r="L38" i="6" s="1"/>
  <c r="V56" i="15"/>
  <c r="U57" i="15"/>
  <c r="T57" i="15" s="1"/>
  <c r="Y56" i="15"/>
  <c r="X56" i="15"/>
  <c r="G61" i="11"/>
  <c r="I60" i="11"/>
  <c r="J60" i="11" s="1"/>
  <c r="H40" i="15"/>
  <c r="Y55" i="5"/>
  <c r="X55" i="5"/>
  <c r="V55" i="5"/>
  <c r="U56" i="5"/>
  <c r="T56" i="5" s="1"/>
  <c r="T89" i="16" l="1"/>
  <c r="AG88" i="16"/>
  <c r="AH88" i="16" s="1"/>
  <c r="AI88" i="16" s="1"/>
  <c r="AB88" i="16"/>
  <c r="AD88" i="16"/>
  <c r="X88" i="16"/>
  <c r="Z88" i="16"/>
  <c r="V88" i="16"/>
  <c r="AF88" i="16"/>
  <c r="W57" i="6"/>
  <c r="J38" i="6"/>
  <c r="X57" i="6"/>
  <c r="V57" i="6"/>
  <c r="U58" i="6"/>
  <c r="T58" i="6" s="1"/>
  <c r="Y58" i="6" s="1"/>
  <c r="G62" i="11"/>
  <c r="I61" i="11"/>
  <c r="J61" i="11" s="1"/>
  <c r="H62" i="11"/>
  <c r="H63" i="11" s="1"/>
  <c r="V57" i="15"/>
  <c r="U58" i="15"/>
  <c r="T58" i="15" s="1"/>
  <c r="Y57" i="15"/>
  <c r="X57" i="15"/>
  <c r="K38" i="6"/>
  <c r="I38" i="6"/>
  <c r="H39" i="6"/>
  <c r="V56" i="5"/>
  <c r="Y56" i="5"/>
  <c r="X56" i="5"/>
  <c r="U57" i="5"/>
  <c r="T57" i="5" s="1"/>
  <c r="G40" i="15"/>
  <c r="T90" i="16" l="1"/>
  <c r="AG89" i="16"/>
  <c r="AH89" i="16" s="1"/>
  <c r="AI89" i="16" s="1"/>
  <c r="AD89" i="16"/>
  <c r="Z89" i="16"/>
  <c r="V89" i="16"/>
  <c r="X89" i="16"/>
  <c r="AB89" i="16"/>
  <c r="AF89" i="16"/>
  <c r="W58" i="6"/>
  <c r="I40" i="15"/>
  <c r="L40" i="15"/>
  <c r="K40" i="15"/>
  <c r="G39" i="6"/>
  <c r="L39" i="6" s="1"/>
  <c r="V58" i="6"/>
  <c r="X58" i="6"/>
  <c r="U59" i="6"/>
  <c r="T59" i="6" s="1"/>
  <c r="Y59" i="6" s="1"/>
  <c r="V58" i="15"/>
  <c r="U59" i="15"/>
  <c r="T59" i="15" s="1"/>
  <c r="Y58" i="15"/>
  <c r="X58" i="15"/>
  <c r="H41" i="15"/>
  <c r="Y57" i="5"/>
  <c r="X57" i="5"/>
  <c r="U58" i="5"/>
  <c r="T58" i="5" s="1"/>
  <c r="V57" i="5"/>
  <c r="I62" i="11"/>
  <c r="J62" i="11" s="1"/>
  <c r="G63" i="11"/>
  <c r="T91" i="16" l="1"/>
  <c r="AG90" i="16"/>
  <c r="AH90" i="16" s="1"/>
  <c r="AI90" i="16" s="1"/>
  <c r="AD90" i="16"/>
  <c r="X90" i="16"/>
  <c r="AB90" i="16"/>
  <c r="Z90" i="16"/>
  <c r="V90" i="16"/>
  <c r="AF90" i="16"/>
  <c r="W59" i="6"/>
  <c r="J39" i="6"/>
  <c r="H40" i="6"/>
  <c r="G40" i="6" s="1"/>
  <c r="L40" i="6" s="1"/>
  <c r="V59" i="15"/>
  <c r="U60" i="15"/>
  <c r="T60" i="15" s="1"/>
  <c r="Y59" i="15"/>
  <c r="X59" i="15"/>
  <c r="G41" i="15"/>
  <c r="H42" i="15" s="1"/>
  <c r="G64" i="11"/>
  <c r="I63" i="11"/>
  <c r="J63" i="11" s="1"/>
  <c r="H64" i="11"/>
  <c r="X59" i="6"/>
  <c r="V59" i="6"/>
  <c r="U60" i="6"/>
  <c r="T60" i="6" s="1"/>
  <c r="Y60" i="6" s="1"/>
  <c r="K39" i="6"/>
  <c r="I39" i="6"/>
  <c r="X58" i="5"/>
  <c r="V58" i="5"/>
  <c r="U59" i="5"/>
  <c r="T59" i="5" s="1"/>
  <c r="Y58" i="5"/>
  <c r="H65" i="11" l="1"/>
  <c r="T92" i="16"/>
  <c r="AG91" i="16"/>
  <c r="AH91" i="16" s="1"/>
  <c r="AI91" i="16" s="1"/>
  <c r="AD91" i="16"/>
  <c r="AB91" i="16"/>
  <c r="Z91" i="16"/>
  <c r="X91" i="16"/>
  <c r="V91" i="16"/>
  <c r="AF91" i="16"/>
  <c r="W60" i="6"/>
  <c r="J40" i="6"/>
  <c r="G42" i="15"/>
  <c r="U61" i="6"/>
  <c r="T61" i="6" s="1"/>
  <c r="Y61" i="6" s="1"/>
  <c r="X60" i="6"/>
  <c r="V60" i="6"/>
  <c r="K41" i="15"/>
  <c r="I41" i="15"/>
  <c r="L41" i="15"/>
  <c r="Y59" i="5"/>
  <c r="X59" i="5"/>
  <c r="V59" i="5"/>
  <c r="U60" i="5"/>
  <c r="T60" i="5" s="1"/>
  <c r="V60" i="15"/>
  <c r="U61" i="15"/>
  <c r="T61" i="15" s="1"/>
  <c r="Y60" i="15"/>
  <c r="X60" i="15"/>
  <c r="K40" i="6"/>
  <c r="I40" i="6"/>
  <c r="G65" i="11"/>
  <c r="H66" i="11" s="1"/>
  <c r="I64" i="11"/>
  <c r="J64" i="11" s="1"/>
  <c r="H41" i="6"/>
  <c r="T93" i="16" l="1"/>
  <c r="AG92" i="16"/>
  <c r="AH92" i="16" s="1"/>
  <c r="AI92" i="16" s="1"/>
  <c r="AD92" i="16"/>
  <c r="AB92" i="16"/>
  <c r="Z92" i="16"/>
  <c r="X92" i="16"/>
  <c r="AF92" i="16"/>
  <c r="V92" i="16"/>
  <c r="W61" i="6"/>
  <c r="V61" i="15"/>
  <c r="Y61" i="15"/>
  <c r="X61" i="15"/>
  <c r="G41" i="6"/>
  <c r="L41" i="6" s="1"/>
  <c r="I65" i="11"/>
  <c r="J65" i="11" s="1"/>
  <c r="G66" i="11"/>
  <c r="V61" i="6"/>
  <c r="U62" i="6"/>
  <c r="T62" i="6" s="1"/>
  <c r="Y62" i="6" s="1"/>
  <c r="X61" i="6"/>
  <c r="U61" i="5"/>
  <c r="T61" i="5" s="1"/>
  <c r="Y60" i="5"/>
  <c r="X60" i="5"/>
  <c r="V60" i="5"/>
  <c r="L42" i="15"/>
  <c r="K42" i="15"/>
  <c r="I42" i="15"/>
  <c r="H43" i="15"/>
  <c r="T94" i="16" l="1"/>
  <c r="AG93" i="16"/>
  <c r="AH93" i="16" s="1"/>
  <c r="AI93" i="16" s="1"/>
  <c r="Z93" i="16"/>
  <c r="AD93" i="16"/>
  <c r="X93" i="16"/>
  <c r="AB93" i="16"/>
  <c r="AF93" i="16"/>
  <c r="V93" i="16"/>
  <c r="W62" i="6"/>
  <c r="J41" i="6"/>
  <c r="Y61" i="5"/>
  <c r="X61" i="5"/>
  <c r="V61" i="5"/>
  <c r="G67" i="11"/>
  <c r="I66" i="11"/>
  <c r="J66" i="11" s="1"/>
  <c r="X62" i="6"/>
  <c r="V62" i="6"/>
  <c r="U63" i="6"/>
  <c r="T63" i="6" s="1"/>
  <c r="Y63" i="6" s="1"/>
  <c r="G43" i="15"/>
  <c r="H44" i="15" s="1"/>
  <c r="Y64" i="15"/>
  <c r="Y63" i="15"/>
  <c r="I41" i="6"/>
  <c r="K41" i="6"/>
  <c r="H42" i="6"/>
  <c r="H67" i="11"/>
  <c r="X64" i="15"/>
  <c r="X63" i="15"/>
  <c r="T95" i="16" l="1"/>
  <c r="AG94" i="16"/>
  <c r="AH94" i="16" s="1"/>
  <c r="AI94" i="16" s="1"/>
  <c r="AB94" i="16"/>
  <c r="AD94" i="16"/>
  <c r="Z94" i="16"/>
  <c r="X94" i="16"/>
  <c r="AF94" i="16"/>
  <c r="V94" i="16"/>
  <c r="W63" i="6"/>
  <c r="G44" i="15"/>
  <c r="G68" i="11"/>
  <c r="I67" i="11"/>
  <c r="J67" i="11" s="1"/>
  <c r="X63" i="6"/>
  <c r="V63" i="6"/>
  <c r="U64" i="6"/>
  <c r="T64" i="6" s="1"/>
  <c r="Y64" i="6" s="1"/>
  <c r="L43" i="15"/>
  <c r="K43" i="15"/>
  <c r="I43" i="15"/>
  <c r="H68" i="11"/>
  <c r="G42" i="6"/>
  <c r="L42" i="6" s="1"/>
  <c r="H69" i="11" l="1"/>
  <c r="T96" i="16"/>
  <c r="AG95" i="16"/>
  <c r="AH95" i="16" s="1"/>
  <c r="AI95" i="16" s="1"/>
  <c r="Z95" i="16"/>
  <c r="AD95" i="16"/>
  <c r="AB95" i="16"/>
  <c r="X95" i="16"/>
  <c r="AF95" i="16"/>
  <c r="V95" i="16"/>
  <c r="W64" i="6"/>
  <c r="J42" i="6"/>
  <c r="K42" i="6"/>
  <c r="I42" i="6"/>
  <c r="H43" i="6"/>
  <c r="U65" i="6"/>
  <c r="T65" i="6" s="1"/>
  <c r="Y65" i="6" s="1"/>
  <c r="X64" i="6"/>
  <c r="V64" i="6"/>
  <c r="L44" i="15"/>
  <c r="K44" i="15"/>
  <c r="I44" i="15"/>
  <c r="I68" i="11"/>
  <c r="J68" i="11" s="1"/>
  <c r="G69" i="11"/>
  <c r="H70" i="11" s="1"/>
  <c r="H45" i="15"/>
  <c r="T97" i="16" l="1"/>
  <c r="AG96" i="16"/>
  <c r="AH96" i="16" s="1"/>
  <c r="AI96" i="16" s="1"/>
  <c r="AB96" i="16"/>
  <c r="AD96" i="16"/>
  <c r="X96" i="16"/>
  <c r="V96" i="16"/>
  <c r="Z96" i="16"/>
  <c r="AF96" i="16"/>
  <c r="W65" i="6"/>
  <c r="G70" i="11"/>
  <c r="I69" i="11"/>
  <c r="J69" i="11" s="1"/>
  <c r="G45" i="15"/>
  <c r="G43" i="6"/>
  <c r="L43" i="6" s="1"/>
  <c r="U66" i="6"/>
  <c r="T66" i="6" s="1"/>
  <c r="Y66" i="6" s="1"/>
  <c r="V65" i="6"/>
  <c r="X65" i="6"/>
  <c r="T98" i="16" l="1"/>
  <c r="AG97" i="16"/>
  <c r="AH97" i="16" s="1"/>
  <c r="AI97" i="16" s="1"/>
  <c r="AB97" i="16"/>
  <c r="AD97" i="16"/>
  <c r="Z97" i="16"/>
  <c r="X97" i="16"/>
  <c r="AF97" i="16"/>
  <c r="V97" i="16"/>
  <c r="W66" i="6"/>
  <c r="J43" i="6"/>
  <c r="K43" i="6"/>
  <c r="I43" i="6"/>
  <c r="V66" i="6"/>
  <c r="X66" i="6"/>
  <c r="U67" i="6"/>
  <c r="T67" i="6" s="1"/>
  <c r="Y67" i="6" s="1"/>
  <c r="H44" i="6"/>
  <c r="L45" i="15"/>
  <c r="K45" i="15"/>
  <c r="I45" i="15"/>
  <c r="H46" i="15"/>
  <c r="G71" i="11"/>
  <c r="I70" i="11"/>
  <c r="J70" i="11" s="1"/>
  <c r="H71" i="11"/>
  <c r="T99" i="16" l="1"/>
  <c r="AG98" i="16"/>
  <c r="AH98" i="16" s="1"/>
  <c r="AI98" i="16" s="1"/>
  <c r="AD98" i="16"/>
  <c r="X98" i="16"/>
  <c r="Z98" i="16"/>
  <c r="AB98" i="16"/>
  <c r="AF98" i="16"/>
  <c r="V98" i="16"/>
  <c r="H72" i="11"/>
  <c r="W67" i="6"/>
  <c r="G46" i="15"/>
  <c r="G44" i="6"/>
  <c r="L44" i="6" s="1"/>
  <c r="G72" i="11"/>
  <c r="I71" i="11"/>
  <c r="J71" i="11" s="1"/>
  <c r="X67" i="6"/>
  <c r="V67" i="6"/>
  <c r="U68" i="6"/>
  <c r="T68" i="6" s="1"/>
  <c r="Y68" i="6" s="1"/>
  <c r="T100" i="16" l="1"/>
  <c r="AB99" i="16"/>
  <c r="AG99" i="16"/>
  <c r="AH99" i="16" s="1"/>
  <c r="AI99" i="16" s="1"/>
  <c r="AD99" i="16"/>
  <c r="X99" i="16"/>
  <c r="Z99" i="16"/>
  <c r="AF99" i="16"/>
  <c r="V99" i="16"/>
  <c r="J44" i="6"/>
  <c r="W68" i="6"/>
  <c r="L46" i="15"/>
  <c r="K46" i="15"/>
  <c r="I46" i="15"/>
  <c r="X68" i="6"/>
  <c r="U69" i="6"/>
  <c r="T69" i="6" s="1"/>
  <c r="Y69" i="6" s="1"/>
  <c r="V68" i="6"/>
  <c r="G73" i="11"/>
  <c r="I72" i="11"/>
  <c r="J72" i="11" s="1"/>
  <c r="K44" i="6"/>
  <c r="I44" i="6"/>
  <c r="H45" i="6"/>
  <c r="H73" i="11"/>
  <c r="H47" i="15"/>
  <c r="T101" i="16" l="1"/>
  <c r="AG100" i="16"/>
  <c r="AH100" i="16" s="1"/>
  <c r="AI100" i="16" s="1"/>
  <c r="AB100" i="16"/>
  <c r="AD100" i="16"/>
  <c r="X100" i="16"/>
  <c r="Z100" i="16"/>
  <c r="V100" i="16"/>
  <c r="AF100" i="16"/>
  <c r="H74" i="11"/>
  <c r="W69" i="6"/>
  <c r="G47" i="15"/>
  <c r="H48" i="15" s="1"/>
  <c r="X69" i="6"/>
  <c r="V69" i="6"/>
  <c r="U70" i="6"/>
  <c r="T70" i="6" s="1"/>
  <c r="Y70" i="6" s="1"/>
  <c r="I73" i="11"/>
  <c r="J73" i="11" s="1"/>
  <c r="G74" i="11"/>
  <c r="G45" i="6"/>
  <c r="L45" i="6" s="1"/>
  <c r="T102" i="16" l="1"/>
  <c r="AD101" i="16"/>
  <c r="AG101" i="16"/>
  <c r="AH101" i="16" s="1"/>
  <c r="AI101" i="16" s="1"/>
  <c r="AB101" i="16"/>
  <c r="Z101" i="16"/>
  <c r="X101" i="16"/>
  <c r="V101" i="16"/>
  <c r="AF101" i="16"/>
  <c r="W70" i="6"/>
  <c r="J45" i="6"/>
  <c r="H46" i="6"/>
  <c r="G46" i="6" s="1"/>
  <c r="L46" i="6" s="1"/>
  <c r="X70" i="6"/>
  <c r="V70" i="6"/>
  <c r="U71" i="6"/>
  <c r="T71" i="6" s="1"/>
  <c r="Y71" i="6" s="1"/>
  <c r="K45" i="6"/>
  <c r="I45" i="6"/>
  <c r="G75" i="11"/>
  <c r="I74" i="11"/>
  <c r="J74" i="11" s="1"/>
  <c r="G48" i="15"/>
  <c r="H49" i="15" s="1"/>
  <c r="L47" i="15"/>
  <c r="K47" i="15"/>
  <c r="I47" i="15"/>
  <c r="H75" i="11"/>
  <c r="T103" i="16" l="1"/>
  <c r="AG102" i="16"/>
  <c r="AH102" i="16" s="1"/>
  <c r="AI102" i="16" s="1"/>
  <c r="AD102" i="16"/>
  <c r="X102" i="16"/>
  <c r="Z102" i="16"/>
  <c r="AB102" i="16"/>
  <c r="V102" i="16"/>
  <c r="AF102" i="16"/>
  <c r="J46" i="6"/>
  <c r="W71" i="6"/>
  <c r="G49" i="15"/>
  <c r="L48" i="15"/>
  <c r="K48" i="15"/>
  <c r="I48" i="15"/>
  <c r="U72" i="6"/>
  <c r="T72" i="6" s="1"/>
  <c r="Y72" i="6" s="1"/>
  <c r="X71" i="6"/>
  <c r="V71" i="6"/>
  <c r="I46" i="6"/>
  <c r="K46" i="6"/>
  <c r="G76" i="11"/>
  <c r="I75" i="11"/>
  <c r="J75" i="11" s="1"/>
  <c r="H76" i="11"/>
  <c r="H47" i="6"/>
  <c r="T104" i="16" l="1"/>
  <c r="AG103" i="16"/>
  <c r="AH103" i="16" s="1"/>
  <c r="AI103" i="16" s="1"/>
  <c r="AD103" i="16"/>
  <c r="Z103" i="16"/>
  <c r="X103" i="16"/>
  <c r="AB103" i="16"/>
  <c r="V103" i="16"/>
  <c r="AF103" i="16"/>
  <c r="H77" i="11"/>
  <c r="W72" i="6"/>
  <c r="X72" i="6"/>
  <c r="V72" i="6"/>
  <c r="U73" i="6"/>
  <c r="T73" i="6" s="1"/>
  <c r="Y73" i="6" s="1"/>
  <c r="G47" i="6"/>
  <c r="L47" i="6" s="1"/>
  <c r="G77" i="11"/>
  <c r="I76" i="11"/>
  <c r="J76" i="11" s="1"/>
  <c r="L49" i="15"/>
  <c r="K49" i="15"/>
  <c r="I49" i="15"/>
  <c r="H50" i="15"/>
  <c r="T105" i="16" l="1"/>
  <c r="AG104" i="16"/>
  <c r="AH104" i="16" s="1"/>
  <c r="AI104" i="16" s="1"/>
  <c r="AD104" i="16"/>
  <c r="AB104" i="16"/>
  <c r="X104" i="16"/>
  <c r="Z104" i="16"/>
  <c r="V104" i="16"/>
  <c r="AF104" i="16"/>
  <c r="W73" i="6"/>
  <c r="J47" i="6"/>
  <c r="H48" i="6"/>
  <c r="G48" i="6" s="1"/>
  <c r="L48" i="6" s="1"/>
  <c r="G78" i="11"/>
  <c r="I77" i="11"/>
  <c r="J77" i="11" s="1"/>
  <c r="G50" i="15"/>
  <c r="I47" i="6"/>
  <c r="K47" i="6"/>
  <c r="U74" i="6"/>
  <c r="T74" i="6" s="1"/>
  <c r="Y74" i="6" s="1"/>
  <c r="X73" i="6"/>
  <c r="V73" i="6"/>
  <c r="H78" i="11"/>
  <c r="H79" i="11" l="1"/>
  <c r="T106" i="16"/>
  <c r="AG105" i="16"/>
  <c r="AH105" i="16" s="1"/>
  <c r="AI105" i="16" s="1"/>
  <c r="AD105" i="16"/>
  <c r="Z105" i="16"/>
  <c r="AB105" i="16"/>
  <c r="X105" i="16"/>
  <c r="V105" i="16"/>
  <c r="AF105" i="16"/>
  <c r="W74" i="6"/>
  <c r="J48" i="6"/>
  <c r="V74" i="6"/>
  <c r="U75" i="6"/>
  <c r="T75" i="6" s="1"/>
  <c r="Y75" i="6" s="1"/>
  <c r="X74" i="6"/>
  <c r="L50" i="15"/>
  <c r="K50" i="15"/>
  <c r="I50" i="15"/>
  <c r="H51" i="15"/>
  <c r="I78" i="11"/>
  <c r="J78" i="11" s="1"/>
  <c r="G79" i="11"/>
  <c r="K48" i="6"/>
  <c r="I48" i="6"/>
  <c r="H49" i="6"/>
  <c r="T107" i="16" l="1"/>
  <c r="AG106" i="16"/>
  <c r="AH106" i="16" s="1"/>
  <c r="AI106" i="16" s="1"/>
  <c r="AD106" i="16"/>
  <c r="AB106" i="16"/>
  <c r="Z106" i="16"/>
  <c r="X106" i="16"/>
  <c r="AF106" i="16"/>
  <c r="V106" i="16"/>
  <c r="W75" i="6"/>
  <c r="G80" i="11"/>
  <c r="I79" i="11"/>
  <c r="J79" i="11" s="1"/>
  <c r="G51" i="15"/>
  <c r="G49" i="6"/>
  <c r="L49" i="6" s="1"/>
  <c r="H80" i="11"/>
  <c r="X75" i="6"/>
  <c r="V75" i="6"/>
  <c r="U76" i="6"/>
  <c r="T76" i="6" s="1"/>
  <c r="Y76" i="6" s="1"/>
  <c r="H81" i="11" l="1"/>
  <c r="T108" i="16"/>
  <c r="AG107" i="16"/>
  <c r="AH107" i="16" s="1"/>
  <c r="AI107" i="16" s="1"/>
  <c r="Z107" i="16"/>
  <c r="AD107" i="16"/>
  <c r="X107" i="16"/>
  <c r="AB107" i="16"/>
  <c r="AF107" i="16"/>
  <c r="V107" i="16"/>
  <c r="W76" i="6"/>
  <c r="J49" i="6"/>
  <c r="L51" i="15"/>
  <c r="K51" i="15"/>
  <c r="I51" i="15"/>
  <c r="X76" i="6"/>
  <c r="V76" i="6"/>
  <c r="U77" i="6"/>
  <c r="T77" i="6" s="1"/>
  <c r="Y77" i="6" s="1"/>
  <c r="K49" i="6"/>
  <c r="I49" i="6"/>
  <c r="H52" i="15"/>
  <c r="G81" i="11"/>
  <c r="H82" i="11" s="1"/>
  <c r="I80" i="11"/>
  <c r="J80" i="11" s="1"/>
  <c r="H50" i="6"/>
  <c r="T109" i="16" l="1"/>
  <c r="AG108" i="16"/>
  <c r="AH108" i="16" s="1"/>
  <c r="AI108" i="16" s="1"/>
  <c r="Z108" i="16"/>
  <c r="AB108" i="16"/>
  <c r="AD108" i="16"/>
  <c r="X108" i="16"/>
  <c r="V108" i="16"/>
  <c r="AF108" i="16"/>
  <c r="W77" i="6"/>
  <c r="G50" i="6"/>
  <c r="L50" i="6" s="1"/>
  <c r="I81" i="11"/>
  <c r="J81" i="11" s="1"/>
  <c r="G82" i="11"/>
  <c r="H83" i="11" s="1"/>
  <c r="X77" i="6"/>
  <c r="U78" i="6"/>
  <c r="T78" i="6" s="1"/>
  <c r="Y78" i="6" s="1"/>
  <c r="V77" i="6"/>
  <c r="G52" i="15"/>
  <c r="T110" i="16" l="1"/>
  <c r="AG109" i="16"/>
  <c r="AH109" i="16" s="1"/>
  <c r="AI109" i="16" s="1"/>
  <c r="AB109" i="16"/>
  <c r="AD109" i="16"/>
  <c r="Z109" i="16"/>
  <c r="X109" i="16"/>
  <c r="AF109" i="16"/>
  <c r="V109" i="16"/>
  <c r="J50" i="6"/>
  <c r="W78" i="6"/>
  <c r="K50" i="6"/>
  <c r="I50" i="6"/>
  <c r="L52" i="15"/>
  <c r="K52" i="15"/>
  <c r="I52" i="15"/>
  <c r="H53" i="15"/>
  <c r="X78" i="6"/>
  <c r="V78" i="6"/>
  <c r="U79" i="6"/>
  <c r="T79" i="6" s="1"/>
  <c r="Y79" i="6" s="1"/>
  <c r="I82" i="11"/>
  <c r="J82" i="11" s="1"/>
  <c r="G83" i="11"/>
  <c r="H51" i="6"/>
  <c r="T111" i="16" l="1"/>
  <c r="AG110" i="16"/>
  <c r="AH110" i="16" s="1"/>
  <c r="AI110" i="16" s="1"/>
  <c r="AD110" i="16"/>
  <c r="AB110" i="16"/>
  <c r="X110" i="16"/>
  <c r="Z110" i="16"/>
  <c r="AF110" i="16"/>
  <c r="V110" i="16"/>
  <c r="W79" i="6"/>
  <c r="G51" i="6"/>
  <c r="L51" i="6" s="1"/>
  <c r="G53" i="15"/>
  <c r="G84" i="11"/>
  <c r="I83" i="11"/>
  <c r="J83" i="11" s="1"/>
  <c r="U80" i="6"/>
  <c r="T80" i="6" s="1"/>
  <c r="Y80" i="6" s="1"/>
  <c r="X79" i="6"/>
  <c r="V79" i="6"/>
  <c r="H84" i="11"/>
  <c r="H85" i="11" l="1"/>
  <c r="T112" i="16"/>
  <c r="AG111" i="16"/>
  <c r="AH111" i="16" s="1"/>
  <c r="AI111" i="16" s="1"/>
  <c r="AB111" i="16"/>
  <c r="AD111" i="16"/>
  <c r="Z111" i="16"/>
  <c r="X111" i="16"/>
  <c r="AF111" i="16"/>
  <c r="V111" i="16"/>
  <c r="W80" i="6"/>
  <c r="J51" i="6"/>
  <c r="V80" i="6"/>
  <c r="U81" i="6"/>
  <c r="T81" i="6" s="1"/>
  <c r="Y81" i="6" s="1"/>
  <c r="X80" i="6"/>
  <c r="I84" i="11"/>
  <c r="J84" i="11" s="1"/>
  <c r="G85" i="11"/>
  <c r="L53" i="15"/>
  <c r="K53" i="15"/>
  <c r="I53" i="15"/>
  <c r="H54" i="15"/>
  <c r="K51" i="6"/>
  <c r="I51" i="6"/>
  <c r="H52" i="6"/>
  <c r="T113" i="16" l="1"/>
  <c r="AG112" i="16"/>
  <c r="AH112" i="16" s="1"/>
  <c r="AI112" i="16" s="1"/>
  <c r="AD112" i="16"/>
  <c r="AB112" i="16"/>
  <c r="X112" i="16"/>
  <c r="Z112" i="16"/>
  <c r="V112" i="16"/>
  <c r="AF112" i="16"/>
  <c r="W81" i="6"/>
  <c r="G54" i="15"/>
  <c r="G52" i="6"/>
  <c r="L52" i="6" s="1"/>
  <c r="G86" i="11"/>
  <c r="I85" i="11"/>
  <c r="J85" i="11" s="1"/>
  <c r="U82" i="6"/>
  <c r="T82" i="6" s="1"/>
  <c r="Y82" i="6" s="1"/>
  <c r="X81" i="6"/>
  <c r="V81" i="6"/>
  <c r="H86" i="11"/>
  <c r="H87" i="11" l="1"/>
  <c r="T114" i="16"/>
  <c r="AG113" i="16"/>
  <c r="AH113" i="16" s="1"/>
  <c r="AI113" i="16" s="1"/>
  <c r="AD113" i="16"/>
  <c r="AB113" i="16"/>
  <c r="Z113" i="16"/>
  <c r="X113" i="16"/>
  <c r="AF113" i="16"/>
  <c r="V113" i="16"/>
  <c r="W82" i="6"/>
  <c r="J52" i="6"/>
  <c r="V82" i="6"/>
  <c r="U83" i="6"/>
  <c r="T83" i="6" s="1"/>
  <c r="Y83" i="6" s="1"/>
  <c r="X82" i="6"/>
  <c r="L54" i="15"/>
  <c r="K54" i="15"/>
  <c r="I54" i="15"/>
  <c r="G87" i="11"/>
  <c r="I86" i="11"/>
  <c r="J86" i="11" s="1"/>
  <c r="K52" i="6"/>
  <c r="I52" i="6"/>
  <c r="H53" i="6"/>
  <c r="H55" i="15"/>
  <c r="T115" i="16" l="1"/>
  <c r="AG114" i="16"/>
  <c r="AH114" i="16" s="1"/>
  <c r="AI114" i="16" s="1"/>
  <c r="AD114" i="16"/>
  <c r="X114" i="16"/>
  <c r="AB114" i="16"/>
  <c r="Z114" i="16"/>
  <c r="AF114" i="16"/>
  <c r="V114" i="16"/>
  <c r="W83" i="6"/>
  <c r="G55" i="15"/>
  <c r="G88" i="11"/>
  <c r="I87" i="11"/>
  <c r="J87" i="11" s="1"/>
  <c r="G53" i="6"/>
  <c r="L53" i="6" s="1"/>
  <c r="X83" i="6"/>
  <c r="V83" i="6"/>
  <c r="U84" i="6"/>
  <c r="T84" i="6" s="1"/>
  <c r="Y84" i="6" s="1"/>
  <c r="H88" i="11"/>
  <c r="H89" i="11" l="1"/>
  <c r="T116" i="16"/>
  <c r="AG115" i="16"/>
  <c r="AH115" i="16" s="1"/>
  <c r="AI115" i="16" s="1"/>
  <c r="AD115" i="16"/>
  <c r="AB115" i="16"/>
  <c r="X115" i="16"/>
  <c r="V115" i="16"/>
  <c r="Z115" i="16"/>
  <c r="AF115" i="16"/>
  <c r="W84" i="6"/>
  <c r="J53" i="6"/>
  <c r="L55" i="15"/>
  <c r="K55" i="15"/>
  <c r="I55" i="15"/>
  <c r="X84" i="6"/>
  <c r="V84" i="6"/>
  <c r="U85" i="6"/>
  <c r="T85" i="6" s="1"/>
  <c r="Y85" i="6" s="1"/>
  <c r="I53" i="6"/>
  <c r="K53" i="6"/>
  <c r="H54" i="6"/>
  <c r="G89" i="11"/>
  <c r="I88" i="11"/>
  <c r="J88" i="11" s="1"/>
  <c r="H56" i="15"/>
  <c r="T117" i="16" l="1"/>
  <c r="AG116" i="16"/>
  <c r="AH116" i="16" s="1"/>
  <c r="AI116" i="16" s="1"/>
  <c r="AD116" i="16"/>
  <c r="AB116" i="16"/>
  <c r="Z116" i="16"/>
  <c r="X116" i="16"/>
  <c r="V116" i="16"/>
  <c r="AF116" i="16"/>
  <c r="W85" i="6"/>
  <c r="G54" i="6"/>
  <c r="L54" i="6" s="1"/>
  <c r="G90" i="11"/>
  <c r="I89" i="11"/>
  <c r="J89" i="11" s="1"/>
  <c r="G56" i="15"/>
  <c r="X85" i="6"/>
  <c r="U86" i="6"/>
  <c r="T86" i="6" s="1"/>
  <c r="Y86" i="6" s="1"/>
  <c r="V85" i="6"/>
  <c r="H90" i="11"/>
  <c r="H91" i="11" l="1"/>
  <c r="T118" i="16"/>
  <c r="AG117" i="16"/>
  <c r="AH117" i="16" s="1"/>
  <c r="AI117" i="16" s="1"/>
  <c r="AD117" i="16"/>
  <c r="Z117" i="16"/>
  <c r="AB117" i="16"/>
  <c r="X117" i="16"/>
  <c r="V117" i="16"/>
  <c r="AF117" i="16"/>
  <c r="W86" i="6"/>
  <c r="J54" i="6"/>
  <c r="X86" i="6"/>
  <c r="V86" i="6"/>
  <c r="U87" i="6"/>
  <c r="T87" i="6" s="1"/>
  <c r="Y87" i="6" s="1"/>
  <c r="G91" i="11"/>
  <c r="H92" i="11" s="1"/>
  <c r="I90" i="11"/>
  <c r="J90" i="11" s="1"/>
  <c r="L56" i="15"/>
  <c r="K56" i="15"/>
  <c r="I56" i="15"/>
  <c r="H57" i="15"/>
  <c r="K54" i="6"/>
  <c r="I54" i="6"/>
  <c r="H55" i="6"/>
  <c r="T119" i="16" l="1"/>
  <c r="AG118" i="16"/>
  <c r="AH118" i="16" s="1"/>
  <c r="AI118" i="16" s="1"/>
  <c r="AD118" i="16"/>
  <c r="AB118" i="16"/>
  <c r="X118" i="16"/>
  <c r="Z118" i="16"/>
  <c r="V118" i="16"/>
  <c r="AF118" i="16"/>
  <c r="W87" i="6"/>
  <c r="G55" i="6"/>
  <c r="L55" i="6" s="1"/>
  <c r="G57" i="15"/>
  <c r="U88" i="6"/>
  <c r="T88" i="6" s="1"/>
  <c r="Y88" i="6" s="1"/>
  <c r="X87" i="6"/>
  <c r="V87" i="6"/>
  <c r="I91" i="11"/>
  <c r="J91" i="11" s="1"/>
  <c r="G92" i="11"/>
  <c r="T120" i="16" l="1"/>
  <c r="AG119" i="16"/>
  <c r="AH119" i="16" s="1"/>
  <c r="AI119" i="16" s="1"/>
  <c r="Z119" i="16"/>
  <c r="AD119" i="16"/>
  <c r="X119" i="16"/>
  <c r="AB119" i="16"/>
  <c r="V119" i="16"/>
  <c r="AF119" i="16"/>
  <c r="W88" i="6"/>
  <c r="J55" i="6"/>
  <c r="L57" i="15"/>
  <c r="K57" i="15"/>
  <c r="I57" i="15"/>
  <c r="G93" i="11"/>
  <c r="I92" i="11"/>
  <c r="J92" i="11" s="1"/>
  <c r="X88" i="6"/>
  <c r="V88" i="6"/>
  <c r="U89" i="6"/>
  <c r="T89" i="6" s="1"/>
  <c r="Y89" i="6" s="1"/>
  <c r="H93" i="11"/>
  <c r="H58" i="15"/>
  <c r="K55" i="6"/>
  <c r="I55" i="6"/>
  <c r="H56" i="6"/>
  <c r="T121" i="16" l="1"/>
  <c r="Z120" i="16"/>
  <c r="AD120" i="16"/>
  <c r="AG120" i="16"/>
  <c r="AH120" i="16" s="1"/>
  <c r="AI120" i="16" s="1"/>
  <c r="AB120" i="16"/>
  <c r="X120" i="16"/>
  <c r="AF120" i="16"/>
  <c r="V120" i="16"/>
  <c r="H94" i="11"/>
  <c r="W89" i="6"/>
  <c r="G58" i="15"/>
  <c r="G94" i="11"/>
  <c r="I93" i="11"/>
  <c r="J93" i="11" s="1"/>
  <c r="G56" i="6"/>
  <c r="L56" i="6" s="1"/>
  <c r="U90" i="6"/>
  <c r="T90" i="6" s="1"/>
  <c r="Y90" i="6" s="1"/>
  <c r="X89" i="6"/>
  <c r="V89" i="6"/>
  <c r="T122" i="16" l="1"/>
  <c r="AG121" i="16"/>
  <c r="AH121" i="16" s="1"/>
  <c r="AI121" i="16" s="1"/>
  <c r="AD121" i="16"/>
  <c r="AB121" i="16"/>
  <c r="Z121" i="16"/>
  <c r="X121" i="16"/>
  <c r="AF121" i="16"/>
  <c r="V121" i="16"/>
  <c r="W90" i="6"/>
  <c r="J56" i="6"/>
  <c r="I94" i="11"/>
  <c r="J94" i="11" s="1"/>
  <c r="G95" i="11"/>
  <c r="V90" i="6"/>
  <c r="U91" i="6"/>
  <c r="T91" i="6" s="1"/>
  <c r="Y91" i="6" s="1"/>
  <c r="X90" i="6"/>
  <c r="K56" i="6"/>
  <c r="I56" i="6"/>
  <c r="H57" i="6"/>
  <c r="H95" i="11"/>
  <c r="L58" i="15"/>
  <c r="K58" i="15"/>
  <c r="I58" i="15"/>
  <c r="H59" i="15"/>
  <c r="H96" i="11" l="1"/>
  <c r="T123" i="16"/>
  <c r="AG122" i="16"/>
  <c r="AH122" i="16" s="1"/>
  <c r="AI122" i="16" s="1"/>
  <c r="AD122" i="16"/>
  <c r="Z122" i="16"/>
  <c r="X122" i="16"/>
  <c r="AB122" i="16"/>
  <c r="AF122" i="16"/>
  <c r="V122" i="16"/>
  <c r="W91" i="6"/>
  <c r="G59" i="15"/>
  <c r="H97" i="11"/>
  <c r="G96" i="11"/>
  <c r="I95" i="11"/>
  <c r="J95" i="11" s="1"/>
  <c r="G57" i="6"/>
  <c r="L57" i="6" s="1"/>
  <c r="X91" i="6"/>
  <c r="V91" i="6"/>
  <c r="U92" i="6"/>
  <c r="T92" i="6" s="1"/>
  <c r="Y92" i="6" s="1"/>
  <c r="T124" i="16" l="1"/>
  <c r="AG123" i="16"/>
  <c r="AH123" i="16" s="1"/>
  <c r="AI123" i="16" s="1"/>
  <c r="AB123" i="16"/>
  <c r="AD123" i="16"/>
  <c r="Z123" i="16"/>
  <c r="X123" i="16"/>
  <c r="AF123" i="16"/>
  <c r="V123" i="16"/>
  <c r="W92" i="6"/>
  <c r="J57" i="6"/>
  <c r="X92" i="6"/>
  <c r="V92" i="6"/>
  <c r="U93" i="6"/>
  <c r="T93" i="6" s="1"/>
  <c r="Y93" i="6" s="1"/>
  <c r="K57" i="6"/>
  <c r="I57" i="6"/>
  <c r="H58" i="6"/>
  <c r="G97" i="11"/>
  <c r="I96" i="11"/>
  <c r="J96" i="11" s="1"/>
  <c r="L59" i="15"/>
  <c r="K59" i="15"/>
  <c r="I59" i="15"/>
  <c r="H60" i="15"/>
  <c r="T125" i="16" l="1"/>
  <c r="AD124" i="16"/>
  <c r="AG124" i="16"/>
  <c r="AH124" i="16" s="1"/>
  <c r="AI124" i="16" s="1"/>
  <c r="AB124" i="16"/>
  <c r="X124" i="16"/>
  <c r="Z124" i="16"/>
  <c r="V124" i="16"/>
  <c r="AF124" i="16"/>
  <c r="W93" i="6"/>
  <c r="G58" i="6"/>
  <c r="L58" i="6" s="1"/>
  <c r="I97" i="11"/>
  <c r="J97" i="11" s="1"/>
  <c r="G98" i="11"/>
  <c r="X93" i="6"/>
  <c r="V93" i="6"/>
  <c r="U94" i="6"/>
  <c r="T94" i="6" s="1"/>
  <c r="Y94" i="6" s="1"/>
  <c r="G60" i="15"/>
  <c r="H98" i="11"/>
  <c r="H99" i="11" l="1"/>
  <c r="T126" i="16"/>
  <c r="AD125" i="16"/>
  <c r="AG125" i="16"/>
  <c r="AH125" i="16" s="1"/>
  <c r="AI125" i="16" s="1"/>
  <c r="Z125" i="16"/>
  <c r="AB125" i="16"/>
  <c r="X125" i="16"/>
  <c r="AF125" i="16"/>
  <c r="V125" i="16"/>
  <c r="J58" i="6"/>
  <c r="W94" i="6"/>
  <c r="L60" i="15"/>
  <c r="K60" i="15"/>
  <c r="I60" i="15"/>
  <c r="H61" i="15"/>
  <c r="G61" i="15" s="1"/>
  <c r="U95" i="6"/>
  <c r="T95" i="6" s="1"/>
  <c r="Y95" i="6" s="1"/>
  <c r="X94" i="6"/>
  <c r="V94" i="6"/>
  <c r="G99" i="11"/>
  <c r="I98" i="11"/>
  <c r="J98" i="11" s="1"/>
  <c r="H100" i="11"/>
  <c r="K58" i="6"/>
  <c r="I58" i="6"/>
  <c r="H59" i="6"/>
  <c r="T127" i="16" l="1"/>
  <c r="AG126" i="16"/>
  <c r="AH126" i="16" s="1"/>
  <c r="AI126" i="16" s="1"/>
  <c r="AD126" i="16"/>
  <c r="X126" i="16"/>
  <c r="AB126" i="16"/>
  <c r="V126" i="16"/>
  <c r="Z126" i="16"/>
  <c r="AF126" i="16"/>
  <c r="W95" i="6"/>
  <c r="G100" i="11"/>
  <c r="I99" i="11"/>
  <c r="J99" i="11" s="1"/>
  <c r="G59" i="6"/>
  <c r="L59" i="6" s="1"/>
  <c r="V95" i="6"/>
  <c r="U96" i="6"/>
  <c r="T96" i="6" s="1"/>
  <c r="Y96" i="6" s="1"/>
  <c r="X95" i="6"/>
  <c r="L61" i="15"/>
  <c r="K61" i="15"/>
  <c r="I61" i="15"/>
  <c r="T128" i="16" l="1"/>
  <c r="AG127" i="16"/>
  <c r="AH127" i="16" s="1"/>
  <c r="AI127" i="16" s="1"/>
  <c r="AD127" i="16"/>
  <c r="AB127" i="16"/>
  <c r="Z127" i="16"/>
  <c r="X127" i="16"/>
  <c r="AF127" i="16"/>
  <c r="V127" i="16"/>
  <c r="W96" i="6"/>
  <c r="J59" i="6"/>
  <c r="K63" i="15"/>
  <c r="K67" i="15" s="1"/>
  <c r="K64" i="15"/>
  <c r="V66" i="15" s="1"/>
  <c r="L63" i="15"/>
  <c r="K66" i="15" s="1"/>
  <c r="L64" i="15"/>
  <c r="U97" i="6"/>
  <c r="T97" i="6" s="1"/>
  <c r="Y97" i="6" s="1"/>
  <c r="X96" i="6"/>
  <c r="V96" i="6"/>
  <c r="K59" i="6"/>
  <c r="I59" i="6"/>
  <c r="H60" i="6"/>
  <c r="I100" i="11"/>
  <c r="J100" i="11" s="1"/>
  <c r="G101" i="11"/>
  <c r="H101" i="11"/>
  <c r="T129" i="16" l="1"/>
  <c r="AG128" i="16"/>
  <c r="AH128" i="16" s="1"/>
  <c r="AI128" i="16" s="1"/>
  <c r="AD128" i="16"/>
  <c r="X128" i="16"/>
  <c r="Z128" i="16"/>
  <c r="AB128" i="16"/>
  <c r="AF128" i="16"/>
  <c r="V128" i="16"/>
  <c r="W97" i="6"/>
  <c r="G102" i="11"/>
  <c r="I101" i="11"/>
  <c r="J101" i="11" s="1"/>
  <c r="H102" i="11"/>
  <c r="H103" i="11" s="1"/>
  <c r="G60" i="6"/>
  <c r="L60" i="6" s="1"/>
  <c r="U98" i="6"/>
  <c r="T98" i="6" s="1"/>
  <c r="Y98" i="6" s="1"/>
  <c r="X97" i="6"/>
  <c r="V97" i="6"/>
  <c r="T130" i="16" l="1"/>
  <c r="AG129" i="16"/>
  <c r="AH129" i="16" s="1"/>
  <c r="AI129" i="16" s="1"/>
  <c r="AD129" i="16"/>
  <c r="AB129" i="16"/>
  <c r="X129" i="16"/>
  <c r="Z129" i="16"/>
  <c r="V129" i="16"/>
  <c r="AF129" i="16"/>
  <c r="W98" i="6"/>
  <c r="J60" i="6"/>
  <c r="H61" i="6"/>
  <c r="G61" i="6" s="1"/>
  <c r="L61" i="6" s="1"/>
  <c r="V98" i="6"/>
  <c r="U99" i="6"/>
  <c r="T99" i="6" s="1"/>
  <c r="Y99" i="6" s="1"/>
  <c r="X98" i="6"/>
  <c r="K60" i="6"/>
  <c r="I60" i="6"/>
  <c r="G103" i="11"/>
  <c r="H104" i="11" s="1"/>
  <c r="I102" i="11"/>
  <c r="J102" i="11" s="1"/>
  <c r="T131" i="16" l="1"/>
  <c r="AG130" i="16"/>
  <c r="AH130" i="16" s="1"/>
  <c r="AI130" i="16" s="1"/>
  <c r="AD130" i="16"/>
  <c r="AB130" i="16"/>
  <c r="Z130" i="16"/>
  <c r="X130" i="16"/>
  <c r="V130" i="16"/>
  <c r="AF130" i="16"/>
  <c r="J61" i="6"/>
  <c r="W99" i="6"/>
  <c r="G104" i="11"/>
  <c r="I103" i="11"/>
  <c r="J103" i="11" s="1"/>
  <c r="X99" i="6"/>
  <c r="V99" i="6"/>
  <c r="U100" i="6"/>
  <c r="T100" i="6" s="1"/>
  <c r="Y100" i="6" s="1"/>
  <c r="K61" i="6"/>
  <c r="I61" i="6"/>
  <c r="H62" i="6"/>
  <c r="T132" i="16" l="1"/>
  <c r="AG131" i="16"/>
  <c r="AH131" i="16" s="1"/>
  <c r="AI131" i="16" s="1"/>
  <c r="Z131" i="16"/>
  <c r="AD131" i="16"/>
  <c r="AB131" i="16"/>
  <c r="X131" i="16"/>
  <c r="V131" i="16"/>
  <c r="AF131" i="16"/>
  <c r="W100" i="6"/>
  <c r="G62" i="6"/>
  <c r="L62" i="6" s="1"/>
  <c r="X100" i="6"/>
  <c r="V100" i="6"/>
  <c r="U101" i="6"/>
  <c r="T101" i="6" s="1"/>
  <c r="Y101" i="6" s="1"/>
  <c r="G105" i="11"/>
  <c r="I104" i="11"/>
  <c r="J104" i="11" s="1"/>
  <c r="H105" i="11"/>
  <c r="H106" i="11" s="1"/>
  <c r="T133" i="16" l="1"/>
  <c r="AG132" i="16"/>
  <c r="AH132" i="16" s="1"/>
  <c r="AI132" i="16" s="1"/>
  <c r="Z132" i="16"/>
  <c r="AD132" i="16"/>
  <c r="AB132" i="16"/>
  <c r="X132" i="16"/>
  <c r="V132" i="16"/>
  <c r="AF132" i="16"/>
  <c r="J62" i="6"/>
  <c r="W101" i="6"/>
  <c r="X101" i="6"/>
  <c r="U102" i="6"/>
  <c r="T102" i="6" s="1"/>
  <c r="Y102" i="6" s="1"/>
  <c r="V101" i="6"/>
  <c r="G106" i="11"/>
  <c r="I105" i="11"/>
  <c r="J105" i="11" s="1"/>
  <c r="K62" i="6"/>
  <c r="I62" i="6"/>
  <c r="H63" i="6"/>
  <c r="T134" i="16" l="1"/>
  <c r="AG133" i="16"/>
  <c r="AH133" i="16" s="1"/>
  <c r="AI133" i="16" s="1"/>
  <c r="AD133" i="16"/>
  <c r="AB133" i="16"/>
  <c r="Z133" i="16"/>
  <c r="X133" i="16"/>
  <c r="AF133" i="16"/>
  <c r="V133" i="16"/>
  <c r="W102" i="6"/>
  <c r="G63" i="6"/>
  <c r="L63" i="6" s="1"/>
  <c r="G107" i="11"/>
  <c r="I106" i="11"/>
  <c r="J106" i="11" s="1"/>
  <c r="H107" i="11"/>
  <c r="U103" i="6"/>
  <c r="T103" i="6" s="1"/>
  <c r="Y103" i="6" s="1"/>
  <c r="V102" i="6"/>
  <c r="X102" i="6"/>
  <c r="H108" i="11" l="1"/>
  <c r="T135" i="16"/>
  <c r="AG134" i="16"/>
  <c r="AH134" i="16" s="1"/>
  <c r="AI134" i="16" s="1"/>
  <c r="AD134" i="16"/>
  <c r="AB134" i="16"/>
  <c r="X134" i="16"/>
  <c r="Z134" i="16"/>
  <c r="AF134" i="16"/>
  <c r="V134" i="16"/>
  <c r="W103" i="6"/>
  <c r="J63" i="6"/>
  <c r="V103" i="6"/>
  <c r="U104" i="6"/>
  <c r="T104" i="6" s="1"/>
  <c r="Y104" i="6" s="1"/>
  <c r="X103" i="6"/>
  <c r="I107" i="11"/>
  <c r="J107" i="11" s="1"/>
  <c r="G108" i="11"/>
  <c r="K63" i="6"/>
  <c r="I63" i="6"/>
  <c r="H64" i="6"/>
  <c r="T136" i="16" l="1"/>
  <c r="AG135" i="16"/>
  <c r="AH135" i="16" s="1"/>
  <c r="AI135" i="16" s="1"/>
  <c r="AD135" i="16"/>
  <c r="AB135" i="16"/>
  <c r="X135" i="16"/>
  <c r="Z135" i="16"/>
  <c r="AF135" i="16"/>
  <c r="V135" i="16"/>
  <c r="W104" i="6"/>
  <c r="G64" i="6"/>
  <c r="L64" i="6" s="1"/>
  <c r="X104" i="6"/>
  <c r="V104" i="6"/>
  <c r="U105" i="6"/>
  <c r="T105" i="6" s="1"/>
  <c r="Y105" i="6" s="1"/>
  <c r="I108" i="11"/>
  <c r="J108" i="11" s="1"/>
  <c r="G109" i="11"/>
  <c r="H109" i="11"/>
  <c r="H110" i="11" l="1"/>
  <c r="T137" i="16"/>
  <c r="AG136" i="16"/>
  <c r="AH136" i="16" s="1"/>
  <c r="AI136" i="16" s="1"/>
  <c r="AD136" i="16"/>
  <c r="AB136" i="16"/>
  <c r="X136" i="16"/>
  <c r="Z136" i="16"/>
  <c r="V136" i="16"/>
  <c r="AF136" i="16"/>
  <c r="W105" i="6"/>
  <c r="J64" i="6"/>
  <c r="U106" i="6"/>
  <c r="T106" i="6" s="1"/>
  <c r="Y106" i="6" s="1"/>
  <c r="X105" i="6"/>
  <c r="V105" i="6"/>
  <c r="G110" i="11"/>
  <c r="I109" i="11"/>
  <c r="J109" i="11" s="1"/>
  <c r="K64" i="6"/>
  <c r="I64" i="6"/>
  <c r="H65" i="6"/>
  <c r="T138" i="16" l="1"/>
  <c r="AD137" i="16"/>
  <c r="AG137" i="16"/>
  <c r="AH137" i="16" s="1"/>
  <c r="AI137" i="16" s="1"/>
  <c r="Z137" i="16"/>
  <c r="X137" i="16"/>
  <c r="AB137" i="16"/>
  <c r="V137" i="16"/>
  <c r="AF137" i="16"/>
  <c r="W106" i="6"/>
  <c r="G65" i="6"/>
  <c r="L65" i="6" s="1"/>
  <c r="I110" i="11"/>
  <c r="J110" i="11" s="1"/>
  <c r="G111" i="11"/>
  <c r="H111" i="11"/>
  <c r="V106" i="6"/>
  <c r="U107" i="6"/>
  <c r="T107" i="6" s="1"/>
  <c r="Y107" i="6" s="1"/>
  <c r="X106" i="6"/>
  <c r="T139" i="16" l="1"/>
  <c r="AG138" i="16"/>
  <c r="AH138" i="16" s="1"/>
  <c r="AI138" i="16" s="1"/>
  <c r="AD138" i="16"/>
  <c r="AB138" i="16"/>
  <c r="X138" i="16"/>
  <c r="Z138" i="16"/>
  <c r="AF138" i="16"/>
  <c r="V138" i="16"/>
  <c r="H112" i="11"/>
  <c r="W107" i="6"/>
  <c r="J65" i="6"/>
  <c r="X107" i="6"/>
  <c r="V107" i="6"/>
  <c r="U108" i="6"/>
  <c r="T108" i="6" s="1"/>
  <c r="Y108" i="6" s="1"/>
  <c r="G112" i="11"/>
  <c r="I111" i="11"/>
  <c r="J111" i="11" s="1"/>
  <c r="K65" i="6"/>
  <c r="I65" i="6"/>
  <c r="H66" i="6"/>
  <c r="T140" i="16" l="1"/>
  <c r="AG139" i="16"/>
  <c r="AH139" i="16" s="1"/>
  <c r="AI139" i="16" s="1"/>
  <c r="AD139" i="16"/>
  <c r="Z139" i="16"/>
  <c r="AB139" i="16"/>
  <c r="X139" i="16"/>
  <c r="AF139" i="16"/>
  <c r="V139" i="16"/>
  <c r="W108" i="6"/>
  <c r="G113" i="11"/>
  <c r="I112" i="11"/>
  <c r="J112" i="11" s="1"/>
  <c r="G66" i="6"/>
  <c r="L66" i="6" s="1"/>
  <c r="H113" i="11"/>
  <c r="X108" i="6"/>
  <c r="V108" i="6"/>
  <c r="U109" i="6"/>
  <c r="T109" i="6" s="1"/>
  <c r="Y109" i="6" s="1"/>
  <c r="H114" i="11" l="1"/>
  <c r="T141" i="16"/>
  <c r="AG140" i="16"/>
  <c r="AH140" i="16" s="1"/>
  <c r="AI140" i="16" s="1"/>
  <c r="AD140" i="16"/>
  <c r="AB140" i="16"/>
  <c r="X140" i="16"/>
  <c r="V140" i="16"/>
  <c r="Z140" i="16"/>
  <c r="AF140" i="16"/>
  <c r="W109" i="6"/>
  <c r="J66" i="6"/>
  <c r="H67" i="6"/>
  <c r="G67" i="6" s="1"/>
  <c r="L67" i="6" s="1"/>
  <c r="X109" i="6"/>
  <c r="V109" i="6"/>
  <c r="U110" i="6"/>
  <c r="T110" i="6" s="1"/>
  <c r="Y110" i="6" s="1"/>
  <c r="K66" i="6"/>
  <c r="I66" i="6"/>
  <c r="I113" i="11"/>
  <c r="J113" i="11" s="1"/>
  <c r="G114" i="11"/>
  <c r="T142" i="16" l="1"/>
  <c r="AG141" i="16"/>
  <c r="AH141" i="16" s="1"/>
  <c r="AI141" i="16" s="1"/>
  <c r="AD141" i="16"/>
  <c r="Z141" i="16"/>
  <c r="AB141" i="16"/>
  <c r="X141" i="16"/>
  <c r="AF141" i="16"/>
  <c r="V141" i="16"/>
  <c r="W110" i="6"/>
  <c r="J67" i="6"/>
  <c r="G115" i="11"/>
  <c r="I114" i="11"/>
  <c r="J114" i="11" s="1"/>
  <c r="H115" i="11"/>
  <c r="X110" i="6"/>
  <c r="U111" i="6"/>
  <c r="T111" i="6" s="1"/>
  <c r="Y111" i="6" s="1"/>
  <c r="V110" i="6"/>
  <c r="K67" i="6"/>
  <c r="I67" i="6"/>
  <c r="H68" i="6"/>
  <c r="H116" i="11" l="1"/>
  <c r="T143" i="16"/>
  <c r="AG142" i="16"/>
  <c r="AH142" i="16" s="1"/>
  <c r="AI142" i="16" s="1"/>
  <c r="AB142" i="16"/>
  <c r="AD142" i="16"/>
  <c r="Z142" i="16"/>
  <c r="X142" i="16"/>
  <c r="AF142" i="16"/>
  <c r="V142" i="16"/>
  <c r="W111" i="6"/>
  <c r="G68" i="6"/>
  <c r="L68" i="6" s="1"/>
  <c r="V111" i="6"/>
  <c r="U112" i="6"/>
  <c r="T112" i="6" s="1"/>
  <c r="Y112" i="6" s="1"/>
  <c r="X111" i="6"/>
  <c r="G116" i="11"/>
  <c r="H117" i="11" s="1"/>
  <c r="I115" i="11"/>
  <c r="J115" i="11" s="1"/>
  <c r="T144" i="16" l="1"/>
  <c r="AG143" i="16"/>
  <c r="AH143" i="16" s="1"/>
  <c r="AI143" i="16" s="1"/>
  <c r="Z143" i="16"/>
  <c r="AD143" i="16"/>
  <c r="X143" i="16"/>
  <c r="AB143" i="16"/>
  <c r="AF143" i="16"/>
  <c r="V143" i="16"/>
  <c r="W112" i="6"/>
  <c r="J68" i="6"/>
  <c r="I116" i="11"/>
  <c r="J116" i="11" s="1"/>
  <c r="G117" i="11"/>
  <c r="K68" i="6"/>
  <c r="I68" i="6"/>
  <c r="X112" i="6"/>
  <c r="V112" i="6"/>
  <c r="U113" i="6"/>
  <c r="T113" i="6" s="1"/>
  <c r="Y113" i="6" s="1"/>
  <c r="H69" i="6"/>
  <c r="T145" i="16" l="1"/>
  <c r="AG144" i="16"/>
  <c r="AH144" i="16" s="1"/>
  <c r="AI144" i="16" s="1"/>
  <c r="Z144" i="16"/>
  <c r="AB144" i="16"/>
  <c r="AD144" i="16"/>
  <c r="X144" i="16"/>
  <c r="V144" i="16"/>
  <c r="AF144" i="16"/>
  <c r="W113" i="6"/>
  <c r="U114" i="6"/>
  <c r="T114" i="6" s="1"/>
  <c r="Y114" i="6" s="1"/>
  <c r="X113" i="6"/>
  <c r="V113" i="6"/>
  <c r="G118" i="11"/>
  <c r="I117" i="11"/>
  <c r="J117" i="11" s="1"/>
  <c r="G69" i="6"/>
  <c r="L69" i="6" s="1"/>
  <c r="H118" i="11"/>
  <c r="T146" i="16" l="1"/>
  <c r="AG145" i="16"/>
  <c r="AH145" i="16" s="1"/>
  <c r="AI145" i="16" s="1"/>
  <c r="AD145" i="16"/>
  <c r="AB145" i="16"/>
  <c r="Z145" i="16"/>
  <c r="X145" i="16"/>
  <c r="V145" i="16"/>
  <c r="AF145" i="16"/>
  <c r="H119" i="11"/>
  <c r="J69" i="6"/>
  <c r="W114" i="6"/>
  <c r="H70" i="6"/>
  <c r="G70" i="6" s="1"/>
  <c r="L70" i="6" s="1"/>
  <c r="K69" i="6"/>
  <c r="I69" i="6"/>
  <c r="G119" i="11"/>
  <c r="I118" i="11"/>
  <c r="J118" i="11" s="1"/>
  <c r="V114" i="6"/>
  <c r="U115" i="6"/>
  <c r="T115" i="6" s="1"/>
  <c r="Y115" i="6" s="1"/>
  <c r="X114" i="6"/>
  <c r="T147" i="16" l="1"/>
  <c r="AG146" i="16"/>
  <c r="AH146" i="16" s="1"/>
  <c r="AI146" i="16" s="1"/>
  <c r="AD146" i="16"/>
  <c r="X146" i="16"/>
  <c r="AB146" i="16"/>
  <c r="Z146" i="16"/>
  <c r="V146" i="16"/>
  <c r="AF146" i="16"/>
  <c r="W115" i="6"/>
  <c r="J70" i="6"/>
  <c r="X115" i="6"/>
  <c r="V115" i="6"/>
  <c r="U116" i="6"/>
  <c r="T116" i="6" s="1"/>
  <c r="Y116" i="6" s="1"/>
  <c r="G120" i="11"/>
  <c r="I119" i="11"/>
  <c r="J119" i="11" s="1"/>
  <c r="H120" i="11"/>
  <c r="H121" i="11" s="1"/>
  <c r="K70" i="6"/>
  <c r="I70" i="6"/>
  <c r="H71" i="6"/>
  <c r="T148" i="16" l="1"/>
  <c r="AG147" i="16"/>
  <c r="AH147" i="16" s="1"/>
  <c r="AI147" i="16" s="1"/>
  <c r="AB147" i="16"/>
  <c r="AD147" i="16"/>
  <c r="X147" i="16"/>
  <c r="Z147" i="16"/>
  <c r="V147" i="16"/>
  <c r="AF147" i="16"/>
  <c r="W116" i="6"/>
  <c r="G71" i="6"/>
  <c r="L71" i="6" s="1"/>
  <c r="I120" i="11"/>
  <c r="J120" i="11" s="1"/>
  <c r="G121" i="11"/>
  <c r="H122" i="11" s="1"/>
  <c r="X116" i="6"/>
  <c r="V116" i="6"/>
  <c r="U117" i="6"/>
  <c r="T117" i="6" s="1"/>
  <c r="Y117" i="6" s="1"/>
  <c r="T149" i="16" l="1"/>
  <c r="AD148" i="16"/>
  <c r="AG148" i="16"/>
  <c r="AH148" i="16" s="1"/>
  <c r="AI148" i="16" s="1"/>
  <c r="AB148" i="16"/>
  <c r="X148" i="16"/>
  <c r="V148" i="16"/>
  <c r="Z148" i="16"/>
  <c r="AF148" i="16"/>
  <c r="W117" i="6"/>
  <c r="J71" i="6"/>
  <c r="X117" i="6"/>
  <c r="V117" i="6"/>
  <c r="U118" i="6"/>
  <c r="T118" i="6" s="1"/>
  <c r="Y118" i="6" s="1"/>
  <c r="G122" i="11"/>
  <c r="I121" i="11"/>
  <c r="J121" i="11" s="1"/>
  <c r="I71" i="6"/>
  <c r="K71" i="6"/>
  <c r="H72" i="6"/>
  <c r="T150" i="16" l="1"/>
  <c r="AD149" i="16"/>
  <c r="AG149" i="16"/>
  <c r="AH149" i="16" s="1"/>
  <c r="AI149" i="16" s="1"/>
  <c r="Z149" i="16"/>
  <c r="AB149" i="16"/>
  <c r="X149" i="16"/>
  <c r="AF149" i="16"/>
  <c r="V149" i="16"/>
  <c r="W118" i="6"/>
  <c r="X118" i="6"/>
  <c r="U119" i="6"/>
  <c r="T119" i="6" s="1"/>
  <c r="Y119" i="6" s="1"/>
  <c r="Y121" i="6" s="1"/>
  <c r="V118" i="6"/>
  <c r="G72" i="6"/>
  <c r="L72" i="6" s="1"/>
  <c r="G123" i="11"/>
  <c r="I122" i="11"/>
  <c r="J122" i="11" s="1"/>
  <c r="H123" i="11"/>
  <c r="T151" i="16" l="1"/>
  <c r="AG150" i="16"/>
  <c r="AH150" i="16" s="1"/>
  <c r="AI150" i="16" s="1"/>
  <c r="AD150" i="16"/>
  <c r="X150" i="16"/>
  <c r="Z150" i="16"/>
  <c r="AB150" i="16"/>
  <c r="V150" i="16"/>
  <c r="AF150" i="16"/>
  <c r="W119" i="6"/>
  <c r="J72" i="6"/>
  <c r="H73" i="6"/>
  <c r="G73" i="6" s="1"/>
  <c r="L73" i="6" s="1"/>
  <c r="V119" i="6"/>
  <c r="X119" i="6"/>
  <c r="I123" i="11"/>
  <c r="J123" i="11" s="1"/>
  <c r="K72" i="6"/>
  <c r="I72" i="6"/>
  <c r="X121" i="6" l="1"/>
  <c r="X123" i="6"/>
  <c r="T152" i="16"/>
  <c r="AG151" i="16"/>
  <c r="AH151" i="16" s="1"/>
  <c r="AI151" i="16" s="1"/>
  <c r="AD151" i="16"/>
  <c r="Z151" i="16"/>
  <c r="AB151" i="16"/>
  <c r="X151" i="16"/>
  <c r="V151" i="16"/>
  <c r="AF151" i="16"/>
  <c r="J73" i="6"/>
  <c r="I73" i="6"/>
  <c r="K73" i="6"/>
  <c r="H74" i="6"/>
  <c r="T153" i="16" l="1"/>
  <c r="AG152" i="16"/>
  <c r="AH152" i="16" s="1"/>
  <c r="AI152" i="16" s="1"/>
  <c r="AD152" i="16"/>
  <c r="AB152" i="16"/>
  <c r="X152" i="16"/>
  <c r="Z152" i="16"/>
  <c r="V152" i="16"/>
  <c r="AF152" i="16"/>
  <c r="G74" i="6"/>
  <c r="L74" i="6" s="1"/>
  <c r="T154" i="16" l="1"/>
  <c r="AG153" i="16"/>
  <c r="AH153" i="16" s="1"/>
  <c r="AI153" i="16" s="1"/>
  <c r="AD153" i="16"/>
  <c r="Z153" i="16"/>
  <c r="AB153" i="16"/>
  <c r="X153" i="16"/>
  <c r="V153" i="16"/>
  <c r="AF153" i="16"/>
  <c r="J74" i="6"/>
  <c r="K74" i="6"/>
  <c r="I74" i="6"/>
  <c r="H75" i="6"/>
  <c r="T155" i="16" l="1"/>
  <c r="AG154" i="16"/>
  <c r="AH154" i="16" s="1"/>
  <c r="AI154" i="16" s="1"/>
  <c r="AD154" i="16"/>
  <c r="AB154" i="16"/>
  <c r="X154" i="16"/>
  <c r="Z154" i="16"/>
  <c r="V154" i="16"/>
  <c r="AF154" i="16"/>
  <c r="G75" i="6"/>
  <c r="L75" i="6" s="1"/>
  <c r="T156" i="16" l="1"/>
  <c r="AG155" i="16"/>
  <c r="AH155" i="16" s="1"/>
  <c r="AI155" i="16" s="1"/>
  <c r="AD155" i="16"/>
  <c r="Z155" i="16"/>
  <c r="X155" i="16"/>
  <c r="AB155" i="16"/>
  <c r="AF155" i="16"/>
  <c r="V155" i="16"/>
  <c r="J75" i="6"/>
  <c r="K75" i="6"/>
  <c r="I75" i="6"/>
  <c r="H76" i="6"/>
  <c r="T157" i="16" l="1"/>
  <c r="AG156" i="16"/>
  <c r="AH156" i="16" s="1"/>
  <c r="AI156" i="16" s="1"/>
  <c r="Z156" i="16"/>
  <c r="AB156" i="16"/>
  <c r="AD156" i="16"/>
  <c r="X156" i="16"/>
  <c r="V156" i="16"/>
  <c r="AF156" i="16"/>
  <c r="G76" i="6"/>
  <c r="L76" i="6" s="1"/>
  <c r="T158" i="16" l="1"/>
  <c r="AG157" i="16"/>
  <c r="AH157" i="16" s="1"/>
  <c r="AI157" i="16" s="1"/>
  <c r="AD157" i="16"/>
  <c r="AB157" i="16"/>
  <c r="Z157" i="16"/>
  <c r="X157" i="16"/>
  <c r="V157" i="16"/>
  <c r="AF157" i="16"/>
  <c r="J76" i="6"/>
  <c r="K76" i="6"/>
  <c r="I76" i="6"/>
  <c r="H77" i="6"/>
  <c r="T159" i="16" l="1"/>
  <c r="AG158" i="16"/>
  <c r="AH158" i="16" s="1"/>
  <c r="AI158" i="16" s="1"/>
  <c r="AD158" i="16"/>
  <c r="AB158" i="16"/>
  <c r="X158" i="16"/>
  <c r="Z158" i="16"/>
  <c r="V158" i="16"/>
  <c r="AF158" i="16"/>
  <c r="G77" i="6"/>
  <c r="L77" i="6" s="1"/>
  <c r="T160" i="16" l="1"/>
  <c r="AG159" i="16"/>
  <c r="AH159" i="16" s="1"/>
  <c r="AI159" i="16" s="1"/>
  <c r="AB159" i="16"/>
  <c r="AD159" i="16"/>
  <c r="X159" i="16"/>
  <c r="Z159" i="16"/>
  <c r="V159" i="16"/>
  <c r="AF159" i="16"/>
  <c r="J77" i="6"/>
  <c r="K77" i="6"/>
  <c r="I77" i="6"/>
  <c r="H78" i="6"/>
  <c r="T161" i="16" l="1"/>
  <c r="AD160" i="16"/>
  <c r="AB160" i="16"/>
  <c r="AG160" i="16"/>
  <c r="AH160" i="16" s="1"/>
  <c r="AI160" i="16" s="1"/>
  <c r="X160" i="16"/>
  <c r="Z160" i="16"/>
  <c r="AF160" i="16"/>
  <c r="V160" i="16"/>
  <c r="G78" i="6"/>
  <c r="L78" i="6" s="1"/>
  <c r="T162" i="16" l="1"/>
  <c r="AD161" i="16"/>
  <c r="AG161" i="16"/>
  <c r="AH161" i="16" s="1"/>
  <c r="AI161" i="16" s="1"/>
  <c r="Z161" i="16"/>
  <c r="X161" i="16"/>
  <c r="AB161" i="16"/>
  <c r="V161" i="16"/>
  <c r="AF161" i="16"/>
  <c r="J78" i="6"/>
  <c r="K78" i="6"/>
  <c r="I78" i="6"/>
  <c r="H79" i="6"/>
  <c r="T163" i="16" l="1"/>
  <c r="AG162" i="16"/>
  <c r="AH162" i="16" s="1"/>
  <c r="AI162" i="16" s="1"/>
  <c r="AD162" i="16"/>
  <c r="X162" i="16"/>
  <c r="AB162" i="16"/>
  <c r="Z162" i="16"/>
  <c r="V162" i="16"/>
  <c r="AF162" i="16"/>
  <c r="G79" i="6"/>
  <c r="L79" i="6" s="1"/>
  <c r="T164" i="16" l="1"/>
  <c r="AG163" i="16"/>
  <c r="AH163" i="16" s="1"/>
  <c r="AI163" i="16" s="1"/>
  <c r="AD163" i="16"/>
  <c r="Z163" i="16"/>
  <c r="X163" i="16"/>
  <c r="AB163" i="16"/>
  <c r="V163" i="16"/>
  <c r="AF163" i="16"/>
  <c r="AG13" i="6"/>
  <c r="AF12" i="6"/>
  <c r="AE12" i="9" s="1"/>
  <c r="J79" i="6"/>
  <c r="I79" i="6"/>
  <c r="K79" i="6"/>
  <c r="H80" i="6"/>
  <c r="T165" i="16" l="1"/>
  <c r="AG164" i="16"/>
  <c r="AH164" i="16" s="1"/>
  <c r="AI164" i="16" s="1"/>
  <c r="AD164" i="16"/>
  <c r="Z164" i="16"/>
  <c r="X164" i="16"/>
  <c r="AB164" i="16"/>
  <c r="V164" i="16"/>
  <c r="AF164" i="16"/>
  <c r="AG12" i="6"/>
  <c r="G80" i="6"/>
  <c r="L80" i="6" s="1"/>
  <c r="T166" i="16" l="1"/>
  <c r="AG165" i="16"/>
  <c r="AH165" i="16" s="1"/>
  <c r="AI165" i="16" s="1"/>
  <c r="AD165" i="16"/>
  <c r="Z165" i="16"/>
  <c r="AB165" i="16"/>
  <c r="X165" i="16"/>
  <c r="AF165" i="16"/>
  <c r="V165" i="16"/>
  <c r="J80" i="6"/>
  <c r="K80" i="6"/>
  <c r="I80" i="6"/>
  <c r="H81" i="6"/>
  <c r="T167" i="16" l="1"/>
  <c r="AG166" i="16"/>
  <c r="AH166" i="16" s="1"/>
  <c r="AI166" i="16" s="1"/>
  <c r="AD166" i="16"/>
  <c r="AB166" i="16"/>
  <c r="Z166" i="16"/>
  <c r="X166" i="16"/>
  <c r="AF166" i="16"/>
  <c r="V166" i="16"/>
  <c r="G81" i="6"/>
  <c r="L81" i="6" s="1"/>
  <c r="T168" i="16" l="1"/>
  <c r="AG167" i="16"/>
  <c r="AH167" i="16" s="1"/>
  <c r="AI167" i="16" s="1"/>
  <c r="Z167" i="16"/>
  <c r="AD167" i="16"/>
  <c r="AB167" i="16"/>
  <c r="X167" i="16"/>
  <c r="V167" i="16"/>
  <c r="AF167" i="16"/>
  <c r="J81" i="6"/>
  <c r="I81" i="6"/>
  <c r="K81" i="6"/>
  <c r="H82" i="6"/>
  <c r="T169" i="16" l="1"/>
  <c r="AG168" i="16"/>
  <c r="AH168" i="16" s="1"/>
  <c r="AI168" i="16" s="1"/>
  <c r="Z168" i="16"/>
  <c r="AD168" i="16"/>
  <c r="AB168" i="16"/>
  <c r="X168" i="16"/>
  <c r="AF168" i="16"/>
  <c r="V168" i="16"/>
  <c r="G82" i="6"/>
  <c r="L82" i="6" s="1"/>
  <c r="T170" i="16" l="1"/>
  <c r="AG169" i="16"/>
  <c r="AH169" i="16" s="1"/>
  <c r="AI169" i="16" s="1"/>
  <c r="AD169" i="16"/>
  <c r="AB169" i="16"/>
  <c r="Z169" i="16"/>
  <c r="X169" i="16"/>
  <c r="AF169" i="16"/>
  <c r="V169" i="16"/>
  <c r="J82" i="6"/>
  <c r="K82" i="6"/>
  <c r="I82" i="6"/>
  <c r="H83" i="6"/>
  <c r="T171" i="16" l="1"/>
  <c r="AG170" i="16"/>
  <c r="AH170" i="16" s="1"/>
  <c r="AI170" i="16" s="1"/>
  <c r="AD170" i="16"/>
  <c r="X170" i="16"/>
  <c r="AB170" i="16"/>
  <c r="Z170" i="16"/>
  <c r="AF170" i="16"/>
  <c r="V170" i="16"/>
  <c r="G83" i="6"/>
  <c r="L83" i="6" s="1"/>
  <c r="T172" i="16" l="1"/>
  <c r="AG171" i="16"/>
  <c r="AH171" i="16" s="1"/>
  <c r="AI171" i="16" s="1"/>
  <c r="AD171" i="16"/>
  <c r="AB171" i="16"/>
  <c r="X171" i="16"/>
  <c r="Z171" i="16"/>
  <c r="AF171" i="16"/>
  <c r="V171" i="16"/>
  <c r="J83" i="6"/>
  <c r="K83" i="6"/>
  <c r="I83" i="6"/>
  <c r="H84" i="6"/>
  <c r="T173" i="16" l="1"/>
  <c r="AG172" i="16"/>
  <c r="AH172" i="16" s="1"/>
  <c r="AI172" i="16" s="1"/>
  <c r="AD172" i="16"/>
  <c r="AB172" i="16"/>
  <c r="X172" i="16"/>
  <c r="Z172" i="16"/>
  <c r="V172" i="16"/>
  <c r="AF172" i="16"/>
  <c r="G84" i="6"/>
  <c r="L84" i="6" s="1"/>
  <c r="T174" i="16" l="1"/>
  <c r="AG173" i="16"/>
  <c r="AH173" i="16" s="1"/>
  <c r="AI173" i="16" s="1"/>
  <c r="AD173" i="16"/>
  <c r="AB173" i="16"/>
  <c r="Z173" i="16"/>
  <c r="V173" i="16"/>
  <c r="X173" i="16"/>
  <c r="AF173" i="16"/>
  <c r="J84" i="6"/>
  <c r="K84" i="6"/>
  <c r="I84" i="6"/>
  <c r="H85" i="6"/>
  <c r="T175" i="16" l="1"/>
  <c r="AG174" i="16"/>
  <c r="AH174" i="16" s="1"/>
  <c r="AI174" i="16" s="1"/>
  <c r="AD174" i="16"/>
  <c r="X174" i="16"/>
  <c r="AB174" i="16"/>
  <c r="Z174" i="16"/>
  <c r="AF174" i="16"/>
  <c r="V174" i="16"/>
  <c r="G85" i="6"/>
  <c r="L85" i="6" s="1"/>
  <c r="T176" i="16" l="1"/>
  <c r="AG175" i="16"/>
  <c r="AH175" i="16" s="1"/>
  <c r="AI175" i="16" s="1"/>
  <c r="AD175" i="16"/>
  <c r="AB175" i="16"/>
  <c r="Z175" i="16"/>
  <c r="X175" i="16"/>
  <c r="AF175" i="16"/>
  <c r="V175" i="16"/>
  <c r="J85" i="6"/>
  <c r="K85" i="6"/>
  <c r="I85" i="6"/>
  <c r="H86" i="6"/>
  <c r="T177" i="16" l="1"/>
  <c r="AG176" i="16"/>
  <c r="AH176" i="16" s="1"/>
  <c r="AI176" i="16" s="1"/>
  <c r="X176" i="16"/>
  <c r="AB176" i="16"/>
  <c r="Z176" i="16"/>
  <c r="V176" i="16"/>
  <c r="AD176" i="16"/>
  <c r="AF176" i="16"/>
  <c r="G86" i="6"/>
  <c r="L86" i="6" s="1"/>
  <c r="T178" i="16" l="1"/>
  <c r="AG177" i="16"/>
  <c r="AH177" i="16" s="1"/>
  <c r="AI177" i="16" s="1"/>
  <c r="AB177" i="16"/>
  <c r="AD177" i="16"/>
  <c r="Z177" i="16"/>
  <c r="X177" i="16"/>
  <c r="AF177" i="16"/>
  <c r="V177" i="16"/>
  <c r="J86" i="6"/>
  <c r="K86" i="6"/>
  <c r="I86" i="6"/>
  <c r="H87" i="6"/>
  <c r="T179" i="16" l="1"/>
  <c r="AG178" i="16"/>
  <c r="AH178" i="16" s="1"/>
  <c r="AI178" i="16" s="1"/>
  <c r="AB178" i="16"/>
  <c r="AD178" i="16"/>
  <c r="Z178" i="16"/>
  <c r="X178" i="16"/>
  <c r="V178" i="16"/>
  <c r="AF178" i="16"/>
  <c r="G87" i="6"/>
  <c r="L87" i="6" s="1"/>
  <c r="T180" i="16" l="1"/>
  <c r="AG179" i="16"/>
  <c r="AH179" i="16" s="1"/>
  <c r="AI179" i="16" s="1"/>
  <c r="Z179" i="16"/>
  <c r="AD179" i="16"/>
  <c r="AB179" i="16"/>
  <c r="X179" i="16"/>
  <c r="V179" i="16"/>
  <c r="AF179" i="16"/>
  <c r="J87" i="6"/>
  <c r="I87" i="6"/>
  <c r="K87" i="6"/>
  <c r="H88" i="6"/>
  <c r="T181" i="16" l="1"/>
  <c r="AG180" i="16"/>
  <c r="AH180" i="16" s="1"/>
  <c r="AI180" i="16" s="1"/>
  <c r="Z180" i="16"/>
  <c r="AB180" i="16"/>
  <c r="AD180" i="16"/>
  <c r="X180" i="16"/>
  <c r="AF180" i="16"/>
  <c r="V180" i="16"/>
  <c r="G88" i="6"/>
  <c r="L88" i="6" s="1"/>
  <c r="T182" i="16" l="1"/>
  <c r="AG181" i="16"/>
  <c r="AH181" i="16" s="1"/>
  <c r="AI181" i="16" s="1"/>
  <c r="AD181" i="16"/>
  <c r="AB181" i="16"/>
  <c r="Z181" i="16"/>
  <c r="X181" i="16"/>
  <c r="AF181" i="16"/>
  <c r="V181" i="16"/>
  <c r="J88" i="6"/>
  <c r="K88" i="6"/>
  <c r="I88" i="6"/>
  <c r="H89" i="6"/>
  <c r="T183" i="16" l="1"/>
  <c r="AG182" i="16"/>
  <c r="AH182" i="16" s="1"/>
  <c r="AI182" i="16" s="1"/>
  <c r="AD182" i="16"/>
  <c r="X182" i="16"/>
  <c r="AB182" i="16"/>
  <c r="Z182" i="16"/>
  <c r="V182" i="16"/>
  <c r="AF182" i="16"/>
  <c r="G89" i="6"/>
  <c r="L89" i="6" s="1"/>
  <c r="T184" i="16" l="1"/>
  <c r="AG183" i="16"/>
  <c r="AH183" i="16" s="1"/>
  <c r="AI183" i="16" s="1"/>
  <c r="AB183" i="16"/>
  <c r="AD183" i="16"/>
  <c r="Z183" i="16"/>
  <c r="X183" i="16"/>
  <c r="V183" i="16"/>
  <c r="AF183" i="16"/>
  <c r="J89" i="6"/>
  <c r="K89" i="6"/>
  <c r="I89" i="6"/>
  <c r="H90" i="6"/>
  <c r="T185" i="16" l="1"/>
  <c r="AD184" i="16"/>
  <c r="AG184" i="16"/>
  <c r="AH184" i="16" s="1"/>
  <c r="AI184" i="16" s="1"/>
  <c r="AB184" i="16"/>
  <c r="X184" i="16"/>
  <c r="Z184" i="16"/>
  <c r="AF184" i="16"/>
  <c r="V184" i="16"/>
  <c r="G90" i="6"/>
  <c r="L90" i="6" s="1"/>
  <c r="T186" i="16" l="1"/>
  <c r="AD185" i="16"/>
  <c r="AG185" i="16"/>
  <c r="AH185" i="16" s="1"/>
  <c r="AI185" i="16" s="1"/>
  <c r="AB185" i="16"/>
  <c r="Z185" i="16"/>
  <c r="X185" i="16"/>
  <c r="V185" i="16"/>
  <c r="AF185" i="16"/>
  <c r="J90" i="6"/>
  <c r="K90" i="6"/>
  <c r="I90" i="6"/>
  <c r="H91" i="6"/>
  <c r="T187" i="16" l="1"/>
  <c r="AG186" i="16"/>
  <c r="AH186" i="16" s="1"/>
  <c r="AI186" i="16" s="1"/>
  <c r="AD186" i="16"/>
  <c r="X186" i="16"/>
  <c r="Z186" i="16"/>
  <c r="AB186" i="16"/>
  <c r="V186" i="16"/>
  <c r="AF186" i="16"/>
  <c r="G91" i="6"/>
  <c r="L91" i="6" s="1"/>
  <c r="T188" i="16" l="1"/>
  <c r="AG187" i="16"/>
  <c r="AH187" i="16" s="1"/>
  <c r="AI187" i="16" s="1"/>
  <c r="AD187" i="16"/>
  <c r="X187" i="16"/>
  <c r="Z187" i="16"/>
  <c r="AB187" i="16"/>
  <c r="AF187" i="16"/>
  <c r="V187" i="16"/>
  <c r="J91" i="6"/>
  <c r="K91" i="6"/>
  <c r="I91" i="6"/>
  <c r="H92" i="6"/>
  <c r="T189" i="16" l="1"/>
  <c r="AG188" i="16"/>
  <c r="AH188" i="16" s="1"/>
  <c r="AI188" i="16" s="1"/>
  <c r="AD188" i="16"/>
  <c r="AB188" i="16"/>
  <c r="Z188" i="16"/>
  <c r="X188" i="16"/>
  <c r="V188" i="16"/>
  <c r="AF188" i="16"/>
  <c r="G92" i="6"/>
  <c r="L92" i="6" s="1"/>
  <c r="T190" i="16" l="1"/>
  <c r="AG189" i="16"/>
  <c r="AH189" i="16" s="1"/>
  <c r="AI189" i="16" s="1"/>
  <c r="AD189" i="16"/>
  <c r="AB189" i="16"/>
  <c r="Z189" i="16"/>
  <c r="V189" i="16"/>
  <c r="X189" i="16"/>
  <c r="AF189" i="16"/>
  <c r="J92" i="6"/>
  <c r="K92" i="6"/>
  <c r="I92" i="6"/>
  <c r="H93" i="6"/>
  <c r="T191" i="16" l="1"/>
  <c r="AG190" i="16"/>
  <c r="AH190" i="16" s="1"/>
  <c r="AI190" i="16" s="1"/>
  <c r="AD190" i="16"/>
  <c r="AB190" i="16"/>
  <c r="X190" i="16"/>
  <c r="Z190" i="16"/>
  <c r="V190" i="16"/>
  <c r="AF190" i="16"/>
  <c r="G93" i="6"/>
  <c r="L93" i="6" s="1"/>
  <c r="T192" i="16" l="1"/>
  <c r="AG191" i="16"/>
  <c r="AH191" i="16" s="1"/>
  <c r="AI191" i="16" s="1"/>
  <c r="AD191" i="16"/>
  <c r="Z191" i="16"/>
  <c r="AB191" i="16"/>
  <c r="X191" i="16"/>
  <c r="V191" i="16"/>
  <c r="AF191" i="16"/>
  <c r="J93" i="6"/>
  <c r="K93" i="6"/>
  <c r="I93" i="6"/>
  <c r="H94" i="6"/>
  <c r="T193" i="16" l="1"/>
  <c r="AG192" i="16"/>
  <c r="AH192" i="16" s="1"/>
  <c r="AI192" i="16" s="1"/>
  <c r="Z192" i="16"/>
  <c r="AB192" i="16"/>
  <c r="X192" i="16"/>
  <c r="AD192" i="16"/>
  <c r="V192" i="16"/>
  <c r="AF192" i="16"/>
  <c r="G94" i="6"/>
  <c r="L94" i="6" s="1"/>
  <c r="T194" i="16" l="1"/>
  <c r="AG193" i="16"/>
  <c r="AH193" i="16" s="1"/>
  <c r="AI193" i="16" s="1"/>
  <c r="AD193" i="16"/>
  <c r="AB193" i="16"/>
  <c r="Z193" i="16"/>
  <c r="X193" i="16"/>
  <c r="AF193" i="16"/>
  <c r="V193" i="16"/>
  <c r="J94" i="6"/>
  <c r="I94" i="6"/>
  <c r="K94" i="6"/>
  <c r="H95" i="6"/>
  <c r="T195" i="16" l="1"/>
  <c r="AG194" i="16"/>
  <c r="AH194" i="16" s="1"/>
  <c r="AI194" i="16" s="1"/>
  <c r="AD194" i="16"/>
  <c r="Z194" i="16"/>
  <c r="X194" i="16"/>
  <c r="AB194" i="16"/>
  <c r="V194" i="16"/>
  <c r="AF194" i="16"/>
  <c r="G95" i="6"/>
  <c r="L95" i="6" s="1"/>
  <c r="T196" i="16" l="1"/>
  <c r="AG195" i="16"/>
  <c r="AH195" i="16" s="1"/>
  <c r="AI195" i="16" s="1"/>
  <c r="AB195" i="16"/>
  <c r="AD195" i="16"/>
  <c r="Z195" i="16"/>
  <c r="X195" i="16"/>
  <c r="AF195" i="16"/>
  <c r="V195" i="16"/>
  <c r="J95" i="6"/>
  <c r="I95" i="6"/>
  <c r="K95" i="6"/>
  <c r="H96" i="6"/>
  <c r="T197" i="16" l="1"/>
  <c r="AG196" i="16"/>
  <c r="AH196" i="16" s="1"/>
  <c r="AI196" i="16" s="1"/>
  <c r="AD196" i="16"/>
  <c r="AB196" i="16"/>
  <c r="X196" i="16"/>
  <c r="V196" i="16"/>
  <c r="Z196" i="16"/>
  <c r="AF196" i="16"/>
  <c r="G96" i="6"/>
  <c r="L96" i="6" s="1"/>
  <c r="T198" i="16" l="1"/>
  <c r="AG197" i="16"/>
  <c r="AH197" i="16" s="1"/>
  <c r="AI197" i="16" s="1"/>
  <c r="AD197" i="16"/>
  <c r="Z197" i="16"/>
  <c r="AB197" i="16"/>
  <c r="X197" i="16"/>
  <c r="AF197" i="16"/>
  <c r="V197" i="16"/>
  <c r="J96" i="6"/>
  <c r="K96" i="6"/>
  <c r="I96" i="6"/>
  <c r="H97" i="6"/>
  <c r="T199" i="16" l="1"/>
  <c r="AG198" i="16"/>
  <c r="AH198" i="16" s="1"/>
  <c r="AI198" i="16" s="1"/>
  <c r="AD198" i="16"/>
  <c r="X198" i="16"/>
  <c r="AB198" i="16"/>
  <c r="Z198" i="16"/>
  <c r="V198" i="16"/>
  <c r="AF198" i="16"/>
  <c r="G97" i="6"/>
  <c r="L97" i="6" s="1"/>
  <c r="T200" i="16" l="1"/>
  <c r="AG199" i="16"/>
  <c r="AH199" i="16" s="1"/>
  <c r="AI199" i="16" s="1"/>
  <c r="AD199" i="16"/>
  <c r="AB199" i="16"/>
  <c r="Z199" i="16"/>
  <c r="X199" i="16"/>
  <c r="V199" i="16"/>
  <c r="AF199" i="16"/>
  <c r="J97" i="6"/>
  <c r="K97" i="6"/>
  <c r="I97" i="6"/>
  <c r="H98" i="6"/>
  <c r="T201" i="16" l="1"/>
  <c r="AG200" i="16"/>
  <c r="AH200" i="16" s="1"/>
  <c r="AI200" i="16" s="1"/>
  <c r="AD200" i="16"/>
  <c r="AB200" i="16"/>
  <c r="X200" i="16"/>
  <c r="Z200" i="16"/>
  <c r="AF200" i="16"/>
  <c r="V200" i="16"/>
  <c r="G98" i="6"/>
  <c r="L98" i="6" s="1"/>
  <c r="T202" i="16" l="1"/>
  <c r="AG201" i="16"/>
  <c r="AH201" i="16" s="1"/>
  <c r="AI201" i="16" s="1"/>
  <c r="AD201" i="16"/>
  <c r="AB201" i="16"/>
  <c r="Z201" i="16"/>
  <c r="X201" i="16"/>
  <c r="AF201" i="16"/>
  <c r="V201" i="16"/>
  <c r="J98" i="6"/>
  <c r="K98" i="6"/>
  <c r="I98" i="6"/>
  <c r="H99" i="6"/>
  <c r="T203" i="16" l="1"/>
  <c r="AG202" i="16"/>
  <c r="AH202" i="16" s="1"/>
  <c r="AI202" i="16" s="1"/>
  <c r="AD202" i="16"/>
  <c r="AB202" i="16"/>
  <c r="Z202" i="16"/>
  <c r="X202" i="16"/>
  <c r="AF202" i="16"/>
  <c r="V202" i="16"/>
  <c r="G99" i="6"/>
  <c r="L99" i="6" s="1"/>
  <c r="T204" i="16" l="1"/>
  <c r="AG203" i="16"/>
  <c r="AH203" i="16" s="1"/>
  <c r="AI203" i="16" s="1"/>
  <c r="Z203" i="16"/>
  <c r="AD203" i="16"/>
  <c r="AB203" i="16"/>
  <c r="X203" i="16"/>
  <c r="AF203" i="16"/>
  <c r="V203" i="16"/>
  <c r="J99" i="6"/>
  <c r="I99" i="6"/>
  <c r="K99" i="6"/>
  <c r="H100" i="6"/>
  <c r="T205" i="16" l="1"/>
  <c r="AG204" i="16"/>
  <c r="AH204" i="16" s="1"/>
  <c r="AI204" i="16" s="1"/>
  <c r="Z204" i="16"/>
  <c r="AD204" i="16"/>
  <c r="AB204" i="16"/>
  <c r="X204" i="16"/>
  <c r="V204" i="16"/>
  <c r="AF204" i="16"/>
  <c r="G100" i="6"/>
  <c r="L100" i="6" s="1"/>
  <c r="T206" i="16" l="1"/>
  <c r="AG205" i="16"/>
  <c r="AH205" i="16" s="1"/>
  <c r="AI205" i="16" s="1"/>
  <c r="AD205" i="16"/>
  <c r="AB205" i="16"/>
  <c r="Z205" i="16"/>
  <c r="X205" i="16"/>
  <c r="AF205" i="16"/>
  <c r="V205" i="16"/>
  <c r="J100" i="6"/>
  <c r="K100" i="6"/>
  <c r="I100" i="6"/>
  <c r="H101" i="6"/>
  <c r="T207" i="16" l="1"/>
  <c r="AG206" i="16"/>
  <c r="AH206" i="16" s="1"/>
  <c r="AI206" i="16" s="1"/>
  <c r="AD206" i="16"/>
  <c r="X206" i="16"/>
  <c r="Z206" i="16"/>
  <c r="AB206" i="16"/>
  <c r="V206" i="16"/>
  <c r="AF206" i="16"/>
  <c r="G101" i="6"/>
  <c r="L101" i="6" s="1"/>
  <c r="T208" i="16" l="1"/>
  <c r="AG207" i="16"/>
  <c r="AH207" i="16" s="1"/>
  <c r="AI207" i="16" s="1"/>
  <c r="AD207" i="16"/>
  <c r="AB207" i="16"/>
  <c r="X207" i="16"/>
  <c r="Z207" i="16"/>
  <c r="V207" i="16"/>
  <c r="AF207" i="16"/>
  <c r="J101" i="6"/>
  <c r="K101" i="6"/>
  <c r="I101" i="6"/>
  <c r="H102" i="6"/>
  <c r="T209" i="16" l="1"/>
  <c r="AD208" i="16"/>
  <c r="AG208" i="16"/>
  <c r="AH208" i="16" s="1"/>
  <c r="AI208" i="16" s="1"/>
  <c r="AB208" i="16"/>
  <c r="X208" i="16"/>
  <c r="Z208" i="16"/>
  <c r="AF208" i="16"/>
  <c r="V208" i="16"/>
  <c r="G102" i="6"/>
  <c r="L102" i="6" s="1"/>
  <c r="T210" i="16" l="1"/>
  <c r="AD209" i="16"/>
  <c r="AG209" i="16"/>
  <c r="AH209" i="16" s="1"/>
  <c r="AI209" i="16" s="1"/>
  <c r="AB209" i="16"/>
  <c r="Z209" i="16"/>
  <c r="V209" i="16"/>
  <c r="X209" i="16"/>
  <c r="AF209" i="16"/>
  <c r="J102" i="6"/>
  <c r="K102" i="6"/>
  <c r="I102" i="6"/>
  <c r="H103" i="6"/>
  <c r="AG210" i="16" l="1"/>
  <c r="AH210" i="16" s="1"/>
  <c r="AI210" i="16" s="1"/>
  <c r="AD210" i="16"/>
  <c r="X210" i="16"/>
  <c r="Z210" i="16"/>
  <c r="T211" i="16"/>
  <c r="AB210" i="16"/>
  <c r="V210" i="16"/>
  <c r="AF210" i="16"/>
  <c r="G103" i="6"/>
  <c r="L103" i="6" s="1"/>
  <c r="T212" i="16" l="1"/>
  <c r="AG211" i="16"/>
  <c r="AH211" i="16" s="1"/>
  <c r="AI211" i="16" s="1"/>
  <c r="AD211" i="16"/>
  <c r="Z211" i="16"/>
  <c r="AB211" i="16"/>
  <c r="X211" i="16"/>
  <c r="V211" i="16"/>
  <c r="AF211" i="16"/>
  <c r="J103" i="6"/>
  <c r="I103" i="6"/>
  <c r="K103" i="6"/>
  <c r="H104" i="6"/>
  <c r="T213" i="16" l="1"/>
  <c r="AG212" i="16"/>
  <c r="AH212" i="16" s="1"/>
  <c r="AI212" i="16" s="1"/>
  <c r="AB212" i="16"/>
  <c r="X212" i="16"/>
  <c r="Z212" i="16"/>
  <c r="AD212" i="16"/>
  <c r="V212" i="16"/>
  <c r="AF212" i="16"/>
  <c r="G104" i="6"/>
  <c r="L104" i="6" s="1"/>
  <c r="T214" i="16" l="1"/>
  <c r="AG213" i="16"/>
  <c r="AH213" i="16" s="1"/>
  <c r="AI213" i="16" s="1"/>
  <c r="AB213" i="16"/>
  <c r="AD213" i="16"/>
  <c r="Z213" i="16"/>
  <c r="X213" i="16"/>
  <c r="AF213" i="16"/>
  <c r="V213" i="16"/>
  <c r="J104" i="6"/>
  <c r="K104" i="6"/>
  <c r="I104" i="6"/>
  <c r="H105" i="6"/>
  <c r="T215" i="16" l="1"/>
  <c r="AG214" i="16"/>
  <c r="AH214" i="16" s="1"/>
  <c r="AI214" i="16" s="1"/>
  <c r="AB214" i="16"/>
  <c r="AD214" i="16"/>
  <c r="X214" i="16"/>
  <c r="Z214" i="16"/>
  <c r="V214" i="16"/>
  <c r="AF214" i="16"/>
  <c r="G105" i="6"/>
  <c r="L105" i="6" s="1"/>
  <c r="T216" i="16" l="1"/>
  <c r="AG215" i="16"/>
  <c r="AH215" i="16" s="1"/>
  <c r="AI215" i="16" s="1"/>
  <c r="Z215" i="16"/>
  <c r="AB215" i="16"/>
  <c r="AD215" i="16"/>
  <c r="X215" i="16"/>
  <c r="AF215" i="16"/>
  <c r="V215" i="16"/>
  <c r="J105" i="6"/>
  <c r="K105" i="6"/>
  <c r="I105" i="6"/>
  <c r="H106" i="6"/>
  <c r="T217" i="16" l="1"/>
  <c r="AG216" i="16"/>
  <c r="AH216" i="16" s="1"/>
  <c r="AI216" i="16" s="1"/>
  <c r="Z216" i="16"/>
  <c r="AB216" i="16"/>
  <c r="AD216" i="16"/>
  <c r="X216" i="16"/>
  <c r="V216" i="16"/>
  <c r="AF216" i="16"/>
  <c r="G106" i="6"/>
  <c r="L106" i="6" s="1"/>
  <c r="T218" i="16" l="1"/>
  <c r="AG217" i="16"/>
  <c r="AH217" i="16" s="1"/>
  <c r="AI217" i="16" s="1"/>
  <c r="AD217" i="16"/>
  <c r="AB217" i="16"/>
  <c r="X217" i="16"/>
  <c r="Z217" i="16"/>
  <c r="AF217" i="16"/>
  <c r="V217" i="16"/>
  <c r="J106" i="6"/>
  <c r="K106" i="6"/>
  <c r="I106" i="6"/>
  <c r="H107" i="6"/>
  <c r="T219" i="16" l="1"/>
  <c r="AG218" i="16"/>
  <c r="AH218" i="16" s="1"/>
  <c r="AI218" i="16" s="1"/>
  <c r="AD218" i="16"/>
  <c r="X218" i="16"/>
  <c r="Z218" i="16"/>
  <c r="AB218" i="16"/>
  <c r="V218" i="16"/>
  <c r="AF218" i="16"/>
  <c r="G107" i="6"/>
  <c r="L107" i="6" s="1"/>
  <c r="T220" i="16" l="1"/>
  <c r="AG219" i="16"/>
  <c r="AH219" i="16" s="1"/>
  <c r="AI219" i="16" s="1"/>
  <c r="AD219" i="16"/>
  <c r="AB219" i="16"/>
  <c r="X219" i="16"/>
  <c r="Z219" i="16"/>
  <c r="V219" i="16"/>
  <c r="AF219" i="16"/>
  <c r="J107" i="6"/>
  <c r="K107" i="6"/>
  <c r="I107" i="6"/>
  <c r="H108" i="6"/>
  <c r="T221" i="16" l="1"/>
  <c r="AD220" i="16"/>
  <c r="AG220" i="16"/>
  <c r="AH220" i="16" s="1"/>
  <c r="AI220" i="16" s="1"/>
  <c r="AB220" i="16"/>
  <c r="X220" i="16"/>
  <c r="Z220" i="16"/>
  <c r="V220" i="16"/>
  <c r="AF220" i="16"/>
  <c r="G108" i="6"/>
  <c r="L108" i="6" s="1"/>
  <c r="T222" i="16" l="1"/>
  <c r="AD221" i="16"/>
  <c r="AG221" i="16"/>
  <c r="AH221" i="16" s="1"/>
  <c r="AI221" i="16" s="1"/>
  <c r="Z221" i="16"/>
  <c r="AB221" i="16"/>
  <c r="X221" i="16"/>
  <c r="V221" i="16"/>
  <c r="AF221" i="16"/>
  <c r="J108" i="6"/>
  <c r="I108" i="6"/>
  <c r="K108" i="6"/>
  <c r="H109" i="6"/>
  <c r="AG222" i="16" l="1"/>
  <c r="AH222" i="16" s="1"/>
  <c r="AI222" i="16" s="1"/>
  <c r="AD222" i="16"/>
  <c r="X222" i="16"/>
  <c r="Z222" i="16"/>
  <c r="AB222" i="16"/>
  <c r="T223" i="16"/>
  <c r="V222" i="16"/>
  <c r="AF222" i="16"/>
  <c r="G109" i="6"/>
  <c r="L109" i="6" s="1"/>
  <c r="T224" i="16" l="1"/>
  <c r="AG223" i="16"/>
  <c r="AH223" i="16" s="1"/>
  <c r="AI223" i="16" s="1"/>
  <c r="AD223" i="16"/>
  <c r="Z223" i="16"/>
  <c r="AB223" i="16"/>
  <c r="X223" i="16"/>
  <c r="V223" i="16"/>
  <c r="AF223" i="16"/>
  <c r="J109" i="6"/>
  <c r="K109" i="6"/>
  <c r="I109" i="6"/>
  <c r="H110" i="6"/>
  <c r="T225" i="16" l="1"/>
  <c r="AG224" i="16"/>
  <c r="AH224" i="16" s="1"/>
  <c r="AI224" i="16" s="1"/>
  <c r="AD224" i="16"/>
  <c r="AB224" i="16"/>
  <c r="X224" i="16"/>
  <c r="Z224" i="16"/>
  <c r="AF224" i="16"/>
  <c r="V224" i="16"/>
  <c r="G110" i="6"/>
  <c r="L110" i="6" s="1"/>
  <c r="T226" i="16" l="1"/>
  <c r="AG225" i="16"/>
  <c r="AH225" i="16" s="1"/>
  <c r="AI225" i="16" s="1"/>
  <c r="AD225" i="16"/>
  <c r="AB225" i="16"/>
  <c r="Z225" i="16"/>
  <c r="V225" i="16"/>
  <c r="X225" i="16"/>
  <c r="AF225" i="16"/>
  <c r="J110" i="6"/>
  <c r="K110" i="6"/>
  <c r="I110" i="6"/>
  <c r="H111" i="6"/>
  <c r="T227" i="16" l="1"/>
  <c r="AG226" i="16"/>
  <c r="AH226" i="16" s="1"/>
  <c r="AI226" i="16" s="1"/>
  <c r="AD226" i="16"/>
  <c r="AB226" i="16"/>
  <c r="Z226" i="16"/>
  <c r="X226" i="16"/>
  <c r="V226" i="16"/>
  <c r="AF226" i="16"/>
  <c r="G111" i="6"/>
  <c r="L111" i="6" s="1"/>
  <c r="T228" i="16" l="1"/>
  <c r="AG227" i="16"/>
  <c r="AH227" i="16" s="1"/>
  <c r="AI227" i="16" s="1"/>
  <c r="AD227" i="16"/>
  <c r="Z227" i="16"/>
  <c r="AB227" i="16"/>
  <c r="X227" i="16"/>
  <c r="AF227" i="16"/>
  <c r="V227" i="16"/>
  <c r="J111" i="6"/>
  <c r="I111" i="6"/>
  <c r="K111" i="6"/>
  <c r="H112" i="6"/>
  <c r="T229" i="16" l="1"/>
  <c r="AG228" i="16"/>
  <c r="AH228" i="16" s="1"/>
  <c r="AI228" i="16" s="1"/>
  <c r="AD228" i="16"/>
  <c r="Z228" i="16"/>
  <c r="AB228" i="16"/>
  <c r="X228" i="16"/>
  <c r="AF228" i="16"/>
  <c r="V228" i="16"/>
  <c r="G112" i="6"/>
  <c r="L112" i="6" s="1"/>
  <c r="T230" i="16" l="1"/>
  <c r="AG229" i="16"/>
  <c r="AH229" i="16" s="1"/>
  <c r="AI229" i="16" s="1"/>
  <c r="AD229" i="16"/>
  <c r="AB229" i="16"/>
  <c r="Z229" i="16"/>
  <c r="X229" i="16"/>
  <c r="AF229" i="16"/>
  <c r="V229" i="16"/>
  <c r="J112" i="6"/>
  <c r="K112" i="6"/>
  <c r="I112" i="6"/>
  <c r="H113" i="6"/>
  <c r="T231" i="16" l="1"/>
  <c r="AG230" i="16"/>
  <c r="AH230" i="16" s="1"/>
  <c r="AI230" i="16" s="1"/>
  <c r="X230" i="16"/>
  <c r="AD230" i="16"/>
  <c r="AB230" i="16"/>
  <c r="Z230" i="16"/>
  <c r="AF230" i="16"/>
  <c r="V230" i="16"/>
  <c r="G113" i="6"/>
  <c r="L113" i="6" s="1"/>
  <c r="T232" i="16" l="1"/>
  <c r="AG231" i="16"/>
  <c r="AH231" i="16" s="1"/>
  <c r="AI231" i="16" s="1"/>
  <c r="AD231" i="16"/>
  <c r="AB231" i="16"/>
  <c r="X231" i="16"/>
  <c r="Z231" i="16"/>
  <c r="V231" i="16"/>
  <c r="AF231" i="16"/>
  <c r="J113" i="6"/>
  <c r="K113" i="6"/>
  <c r="I113" i="6"/>
  <c r="H114" i="6"/>
  <c r="T233" i="16" l="1"/>
  <c r="AG232" i="16"/>
  <c r="AH232" i="16" s="1"/>
  <c r="AI232" i="16" s="1"/>
  <c r="AD232" i="16"/>
  <c r="AB232" i="16"/>
  <c r="X232" i="16"/>
  <c r="Z232" i="16"/>
  <c r="V232" i="16"/>
  <c r="AF232" i="16"/>
  <c r="G114" i="6"/>
  <c r="L114" i="6" s="1"/>
  <c r="T234" i="16" l="1"/>
  <c r="AG233" i="16"/>
  <c r="AH233" i="16" s="1"/>
  <c r="AI233" i="16" s="1"/>
  <c r="AD233" i="16"/>
  <c r="AB233" i="16"/>
  <c r="Z233" i="16"/>
  <c r="X233" i="16"/>
  <c r="V233" i="16"/>
  <c r="AF233" i="16"/>
  <c r="J114" i="6"/>
  <c r="K114" i="6"/>
  <c r="I114" i="6"/>
  <c r="H115" i="6"/>
  <c r="T235" i="16" l="1"/>
  <c r="AG234" i="16"/>
  <c r="AH234" i="16" s="1"/>
  <c r="AI234" i="16" s="1"/>
  <c r="AD234" i="16"/>
  <c r="X234" i="16"/>
  <c r="AB234" i="16"/>
  <c r="Z234" i="16"/>
  <c r="V234" i="16"/>
  <c r="AF234" i="16"/>
  <c r="G115" i="6"/>
  <c r="L115" i="6" s="1"/>
  <c r="T236" i="16" l="1"/>
  <c r="AG235" i="16"/>
  <c r="AH235" i="16" s="1"/>
  <c r="AI235" i="16" s="1"/>
  <c r="AD235" i="16"/>
  <c r="AB235" i="16"/>
  <c r="Z235" i="16"/>
  <c r="X235" i="16"/>
  <c r="AF235" i="16"/>
  <c r="V235" i="16"/>
  <c r="J115" i="6"/>
  <c r="K115" i="6"/>
  <c r="I115" i="6"/>
  <c r="H116" i="6"/>
  <c r="T237" i="16" l="1"/>
  <c r="AG236" i="16"/>
  <c r="AH236" i="16" s="1"/>
  <c r="AI236" i="16" s="1"/>
  <c r="AB236" i="16"/>
  <c r="AD236" i="16"/>
  <c r="Z236" i="16"/>
  <c r="X236" i="16"/>
  <c r="AF236" i="16"/>
  <c r="V236" i="16"/>
  <c r="G116" i="6"/>
  <c r="L116" i="6" s="1"/>
  <c r="T238" i="16" l="1"/>
  <c r="AG237" i="16"/>
  <c r="AH237" i="16" s="1"/>
  <c r="AI237" i="16" s="1"/>
  <c r="Z237" i="16"/>
  <c r="AB237" i="16"/>
  <c r="AD237" i="16"/>
  <c r="X237" i="16"/>
  <c r="V237" i="16"/>
  <c r="AF237" i="16"/>
  <c r="J116" i="6"/>
  <c r="I116" i="6"/>
  <c r="K116" i="6"/>
  <c r="H117" i="6"/>
  <c r="T239" i="16" l="1"/>
  <c r="AG238" i="16"/>
  <c r="AH238" i="16" s="1"/>
  <c r="AI238" i="16" s="1"/>
  <c r="AB238" i="16"/>
  <c r="AD238" i="16"/>
  <c r="Z238" i="16"/>
  <c r="X238" i="16"/>
  <c r="V238" i="16"/>
  <c r="AF238" i="16"/>
  <c r="G117" i="6"/>
  <c r="L117" i="6" s="1"/>
  <c r="T240" i="16" l="1"/>
  <c r="AG239" i="16"/>
  <c r="AH239" i="16" s="1"/>
  <c r="AI239" i="16" s="1"/>
  <c r="Z239" i="16"/>
  <c r="AB239" i="16"/>
  <c r="AD239" i="16"/>
  <c r="X239" i="16"/>
  <c r="AF239" i="16"/>
  <c r="V239" i="16"/>
  <c r="J117" i="6"/>
  <c r="K117" i="6"/>
  <c r="I117" i="6"/>
  <c r="H118" i="6"/>
  <c r="T241" i="16" l="1"/>
  <c r="AG240" i="16"/>
  <c r="AH240" i="16" s="1"/>
  <c r="AI240" i="16" s="1"/>
  <c r="Z240" i="16"/>
  <c r="AB240" i="16"/>
  <c r="AD240" i="16"/>
  <c r="X240" i="16"/>
  <c r="V240" i="16"/>
  <c r="AF240" i="16"/>
  <c r="G118" i="6"/>
  <c r="L118" i="6" s="1"/>
  <c r="T242" i="16" l="1"/>
  <c r="AG241" i="16"/>
  <c r="AH241" i="16" s="1"/>
  <c r="AI241" i="16" s="1"/>
  <c r="AD241" i="16"/>
  <c r="AB241" i="16"/>
  <c r="Z241" i="16"/>
  <c r="X241" i="16"/>
  <c r="AF241" i="16"/>
  <c r="V241" i="16"/>
  <c r="J118" i="6"/>
  <c r="K118" i="6"/>
  <c r="I118" i="6"/>
  <c r="H119" i="6"/>
  <c r="T243" i="16" l="1"/>
  <c r="AG242" i="16"/>
  <c r="AH242" i="16" s="1"/>
  <c r="AI242" i="16" s="1"/>
  <c r="AD242" i="16"/>
  <c r="Z242" i="16"/>
  <c r="AB242" i="16"/>
  <c r="X242" i="16"/>
  <c r="V242" i="16"/>
  <c r="AF242" i="16"/>
  <c r="G119" i="6"/>
  <c r="L119" i="6" s="1"/>
  <c r="T244" i="16" l="1"/>
  <c r="AD243" i="16"/>
  <c r="AB243" i="16"/>
  <c r="AG243" i="16"/>
  <c r="AH243" i="16" s="1"/>
  <c r="AI243" i="16" s="1"/>
  <c r="X243" i="16"/>
  <c r="Z243" i="16"/>
  <c r="V243" i="16"/>
  <c r="AF243" i="16"/>
  <c r="J119" i="6"/>
  <c r="I119" i="6"/>
  <c r="K119" i="6"/>
  <c r="K123" i="6" l="1"/>
  <c r="AG11" i="6" s="1"/>
  <c r="K121" i="6"/>
  <c r="T245" i="16"/>
  <c r="AD244" i="16"/>
  <c r="AG244" i="16"/>
  <c r="AH244" i="16" s="1"/>
  <c r="AI244" i="16" s="1"/>
  <c r="AB244" i="16"/>
  <c r="X244" i="16"/>
  <c r="Z244" i="16"/>
  <c r="AF244" i="16"/>
  <c r="V244" i="16"/>
  <c r="T246" i="16" l="1"/>
  <c r="AD245" i="16"/>
  <c r="AG245" i="16"/>
  <c r="AH245" i="16" s="1"/>
  <c r="AI245" i="16" s="1"/>
  <c r="AB245" i="16"/>
  <c r="Z245" i="16"/>
  <c r="X245" i="16"/>
  <c r="AF245" i="16"/>
  <c r="V245" i="16"/>
  <c r="AG10" i="6"/>
  <c r="T247" i="16" l="1"/>
  <c r="AG246" i="16"/>
  <c r="AH246" i="16" s="1"/>
  <c r="AI246" i="16" s="1"/>
  <c r="AD246" i="16"/>
  <c r="X246" i="16"/>
  <c r="Z246" i="16"/>
  <c r="V246" i="16"/>
  <c r="AB246" i="16"/>
  <c r="AF246" i="16"/>
  <c r="T248" i="16" l="1"/>
  <c r="AG247" i="16"/>
  <c r="AH247" i="16" s="1"/>
  <c r="AI247" i="16" s="1"/>
  <c r="AD247" i="16"/>
  <c r="Z247" i="16"/>
  <c r="AB247" i="16"/>
  <c r="X247" i="16"/>
  <c r="V247" i="16"/>
  <c r="AF247" i="16"/>
  <c r="T249" i="16" l="1"/>
  <c r="AG248" i="16"/>
  <c r="AH248" i="16" s="1"/>
  <c r="AI248" i="16" s="1"/>
  <c r="AD248" i="16"/>
  <c r="AB248" i="16"/>
  <c r="Z248" i="16"/>
  <c r="X248" i="16"/>
  <c r="AF248" i="16"/>
  <c r="V248" i="16"/>
  <c r="T250" i="16" l="1"/>
  <c r="AG249" i="16"/>
  <c r="AH249" i="16" s="1"/>
  <c r="AI249" i="16" s="1"/>
  <c r="AD249" i="16"/>
  <c r="Z249" i="16"/>
  <c r="AB249" i="16"/>
  <c r="X249" i="16"/>
  <c r="V249" i="16"/>
  <c r="AF249" i="16"/>
  <c r="T251" i="16" l="1"/>
  <c r="AG250" i="16"/>
  <c r="AH250" i="16" s="1"/>
  <c r="AI250" i="16" s="1"/>
  <c r="AD250" i="16"/>
  <c r="AB250" i="16"/>
  <c r="Z250" i="16"/>
  <c r="V250" i="16"/>
  <c r="X250" i="16"/>
  <c r="AF250" i="16"/>
  <c r="T252" i="16" l="1"/>
  <c r="AG251" i="16"/>
  <c r="AH251" i="16" s="1"/>
  <c r="AI251" i="16" s="1"/>
  <c r="Z251" i="16"/>
  <c r="AB251" i="16"/>
  <c r="AD251" i="16"/>
  <c r="X251" i="16"/>
  <c r="AF251" i="16"/>
  <c r="V251" i="16"/>
  <c r="T253" i="16" l="1"/>
  <c r="AG252" i="16"/>
  <c r="AH252" i="16" s="1"/>
  <c r="AI252" i="16" s="1"/>
  <c r="Z252" i="16"/>
  <c r="AB252" i="16"/>
  <c r="AD252" i="16"/>
  <c r="X252" i="16"/>
  <c r="V252" i="16"/>
  <c r="AF252" i="16"/>
  <c r="T254" i="16" l="1"/>
  <c r="AG253" i="16"/>
  <c r="AH253" i="16" s="1"/>
  <c r="AI253" i="16" s="1"/>
  <c r="AD253" i="16"/>
  <c r="AB253" i="16"/>
  <c r="Z253" i="16"/>
  <c r="X253" i="16"/>
  <c r="AF253" i="16"/>
  <c r="V253" i="16"/>
  <c r="T255" i="16" l="1"/>
  <c r="AG254" i="16"/>
  <c r="AH254" i="16" s="1"/>
  <c r="AI254" i="16" s="1"/>
  <c r="AD254" i="16"/>
  <c r="Z254" i="16"/>
  <c r="X254" i="16"/>
  <c r="AB254" i="16"/>
  <c r="V254" i="16"/>
  <c r="AF254" i="16"/>
  <c r="T256" i="16" l="1"/>
  <c r="AG255" i="16"/>
  <c r="AH255" i="16" s="1"/>
  <c r="AI255" i="16" s="1"/>
  <c r="AD255" i="16"/>
  <c r="AB255" i="16"/>
  <c r="Z255" i="16"/>
  <c r="X255" i="16"/>
  <c r="AF255" i="16"/>
  <c r="V255" i="16"/>
  <c r="T257" i="16" l="1"/>
  <c r="AG256" i="16"/>
  <c r="AH256" i="16" s="1"/>
  <c r="AI256" i="16" s="1"/>
  <c r="AD256" i="16"/>
  <c r="AB256" i="16"/>
  <c r="X256" i="16"/>
  <c r="V256" i="16"/>
  <c r="Z256" i="16"/>
  <c r="AF256" i="16"/>
  <c r="T258" i="16" l="1"/>
  <c r="AG257" i="16"/>
  <c r="AH257" i="16" s="1"/>
  <c r="AI257" i="16" s="1"/>
  <c r="AD257" i="16"/>
  <c r="Z257" i="16"/>
  <c r="AB257" i="16"/>
  <c r="X257" i="16"/>
  <c r="AF257" i="16"/>
  <c r="V257" i="16"/>
  <c r="T259" i="16" l="1"/>
  <c r="AG258" i="16"/>
  <c r="AH258" i="16" s="1"/>
  <c r="AI258" i="16" s="1"/>
  <c r="AD258" i="16"/>
  <c r="X258" i="16"/>
  <c r="AB258" i="16"/>
  <c r="Z258" i="16"/>
  <c r="AF258" i="16"/>
  <c r="V258" i="16"/>
  <c r="T260" i="16" l="1"/>
  <c r="AG259" i="16"/>
  <c r="AH259" i="16" s="1"/>
  <c r="AI259" i="16" s="1"/>
  <c r="AD259" i="16"/>
  <c r="AB259" i="16"/>
  <c r="Z259" i="16"/>
  <c r="X259" i="16"/>
  <c r="AF259" i="16"/>
  <c r="V259" i="16"/>
  <c r="T261" i="16" l="1"/>
  <c r="AG260" i="16"/>
  <c r="AH260" i="16" s="1"/>
  <c r="AI260" i="16" s="1"/>
  <c r="AD260" i="16"/>
  <c r="AB260" i="16"/>
  <c r="X260" i="16"/>
  <c r="Z260" i="16"/>
  <c r="AF260" i="16"/>
  <c r="V260" i="16"/>
  <c r="T262" i="16" l="1"/>
  <c r="AG261" i="16"/>
  <c r="AH261" i="16" s="1"/>
  <c r="AI261" i="16" s="1"/>
  <c r="Z261" i="16"/>
  <c r="AD261" i="16"/>
  <c r="AB261" i="16"/>
  <c r="X261" i="16"/>
  <c r="V261" i="16"/>
  <c r="AF261" i="16"/>
  <c r="T263" i="16" l="1"/>
  <c r="AG262" i="16"/>
  <c r="AH262" i="16" s="1"/>
  <c r="AI262" i="16" s="1"/>
  <c r="AD262" i="16"/>
  <c r="AB262" i="16"/>
  <c r="X262" i="16"/>
  <c r="Z262" i="16"/>
  <c r="AF262" i="16"/>
  <c r="V262" i="16"/>
  <c r="T264" i="16" l="1"/>
  <c r="AG263" i="16"/>
  <c r="AH263" i="16" s="1"/>
  <c r="AI263" i="16" s="1"/>
  <c r="Z263" i="16"/>
  <c r="AD263" i="16"/>
  <c r="AB263" i="16"/>
  <c r="X263" i="16"/>
  <c r="AF263" i="16"/>
  <c r="V263" i="16"/>
  <c r="T265" i="16" l="1"/>
  <c r="Z264" i="16"/>
  <c r="AD264" i="16"/>
  <c r="AB264" i="16"/>
  <c r="AG264" i="16"/>
  <c r="AH264" i="16" s="1"/>
  <c r="AI264" i="16" s="1"/>
  <c r="X264" i="16"/>
  <c r="V264" i="16"/>
  <c r="AF264" i="16"/>
  <c r="T266" i="16" l="1"/>
  <c r="AG265" i="16"/>
  <c r="AH265" i="16" s="1"/>
  <c r="AI265" i="16" s="1"/>
  <c r="AD265" i="16"/>
  <c r="AB265" i="16"/>
  <c r="Z265" i="16"/>
  <c r="X265" i="16"/>
  <c r="AF265" i="16"/>
  <c r="V265" i="16"/>
  <c r="T267" i="16" l="1"/>
  <c r="AG266" i="16"/>
  <c r="AH266" i="16" s="1"/>
  <c r="AI266" i="16" s="1"/>
  <c r="AD266" i="16"/>
  <c r="X266" i="16"/>
  <c r="Z266" i="16"/>
  <c r="AB266" i="16"/>
  <c r="AF266" i="16"/>
  <c r="V266" i="16"/>
  <c r="T268" i="16" l="1"/>
  <c r="AD267" i="16"/>
  <c r="AG267" i="16"/>
  <c r="AH267" i="16" s="1"/>
  <c r="AI267" i="16" s="1"/>
  <c r="AB267" i="16"/>
  <c r="X267" i="16"/>
  <c r="Z267" i="16"/>
  <c r="AF267" i="16"/>
  <c r="V267" i="16"/>
  <c r="T269" i="16" l="1"/>
  <c r="AD268" i="16"/>
  <c r="AG268" i="16"/>
  <c r="AH268" i="16" s="1"/>
  <c r="AI268" i="16" s="1"/>
  <c r="AB268" i="16"/>
  <c r="X268" i="16"/>
  <c r="Z268" i="16"/>
  <c r="V268" i="16"/>
  <c r="AF268" i="16"/>
  <c r="T270" i="16" l="1"/>
  <c r="AD269" i="16"/>
  <c r="AG269" i="16"/>
  <c r="AH269" i="16" s="1"/>
  <c r="AI269" i="16" s="1"/>
  <c r="Z269" i="16"/>
  <c r="AB269" i="16"/>
  <c r="X269" i="16"/>
  <c r="AF269" i="16"/>
  <c r="V269" i="16"/>
  <c r="T271" i="16" l="1"/>
  <c r="AG270" i="16"/>
  <c r="AH270" i="16" s="1"/>
  <c r="AI270" i="16" s="1"/>
  <c r="AD270" i="16"/>
  <c r="X270" i="16"/>
  <c r="Z270" i="16"/>
  <c r="AB270" i="16"/>
  <c r="V270" i="16"/>
  <c r="AF270" i="16"/>
  <c r="T272" i="16" l="1"/>
  <c r="AG271" i="16"/>
  <c r="AH271" i="16" s="1"/>
  <c r="AI271" i="16" s="1"/>
  <c r="AD271" i="16"/>
  <c r="AB271" i="16"/>
  <c r="X271" i="16"/>
  <c r="Z271" i="16"/>
  <c r="V271" i="16"/>
  <c r="AF271" i="16"/>
  <c r="T273" i="16" l="1"/>
  <c r="AG272" i="16"/>
  <c r="AH272" i="16" s="1"/>
  <c r="AI272" i="16" s="1"/>
  <c r="AD272" i="16"/>
  <c r="AB272" i="16"/>
  <c r="Z272" i="16"/>
  <c r="X272" i="16"/>
  <c r="AF272" i="16"/>
  <c r="V272" i="16"/>
  <c r="T274" i="16" l="1"/>
  <c r="AG273" i="16"/>
  <c r="AH273" i="16" s="1"/>
  <c r="AI273" i="16" s="1"/>
  <c r="Z273" i="16"/>
  <c r="AB273" i="16"/>
  <c r="AD273" i="16"/>
  <c r="X273" i="16"/>
  <c r="V273" i="16"/>
  <c r="AF273" i="16"/>
  <c r="T275" i="16" l="1"/>
  <c r="AG274" i="16"/>
  <c r="AH274" i="16" s="1"/>
  <c r="AI274" i="16" s="1"/>
  <c r="AB274" i="16"/>
  <c r="AD274" i="16"/>
  <c r="X274" i="16"/>
  <c r="Z274" i="16"/>
  <c r="V274" i="16"/>
  <c r="AF274" i="16"/>
  <c r="T276" i="16" l="1"/>
  <c r="AG275" i="16"/>
  <c r="AH275" i="16" s="1"/>
  <c r="AI275" i="16" s="1"/>
  <c r="Z275" i="16"/>
  <c r="AB275" i="16"/>
  <c r="AD275" i="16"/>
  <c r="X275" i="16"/>
  <c r="AF275" i="16"/>
  <c r="V275" i="16"/>
  <c r="T277" i="16" l="1"/>
  <c r="AG276" i="16"/>
  <c r="AH276" i="16" s="1"/>
  <c r="AI276" i="16" s="1"/>
  <c r="AD276" i="16"/>
  <c r="Z276" i="16"/>
  <c r="AB276" i="16"/>
  <c r="X276" i="16"/>
  <c r="V276" i="16"/>
  <c r="AF276" i="16"/>
  <c r="T278" i="16" l="1"/>
  <c r="AG277" i="16"/>
  <c r="AH277" i="16" s="1"/>
  <c r="AI277" i="16" s="1"/>
  <c r="AD277" i="16"/>
  <c r="AB277" i="16"/>
  <c r="Z277" i="16"/>
  <c r="X277" i="16"/>
  <c r="AF277" i="16"/>
  <c r="V277" i="16"/>
  <c r="T279" i="16" l="1"/>
  <c r="AG278" i="16"/>
  <c r="AH278" i="16" s="1"/>
  <c r="AI278" i="16" s="1"/>
  <c r="AD278" i="16"/>
  <c r="AB278" i="16"/>
  <c r="X278" i="16"/>
  <c r="Z278" i="16"/>
  <c r="AF278" i="16"/>
  <c r="V278" i="16"/>
  <c r="T280" i="16" l="1"/>
  <c r="AG279" i="16"/>
  <c r="AH279" i="16" s="1"/>
  <c r="AI279" i="16" s="1"/>
  <c r="AD279" i="16"/>
  <c r="AB279" i="16"/>
  <c r="X279" i="16"/>
  <c r="Z279" i="16"/>
  <c r="AF279" i="16"/>
  <c r="V279" i="16"/>
  <c r="T281" i="16" l="1"/>
  <c r="AG280" i="16"/>
  <c r="AH280" i="16" s="1"/>
  <c r="AI280" i="16" s="1"/>
  <c r="AD280" i="16"/>
  <c r="AB280" i="16"/>
  <c r="X280" i="16"/>
  <c r="Z280" i="16"/>
  <c r="AF280" i="16"/>
  <c r="V280" i="16"/>
  <c r="T282" i="16" l="1"/>
  <c r="AD281" i="16"/>
  <c r="AG281" i="16"/>
  <c r="AH281" i="16" s="1"/>
  <c r="AI281" i="16" s="1"/>
  <c r="AB281" i="16"/>
  <c r="Z281" i="16"/>
  <c r="X281" i="16"/>
  <c r="AF281" i="16"/>
  <c r="V281" i="16"/>
  <c r="T283" i="16" l="1"/>
  <c r="AG282" i="16"/>
  <c r="AH282" i="16" s="1"/>
  <c r="AI282" i="16" s="1"/>
  <c r="AD282" i="16"/>
  <c r="X282" i="16"/>
  <c r="AB282" i="16"/>
  <c r="Z282" i="16"/>
  <c r="V282" i="16"/>
  <c r="AF282" i="16"/>
  <c r="T284" i="16" l="1"/>
  <c r="AG283" i="16"/>
  <c r="AH283" i="16" s="1"/>
  <c r="AI283" i="16" s="1"/>
  <c r="AD283" i="16"/>
  <c r="Z283" i="16"/>
  <c r="AB283" i="16"/>
  <c r="X283" i="16"/>
  <c r="AF283" i="16"/>
  <c r="V283" i="16"/>
  <c r="T285" i="16" l="1"/>
  <c r="AG284" i="16"/>
  <c r="AH284" i="16" s="1"/>
  <c r="AI284" i="16" s="1"/>
  <c r="AD284" i="16"/>
  <c r="AB284" i="16"/>
  <c r="Z284" i="16"/>
  <c r="X284" i="16"/>
  <c r="V284" i="16"/>
  <c r="AF284" i="16"/>
  <c r="T286" i="16" l="1"/>
  <c r="AG285" i="16"/>
  <c r="AH285" i="16" s="1"/>
  <c r="AI285" i="16" s="1"/>
  <c r="Z285" i="16"/>
  <c r="AD285" i="16"/>
  <c r="AB285" i="16"/>
  <c r="X285" i="16"/>
  <c r="V285" i="16"/>
  <c r="AF285" i="16"/>
  <c r="T287" i="16" l="1"/>
  <c r="AD286" i="16"/>
  <c r="AB286" i="16"/>
  <c r="AG286" i="16"/>
  <c r="AH286" i="16" s="1"/>
  <c r="AI286" i="16" s="1"/>
  <c r="Z286" i="16"/>
  <c r="V286" i="16"/>
  <c r="X286" i="16"/>
  <c r="AF286" i="16"/>
  <c r="T288" i="16" l="1"/>
  <c r="AG287" i="16"/>
  <c r="AH287" i="16" s="1"/>
  <c r="AI287" i="16" s="1"/>
  <c r="Z287" i="16"/>
  <c r="AD287" i="16"/>
  <c r="AB287" i="16"/>
  <c r="X287" i="16"/>
  <c r="AF287" i="16"/>
  <c r="V287" i="16"/>
  <c r="T289" i="16" l="1"/>
  <c r="AG288" i="16"/>
  <c r="AH288" i="16" s="1"/>
  <c r="AI288" i="16" s="1"/>
  <c r="AD288" i="16"/>
  <c r="Z288" i="16"/>
  <c r="AB288" i="16"/>
  <c r="X288" i="16"/>
  <c r="V288" i="16"/>
  <c r="AF288" i="16"/>
  <c r="T290" i="16" l="1"/>
  <c r="AG289" i="16"/>
  <c r="AH289" i="16" s="1"/>
  <c r="AI289" i="16" s="1"/>
  <c r="AD289" i="16"/>
  <c r="AB289" i="16"/>
  <c r="Z289" i="16"/>
  <c r="X289" i="16"/>
  <c r="V289" i="16"/>
  <c r="AF289" i="16"/>
  <c r="T291" i="16" l="1"/>
  <c r="AG290" i="16"/>
  <c r="AH290" i="16" s="1"/>
  <c r="AI290" i="16" s="1"/>
  <c r="AD290" i="16"/>
  <c r="Z290" i="16"/>
  <c r="X290" i="16"/>
  <c r="AB290" i="16"/>
  <c r="V290" i="16"/>
  <c r="AF290" i="16"/>
  <c r="T292" i="16" l="1"/>
  <c r="AD291" i="16"/>
  <c r="AG291" i="16"/>
  <c r="AH291" i="16" s="1"/>
  <c r="AI291" i="16" s="1"/>
  <c r="AB291" i="16"/>
  <c r="X291" i="16"/>
  <c r="Z291" i="16"/>
  <c r="AF291" i="16"/>
  <c r="V291" i="16"/>
  <c r="T293" i="16" l="1"/>
  <c r="AD292" i="16"/>
  <c r="AG292" i="16"/>
  <c r="AH292" i="16" s="1"/>
  <c r="AI292" i="16" s="1"/>
  <c r="AB292" i="16"/>
  <c r="X292" i="16"/>
  <c r="Z292" i="16"/>
  <c r="AF292" i="16"/>
  <c r="V292" i="16"/>
  <c r="T294" i="16" l="1"/>
  <c r="AD293" i="16"/>
  <c r="AG293" i="16"/>
  <c r="AH293" i="16" s="1"/>
  <c r="AI293" i="16" s="1"/>
  <c r="AB293" i="16"/>
  <c r="X293" i="16"/>
  <c r="Z293" i="16"/>
  <c r="AF293" i="16"/>
  <c r="V293" i="16"/>
  <c r="T295" i="16" l="1"/>
  <c r="AG294" i="16"/>
  <c r="AH294" i="16" s="1"/>
  <c r="AI294" i="16" s="1"/>
  <c r="AD294" i="16"/>
  <c r="AB294" i="16"/>
  <c r="X294" i="16"/>
  <c r="V294" i="16"/>
  <c r="Z294" i="16"/>
  <c r="AF294" i="16"/>
  <c r="T296" i="16" l="1"/>
  <c r="AG295" i="16"/>
  <c r="AH295" i="16" s="1"/>
  <c r="AI295" i="16" s="1"/>
  <c r="AD295" i="16"/>
  <c r="AB295" i="16"/>
  <c r="Z295" i="16"/>
  <c r="X295" i="16"/>
  <c r="V295" i="16"/>
  <c r="AF295" i="16"/>
  <c r="T297" i="16" l="1"/>
  <c r="AG296" i="16"/>
  <c r="AH296" i="16" s="1"/>
  <c r="AI296" i="16" s="1"/>
  <c r="AD296" i="16"/>
  <c r="AB296" i="16"/>
  <c r="Z296" i="16"/>
  <c r="X296" i="16"/>
  <c r="V296" i="16"/>
  <c r="AF296" i="16"/>
  <c r="T298" i="16" l="1"/>
  <c r="AG297" i="16"/>
  <c r="AH297" i="16" s="1"/>
  <c r="AI297" i="16" s="1"/>
  <c r="Z297" i="16"/>
  <c r="AB297" i="16"/>
  <c r="AD297" i="16"/>
  <c r="X297" i="16"/>
  <c r="AF297" i="16"/>
  <c r="V297" i="16"/>
  <c r="T299" i="16" l="1"/>
  <c r="AG298" i="16"/>
  <c r="AH298" i="16" s="1"/>
  <c r="AI298" i="16" s="1"/>
  <c r="AB298" i="16"/>
  <c r="AD298" i="16"/>
  <c r="X298" i="16"/>
  <c r="Z298" i="16"/>
  <c r="AF298" i="16"/>
  <c r="V298" i="16"/>
  <c r="T300" i="16" l="1"/>
  <c r="AG299" i="16"/>
  <c r="AH299" i="16" s="1"/>
  <c r="AI299" i="16" s="1"/>
  <c r="Z299" i="16"/>
  <c r="AB299" i="16"/>
  <c r="AD299" i="16"/>
  <c r="X299" i="16"/>
  <c r="AF299" i="16"/>
  <c r="V299" i="16"/>
  <c r="T301" i="16" l="1"/>
  <c r="AG300" i="16"/>
  <c r="AH300" i="16" s="1"/>
  <c r="AI300" i="16" s="1"/>
  <c r="AD300" i="16"/>
  <c r="Z300" i="16"/>
  <c r="AB300" i="16"/>
  <c r="X300" i="16"/>
  <c r="AF300" i="16"/>
  <c r="V300" i="16"/>
  <c r="T302" i="16" l="1"/>
  <c r="AG301" i="16"/>
  <c r="AH301" i="16" s="1"/>
  <c r="AI301" i="16" s="1"/>
  <c r="AD301" i="16"/>
  <c r="AB301" i="16"/>
  <c r="Z301" i="16"/>
  <c r="X301" i="16"/>
  <c r="V301" i="16"/>
  <c r="AF301" i="16"/>
  <c r="T303" i="16" l="1"/>
  <c r="AG302" i="16"/>
  <c r="AH302" i="16" s="1"/>
  <c r="AI302" i="16" s="1"/>
  <c r="AD302" i="16"/>
  <c r="Z302" i="16"/>
  <c r="X302" i="16"/>
  <c r="AB302" i="16"/>
  <c r="AF302" i="16"/>
  <c r="V302" i="16"/>
  <c r="T304" i="16" l="1"/>
  <c r="AD303" i="16"/>
  <c r="AG303" i="16"/>
  <c r="AH303" i="16" s="1"/>
  <c r="AI303" i="16" s="1"/>
  <c r="AB303" i="16"/>
  <c r="Z303" i="16"/>
  <c r="X303" i="16"/>
  <c r="AF303" i="16"/>
  <c r="V303" i="16"/>
  <c r="T305" i="16" l="1"/>
  <c r="AD304" i="16"/>
  <c r="AB304" i="16"/>
  <c r="AG304" i="16"/>
  <c r="AH304" i="16" s="1"/>
  <c r="AI304" i="16" s="1"/>
  <c r="X304" i="16"/>
  <c r="Z304" i="16"/>
  <c r="AF304" i="16"/>
  <c r="V304" i="16"/>
  <c r="T306" i="16" l="1"/>
  <c r="AD305" i="16"/>
  <c r="AG305" i="16"/>
  <c r="AH305" i="16" s="1"/>
  <c r="AI305" i="16" s="1"/>
  <c r="Z305" i="16"/>
  <c r="X305" i="16"/>
  <c r="AB305" i="16"/>
  <c r="V305" i="16"/>
  <c r="AF305" i="16"/>
  <c r="T307" i="16" l="1"/>
  <c r="AG306" i="16"/>
  <c r="AH306" i="16" s="1"/>
  <c r="AI306" i="16" s="1"/>
  <c r="Z306" i="16"/>
  <c r="AD306" i="16"/>
  <c r="AB306" i="16"/>
  <c r="X306" i="16"/>
  <c r="AF306" i="16"/>
  <c r="V306" i="16"/>
  <c r="T308" i="16" l="1"/>
  <c r="AG307" i="16"/>
  <c r="AH307" i="16" s="1"/>
  <c r="AI307" i="16" s="1"/>
  <c r="AD307" i="16"/>
  <c r="AB307" i="16"/>
  <c r="X307" i="16"/>
  <c r="Z307" i="16"/>
  <c r="V307" i="16"/>
  <c r="AF307" i="16"/>
  <c r="T309" i="16" l="1"/>
  <c r="AG308" i="16"/>
  <c r="AH308" i="16" s="1"/>
  <c r="AI308" i="16" s="1"/>
  <c r="AD308" i="16"/>
  <c r="AB308" i="16"/>
  <c r="Z308" i="16"/>
  <c r="X308" i="16"/>
  <c r="AF308" i="16"/>
  <c r="V308" i="16"/>
  <c r="T310" i="16" l="1"/>
  <c r="AG309" i="16"/>
  <c r="AH309" i="16" s="1"/>
  <c r="AI309" i="16" s="1"/>
  <c r="Z309" i="16"/>
  <c r="AD309" i="16"/>
  <c r="AB309" i="16"/>
  <c r="X309" i="16"/>
  <c r="AF309" i="16"/>
  <c r="V309" i="16"/>
  <c r="T311" i="16" l="1"/>
  <c r="AG310" i="16"/>
  <c r="AH310" i="16" s="1"/>
  <c r="AI310" i="16" s="1"/>
  <c r="AD310" i="16"/>
  <c r="AB310" i="16"/>
  <c r="V310" i="16"/>
  <c r="Z310" i="16"/>
  <c r="X310" i="16"/>
  <c r="AF310" i="16"/>
  <c r="T312" i="16" l="1"/>
  <c r="AG311" i="16"/>
  <c r="AH311" i="16" s="1"/>
  <c r="AI311" i="16" s="1"/>
  <c r="Z311" i="16"/>
  <c r="AD311" i="16"/>
  <c r="AB311" i="16"/>
  <c r="X311" i="16"/>
  <c r="V311" i="16"/>
  <c r="AF311" i="16"/>
  <c r="T313" i="16" l="1"/>
  <c r="AG312" i="16"/>
  <c r="AH312" i="16" s="1"/>
  <c r="AI312" i="16" s="1"/>
  <c r="AD312" i="16"/>
  <c r="Z312" i="16"/>
  <c r="AB312" i="16"/>
  <c r="X312" i="16"/>
  <c r="AF312" i="16"/>
  <c r="V312" i="16"/>
  <c r="T314" i="16" l="1"/>
  <c r="AG313" i="16"/>
  <c r="AH313" i="16" s="1"/>
  <c r="AI313" i="16" s="1"/>
  <c r="AD313" i="16"/>
  <c r="AB313" i="16"/>
  <c r="Z313" i="16"/>
  <c r="X313" i="16"/>
  <c r="AF313" i="16"/>
  <c r="V313" i="16"/>
  <c r="T315" i="16" l="1"/>
  <c r="AG314" i="16"/>
  <c r="AH314" i="16" s="1"/>
  <c r="AI314" i="16" s="1"/>
  <c r="AD314" i="16"/>
  <c r="AB314" i="16"/>
  <c r="X314" i="16"/>
  <c r="Z314" i="16"/>
  <c r="V314" i="16"/>
  <c r="AF314" i="16"/>
  <c r="T316" i="16" l="1"/>
  <c r="AG315" i="16"/>
  <c r="AH315" i="16" s="1"/>
  <c r="AI315" i="16" s="1"/>
  <c r="AD315" i="16"/>
  <c r="AB315" i="16"/>
  <c r="X315" i="16"/>
  <c r="Z315" i="16"/>
  <c r="V315" i="16"/>
  <c r="AF315" i="16"/>
  <c r="T317" i="16" l="1"/>
  <c r="AG316" i="16"/>
  <c r="AH316" i="16" s="1"/>
  <c r="AI316" i="16" s="1"/>
  <c r="AD316" i="16"/>
  <c r="AB316" i="16"/>
  <c r="X316" i="16"/>
  <c r="Z316" i="16"/>
  <c r="AF316" i="16"/>
  <c r="V316" i="16"/>
  <c r="T318" i="16" l="1"/>
  <c r="AG317" i="16"/>
  <c r="AH317" i="16" s="1"/>
  <c r="AI317" i="16" s="1"/>
  <c r="AD317" i="16"/>
  <c r="AB317" i="16"/>
  <c r="Z317" i="16"/>
  <c r="X317" i="16"/>
  <c r="V317" i="16"/>
  <c r="AF317" i="16"/>
  <c r="T319" i="16" l="1"/>
  <c r="AG318" i="16"/>
  <c r="AH318" i="16" s="1"/>
  <c r="AI318" i="16" s="1"/>
  <c r="AD318" i="16"/>
  <c r="Z318" i="16"/>
  <c r="AB318" i="16"/>
  <c r="X318" i="16"/>
  <c r="V318" i="16"/>
  <c r="AF318" i="16"/>
  <c r="T320" i="16" l="1"/>
  <c r="AG319" i="16"/>
  <c r="AH319" i="16" s="1"/>
  <c r="AI319" i="16" s="1"/>
  <c r="AD319" i="16"/>
  <c r="AB319" i="16"/>
  <c r="Z319" i="16"/>
  <c r="X319" i="16"/>
  <c r="AF319" i="16"/>
  <c r="V319" i="16"/>
  <c r="T321" i="16" l="1"/>
  <c r="AG320" i="16"/>
  <c r="AH320" i="16" s="1"/>
  <c r="AI320" i="16" s="1"/>
  <c r="AD320" i="16"/>
  <c r="AB320" i="16"/>
  <c r="Z320" i="16"/>
  <c r="X320" i="16"/>
  <c r="V320" i="16"/>
  <c r="AF320" i="16"/>
  <c r="T322" i="16" l="1"/>
  <c r="AG321" i="16"/>
  <c r="AH321" i="16" s="1"/>
  <c r="AI321" i="16" s="1"/>
  <c r="Z321" i="16"/>
  <c r="AB321" i="16"/>
  <c r="AD321" i="16"/>
  <c r="X321" i="16"/>
  <c r="AF321" i="16"/>
  <c r="V321" i="16"/>
  <c r="T323" i="16" l="1"/>
  <c r="AG322" i="16"/>
  <c r="AH322" i="16" s="1"/>
  <c r="AI322" i="16" s="1"/>
  <c r="AB322" i="16"/>
  <c r="AD322" i="16"/>
  <c r="Z322" i="16"/>
  <c r="X322" i="16"/>
  <c r="V322" i="16"/>
  <c r="AF322" i="16"/>
  <c r="T324" i="16" l="1"/>
  <c r="AG323" i="16"/>
  <c r="AH323" i="16" s="1"/>
  <c r="AI323" i="16" s="1"/>
  <c r="Z323" i="16"/>
  <c r="AB323" i="16"/>
  <c r="AD323" i="16"/>
  <c r="X323" i="16"/>
  <c r="V323" i="16"/>
  <c r="AF323" i="16"/>
  <c r="T325" i="16" l="1"/>
  <c r="AD324" i="16"/>
  <c r="AG324" i="16"/>
  <c r="AH324" i="16" s="1"/>
  <c r="AI324" i="16" s="1"/>
  <c r="Z324" i="16"/>
  <c r="AB324" i="16"/>
  <c r="X324" i="16"/>
  <c r="AF324" i="16"/>
  <c r="V324" i="16"/>
  <c r="T326" i="16" l="1"/>
  <c r="AG325" i="16"/>
  <c r="AH325" i="16" s="1"/>
  <c r="AI325" i="16" s="1"/>
  <c r="AD325" i="16"/>
  <c r="AB325" i="16"/>
  <c r="Z325" i="16"/>
  <c r="X325" i="16"/>
  <c r="AF325" i="16"/>
  <c r="V325" i="16"/>
  <c r="T327" i="16" l="1"/>
  <c r="AB326" i="16"/>
  <c r="AG326" i="16"/>
  <c r="AH326" i="16" s="1"/>
  <c r="AI326" i="16" s="1"/>
  <c r="AD326" i="16"/>
  <c r="X326" i="16"/>
  <c r="Z326" i="16"/>
  <c r="V326" i="16"/>
  <c r="AF326" i="16"/>
  <c r="T328" i="16" l="1"/>
  <c r="AD327" i="16"/>
  <c r="AG327" i="16"/>
  <c r="AH327" i="16" s="1"/>
  <c r="AI327" i="16" s="1"/>
  <c r="AB327" i="16"/>
  <c r="X327" i="16"/>
  <c r="Z327" i="16"/>
  <c r="AF327" i="16"/>
  <c r="V327" i="16"/>
  <c r="T329" i="16" l="1"/>
  <c r="AD328" i="16"/>
  <c r="AG328" i="16"/>
  <c r="AH328" i="16" s="1"/>
  <c r="AI328" i="16" s="1"/>
  <c r="AB328" i="16"/>
  <c r="X328" i="16"/>
  <c r="Z328" i="16"/>
  <c r="AF328" i="16"/>
  <c r="V328" i="16"/>
  <c r="T330" i="16" l="1"/>
  <c r="AD329" i="16"/>
  <c r="AG329" i="16"/>
  <c r="AH329" i="16" s="1"/>
  <c r="AI329" i="16" s="1"/>
  <c r="AB329" i="16"/>
  <c r="X329" i="16"/>
  <c r="Z329" i="16"/>
  <c r="V329" i="16"/>
  <c r="AF329" i="16"/>
  <c r="T331" i="16" l="1"/>
  <c r="AG330" i="16"/>
  <c r="AH330" i="16" s="1"/>
  <c r="AI330" i="16" s="1"/>
  <c r="Z330" i="16"/>
  <c r="AD330" i="16"/>
  <c r="AB330" i="16"/>
  <c r="X330" i="16"/>
  <c r="AF330" i="16"/>
  <c r="V330" i="16"/>
  <c r="T332" i="16" l="1"/>
  <c r="AG331" i="16"/>
  <c r="AH331" i="16" s="1"/>
  <c r="AI331" i="16" s="1"/>
  <c r="AD331" i="16"/>
  <c r="AB331" i="16"/>
  <c r="Z331" i="16"/>
  <c r="X331" i="16"/>
  <c r="AF331" i="16"/>
  <c r="V331" i="16"/>
  <c r="AG332" i="16" l="1"/>
  <c r="AH332" i="16" s="1"/>
  <c r="AI332" i="16" s="1"/>
  <c r="AD332" i="16"/>
  <c r="AB332" i="16"/>
  <c r="Z332" i="16"/>
  <c r="X332" i="16"/>
  <c r="T333" i="16"/>
  <c r="AF332" i="16"/>
  <c r="V332" i="16"/>
  <c r="T334" i="16" l="1"/>
  <c r="AG333" i="16"/>
  <c r="AH333" i="16" s="1"/>
  <c r="AI333" i="16" s="1"/>
  <c r="Z333" i="16"/>
  <c r="AD333" i="16"/>
  <c r="AB333" i="16"/>
  <c r="X333" i="16"/>
  <c r="AF333" i="16"/>
  <c r="V333" i="16"/>
  <c r="T335" i="16" l="1"/>
  <c r="AG334" i="16"/>
  <c r="AH334" i="16" s="1"/>
  <c r="AI334" i="16" s="1"/>
  <c r="AD334" i="16"/>
  <c r="AB334" i="16"/>
  <c r="X334" i="16"/>
  <c r="V334" i="16"/>
  <c r="Z334" i="16"/>
  <c r="AF334" i="16"/>
  <c r="T336" i="16" l="1"/>
  <c r="AG335" i="16"/>
  <c r="AH335" i="16" s="1"/>
  <c r="AI335" i="16" s="1"/>
  <c r="Z335" i="16"/>
  <c r="AD335" i="16"/>
  <c r="AB335" i="16"/>
  <c r="X335" i="16"/>
  <c r="V335" i="16"/>
  <c r="AF335" i="16"/>
  <c r="T337" i="16" l="1"/>
  <c r="AG336" i="16"/>
  <c r="AH336" i="16" s="1"/>
  <c r="AI336" i="16" s="1"/>
  <c r="AD336" i="16"/>
  <c r="Z336" i="16"/>
  <c r="AB336" i="16"/>
  <c r="X336" i="16"/>
  <c r="AF336" i="16"/>
  <c r="V336" i="16"/>
  <c r="T338" i="16" l="1"/>
  <c r="AG337" i="16"/>
  <c r="AH337" i="16" s="1"/>
  <c r="AI337" i="16" s="1"/>
  <c r="AD337" i="16"/>
  <c r="AB337" i="16"/>
  <c r="Z337" i="16"/>
  <c r="X337" i="16"/>
  <c r="AF337" i="16"/>
  <c r="V337" i="16"/>
  <c r="T339" i="16" l="1"/>
  <c r="AG338" i="16"/>
  <c r="AH338" i="16" s="1"/>
  <c r="AI338" i="16" s="1"/>
  <c r="AD338" i="16"/>
  <c r="AB338" i="16"/>
  <c r="Z338" i="16"/>
  <c r="X338" i="16"/>
  <c r="AF338" i="16"/>
  <c r="V338" i="16"/>
  <c r="T340" i="16" l="1"/>
  <c r="AG339" i="16"/>
  <c r="AH339" i="16" s="1"/>
  <c r="AI339" i="16" s="1"/>
  <c r="AD339" i="16"/>
  <c r="AB339" i="16"/>
  <c r="Z339" i="16"/>
  <c r="X339" i="16"/>
  <c r="V339" i="16"/>
  <c r="AF339" i="16"/>
  <c r="T341" i="16" l="1"/>
  <c r="AG340" i="16"/>
  <c r="AH340" i="16" s="1"/>
  <c r="AI340" i="16" s="1"/>
  <c r="AD340" i="16"/>
  <c r="AB340" i="16"/>
  <c r="X340" i="16"/>
  <c r="Z340" i="16"/>
  <c r="AF340" i="16"/>
  <c r="V340" i="16"/>
  <c r="T342" i="16" l="1"/>
  <c r="AG341" i="16"/>
  <c r="AH341" i="16" s="1"/>
  <c r="AI341" i="16" s="1"/>
  <c r="AD341" i="16"/>
  <c r="AB341" i="16"/>
  <c r="Z341" i="16"/>
  <c r="X341" i="16"/>
  <c r="AF341" i="16"/>
  <c r="V341" i="16"/>
  <c r="T343" i="16" l="1"/>
  <c r="AG342" i="16"/>
  <c r="AH342" i="16" s="1"/>
  <c r="AI342" i="16" s="1"/>
  <c r="AD342" i="16"/>
  <c r="Z342" i="16"/>
  <c r="AB342" i="16"/>
  <c r="X342" i="16"/>
  <c r="V342" i="16"/>
  <c r="AF342" i="16"/>
  <c r="T344" i="16" l="1"/>
  <c r="AG343" i="16"/>
  <c r="AH343" i="16" s="1"/>
  <c r="AI343" i="16" s="1"/>
  <c r="AD343" i="16"/>
  <c r="AB343" i="16"/>
  <c r="Z343" i="16"/>
  <c r="X343" i="16"/>
  <c r="V343" i="16"/>
  <c r="AF343" i="16"/>
  <c r="T345" i="16" l="1"/>
  <c r="AG344" i="16"/>
  <c r="AH344" i="16" s="1"/>
  <c r="AI344" i="16" s="1"/>
  <c r="AD344" i="16"/>
  <c r="AB344" i="16"/>
  <c r="Z344" i="16"/>
  <c r="X344" i="16"/>
  <c r="V344" i="16"/>
  <c r="AF344" i="16"/>
  <c r="T346" i="16" l="1"/>
  <c r="AG345" i="16"/>
  <c r="AH345" i="16" s="1"/>
  <c r="AI345" i="16" s="1"/>
  <c r="AD345" i="16"/>
  <c r="Z345" i="16"/>
  <c r="AB345" i="16"/>
  <c r="X345" i="16"/>
  <c r="AF345" i="16"/>
  <c r="V345" i="16"/>
  <c r="T347" i="16" l="1"/>
  <c r="AG346" i="16"/>
  <c r="AH346" i="16" s="1"/>
  <c r="AI346" i="16" s="1"/>
  <c r="AB346" i="16"/>
  <c r="AD346" i="16"/>
  <c r="Z346" i="16"/>
  <c r="X346" i="16"/>
  <c r="V346" i="16"/>
  <c r="AF346" i="16"/>
  <c r="T348" i="16" l="1"/>
  <c r="Z347" i="16"/>
  <c r="AG347" i="16"/>
  <c r="AH347" i="16" s="1"/>
  <c r="AI347" i="16" s="1"/>
  <c r="AB347" i="16"/>
  <c r="AD347" i="16"/>
  <c r="X347" i="16"/>
  <c r="AF347" i="16"/>
  <c r="V347" i="16"/>
  <c r="T349" i="16" l="1"/>
  <c r="AD348" i="16"/>
  <c r="AG348" i="16"/>
  <c r="AH348" i="16" s="1"/>
  <c r="AI348" i="16" s="1"/>
  <c r="Z348" i="16"/>
  <c r="AB348" i="16"/>
  <c r="X348" i="16"/>
  <c r="V348" i="16"/>
  <c r="AF348" i="16"/>
  <c r="T350" i="16" l="1"/>
  <c r="AG349" i="16"/>
  <c r="AH349" i="16" s="1"/>
  <c r="AI349" i="16" s="1"/>
  <c r="AD349" i="16"/>
  <c r="AB349" i="16"/>
  <c r="Z349" i="16"/>
  <c r="X349" i="16"/>
  <c r="AF349" i="16"/>
  <c r="V349" i="16"/>
  <c r="T351" i="16" l="1"/>
  <c r="AG350" i="16"/>
  <c r="AH350" i="16" s="1"/>
  <c r="AI350" i="16" s="1"/>
  <c r="AB350" i="16"/>
  <c r="AD350" i="16"/>
  <c r="X350" i="16"/>
  <c r="Z350" i="16"/>
  <c r="V350" i="16"/>
  <c r="AF350" i="16"/>
  <c r="T352" i="16" l="1"/>
  <c r="AD351" i="16"/>
  <c r="AG351" i="16"/>
  <c r="AH351" i="16" s="1"/>
  <c r="AI351" i="16" s="1"/>
  <c r="AB351" i="16"/>
  <c r="X351" i="16"/>
  <c r="Z351" i="16"/>
  <c r="V351" i="16"/>
  <c r="AF351" i="16"/>
  <c r="T353" i="16" l="1"/>
  <c r="AD352" i="16"/>
  <c r="AG352" i="16"/>
  <c r="AH352" i="16" s="1"/>
  <c r="AI352" i="16" s="1"/>
  <c r="AB352" i="16"/>
  <c r="X352" i="16"/>
  <c r="Z352" i="16"/>
  <c r="AF352" i="16"/>
  <c r="V352" i="16"/>
  <c r="T354" i="16" l="1"/>
  <c r="AD353" i="16"/>
  <c r="AG353" i="16"/>
  <c r="AH353" i="16" s="1"/>
  <c r="AI353" i="16" s="1"/>
  <c r="Z353" i="16"/>
  <c r="X353" i="16"/>
  <c r="AB353" i="16"/>
  <c r="AF353" i="16"/>
  <c r="V353" i="16"/>
  <c r="T355" i="16" l="1"/>
  <c r="AG354" i="16"/>
  <c r="AH354" i="16" s="1"/>
  <c r="AI354" i="16" s="1"/>
  <c r="Z354" i="16"/>
  <c r="AD354" i="16"/>
  <c r="AB354" i="16"/>
  <c r="X354" i="16"/>
  <c r="AF354" i="16"/>
  <c r="V354" i="16"/>
  <c r="T356" i="16" l="1"/>
  <c r="AG355" i="16"/>
  <c r="AH355" i="16" s="1"/>
  <c r="AI355" i="16" s="1"/>
  <c r="AD355" i="16"/>
  <c r="AB355" i="16"/>
  <c r="Z355" i="16"/>
  <c r="X355" i="16"/>
  <c r="V355" i="16"/>
  <c r="AF355" i="16"/>
  <c r="T357" i="16" l="1"/>
  <c r="AG356" i="16"/>
  <c r="AH356" i="16" s="1"/>
  <c r="AI356" i="16" s="1"/>
  <c r="AD356" i="16"/>
  <c r="AB356" i="16"/>
  <c r="Z356" i="16"/>
  <c r="X356" i="16"/>
  <c r="AF356" i="16"/>
  <c r="V356" i="16"/>
  <c r="T358" i="16" l="1"/>
  <c r="AG357" i="16"/>
  <c r="AH357" i="16" s="1"/>
  <c r="AI357" i="16" s="1"/>
  <c r="AD357" i="16"/>
  <c r="Z357" i="16"/>
  <c r="AB357" i="16"/>
  <c r="X357" i="16"/>
  <c r="AF357" i="16"/>
  <c r="V357" i="16"/>
  <c r="T359" i="16" l="1"/>
  <c r="AG358" i="16"/>
  <c r="AH358" i="16" s="1"/>
  <c r="AI358" i="16" s="1"/>
  <c r="AD358" i="16"/>
  <c r="AB358" i="16"/>
  <c r="X358" i="16"/>
  <c r="Z358" i="16"/>
  <c r="AF358" i="16"/>
  <c r="V358" i="16"/>
  <c r="T360" i="16" l="1"/>
  <c r="AG359" i="16"/>
  <c r="AH359" i="16" s="1"/>
  <c r="AI359" i="16" s="1"/>
  <c r="Z359" i="16"/>
  <c r="AD359" i="16"/>
  <c r="AB359" i="16"/>
  <c r="X359" i="16"/>
  <c r="AF359" i="16"/>
  <c r="V359" i="16"/>
  <c r="T361" i="16" l="1"/>
  <c r="AG360" i="16"/>
  <c r="AH360" i="16" s="1"/>
  <c r="AI360" i="16" s="1"/>
  <c r="AD360" i="16"/>
  <c r="Z360" i="16"/>
  <c r="AB360" i="16"/>
  <c r="X360" i="16"/>
  <c r="AF360" i="16"/>
  <c r="V360" i="16"/>
  <c r="T362" i="16" l="1"/>
  <c r="AG361" i="16"/>
  <c r="AH361" i="16" s="1"/>
  <c r="AI361" i="16" s="1"/>
  <c r="AD361" i="16"/>
  <c r="AB361" i="16"/>
  <c r="Z361" i="16"/>
  <c r="X361" i="16"/>
  <c r="AF361" i="16"/>
  <c r="V361" i="16"/>
  <c r="T363" i="16" l="1"/>
  <c r="AG362" i="16"/>
  <c r="AH362" i="16" s="1"/>
  <c r="AI362" i="16" s="1"/>
  <c r="AB362" i="16"/>
  <c r="AD362" i="16"/>
  <c r="X362" i="16"/>
  <c r="V362" i="16"/>
  <c r="Z362" i="16"/>
  <c r="AF362" i="16"/>
  <c r="T364" i="16" l="1"/>
  <c r="AG363" i="16"/>
  <c r="AH363" i="16" s="1"/>
  <c r="AI363" i="16" s="1"/>
  <c r="AD363" i="16"/>
  <c r="AB363" i="16"/>
  <c r="X363" i="16"/>
  <c r="Z363" i="16"/>
  <c r="V363" i="16"/>
  <c r="AF363" i="16"/>
  <c r="T365" i="16" l="1"/>
  <c r="AD364" i="16"/>
  <c r="AG364" i="16"/>
  <c r="AH364" i="16" s="1"/>
  <c r="AI364" i="16" s="1"/>
  <c r="AB364" i="16"/>
  <c r="X364" i="16"/>
  <c r="Z364" i="16"/>
  <c r="V364" i="16"/>
  <c r="AF364" i="16"/>
  <c r="T366" i="16" l="1"/>
  <c r="AD365" i="16"/>
  <c r="AG365" i="16"/>
  <c r="AH365" i="16" s="1"/>
  <c r="AI365" i="16" s="1"/>
  <c r="AB365" i="16"/>
  <c r="X365" i="16"/>
  <c r="Z365" i="16"/>
  <c r="AF365" i="16"/>
  <c r="V365" i="16"/>
  <c r="T367" i="16" l="1"/>
  <c r="AG366" i="16"/>
  <c r="AH366" i="16" s="1"/>
  <c r="AI366" i="16" s="1"/>
  <c r="AD366" i="16"/>
  <c r="Z366" i="16"/>
  <c r="AB366" i="16"/>
  <c r="X366" i="16"/>
  <c r="AF366" i="16"/>
  <c r="V366" i="16"/>
  <c r="T368" i="16" l="1"/>
  <c r="AG367" i="16"/>
  <c r="AH367" i="16" s="1"/>
  <c r="AI367" i="16" s="1"/>
  <c r="AD367" i="16"/>
  <c r="AB367" i="16"/>
  <c r="Z367" i="16"/>
  <c r="X367" i="16"/>
  <c r="V367" i="16"/>
  <c r="AF367" i="16"/>
  <c r="T369" i="16" l="1"/>
  <c r="AG368" i="16"/>
  <c r="AH368" i="16" s="1"/>
  <c r="AI368" i="16" s="1"/>
  <c r="AD368" i="16"/>
  <c r="AB368" i="16"/>
  <c r="Z368" i="16"/>
  <c r="X368" i="16"/>
  <c r="AF368" i="16"/>
  <c r="V368" i="16"/>
  <c r="T370" i="16" l="1"/>
  <c r="AG369" i="16"/>
  <c r="AH369" i="16" s="1"/>
  <c r="AI369" i="16" s="1"/>
  <c r="AD369" i="16"/>
  <c r="Z369" i="16"/>
  <c r="AB369" i="16"/>
  <c r="X369" i="16"/>
  <c r="V369" i="16"/>
  <c r="AF369" i="16"/>
  <c r="AG370" i="16" l="1"/>
  <c r="AH370" i="16" s="1"/>
  <c r="AI370" i="16" s="1"/>
  <c r="AD370" i="16"/>
  <c r="AB370" i="16"/>
  <c r="Z370" i="16"/>
  <c r="X370" i="16"/>
  <c r="AF370" i="16"/>
  <c r="V370" i="16"/>
  <c r="B41" i="3"/>
  <c r="W17" i="6" s="1"/>
  <c r="W20" i="6" l="1"/>
  <c r="W15" i="6"/>
  <c r="J12" i="6"/>
  <c r="J22" i="6"/>
  <c r="W23" i="6"/>
  <c r="W21" i="6"/>
  <c r="J16" i="6"/>
  <c r="W22" i="6"/>
  <c r="W12" i="6"/>
  <c r="J15" i="6"/>
  <c r="J17" i="6"/>
  <c r="W19" i="6"/>
  <c r="W18" i="6"/>
  <c r="J21" i="6"/>
  <c r="W13" i="6"/>
  <c r="J20" i="6"/>
  <c r="S12" i="9"/>
  <c r="J23" i="6"/>
  <c r="W14" i="6"/>
  <c r="W16" i="6"/>
  <c r="J18" i="6"/>
  <c r="J14" i="6"/>
  <c r="J13" i="6"/>
  <c r="J19" i="6"/>
  <c r="W123" i="6" l="1"/>
  <c r="AE13" i="6" s="1"/>
  <c r="J123" i="6"/>
  <c r="AE11" i="6" s="1"/>
  <c r="AE10" i="6"/>
  <c r="W121" i="6"/>
  <c r="AE12" i="6" s="1"/>
  <c r="AD12" i="9" s="1"/>
  <c r="AB12" i="9" l="1"/>
  <c r="K127" i="6"/>
  <c r="AF12" i="9"/>
  <c r="AZ12" i="9" s="1"/>
  <c r="L123" i="6"/>
  <c r="AF11" i="6" s="1"/>
  <c r="L11" i="6"/>
  <c r="L121" i="6"/>
  <c r="AE15" i="6" s="1"/>
  <c r="AF10" i="6" l="1"/>
  <c r="AC12" i="9" l="1"/>
  <c r="AG12" i="9" s="1"/>
  <c r="BA12" i="9" s="1"/>
  <c r="BB12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4" authorId="0" shapeId="0" xr:uid="{00000000-0006-0000-0100-00000D000000}">
      <text>
        <r>
          <rPr>
            <sz val="11"/>
            <color theme="1"/>
            <rFont val="Arial"/>
            <family val="2"/>
          </rPr>
          <t>======
ID#AAAAPFlbT5U
Aryana Sepassi    (2021-09-10 17:40:34)
Tai et al: The mean cost per hospitalization for cancer-related neutropenia using NIS dataset = $20,778, adjusted using CPI calculator.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eje7hIkefu76KBbys6L+djFQkI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11" authorId="0" shapeId="0" xr:uid="{00000000-0006-0000-0400-000002000000}">
      <text>
        <r>
          <rPr>
            <sz val="11"/>
            <color theme="1"/>
            <rFont val="Arial"/>
            <family val="2"/>
          </rPr>
          <t>======
ID#AAAAPFlbT38
Aryana Sepassi    (2021-09-10 17:40:34)
Week 24 entry into model from decision tree</t>
        </r>
      </text>
    </comment>
    <comment ref="C12" authorId="0" shapeId="0" xr:uid="{00000000-0006-0000-0400-000001000000}">
      <text>
        <r>
          <rPr>
            <sz val="11"/>
            <color theme="1"/>
            <rFont val="Arial"/>
            <family val="2"/>
          </rPr>
          <t>======
ID#AAAAPFlbT58
Aryana Sepassi    (2021-09-10 17:40:34)
Year one (extended from week 24)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JxOqy93EwArKDHF+8JwVkHBUq5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8" authorId="0" shapeId="0" xr:uid="{00000000-0006-0000-0E00-000001000000}">
      <text>
        <r>
          <rPr>
            <sz val="11"/>
            <color theme="1"/>
            <rFont val="Arial"/>
            <family val="2"/>
          </rPr>
          <t>======
ID#AAAAPFlbT5g
Aryana Sepassi    (2021-09-10 17:40:34)
Note - cycles are by a 12 month period due to hazard function based off of monthly time periods vs yearly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fCCemE0wrS8JH+iZSpv/2DpkcRw=="/>
    </ext>
  </extL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<sst xmlns="http://schemas.openxmlformats.org/spreadsheetml/2006/main" count="1072" uniqueCount="567">
  <si>
    <t>Model Structure &amp; Definitions</t>
  </si>
  <si>
    <t>User Navigation</t>
  </si>
  <si>
    <t xml:space="preserve">This model consists of the following worksheets: </t>
  </si>
  <si>
    <t>Model Overview</t>
  </si>
  <si>
    <t>Provides an overview of the model</t>
  </si>
  <si>
    <t>Calculated Inputs</t>
  </si>
  <si>
    <t>Inputs that are derived using calculations are listed here</t>
  </si>
  <si>
    <t>Parameters</t>
  </si>
  <si>
    <t>Inputs for the model are entered here</t>
  </si>
  <si>
    <t>Decision Tree</t>
  </si>
  <si>
    <t>Analysis and output of decision tree portion of model</t>
  </si>
  <si>
    <t>Markov Model_b</t>
  </si>
  <si>
    <t>Analysis and output of Markov portion of model</t>
  </si>
  <si>
    <t>Definitions</t>
  </si>
  <si>
    <t xml:space="preserve">Valganciclovir </t>
  </si>
  <si>
    <t xml:space="preserve">Ganciclovir </t>
  </si>
  <si>
    <t xml:space="preserve">Cost of PET: </t>
  </si>
  <si>
    <t>Ganciclovir</t>
  </si>
  <si>
    <t xml:space="preserve">per 450 mg tablet </t>
  </si>
  <si>
    <t xml:space="preserve">per 25 pack of 10 mL vials </t>
  </si>
  <si>
    <t>IV</t>
  </si>
  <si>
    <t xml:space="preserve">PO </t>
  </si>
  <si>
    <t>Valganciclovir</t>
  </si>
  <si>
    <t>induction</t>
  </si>
  <si>
    <t xml:space="preserve">per vial </t>
  </si>
  <si>
    <t xml:space="preserve">Cost of labs (CBC + Diff) </t>
  </si>
  <si>
    <t>LabCorp: $5.00 (http://shayahealth.com/resources/LABCORP%20PREPAY%20PRICING%203_1_2021.pdf)</t>
  </si>
  <si>
    <t>Cost/Day</t>
  </si>
  <si>
    <t>maintenance</t>
  </si>
  <si>
    <t xml:space="preserve">Cost of weekly PCR testing </t>
  </si>
  <si>
    <t xml:space="preserve">Quest Dx: </t>
  </si>
  <si>
    <t>$45.64 (https://www.health-tests-direct.com/ordering-page/)</t>
  </si>
  <si>
    <t>Days of Therapy</t>
  </si>
  <si>
    <t xml:space="preserve">Select a Drug -&gt; </t>
  </si>
  <si>
    <t xml:space="preserve">Total </t>
  </si>
  <si>
    <t xml:space="preserve">mg per vial injection </t>
  </si>
  <si>
    <t xml:space="preserve">Cost of Drug: </t>
  </si>
  <si>
    <t>Valganciclovir 450 mg tablet</t>
  </si>
  <si>
    <t>(NDC: 00603-6330-20)</t>
  </si>
  <si>
    <t>Total Cost of Therapy</t>
  </si>
  <si>
    <t>Foscarnet</t>
  </si>
  <si>
    <t xml:space="preserve">number of vials required for therapy </t>
  </si>
  <si>
    <t>% of Patients</t>
  </si>
  <si>
    <t>Total Drug Cost</t>
  </si>
  <si>
    <t xml:space="preserve">If Selecting "Combo", Please Enter Population % Split per Drug: </t>
  </si>
  <si>
    <t>Combo</t>
  </si>
  <si>
    <t xml:space="preserve">Total Weighted Cost of Therapy </t>
  </si>
  <si>
    <t xml:space="preserve">Valganciclovir: </t>
  </si>
  <si>
    <t xml:space="preserve">Foscarnet </t>
  </si>
  <si>
    <t>Patient Weight (kg)</t>
  </si>
  <si>
    <t>kg</t>
  </si>
  <si>
    <t xml:space="preserve">Ganciclovir: </t>
  </si>
  <si>
    <t xml:space="preserve">kg patient weight </t>
  </si>
  <si>
    <t>Dose</t>
  </si>
  <si>
    <t>mg/kg/dose</t>
  </si>
  <si>
    <t xml:space="preserve">Foscarnet: </t>
  </si>
  <si>
    <t xml:space="preserve">mg/kg/dose induction twice daily </t>
  </si>
  <si>
    <t>Total Dose Required</t>
  </si>
  <si>
    <t>mg</t>
  </si>
  <si>
    <t>Total Cost:</t>
  </si>
  <si>
    <t xml:space="preserve">mg total induction </t>
  </si>
  <si>
    <t>Number of Vials Required</t>
  </si>
  <si>
    <t>vials</t>
  </si>
  <si>
    <t xml:space="preserve">mg/kg/dose maintenance daily </t>
  </si>
  <si>
    <t>Cost per Vial</t>
  </si>
  <si>
    <t>Cost per CBC + Diff Test:</t>
  </si>
  <si>
    <t xml:space="preserve">mg total maintenance </t>
  </si>
  <si>
    <t>CMV Disease</t>
  </si>
  <si>
    <t xml:space="preserve">Cost per CMV PCR Test: </t>
  </si>
  <si>
    <t xml:space="preserve">total mg </t>
  </si>
  <si>
    <t>CMV-Related Rehospitalization</t>
  </si>
  <si>
    <t xml:space="preserve">Total PET Cost: </t>
  </si>
  <si>
    <t xml:space="preserve">mg per bag </t>
  </si>
  <si>
    <t>Detection test by nucleic acid for CMV, amplified probe - $35.09</t>
  </si>
  <si>
    <t xml:space="preserve">bags needed </t>
  </si>
  <si>
    <t xml:space="preserve"> </t>
  </si>
  <si>
    <t>Maintenance Dose</t>
  </si>
  <si>
    <t>Detection by immunofluorescent technique for CMV - $13.42</t>
  </si>
  <si>
    <t xml:space="preserve">per bag </t>
  </si>
  <si>
    <t>Cost of Neutropenia</t>
  </si>
  <si>
    <t>Mean Monthly Cost</t>
  </si>
  <si>
    <t>Weighted Monthly Cost</t>
  </si>
  <si>
    <t>Cost per Bag</t>
  </si>
  <si>
    <t>% Seeing Outpatient Specialists</t>
  </si>
  <si>
    <t>% Seeing Outpatient PCP</t>
  </si>
  <si>
    <t>% Balanced: Outpatient/Inpatient</t>
  </si>
  <si>
    <t>% Mostly Seen as Inpatient</t>
  </si>
  <si>
    <t>Total Neutropenia Rate:</t>
  </si>
  <si>
    <t xml:space="preserve">Total Neutropenia Cost: </t>
  </si>
  <si>
    <t xml:space="preserve">Cost for Treatment Duration: </t>
  </si>
  <si>
    <t>Cost per Outpatient Visit</t>
  </si>
  <si>
    <t>Letermovir</t>
  </si>
  <si>
    <t>Placebo</t>
  </si>
  <si>
    <t>Graft-Versus-Host-Disease</t>
  </si>
  <si>
    <t>Rehospitalization Rate</t>
  </si>
  <si>
    <t>Opportunistic Infection Rate</t>
  </si>
  <si>
    <t xml:space="preserve">Total Complication Rate: </t>
  </si>
  <si>
    <t>Parameters - Input</t>
  </si>
  <si>
    <t>Probabilistic Sensitivity Analysis Only</t>
  </si>
  <si>
    <t>Name</t>
  </si>
  <si>
    <t>live' value</t>
  </si>
  <si>
    <t>probabilistic</t>
  </si>
  <si>
    <t>deterministic</t>
  </si>
  <si>
    <t>standard error</t>
  </si>
  <si>
    <t>distribution</t>
  </si>
  <si>
    <t>alpha</t>
  </si>
  <si>
    <t>beta</t>
  </si>
  <si>
    <t>Description</t>
  </si>
  <si>
    <t>Miscellaneous Variables</t>
  </si>
  <si>
    <t>Cohort Size</t>
  </si>
  <si>
    <t>cDR</t>
  </si>
  <si>
    <t>oDR</t>
  </si>
  <si>
    <t>Decision Tree Probability Variables</t>
  </si>
  <si>
    <t>Prophylaxis</t>
  </si>
  <si>
    <t>p(viremia)</t>
  </si>
  <si>
    <t>Beta</t>
  </si>
  <si>
    <t>Probability of clinically significant CMV at week 24</t>
  </si>
  <si>
    <t>p(neutropenia)</t>
  </si>
  <si>
    <t xml:space="preserve">Probability of neutropenia with PET </t>
  </si>
  <si>
    <t>p(disease)</t>
  </si>
  <si>
    <t>Probability of CMV End-Organ Disease</t>
  </si>
  <si>
    <t>p(complications)</t>
  </si>
  <si>
    <t>Probability of experiencing GVHD or CMV-related rehospitalization or opportunistic infection (with prophylaxis) (4)</t>
  </si>
  <si>
    <t>p(alive)</t>
  </si>
  <si>
    <t>Probability of staying alive at 48 weeks (4)</t>
  </si>
  <si>
    <t>No Prophylaxis</t>
  </si>
  <si>
    <t>Probability of clinicially significant CMV viremia at week 24</t>
  </si>
  <si>
    <t>Probability of neutropenia with PET</t>
  </si>
  <si>
    <t>Probability of experiencing GVHD or CMV-related rehospitalization or opportunistic infection (with no prophylaxis) (4)</t>
  </si>
  <si>
    <t xml:space="preserve">Cost of Resource Values </t>
  </si>
  <si>
    <t xml:space="preserve">c(letermovir) </t>
  </si>
  <si>
    <t>Gamma</t>
  </si>
  <si>
    <t xml:space="preserve">Cost of letermovir/prophylaxis </t>
  </si>
  <si>
    <t>c(monitor)</t>
  </si>
  <si>
    <t xml:space="preserve">Cost of monitoring </t>
  </si>
  <si>
    <t>c(GVHD)</t>
  </si>
  <si>
    <t>Cost of graft-versus-host-disease</t>
  </si>
  <si>
    <t xml:space="preserve">c(PET) </t>
  </si>
  <si>
    <t>Cost of Pre-Emptive Therapy</t>
  </si>
  <si>
    <t>c(rehospital)</t>
  </si>
  <si>
    <t xml:space="preserve">Cost of CMV-Related Re-Hospitalization </t>
  </si>
  <si>
    <t>c(disease)</t>
  </si>
  <si>
    <t xml:space="preserve">Cost of CMV Disease </t>
  </si>
  <si>
    <t>c(neutropenia)</t>
  </si>
  <si>
    <t>Cost of neutropenia + acute kidney injury</t>
  </si>
  <si>
    <t>c(Year_2)</t>
  </si>
  <si>
    <t>Monthly cost of post-transplant year two survivors</t>
  </si>
  <si>
    <t xml:space="preserve">Utility Variables </t>
  </si>
  <si>
    <t>u(baseline_let)</t>
  </si>
  <si>
    <t>Utility value of baseline letermovir group</t>
  </si>
  <si>
    <t>u(baseline_null)</t>
  </si>
  <si>
    <t>Utility value of baseline no prophylaxis group</t>
  </si>
  <si>
    <t>u(wk14_let)</t>
  </si>
  <si>
    <t>Utility value of letermovir group, week 14</t>
  </si>
  <si>
    <t>u(wk14_null)</t>
  </si>
  <si>
    <t>Utility value of no prophylaxis group, week 14</t>
  </si>
  <si>
    <t>u(wk24_let)</t>
  </si>
  <si>
    <t>Utility value of letermovir group, week 24</t>
  </si>
  <si>
    <t>u(wk24_null)</t>
  </si>
  <si>
    <t>Utility value of no prophylaxis group, week 24</t>
  </si>
  <si>
    <t>u(post_let)</t>
  </si>
  <si>
    <t xml:space="preserve">Utility value of letermovir group, week 48 </t>
  </si>
  <si>
    <t>u(post_null)</t>
  </si>
  <si>
    <t>Utility value of no prophylaxis group, week 48</t>
  </si>
  <si>
    <t>uPost</t>
  </si>
  <si>
    <t>Post-trial utility, treatment agnostic</t>
  </si>
  <si>
    <t>Markov Parameters (Long Term Survival)</t>
  </si>
  <si>
    <t>Lambda</t>
  </si>
  <si>
    <t>LogNormal</t>
  </si>
  <si>
    <t xml:space="preserve">Lambda parameter in survival analysis </t>
  </si>
  <si>
    <t>Ancillary parameter in Weibull distribution</t>
  </si>
  <si>
    <t>Table 1. Decision Model Parameters</t>
  </si>
  <si>
    <t>Table 2. Expected Path Costs and Probabilities</t>
  </si>
  <si>
    <t>Probabilities</t>
  </si>
  <si>
    <t>Decision Path</t>
  </si>
  <si>
    <t>Total Cost</t>
  </si>
  <si>
    <t>Expected Probability</t>
  </si>
  <si>
    <t>Expected Cost</t>
  </si>
  <si>
    <t>QALYs</t>
  </si>
  <si>
    <t>Expected QALYs</t>
  </si>
  <si>
    <t>pViremia</t>
  </si>
  <si>
    <t xml:space="preserve">week 48 only, or baseline x week 14 x week 24 x week 48? </t>
  </si>
  <si>
    <t>pNeutropenia</t>
  </si>
  <si>
    <t>A</t>
  </si>
  <si>
    <t>pDisease</t>
  </si>
  <si>
    <t>B</t>
  </si>
  <si>
    <t>pComplications</t>
  </si>
  <si>
    <t>C</t>
  </si>
  <si>
    <t>pAlive</t>
  </si>
  <si>
    <t>D</t>
  </si>
  <si>
    <t>Costs</t>
  </si>
  <si>
    <t>E</t>
  </si>
  <si>
    <t>cLetermovir</t>
  </si>
  <si>
    <t>F</t>
  </si>
  <si>
    <t>cGVHD</t>
  </si>
  <si>
    <t>G</t>
  </si>
  <si>
    <t>cPET</t>
  </si>
  <si>
    <t>H</t>
  </si>
  <si>
    <t>cRehospital</t>
  </si>
  <si>
    <t>cDisease</t>
  </si>
  <si>
    <t>cNeutropenia</t>
  </si>
  <si>
    <t>I</t>
  </si>
  <si>
    <t>J</t>
  </si>
  <si>
    <t>uBaseline</t>
  </si>
  <si>
    <t>K</t>
  </si>
  <si>
    <t>uWeek14</t>
  </si>
  <si>
    <t>L</t>
  </si>
  <si>
    <t>uWeek24</t>
  </si>
  <si>
    <t>M</t>
  </si>
  <si>
    <t>uWeek48</t>
  </si>
  <si>
    <t>N</t>
  </si>
  <si>
    <t>O</t>
  </si>
  <si>
    <t>P</t>
  </si>
  <si>
    <t>Table 3. Costs, QALYs, and Incremental Cost-Effectiveness Ratio</t>
  </si>
  <si>
    <t>Strategy</t>
  </si>
  <si>
    <t>Total Costs</t>
  </si>
  <si>
    <t>Incremental Cost</t>
  </si>
  <si>
    <t xml:space="preserve">Table 4. Estimated Outcomes and Costs for Base-Case Scenario (Decision Tree) </t>
  </si>
  <si>
    <t>Outcome</t>
  </si>
  <si>
    <t>Difference</t>
  </si>
  <si>
    <t>Prophylaxis ($)</t>
  </si>
  <si>
    <t>CMV Prophylaxis</t>
  </si>
  <si>
    <t>-</t>
  </si>
  <si>
    <t>CMV Viremia</t>
  </si>
  <si>
    <t>PET</t>
  </si>
  <si>
    <t>Re-Hospitalization</t>
  </si>
  <si>
    <t>Opportunistic Infection</t>
  </si>
  <si>
    <t>GVHD</t>
  </si>
  <si>
    <t>PET-related ADEs</t>
  </si>
  <si>
    <t>Total</t>
  </si>
  <si>
    <t>ICER:</t>
  </si>
  <si>
    <t>Markov Model</t>
  </si>
  <si>
    <t xml:space="preserve">Prophylaxis </t>
  </si>
  <si>
    <t>let</t>
  </si>
  <si>
    <t>no let</t>
  </si>
  <si>
    <t>Cycle</t>
  </si>
  <si>
    <t xml:space="preserve">Death Risk </t>
  </si>
  <si>
    <t>Alive</t>
  </si>
  <si>
    <t>Death</t>
  </si>
  <si>
    <t>Check</t>
  </si>
  <si>
    <t>Cost</t>
  </si>
  <si>
    <t>Life-Years</t>
  </si>
  <si>
    <t>week 24 total weighted cost:</t>
  </si>
  <si>
    <t xml:space="preserve">week 24 total weighted utilities: </t>
  </si>
  <si>
    <t xml:space="preserve">p(alive) week 24: </t>
  </si>
  <si>
    <t>STDcost</t>
  </si>
  <si>
    <t>STDlys</t>
  </si>
  <si>
    <t>STDalys</t>
  </si>
  <si>
    <t>Totals</t>
  </si>
  <si>
    <t>Totals:</t>
  </si>
  <si>
    <t>Table 5. Estimated Outcomes and Costs for Base-Case Scenario (Markov Model)</t>
  </si>
  <si>
    <t>Intervention</t>
  </si>
  <si>
    <t>Prophylaxis, per Person</t>
  </si>
  <si>
    <t>Prophylaxis, Total</t>
  </si>
  <si>
    <t>ICER</t>
  </si>
  <si>
    <t>per QALY</t>
  </si>
  <si>
    <t>Each QALY gained, associated cost</t>
  </si>
  <si>
    <t>ICLYs</t>
  </si>
  <si>
    <t>Each life year gained, associated cost</t>
  </si>
  <si>
    <t>One Way Sensitivity Analysis</t>
  </si>
  <si>
    <t>Table 6. Sensitivity Analysis Parameters &amp; Results</t>
  </si>
  <si>
    <t>Parameter</t>
  </si>
  <si>
    <t>Base Case Input</t>
  </si>
  <si>
    <t>Low Input</t>
  </si>
  <si>
    <t>High Input</t>
  </si>
  <si>
    <t>Low Result</t>
  </si>
  <si>
    <t>High Result</t>
  </si>
  <si>
    <t>Spread</t>
  </si>
  <si>
    <t>Clinical Inputs</t>
  </si>
  <si>
    <t>CMV Viremia, LET</t>
  </si>
  <si>
    <t>Neutropenia</t>
  </si>
  <si>
    <t>CMV Disease, LET</t>
  </si>
  <si>
    <t>CMV Complications, LET</t>
  </si>
  <si>
    <t>Alive, NULL</t>
  </si>
  <si>
    <t>Cost Inputs</t>
  </si>
  <si>
    <t>Cost of Letermovir</t>
  </si>
  <si>
    <t>Cost of GVHD</t>
  </si>
  <si>
    <t>Cost of PET</t>
  </si>
  <si>
    <t>Cost of Rehospitalization</t>
  </si>
  <si>
    <t>Cost of CMV Disease</t>
  </si>
  <si>
    <t>Cost of Year 2 +</t>
  </si>
  <si>
    <t>Utilities</t>
  </si>
  <si>
    <t xml:space="preserve">Model Diagnostics: </t>
  </si>
  <si>
    <t xml:space="preserve">Alive, NULL </t>
  </si>
  <si>
    <t>Input</t>
  </si>
  <si>
    <t xml:space="preserve">ICER </t>
  </si>
  <si>
    <t>Probabilistic Sensitivity Analysis</t>
  </si>
  <si>
    <t>cRatio</t>
  </si>
  <si>
    <t>STOCHASTIC PARAMETERS</t>
  </si>
  <si>
    <t>Utility Inputs</t>
  </si>
  <si>
    <t>Survival</t>
  </si>
  <si>
    <t>COST-EFFECTIVENESS RESULTS</t>
  </si>
  <si>
    <t>NET MONETARY BENEFITS</t>
  </si>
  <si>
    <t>COST EFFECTIVE?</t>
  </si>
  <si>
    <t>ACCEPTABILITY CURVES</t>
  </si>
  <si>
    <t>Prophylaxis/Letermovir</t>
  </si>
  <si>
    <t>Letermovir/Prophylaxis</t>
  </si>
  <si>
    <t>Incremental</t>
  </si>
  <si>
    <t>pCMV_Disease</t>
  </si>
  <si>
    <t>cMonitor</t>
  </si>
  <si>
    <t>cCMVDisease</t>
  </si>
  <si>
    <t>cYear2</t>
  </si>
  <si>
    <t>Incremental QALYs</t>
  </si>
  <si>
    <t>incremental cost</t>
  </si>
  <si>
    <t>incremental effectiveness</t>
  </si>
  <si>
    <t>incremental effictiveness</t>
  </si>
  <si>
    <t>Col1</t>
  </si>
  <si>
    <t>Col2</t>
  </si>
  <si>
    <t>slopeY</t>
  </si>
  <si>
    <t>Above?</t>
  </si>
  <si>
    <t>y = mx</t>
  </si>
  <si>
    <t>m</t>
  </si>
  <si>
    <t xml:space="preserve">Number of points above the WTP threshold line </t>
  </si>
  <si>
    <t>^Original values</t>
  </si>
  <si>
    <t>Weibull Curve Fit Test</t>
  </si>
  <si>
    <t>Markov Example</t>
  </si>
  <si>
    <t>Red = Weibull / Markov Model</t>
  </si>
  <si>
    <t>S(t)</t>
  </si>
  <si>
    <t>KM Curve Time</t>
  </si>
  <si>
    <t>KM Values</t>
  </si>
  <si>
    <t>Blue = KM curve</t>
  </si>
  <si>
    <t xml:space="preserve">Reusser Paper: </t>
  </si>
  <si>
    <t xml:space="preserve">Long Term Survival and Late Deaths After Allogeneic Hematopoietic Cell Transplantation </t>
  </si>
  <si>
    <t>Severe Neutropenia</t>
  </si>
  <si>
    <t>Impaired renal function</t>
  </si>
  <si>
    <t xml:space="preserve">Relative Mortality Risks derived from Wingard et al by digitizing figure 2 </t>
  </si>
  <si>
    <t>Total Number of Patients</t>
  </si>
  <si>
    <t>Acute Myelogenous Leukemia (AML)</t>
  </si>
  <si>
    <t xml:space="preserve">Relative Mortality Risk = probability of death in sick / probability of death in US population </t>
  </si>
  <si>
    <t>Year</t>
  </si>
  <si>
    <t>Relative Mortality Risk</t>
  </si>
  <si>
    <t>Lower Confidence Interval</t>
  </si>
  <si>
    <t xml:space="preserve">Upper Confidence Interval </t>
  </si>
  <si>
    <t xml:space="preserve">Number of Patients </t>
  </si>
  <si>
    <t>Weight</t>
  </si>
  <si>
    <t>Weighted Average Relative Mortality Risk</t>
  </si>
  <si>
    <t xml:space="preserve">Year 10-15 Average Risk: </t>
  </si>
  <si>
    <t xml:space="preserve">Average RR: 11 </t>
  </si>
  <si>
    <t>**US Life Table, 2012</t>
  </si>
  <si>
    <t xml:space="preserve">Year 2 </t>
  </si>
  <si>
    <t xml:space="preserve">Probability of Death (between age x and x+1) by age and sex </t>
  </si>
  <si>
    <t>Relative Risk</t>
  </si>
  <si>
    <t>Log Mean</t>
  </si>
  <si>
    <t>Log SE</t>
  </si>
  <si>
    <t xml:space="preserve">Age </t>
  </si>
  <si>
    <t>Index</t>
  </si>
  <si>
    <t>Males</t>
  </si>
  <si>
    <t>Females</t>
  </si>
  <si>
    <t>Average RR</t>
  </si>
  <si>
    <t>Average LCI</t>
  </si>
  <si>
    <t>Average UCI</t>
  </si>
  <si>
    <t>Probability</t>
  </si>
  <si>
    <t>40-41</t>
  </si>
  <si>
    <t xml:space="preserve">Year 10-15 Relative Risk </t>
  </si>
  <si>
    <t>41-42</t>
  </si>
  <si>
    <t>42-43</t>
  </si>
  <si>
    <t>Acute Lymphoblastic Leukemia (ALL)</t>
  </si>
  <si>
    <t>Weighted Average Lower Confidence Interval</t>
  </si>
  <si>
    <t>43-44</t>
  </si>
  <si>
    <t>Number of Patients</t>
  </si>
  <si>
    <t xml:space="preserve">Authors stated that they used the AVERAGE (not weighted) </t>
  </si>
  <si>
    <t>44-45</t>
  </si>
  <si>
    <t>45-46</t>
  </si>
  <si>
    <t>46-47</t>
  </si>
  <si>
    <t>47-48</t>
  </si>
  <si>
    <t>48-49</t>
  </si>
  <si>
    <t>49-50</t>
  </si>
  <si>
    <t>50-51</t>
  </si>
  <si>
    <t xml:space="preserve">Year 10-15 Average Lower CI: </t>
  </si>
  <si>
    <t>51-52</t>
  </si>
  <si>
    <t>52-53</t>
  </si>
  <si>
    <t>53-54</t>
  </si>
  <si>
    <t>54-55</t>
  </si>
  <si>
    <t>55-56</t>
  </si>
  <si>
    <t xml:space="preserve">Average of years 10-15: </t>
  </si>
  <si>
    <t>56-57</t>
  </si>
  <si>
    <t>57-58</t>
  </si>
  <si>
    <t xml:space="preserve">Average LCI of years 10-15: </t>
  </si>
  <si>
    <t>58-59</t>
  </si>
  <si>
    <t>Weighted Average Upper Confidence Interval</t>
  </si>
  <si>
    <t>59-60</t>
  </si>
  <si>
    <t xml:space="preserve">Average UCI of years 10-15: </t>
  </si>
  <si>
    <t>Lymphoma</t>
  </si>
  <si>
    <t>60-61</t>
  </si>
  <si>
    <t>61-62</t>
  </si>
  <si>
    <t>62-63</t>
  </si>
  <si>
    <t>63-64</t>
  </si>
  <si>
    <t>64-65</t>
  </si>
  <si>
    <t>65-66</t>
  </si>
  <si>
    <t>66-67</t>
  </si>
  <si>
    <t>67-68</t>
  </si>
  <si>
    <t>68-69</t>
  </si>
  <si>
    <t xml:space="preserve">Year 10-15 Average Upper CI: </t>
  </si>
  <si>
    <t>69-70</t>
  </si>
  <si>
    <t>70-71</t>
  </si>
  <si>
    <t>71-72</t>
  </si>
  <si>
    <t>72-73</t>
  </si>
  <si>
    <t>73-74</t>
  </si>
  <si>
    <t>74-75</t>
  </si>
  <si>
    <t>75-76</t>
  </si>
  <si>
    <t>76-77</t>
  </si>
  <si>
    <t>Myelodysplastic Syndrome (MDS)</t>
  </si>
  <si>
    <t>77-78</t>
  </si>
  <si>
    <t>78-79</t>
  </si>
  <si>
    <t>79-80</t>
  </si>
  <si>
    <t>80-81</t>
  </si>
  <si>
    <t>81-82</t>
  </si>
  <si>
    <t>82-83</t>
  </si>
  <si>
    <t>83-84</t>
  </si>
  <si>
    <t>84-85</t>
  </si>
  <si>
    <t>85-86</t>
  </si>
  <si>
    <t>86-87</t>
  </si>
  <si>
    <t>87-88</t>
  </si>
  <si>
    <t>88-89</t>
  </si>
  <si>
    <t>89-90</t>
  </si>
  <si>
    <t>90-91</t>
  </si>
  <si>
    <t>91-92</t>
  </si>
  <si>
    <t>92-93</t>
  </si>
  <si>
    <t>93-94</t>
  </si>
  <si>
    <t>Severe Aplastic Anemia (SAA)</t>
  </si>
  <si>
    <t>94-95</t>
  </si>
  <si>
    <t>95-96</t>
  </si>
  <si>
    <t>96-97</t>
  </si>
  <si>
    <t>97-98</t>
  </si>
  <si>
    <t>98-99</t>
  </si>
  <si>
    <t>99-100</t>
  </si>
  <si>
    <t>100 and over</t>
  </si>
  <si>
    <t xml:space="preserve">1) </t>
  </si>
  <si>
    <t>Ljungman P, Griffiths P, Paya C. Definitions of Cytomegalovirus Infection and Disease in Transplant Patients. Clinical Infectious Diseases. 2002;34(8):1094-1097.</t>
  </si>
  <si>
    <t xml:space="preserve">2) </t>
  </si>
  <si>
    <t xml:space="preserve">Singh N, Winston DJ, Razonable RR, et al. Effect of Preemptive Therapy vs Antiviral Prophylaxis on Cytomegalovirus Disease in Seronegative Liver Transplant Recipients with Seropositive Donors. JAMA. 2020;323(14):1378-1387. </t>
  </si>
  <si>
    <t xml:space="preserve">3) </t>
  </si>
  <si>
    <t>MedlinePlus [Internet]. Bethesda (MD): National Library of Medicine (US); [updated 2020 Jun 24]. GVHD; [updated 2020 Jun 10; reviewed 2016 Aug 25; cited 2021 Jun 8]; Available from: https://medlineplus.gov/ency/article/001309.htm</t>
  </si>
  <si>
    <t xml:space="preserve">4) </t>
  </si>
  <si>
    <t>Marty FM, Ljungman P, Chemaly RF, et al. Letermovir Prophylaxis for Cytomegalovirus in Hematopoietic-Cell Transplantation. NEJM. 2017;377:2433-2444</t>
  </si>
  <si>
    <t xml:space="preserve">5) </t>
  </si>
  <si>
    <t xml:space="preserve">Kharfan-Dabaja MA, Boeckh M, Wilck MB, et al. A novel therapeutic cytomegalovirus DNA vaccine in allogeneic hematopoietic stem-cell transplantation: a randomised, double-blind, placebo-controlled, phase 2 trial. Lancet Infect Dis. 2012;12:290-99. </t>
  </si>
  <si>
    <t xml:space="preserve">Cost References: </t>
  </si>
  <si>
    <t>*PO Letermovir, cost per tablet per dose (daily): VA FSS Pricing</t>
  </si>
  <si>
    <t>Cumulative Cost</t>
  </si>
  <si>
    <t>Cumulative QALYs</t>
  </si>
  <si>
    <t>Cumulative LYs</t>
  </si>
  <si>
    <t>STDLYs</t>
  </si>
  <si>
    <t>STDqalys</t>
  </si>
  <si>
    <t>Monthly cost discounting rate, assuming 3.0% yearly rate</t>
  </si>
  <si>
    <t>Life Years</t>
  </si>
  <si>
    <t>PET Only</t>
  </si>
  <si>
    <t>PET Only($)</t>
  </si>
  <si>
    <t>ICER (LET vs PET Only)</t>
  </si>
  <si>
    <t>Utility</t>
  </si>
  <si>
    <t>Expected Utility</t>
  </si>
  <si>
    <t>Incremental Utility</t>
  </si>
  <si>
    <t>Total Utility</t>
  </si>
  <si>
    <t xml:space="preserve">Total costs from decision tree </t>
  </si>
  <si>
    <t xml:space="preserve">Total utility from decision tree </t>
  </si>
  <si>
    <t xml:space="preserve">Expected probability of being alive at year one (end of decision tree) </t>
  </si>
  <si>
    <t xml:space="preserve">Cost per life-year gained </t>
  </si>
  <si>
    <t>PET Only, per Person</t>
  </si>
  <si>
    <t>PET Only, Total</t>
  </si>
  <si>
    <t>CMV Viremia, PET</t>
  </si>
  <si>
    <t>CMV Disease, PET</t>
  </si>
  <si>
    <t>CMV Complications, PET</t>
  </si>
  <si>
    <t>Cost per quality-adjusted life year gained per patient on letermovir</t>
  </si>
  <si>
    <t>Alive Year 1, LET</t>
  </si>
  <si>
    <t>Alive Year 1,  PET</t>
  </si>
  <si>
    <t xml:space="preserve">Baseline Utility, LET </t>
  </si>
  <si>
    <t xml:space="preserve">Input </t>
  </si>
  <si>
    <t xml:space="preserve">*BC </t>
  </si>
  <si>
    <t xml:space="preserve">Model Diagnostics (If Needed): </t>
  </si>
  <si>
    <t xml:space="preserve">PET Only/No Letermovir </t>
  </si>
  <si>
    <t xml:space="preserve">PET Only </t>
  </si>
  <si>
    <t xml:space="preserve">Monthly outcome discounting rate, assuming 3.0% yearly rate </t>
  </si>
  <si>
    <t>EVPI</t>
  </si>
  <si>
    <t>Baseline Utility, LET</t>
  </si>
  <si>
    <t>Baseline Utility, PET</t>
  </si>
  <si>
    <t>Monthly Weighted Cost:</t>
  </si>
  <si>
    <t>*NOTE: Cycle entry is at the END of year one, cycles are monthly until the end of year 10</t>
  </si>
  <si>
    <t>Week 14 Utility, LET</t>
  </si>
  <si>
    <t>Week 14 Utility, PET</t>
  </si>
  <si>
    <t>Week 24 Utility, LET</t>
  </si>
  <si>
    <t>Week 24 Utility, PET</t>
  </si>
  <si>
    <t>Week 48 Utility, LET</t>
  </si>
  <si>
    <t>Week 48 Utility, PET</t>
  </si>
  <si>
    <t>Markov Model (Years Two-Ten Post-Transplant)</t>
  </si>
  <si>
    <t>Survival Curve Extrapolations</t>
  </si>
  <si>
    <t xml:space="preserve">Enter regression output data from R for each of the following survival curve distributions: </t>
  </si>
  <si>
    <t>Exponential</t>
  </si>
  <si>
    <t xml:space="preserve">Estimated Parameters </t>
  </si>
  <si>
    <t xml:space="preserve">Intercept </t>
  </si>
  <si>
    <t xml:space="preserve">Value </t>
  </si>
  <si>
    <t xml:space="preserve">Std Error </t>
  </si>
  <si>
    <t xml:space="preserve">Cholesky Decomposition (for PSA) </t>
  </si>
  <si>
    <t>Goodness of Fit</t>
  </si>
  <si>
    <t>LL</t>
  </si>
  <si>
    <t xml:space="preserve">Calculated Deterministic Parameters </t>
  </si>
  <si>
    <t xml:space="preserve">Calculated PSA Parameters </t>
  </si>
  <si>
    <t>Z-Matrix (Randomly Generated Normal Dist.)</t>
  </si>
  <si>
    <t>Intercept</t>
  </si>
  <si>
    <t>Weibull</t>
  </si>
  <si>
    <t>Logscale</t>
  </si>
  <si>
    <t>Value</t>
  </si>
  <si>
    <t xml:space="preserve">Logscale </t>
  </si>
  <si>
    <t>Parameters incorporating uncertainty</t>
  </si>
  <si>
    <t>Std Error</t>
  </si>
  <si>
    <t xml:space="preserve">Parameters incorporating uncertainty </t>
  </si>
  <si>
    <t>LogLogistic</t>
  </si>
  <si>
    <t xml:space="preserve">Gamma (Two Parameter) </t>
  </si>
  <si>
    <t>Shape</t>
  </si>
  <si>
    <t>Rate</t>
  </si>
  <si>
    <t xml:space="preserve">Gompertz </t>
  </si>
  <si>
    <t>`</t>
  </si>
  <si>
    <t>Generalized Gamma (Three Parameter)</t>
  </si>
  <si>
    <t>Mu</t>
  </si>
  <si>
    <t>Sigma</t>
  </si>
  <si>
    <t>Q</t>
  </si>
  <si>
    <t xml:space="preserve">Goodness of Fit Summary </t>
  </si>
  <si>
    <t>Gamma (2-par)</t>
  </si>
  <si>
    <t>Gompertz</t>
  </si>
  <si>
    <t xml:space="preserve">GenGamma (3-par) </t>
  </si>
  <si>
    <t>df</t>
  </si>
  <si>
    <t>n</t>
  </si>
  <si>
    <t>AIC</t>
  </si>
  <si>
    <t>BIC</t>
  </si>
  <si>
    <t>GenGamma</t>
  </si>
  <si>
    <t>P(Survival)</t>
  </si>
  <si>
    <t>Cycle (Months)</t>
  </si>
  <si>
    <t>z</t>
  </si>
  <si>
    <t>u</t>
  </si>
  <si>
    <t>P(survival)</t>
  </si>
  <si>
    <t>Extracted KM Times</t>
  </si>
  <si>
    <t>Extracted KM P(Survival)</t>
  </si>
  <si>
    <t>Original KM Data</t>
  </si>
  <si>
    <t>Month</t>
  </si>
  <si>
    <t>Survival Probability</t>
  </si>
  <si>
    <t>Probability of Death</t>
  </si>
  <si>
    <t xml:space="preserve">N People </t>
  </si>
  <si>
    <t xml:space="preserve">Saullo et al survival curve (monthly, starting from date of transplant as time zero) </t>
  </si>
  <si>
    <t>Where p(death) = S(t0) - S(t1)</t>
  </si>
  <si>
    <t>OWSA</t>
  </si>
  <si>
    <t>One-way sensitivity analysis outputs &amp; tornado diagram</t>
  </si>
  <si>
    <t>PSA</t>
  </si>
  <si>
    <t xml:space="preserve">Result of probabilistic sensivitiy analysis </t>
  </si>
  <si>
    <t>Survival Extrapolation</t>
  </si>
  <si>
    <t>Parameters and survival curves for parametric survival distributions</t>
  </si>
  <si>
    <t>Year 2+ Utility</t>
  </si>
  <si>
    <t>Discounting Rate</t>
  </si>
  <si>
    <t xml:space="preserve">Table 7: Sensitvitiy Analysis Results - Long-Term Mortality </t>
  </si>
  <si>
    <t>Distribution</t>
  </si>
  <si>
    <t>STD-Lys (PET)</t>
  </si>
  <si>
    <t>STD-QALYs (LET)</t>
  </si>
  <si>
    <t xml:space="preserve">STD-QALYs (PET) </t>
  </si>
  <si>
    <t>STD-Lys (LET)</t>
  </si>
  <si>
    <t>Log-normal</t>
  </si>
  <si>
    <t>Log-logistic</t>
  </si>
  <si>
    <t>Generalized Gamma</t>
  </si>
  <si>
    <t xml:space="preserve">End of decision tree </t>
  </si>
  <si>
    <t xml:space="preserve">First month of entry into markov cycle </t>
  </si>
  <si>
    <t xml:space="preserve">Min: </t>
  </si>
  <si>
    <t xml:space="preserve">Median: </t>
  </si>
  <si>
    <t xml:space="preserve">Mean: </t>
  </si>
  <si>
    <t xml:space="preserve">Max: </t>
  </si>
  <si>
    <t xml:space="preserve">95% Credible Interval: </t>
  </si>
  <si>
    <t xml:space="preserve">84.7% of the PSA ICERs fell below the WTP threshold. </t>
  </si>
  <si>
    <t>LET Prophylaxis</t>
  </si>
  <si>
    <t>PET-Alone</t>
  </si>
  <si>
    <t xml:space="preserve">Note: </t>
  </si>
  <si>
    <t>Any cell shaded in light blue can be altered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</si>
</sst>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"/>
    <numFmt numFmtId="166" formatCode="0.0000000000000"/>
    <numFmt numFmtId="167" formatCode="0.00000000"/>
    <numFmt numFmtId="168" formatCode="0.0000000"/>
    <numFmt numFmtId="169" formatCode="0.0"/>
    <numFmt numFmtId="170" formatCode="0.0000%"/>
    <numFmt numFmtId="171" formatCode="0.0000"/>
    <numFmt numFmtId="172" formatCode="_(* #,##0_);_(* \(#,##0\);_(* &quot;-&quot;??_);_(@_)"/>
    <numFmt numFmtId="173" formatCode="0.000000"/>
    <numFmt numFmtId="174" formatCode="0.00000"/>
    <numFmt numFmtId="175" formatCode="0.000000000"/>
    <numFmt numFmtId="176" formatCode="0.0000000000"/>
  </numFmts>
  <fonts count="68" x14ac:knownFonts="1">
    <font>
      <sz val="11"/>
      <color theme="1"/>
      <name val="Arial"/>
    </font>
    <font>
      <sz val="11"/>
      <color theme="1"/>
      <name val="Cambria"/>
      <family val="1"/>
    </font>
    <font>
      <b/>
      <i/>
      <sz val="22"/>
      <color theme="0"/>
      <name val="Cambria"/>
      <family val="1"/>
    </font>
    <font>
      <sz val="11"/>
      <name val="Arial"/>
      <family val="2"/>
    </font>
    <font>
      <sz val="11"/>
      <color theme="1"/>
      <name val="Calibri"/>
      <family val="2"/>
    </font>
    <font>
      <b/>
      <sz val="11"/>
      <color theme="1"/>
      <name val="Cambria"/>
      <family val="1"/>
    </font>
    <font>
      <b/>
      <i/>
      <sz val="20"/>
      <color theme="1"/>
      <name val="Cambria"/>
      <family val="1"/>
    </font>
    <font>
      <b/>
      <i/>
      <sz val="22"/>
      <color rgb="FFFF0000"/>
      <name val="Cambria"/>
      <family val="1"/>
    </font>
    <font>
      <sz val="11"/>
      <color theme="0"/>
      <name val="Cambria"/>
      <family val="1"/>
    </font>
    <font>
      <b/>
      <i/>
      <sz val="12"/>
      <color theme="0"/>
      <name val="Cambria"/>
      <family val="1"/>
    </font>
    <font>
      <b/>
      <sz val="11"/>
      <color theme="7"/>
      <name val="Cambria"/>
      <family val="1"/>
    </font>
    <font>
      <i/>
      <sz val="9"/>
      <color theme="1"/>
      <name val="Cambria"/>
      <family val="1"/>
    </font>
    <font>
      <i/>
      <sz val="11"/>
      <color theme="1"/>
      <name val="Cambria"/>
      <family val="1"/>
    </font>
    <font>
      <b/>
      <i/>
      <sz val="11"/>
      <color rgb="FF497388"/>
      <name val="Cambria"/>
      <family val="1"/>
    </font>
    <font>
      <i/>
      <sz val="8"/>
      <color theme="1"/>
      <name val="Cambria"/>
      <family val="1"/>
    </font>
    <font>
      <sz val="11"/>
      <color theme="7"/>
      <name val="Cambria"/>
      <family val="1"/>
    </font>
    <font>
      <b/>
      <i/>
      <u/>
      <sz val="8"/>
      <color theme="1"/>
      <name val="Cambria"/>
      <family val="1"/>
    </font>
    <font>
      <sz val="8"/>
      <color theme="1"/>
      <name val="Cambria"/>
      <family val="1"/>
    </font>
    <font>
      <i/>
      <sz val="10"/>
      <color theme="1"/>
      <name val="Cambria"/>
      <family val="1"/>
    </font>
    <font>
      <sz val="11"/>
      <color rgb="FF1F497D"/>
      <name val="Calibri"/>
      <family val="2"/>
    </font>
    <font>
      <b/>
      <i/>
      <sz val="11"/>
      <color theme="1"/>
      <name val="Cambria"/>
      <family val="1"/>
    </font>
    <font>
      <b/>
      <i/>
      <u/>
      <sz val="9"/>
      <color theme="1"/>
      <name val="Cambria"/>
      <family val="1"/>
    </font>
    <font>
      <b/>
      <i/>
      <sz val="8"/>
      <color theme="1"/>
      <name val="Cambria"/>
      <family val="1"/>
    </font>
    <font>
      <i/>
      <sz val="11"/>
      <color theme="0"/>
      <name val="Cambria"/>
      <family val="1"/>
    </font>
    <font>
      <sz val="9"/>
      <color theme="1"/>
      <name val="Cambria"/>
      <family val="1"/>
    </font>
    <font>
      <b/>
      <i/>
      <sz val="10"/>
      <color theme="1"/>
      <name val="Cambria"/>
      <family val="1"/>
    </font>
    <font>
      <sz val="11"/>
      <color theme="0"/>
      <name val="Calibri"/>
      <family val="2"/>
    </font>
    <font>
      <b/>
      <sz val="11"/>
      <color rgb="FF497388"/>
      <name val="Cambria"/>
      <family val="1"/>
    </font>
    <font>
      <b/>
      <sz val="12"/>
      <color rgb="FF578793"/>
      <name val="Cambria"/>
      <family val="1"/>
    </font>
    <font>
      <i/>
      <sz val="11"/>
      <color rgb="FF497388"/>
      <name val="Cambria"/>
      <family val="1"/>
    </font>
    <font>
      <b/>
      <sz val="11"/>
      <color theme="0"/>
      <name val="Cambria"/>
      <family val="1"/>
    </font>
    <font>
      <b/>
      <sz val="16"/>
      <color theme="0"/>
      <name val="Cambria"/>
      <family val="1"/>
    </font>
    <font>
      <sz val="12"/>
      <color theme="0"/>
      <name val="Cambria"/>
      <family val="1"/>
    </font>
    <font>
      <u/>
      <sz val="12"/>
      <color theme="0"/>
      <name val="Cambria"/>
      <family val="1"/>
    </font>
    <font>
      <sz val="11"/>
      <color rgb="FFFF0000"/>
      <name val="Cambria"/>
      <family val="1"/>
    </font>
    <font>
      <b/>
      <sz val="14"/>
      <color theme="1"/>
      <name val="Cambria"/>
      <family val="1"/>
    </font>
    <font>
      <sz val="12"/>
      <color theme="1"/>
      <name val="Cambria"/>
      <family val="1"/>
    </font>
    <font>
      <b/>
      <i/>
      <sz val="14"/>
      <color theme="0"/>
      <name val="Cambria"/>
      <family val="1"/>
    </font>
    <font>
      <b/>
      <sz val="14"/>
      <color theme="0"/>
      <name val="Cambria"/>
      <family val="1"/>
    </font>
    <font>
      <sz val="10"/>
      <color theme="0"/>
      <name val="Cambria"/>
      <family val="1"/>
    </font>
    <font>
      <sz val="10"/>
      <color theme="1"/>
      <name val="Cambria"/>
      <family val="1"/>
    </font>
    <font>
      <b/>
      <sz val="8"/>
      <color theme="1"/>
      <name val="Cambria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mbria"/>
      <family val="1"/>
    </font>
    <font>
      <sz val="11"/>
      <color rgb="FFFF0000"/>
      <name val="Cambria"/>
      <family val="1"/>
    </font>
    <font>
      <sz val="12"/>
      <color theme="0"/>
      <name val="Cambria"/>
      <family val="1"/>
    </font>
    <font>
      <sz val="11"/>
      <color rgb="FFFF0000"/>
      <name val="Calibri"/>
      <family val="2"/>
    </font>
    <font>
      <sz val="11"/>
      <color theme="1"/>
      <name val="Cambria"/>
      <family val="1"/>
    </font>
    <font>
      <i/>
      <sz val="11"/>
      <color theme="0"/>
      <name val="Cambria"/>
      <family val="1"/>
    </font>
    <font>
      <sz val="11"/>
      <color theme="1"/>
      <name val="Arial"/>
      <family val="2"/>
    </font>
    <font>
      <i/>
      <sz val="11"/>
      <name val="Cambria"/>
      <family val="1"/>
    </font>
    <font>
      <sz val="10"/>
      <name val="Cambria"/>
      <family val="1"/>
    </font>
    <font>
      <sz val="11"/>
      <name val="Cambria"/>
      <family val="1"/>
    </font>
    <font>
      <b/>
      <sz val="8"/>
      <color theme="0"/>
      <name val="Cambria"/>
      <family val="1"/>
    </font>
    <font>
      <sz val="9"/>
      <color theme="0"/>
      <name val="Cambria"/>
      <family val="1"/>
    </font>
    <font>
      <sz val="11"/>
      <color theme="0"/>
      <name val="Arial"/>
      <family val="2"/>
    </font>
    <font>
      <b/>
      <sz val="11"/>
      <name val="Cambria"/>
      <family val="1"/>
    </font>
    <font>
      <b/>
      <i/>
      <sz val="11"/>
      <color theme="0"/>
      <name val="Cambria"/>
      <family val="1"/>
    </font>
    <font>
      <i/>
      <sz val="11"/>
      <color theme="8" tint="-0.249977111117893"/>
      <name val="Cambria"/>
      <family val="1"/>
    </font>
    <font>
      <u/>
      <sz val="11"/>
      <color theme="1"/>
      <name val="Cambria"/>
      <family val="1"/>
    </font>
    <font>
      <u/>
      <sz val="11"/>
      <color theme="1"/>
      <name val="Arial"/>
      <family val="2"/>
    </font>
    <font>
      <b/>
      <i/>
      <sz val="11"/>
      <name val="Cambria"/>
      <family val="1"/>
    </font>
    <font>
      <sz val="11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</font>
    <font>
      <sz val="10"/>
      <color theme="1"/>
      <name val="Arial"/>
      <family val="2"/>
    </font>
    <font>
      <b/>
      <sz val="12"/>
      <color theme="1"/>
      <name val="Cambria"/>
      <family val="1"/>
    </font>
  </fonts>
  <fills count="21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497388"/>
        <bgColor rgb="FF497388"/>
      </patternFill>
    </fill>
    <fill>
      <patternFill patternType="solid">
        <fgColor theme="0"/>
        <bgColor theme="0"/>
      </patternFill>
    </fill>
    <fill>
      <patternFill patternType="solid">
        <fgColor rgb="FF7F7F7F"/>
        <bgColor rgb="FF7F7F7F"/>
      </patternFill>
    </fill>
    <fill>
      <patternFill patternType="solid">
        <fgColor rgb="FFD8D8D8"/>
        <bgColor rgb="FFD8D8D8"/>
      </patternFill>
    </fill>
    <fill>
      <patternFill patternType="solid">
        <fgColor rgb="FFE6EEF0"/>
        <bgColor rgb="FFE6EEF0"/>
      </patternFill>
    </fill>
    <fill>
      <patternFill patternType="solid">
        <fgColor rgb="FFE0EAEE"/>
        <bgColor rgb="FFE0EAEE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455673"/>
        <bgColor rgb="FF455673"/>
      </patternFill>
    </fill>
    <fill>
      <patternFill patternType="solid">
        <fgColor rgb="FFC0C0C0"/>
        <bgColor rgb="FFC0C0C0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theme="7" tint="-0.249977111117893"/>
        <bgColor theme="0"/>
      </patternFill>
    </fill>
    <fill>
      <patternFill patternType="solid">
        <fgColor theme="0"/>
        <bgColor rgb="FF455673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theme="0"/>
      </patternFill>
    </fill>
  </fills>
  <borders count="9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000000"/>
      </bottom>
      <diagonal/>
    </border>
    <border>
      <left style="medium">
        <color rgb="FF497388"/>
      </left>
      <right style="medium">
        <color rgb="FF497388"/>
      </right>
      <top style="medium">
        <color rgb="FF497388"/>
      </top>
      <bottom style="medium">
        <color rgb="FF497388"/>
      </bottom>
      <diagonal/>
    </border>
    <border>
      <left/>
      <right style="hair">
        <color rgb="FF000000"/>
      </right>
      <top/>
      <bottom/>
      <diagonal/>
    </border>
    <border>
      <left/>
      <right/>
      <top style="hair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hair">
        <color rgb="FF000000"/>
      </bottom>
      <diagonal/>
    </border>
    <border>
      <left style="thin">
        <color rgb="FF000000"/>
      </left>
      <right/>
      <top style="thin">
        <color theme="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000000"/>
      </left>
      <right style="thin">
        <color rgb="FF000000"/>
      </right>
      <top style="thin">
        <color theme="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tted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44" fontId="65" fillId="0" borderId="0" applyFont="0" applyFill="0" applyBorder="0" applyAlignment="0" applyProtection="0"/>
  </cellStyleXfs>
  <cellXfs count="579">
    <xf numFmtId="0" fontId="0" fillId="0" borderId="0" xfId="0" applyFont="1" applyAlignment="1"/>
    <xf numFmtId="0" fontId="1" fillId="2" borderId="1" xfId="0" applyFont="1" applyFill="1" applyBorder="1"/>
    <xf numFmtId="0" fontId="4" fillId="3" borderId="1" xfId="0" applyFont="1" applyFill="1" applyBorder="1"/>
    <xf numFmtId="0" fontId="1" fillId="4" borderId="1" xfId="0" applyFont="1" applyFill="1" applyBorder="1"/>
    <xf numFmtId="0" fontId="5" fillId="4" borderId="1" xfId="0" applyFont="1" applyFill="1" applyBorder="1"/>
    <xf numFmtId="0" fontId="1" fillId="5" borderId="1" xfId="0" applyFont="1" applyFill="1" applyBorder="1"/>
    <xf numFmtId="0" fontId="5" fillId="6" borderId="1" xfId="0" applyFont="1" applyFill="1" applyBorder="1"/>
    <xf numFmtId="0" fontId="1" fillId="6" borderId="1" xfId="0" applyFont="1" applyFill="1" applyBorder="1"/>
    <xf numFmtId="0" fontId="1" fillId="3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8" fillId="4" borderId="1" xfId="0" applyFont="1" applyFill="1" applyBorder="1"/>
    <xf numFmtId="8" fontId="1" fillId="4" borderId="1" xfId="0" applyNumberFormat="1" applyFont="1" applyFill="1" applyBorder="1"/>
    <xf numFmtId="0" fontId="10" fillId="4" borderId="8" xfId="0" applyFont="1" applyFill="1" applyBorder="1" applyAlignment="1">
      <alignment horizontal="center"/>
    </xf>
    <xf numFmtId="0" fontId="11" fillId="4" borderId="1" xfId="0" applyFont="1" applyFill="1" applyBorder="1" applyAlignment="1">
      <alignment horizontal="right"/>
    </xf>
    <xf numFmtId="0" fontId="12" fillId="4" borderId="1" xfId="0" applyFont="1" applyFill="1" applyBorder="1" applyAlignment="1">
      <alignment horizontal="right"/>
    </xf>
    <xf numFmtId="164" fontId="1" fillId="7" borderId="1" xfId="0" applyNumberFormat="1" applyFont="1" applyFill="1" applyBorder="1" applyAlignment="1">
      <alignment horizontal="center"/>
    </xf>
    <xf numFmtId="0" fontId="13" fillId="4" borderId="1" xfId="0" applyFont="1" applyFill="1" applyBorder="1"/>
    <xf numFmtId="8" fontId="8" fillId="4" borderId="1" xfId="0" applyNumberFormat="1" applyFont="1" applyFill="1" applyBorder="1"/>
    <xf numFmtId="0" fontId="14" fillId="4" borderId="1" xfId="0" applyFont="1" applyFill="1" applyBorder="1" applyAlignment="1">
      <alignment horizontal="right"/>
    </xf>
    <xf numFmtId="0" fontId="1" fillId="7" borderId="1" xfId="0" applyFont="1" applyFill="1" applyBorder="1" applyAlignment="1">
      <alignment horizontal="center"/>
    </xf>
    <xf numFmtId="6" fontId="1" fillId="8" borderId="1" xfId="0" applyNumberFormat="1" applyFont="1" applyFill="1" applyBorder="1" applyAlignment="1">
      <alignment horizontal="center"/>
    </xf>
    <xf numFmtId="0" fontId="14" fillId="4" borderId="1" xfId="0" applyFont="1" applyFill="1" applyBorder="1" applyAlignment="1">
      <alignment horizontal="left"/>
    </xf>
    <xf numFmtId="6" fontId="15" fillId="4" borderId="9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0" borderId="0" xfId="0" applyFont="1"/>
    <xf numFmtId="1" fontId="1" fillId="4" borderId="1" xfId="0" applyNumberFormat="1" applyFont="1" applyFill="1" applyBorder="1"/>
    <xf numFmtId="9" fontId="1" fillId="7" borderId="1" xfId="0" applyNumberFormat="1" applyFont="1" applyFill="1" applyBorder="1" applyAlignment="1">
      <alignment horizontal="center"/>
    </xf>
    <xf numFmtId="6" fontId="10" fillId="4" borderId="9" xfId="0" applyNumberFormat="1" applyFont="1" applyFill="1" applyBorder="1" applyAlignment="1">
      <alignment horizontal="center"/>
    </xf>
    <xf numFmtId="0" fontId="14" fillId="4" borderId="1" xfId="0" applyFont="1" applyFill="1" applyBorder="1"/>
    <xf numFmtId="0" fontId="16" fillId="4" borderId="1" xfId="0" applyFont="1" applyFill="1" applyBorder="1" applyAlignment="1">
      <alignment horizontal="right" vertical="center"/>
    </xf>
    <xf numFmtId="6" fontId="10" fillId="4" borderId="9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right"/>
    </xf>
    <xf numFmtId="0" fontId="11" fillId="4" borderId="10" xfId="0" applyFont="1" applyFill="1" applyBorder="1" applyAlignment="1">
      <alignment horizontal="right"/>
    </xf>
    <xf numFmtId="10" fontId="1" fillId="8" borderId="1" xfId="0" applyNumberFormat="1" applyFont="1" applyFill="1" applyBorder="1" applyAlignment="1">
      <alignment horizontal="center"/>
    </xf>
    <xf numFmtId="0" fontId="17" fillId="4" borderId="1" xfId="0" applyFont="1" applyFill="1" applyBorder="1"/>
    <xf numFmtId="10" fontId="1" fillId="4" borderId="1" xfId="0" applyNumberFormat="1" applyFont="1" applyFill="1" applyBorder="1"/>
    <xf numFmtId="0" fontId="11" fillId="4" borderId="1" xfId="0" applyFont="1" applyFill="1" applyBorder="1" applyAlignment="1">
      <alignment horizontal="center" vertical="center"/>
    </xf>
    <xf numFmtId="0" fontId="15" fillId="4" borderId="9" xfId="0" applyFont="1" applyFill="1" applyBorder="1" applyAlignment="1">
      <alignment horizontal="center"/>
    </xf>
    <xf numFmtId="0" fontId="11" fillId="4" borderId="11" xfId="0" applyFont="1" applyFill="1" applyBorder="1"/>
    <xf numFmtId="0" fontId="1" fillId="4" borderId="11" xfId="0" applyFont="1" applyFill="1" applyBorder="1"/>
    <xf numFmtId="6" fontId="8" fillId="4" borderId="1" xfId="0" applyNumberFormat="1" applyFont="1" applyFill="1" applyBorder="1"/>
    <xf numFmtId="0" fontId="1" fillId="4" borderId="1" xfId="0" applyFont="1" applyFill="1" applyBorder="1" applyAlignment="1">
      <alignment horizontal="center" vertical="center"/>
    </xf>
    <xf numFmtId="8" fontId="4" fillId="0" borderId="0" xfId="0" applyNumberFormat="1" applyFont="1"/>
    <xf numFmtId="8" fontId="1" fillId="4" borderId="1" xfId="0" applyNumberFormat="1" applyFont="1" applyFill="1" applyBorder="1" applyAlignment="1">
      <alignment horizontal="center"/>
    </xf>
    <xf numFmtId="0" fontId="11" fillId="4" borderId="1" xfId="0" applyFont="1" applyFill="1" applyBorder="1" applyAlignment="1">
      <alignment horizontal="left"/>
    </xf>
    <xf numFmtId="8" fontId="1" fillId="8" borderId="1" xfId="0" applyNumberFormat="1" applyFont="1" applyFill="1" applyBorder="1" applyAlignment="1">
      <alignment horizontal="center"/>
    </xf>
    <xf numFmtId="0" fontId="18" fillId="4" borderId="1" xfId="0" applyFont="1" applyFill="1" applyBorder="1" applyAlignment="1">
      <alignment horizontal="right"/>
    </xf>
    <xf numFmtId="0" fontId="19" fillId="0" borderId="0" xfId="0" applyFont="1"/>
    <xf numFmtId="0" fontId="1" fillId="4" borderId="1" xfId="0" applyFont="1" applyFill="1" applyBorder="1" applyAlignment="1">
      <alignment horizontal="center"/>
    </xf>
    <xf numFmtId="6" fontId="1" fillId="4" borderId="1" xfId="0" applyNumberFormat="1" applyFont="1" applyFill="1" applyBorder="1" applyAlignment="1">
      <alignment horizontal="center"/>
    </xf>
    <xf numFmtId="0" fontId="20" fillId="4" borderId="1" xfId="0" applyFont="1" applyFill="1" applyBorder="1" applyAlignment="1">
      <alignment horizontal="right"/>
    </xf>
    <xf numFmtId="0" fontId="21" fillId="4" borderId="1" xfId="0" applyFont="1" applyFill="1" applyBorder="1"/>
    <xf numFmtId="6" fontId="10" fillId="4" borderId="1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right"/>
    </xf>
    <xf numFmtId="0" fontId="23" fillId="4" borderId="1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6" fontId="15" fillId="4" borderId="9" xfId="0" applyNumberFormat="1" applyFont="1" applyFill="1" applyBorder="1" applyAlignment="1">
      <alignment horizontal="center" vertical="center"/>
    </xf>
    <xf numFmtId="6" fontId="1" fillId="4" borderId="1" xfId="0" applyNumberFormat="1" applyFont="1" applyFill="1" applyBorder="1"/>
    <xf numFmtId="2" fontId="10" fillId="4" borderId="9" xfId="0" applyNumberFormat="1" applyFont="1" applyFill="1" applyBorder="1" applyAlignment="1">
      <alignment horizontal="center"/>
    </xf>
    <xf numFmtId="2" fontId="1" fillId="8" borderId="1" xfId="0" applyNumberFormat="1" applyFont="1" applyFill="1" applyBorder="1" applyAlignment="1">
      <alignment horizontal="center"/>
    </xf>
    <xf numFmtId="164" fontId="10" fillId="4" borderId="9" xfId="0" applyNumberFormat="1" applyFont="1" applyFill="1" applyBorder="1" applyAlignment="1">
      <alignment horizontal="center"/>
    </xf>
    <xf numFmtId="0" fontId="12" fillId="4" borderId="1" xfId="0" applyFont="1" applyFill="1" applyBorder="1"/>
    <xf numFmtId="0" fontId="24" fillId="4" borderId="1" xfId="0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0" fontId="25" fillId="4" borderId="1" xfId="0" applyFont="1" applyFill="1" applyBorder="1" applyAlignment="1">
      <alignment horizontal="right"/>
    </xf>
    <xf numFmtId="0" fontId="20" fillId="4" borderId="1" xfId="0" applyFont="1" applyFill="1" applyBorder="1"/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/>
    <xf numFmtId="0" fontId="26" fillId="4" borderId="1" xfId="0" applyFont="1" applyFill="1" applyBorder="1"/>
    <xf numFmtId="6" fontId="4" fillId="4" borderId="1" xfId="0" applyNumberFormat="1" applyFont="1" applyFill="1" applyBorder="1"/>
    <xf numFmtId="164" fontId="4" fillId="4" borderId="1" xfId="0" applyNumberFormat="1" applyFont="1" applyFill="1" applyBorder="1"/>
    <xf numFmtId="2" fontId="4" fillId="4" borderId="1" xfId="0" applyNumberFormat="1" applyFont="1" applyFill="1" applyBorder="1"/>
    <xf numFmtId="0" fontId="28" fillId="4" borderId="15" xfId="0" applyFont="1" applyFill="1" applyBorder="1" applyAlignment="1">
      <alignment horizontal="center"/>
    </xf>
    <xf numFmtId="0" fontId="29" fillId="4" borderId="16" xfId="0" quotePrefix="1" applyFont="1" applyFill="1" applyBorder="1" applyAlignment="1">
      <alignment horizontal="center"/>
    </xf>
    <xf numFmtId="0" fontId="29" fillId="4" borderId="17" xfId="0" quotePrefix="1" applyFont="1" applyFill="1" applyBorder="1" applyAlignment="1">
      <alignment horizontal="center"/>
    </xf>
    <xf numFmtId="0" fontId="29" fillId="4" borderId="18" xfId="0" quotePrefix="1" applyFont="1" applyFill="1" applyBorder="1" applyAlignment="1">
      <alignment horizontal="center"/>
    </xf>
    <xf numFmtId="0" fontId="28" fillId="4" borderId="19" xfId="0" applyFont="1" applyFill="1" applyBorder="1" applyAlignment="1">
      <alignment horizontal="center"/>
    </xf>
    <xf numFmtId="0" fontId="30" fillId="3" borderId="1" xfId="0" applyFont="1" applyFill="1" applyBorder="1"/>
    <xf numFmtId="0" fontId="1" fillId="3" borderId="1" xfId="0" applyFont="1" applyFill="1" applyBorder="1"/>
    <xf numFmtId="0" fontId="1" fillId="4" borderId="15" xfId="0" applyFont="1" applyFill="1" applyBorder="1" applyAlignment="1">
      <alignment horizontal="right"/>
    </xf>
    <xf numFmtId="0" fontId="1" fillId="4" borderId="16" xfId="0" applyFont="1" applyFill="1" applyBorder="1" applyAlignment="1">
      <alignment horizontal="center"/>
    </xf>
    <xf numFmtId="0" fontId="1" fillId="4" borderId="19" xfId="0" applyFont="1" applyFill="1" applyBorder="1"/>
    <xf numFmtId="0" fontId="1" fillId="4" borderId="16" xfId="0" applyFont="1" applyFill="1" applyBorder="1"/>
    <xf numFmtId="10" fontId="1" fillId="4" borderId="16" xfId="0" applyNumberFormat="1" applyFont="1" applyFill="1" applyBorder="1" applyAlignment="1">
      <alignment horizontal="center"/>
    </xf>
    <xf numFmtId="0" fontId="12" fillId="4" borderId="15" xfId="0" applyFont="1" applyFill="1" applyBorder="1"/>
    <xf numFmtId="165" fontId="1" fillId="4" borderId="19" xfId="0" applyNumberFormat="1" applyFont="1" applyFill="1" applyBorder="1"/>
    <xf numFmtId="2" fontId="1" fillId="4" borderId="1" xfId="0" applyNumberFormat="1" applyFont="1" applyFill="1" applyBorder="1" applyAlignment="1">
      <alignment horizontal="center"/>
    </xf>
    <xf numFmtId="2" fontId="1" fillId="4" borderId="16" xfId="0" applyNumberFormat="1" applyFont="1" applyFill="1" applyBorder="1" applyAlignment="1">
      <alignment horizontal="center"/>
    </xf>
    <xf numFmtId="2" fontId="1" fillId="8" borderId="16" xfId="0" applyNumberFormat="1" applyFont="1" applyFill="1" applyBorder="1" applyAlignment="1">
      <alignment horizontal="center"/>
    </xf>
    <xf numFmtId="165" fontId="1" fillId="4" borderId="19" xfId="0" applyNumberFormat="1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165" fontId="1" fillId="8" borderId="16" xfId="0" applyNumberFormat="1" applyFont="1" applyFill="1" applyBorder="1" applyAlignment="1">
      <alignment horizontal="center"/>
    </xf>
    <xf numFmtId="0" fontId="1" fillId="4" borderId="15" xfId="0" applyFont="1" applyFill="1" applyBorder="1"/>
    <xf numFmtId="2" fontId="1" fillId="4" borderId="19" xfId="0" applyNumberFormat="1" applyFont="1" applyFill="1" applyBorder="1"/>
    <xf numFmtId="166" fontId="1" fillId="4" borderId="19" xfId="0" applyNumberFormat="1" applyFont="1" applyFill="1" applyBorder="1" applyAlignment="1">
      <alignment horizontal="center"/>
    </xf>
    <xf numFmtId="2" fontId="1" fillId="4" borderId="19" xfId="0" applyNumberFormat="1" applyFont="1" applyFill="1" applyBorder="1" applyAlignment="1">
      <alignment horizontal="center" vertical="center"/>
    </xf>
    <xf numFmtId="44" fontId="1" fillId="3" borderId="1" xfId="0" applyNumberFormat="1" applyFont="1" applyFill="1" applyBorder="1" applyAlignment="1">
      <alignment horizontal="left"/>
    </xf>
    <xf numFmtId="164" fontId="1" fillId="4" borderId="16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left"/>
    </xf>
    <xf numFmtId="164" fontId="1" fillId="4" borderId="19" xfId="0" applyNumberFormat="1" applyFont="1" applyFill="1" applyBorder="1" applyAlignment="1">
      <alignment horizontal="center"/>
    </xf>
    <xf numFmtId="2" fontId="1" fillId="4" borderId="16" xfId="0" applyNumberFormat="1" applyFont="1" applyFill="1" applyBorder="1" applyAlignment="1">
      <alignment horizontal="center" vertical="center"/>
    </xf>
    <xf numFmtId="0" fontId="1" fillId="8" borderId="16" xfId="0" applyFont="1" applyFill="1" applyBorder="1" applyAlignment="1">
      <alignment horizontal="center"/>
    </xf>
    <xf numFmtId="165" fontId="1" fillId="4" borderId="16" xfId="0" applyNumberFormat="1" applyFont="1" applyFill="1" applyBorder="1" applyAlignment="1">
      <alignment horizontal="center"/>
    </xf>
    <xf numFmtId="165" fontId="1" fillId="4" borderId="20" xfId="0" applyNumberFormat="1" applyFont="1" applyFill="1" applyBorder="1" applyAlignment="1">
      <alignment horizontal="center"/>
    </xf>
    <xf numFmtId="165" fontId="1" fillId="4" borderId="21" xfId="0" applyNumberFormat="1" applyFont="1" applyFill="1" applyBorder="1" applyAlignment="1">
      <alignment horizontal="center"/>
    </xf>
    <xf numFmtId="0" fontId="4" fillId="4" borderId="22" xfId="0" applyFont="1" applyFill="1" applyBorder="1"/>
    <xf numFmtId="0" fontId="31" fillId="3" borderId="1" xfId="0" applyFont="1" applyFill="1" applyBorder="1"/>
    <xf numFmtId="0" fontId="31" fillId="3" borderId="23" xfId="0" applyFont="1" applyFill="1" applyBorder="1"/>
    <xf numFmtId="0" fontId="8" fillId="3" borderId="23" xfId="0" applyFont="1" applyFill="1" applyBorder="1"/>
    <xf numFmtId="0" fontId="32" fillId="3" borderId="23" xfId="0" applyFont="1" applyFill="1" applyBorder="1" applyAlignment="1">
      <alignment horizontal="center" vertical="center"/>
    </xf>
    <xf numFmtId="0" fontId="1" fillId="3" borderId="23" xfId="0" applyFont="1" applyFill="1" applyBorder="1"/>
    <xf numFmtId="0" fontId="8" fillId="3" borderId="23" xfId="0" applyFont="1" applyFill="1" applyBorder="1" applyAlignment="1">
      <alignment horizontal="right"/>
    </xf>
    <xf numFmtId="2" fontId="1" fillId="9" borderId="24" xfId="0" applyNumberFormat="1" applyFont="1" applyFill="1" applyBorder="1" applyAlignment="1">
      <alignment horizontal="center"/>
    </xf>
    <xf numFmtId="2" fontId="1" fillId="9" borderId="25" xfId="0" applyNumberFormat="1" applyFont="1" applyFill="1" applyBorder="1" applyAlignment="1">
      <alignment horizontal="center"/>
    </xf>
    <xf numFmtId="0" fontId="33" fillId="3" borderId="23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right"/>
    </xf>
    <xf numFmtId="165" fontId="1" fillId="9" borderId="26" xfId="0" applyNumberFormat="1" applyFont="1" applyFill="1" applyBorder="1" applyAlignment="1">
      <alignment horizontal="center"/>
    </xf>
    <xf numFmtId="165" fontId="1" fillId="9" borderId="27" xfId="0" applyNumberFormat="1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44" fontId="1" fillId="9" borderId="8" xfId="0" applyNumberFormat="1" applyFont="1" applyFill="1" applyBorder="1" applyAlignment="1">
      <alignment horizontal="center"/>
    </xf>
    <xf numFmtId="167" fontId="1" fillId="9" borderId="28" xfId="0" applyNumberFormat="1" applyFont="1" applyFill="1" applyBorder="1" applyAlignment="1">
      <alignment horizontal="center"/>
    </xf>
    <xf numFmtId="44" fontId="1" fillId="9" borderId="28" xfId="0" applyNumberFormat="1" applyFont="1" applyFill="1" applyBorder="1" applyAlignment="1">
      <alignment horizontal="center"/>
    </xf>
    <xf numFmtId="2" fontId="1" fillId="9" borderId="28" xfId="0" applyNumberFormat="1" applyFont="1" applyFill="1" applyBorder="1" applyAlignment="1">
      <alignment horizontal="center"/>
    </xf>
    <xf numFmtId="44" fontId="1" fillId="9" borderId="8" xfId="0" applyNumberFormat="1" applyFont="1" applyFill="1" applyBorder="1"/>
    <xf numFmtId="2" fontId="1" fillId="9" borderId="19" xfId="0" applyNumberFormat="1" applyFont="1" applyFill="1" applyBorder="1" applyAlignment="1">
      <alignment horizontal="center"/>
    </xf>
    <xf numFmtId="0" fontId="31" fillId="3" borderId="29" xfId="0" applyFont="1" applyFill="1" applyBorder="1"/>
    <xf numFmtId="0" fontId="8" fillId="3" borderId="29" xfId="0" applyFont="1" applyFill="1" applyBorder="1"/>
    <xf numFmtId="0" fontId="32" fillId="3" borderId="29" xfId="0" applyFont="1" applyFill="1" applyBorder="1" applyAlignment="1">
      <alignment horizontal="center" vertical="center"/>
    </xf>
    <xf numFmtId="44" fontId="1" fillId="9" borderId="25" xfId="0" applyNumberFormat="1" applyFont="1" applyFill="1" applyBorder="1" applyAlignment="1">
      <alignment horizontal="center"/>
    </xf>
    <xf numFmtId="44" fontId="1" fillId="9" borderId="1" xfId="0" applyNumberFormat="1" applyFont="1" applyFill="1" applyBorder="1"/>
    <xf numFmtId="167" fontId="1" fillId="9" borderId="19" xfId="0" applyNumberFormat="1" applyFont="1" applyFill="1" applyBorder="1" applyAlignment="1">
      <alignment horizontal="center"/>
    </xf>
    <xf numFmtId="44" fontId="1" fillId="9" borderId="19" xfId="0" applyNumberFormat="1" applyFont="1" applyFill="1" applyBorder="1" applyAlignment="1">
      <alignment horizontal="center"/>
    </xf>
    <xf numFmtId="44" fontId="1" fillId="9" borderId="28" xfId="0" applyNumberFormat="1" applyFont="1" applyFill="1" applyBorder="1"/>
    <xf numFmtId="168" fontId="1" fillId="9" borderId="28" xfId="0" applyNumberFormat="1" applyFont="1" applyFill="1" applyBorder="1" applyAlignment="1">
      <alignment horizontal="center"/>
    </xf>
    <xf numFmtId="0" fontId="34" fillId="4" borderId="1" xfId="0" applyFont="1" applyFill="1" applyBorder="1"/>
    <xf numFmtId="0" fontId="32" fillId="3" borderId="23" xfId="0" applyFont="1" applyFill="1" applyBorder="1" applyAlignment="1">
      <alignment horizontal="left" vertical="center"/>
    </xf>
    <xf numFmtId="44" fontId="1" fillId="9" borderId="15" xfId="0" applyNumberFormat="1" applyFont="1" applyFill="1" applyBorder="1"/>
    <xf numFmtId="167" fontId="1" fillId="9" borderId="30" xfId="0" applyNumberFormat="1" applyFont="1" applyFill="1" applyBorder="1"/>
    <xf numFmtId="0" fontId="1" fillId="9" borderId="30" xfId="0" applyFont="1" applyFill="1" applyBorder="1"/>
    <xf numFmtId="0" fontId="1" fillId="9" borderId="23" xfId="0" applyFont="1" applyFill="1" applyBorder="1"/>
    <xf numFmtId="0" fontId="32" fillId="3" borderId="1" xfId="0" applyFont="1" applyFill="1" applyBorder="1" applyAlignment="1">
      <alignment horizontal="left" vertical="center"/>
    </xf>
    <xf numFmtId="44" fontId="1" fillId="9" borderId="31" xfId="0" applyNumberFormat="1" applyFont="1" applyFill="1" applyBorder="1"/>
    <xf numFmtId="167" fontId="1" fillId="9" borderId="32" xfId="0" applyNumberFormat="1" applyFont="1" applyFill="1" applyBorder="1"/>
    <xf numFmtId="44" fontId="1" fillId="9" borderId="32" xfId="0" applyNumberFormat="1" applyFont="1" applyFill="1" applyBorder="1"/>
    <xf numFmtId="44" fontId="35" fillId="9" borderId="11" xfId="0" applyNumberFormat="1" applyFont="1" applyFill="1" applyBorder="1"/>
    <xf numFmtId="167" fontId="1" fillId="4" borderId="1" xfId="0" applyNumberFormat="1" applyFont="1" applyFill="1" applyBorder="1"/>
    <xf numFmtId="0" fontId="1" fillId="9" borderId="15" xfId="0" applyFont="1" applyFill="1" applyBorder="1" applyAlignment="1">
      <alignment horizontal="center"/>
    </xf>
    <xf numFmtId="0" fontId="1" fillId="9" borderId="30" xfId="0" applyFont="1" applyFill="1" applyBorder="1" applyAlignment="1">
      <alignment horizontal="center"/>
    </xf>
    <xf numFmtId="44" fontId="1" fillId="9" borderId="30" xfId="0" applyNumberFormat="1" applyFont="1" applyFill="1" applyBorder="1"/>
    <xf numFmtId="44" fontId="1" fillId="9" borderId="30" xfId="0" applyNumberFormat="1" applyFont="1" applyFill="1" applyBorder="1" applyAlignment="1">
      <alignment horizontal="center"/>
    </xf>
    <xf numFmtId="2" fontId="1" fillId="9" borderId="31" xfId="0" applyNumberFormat="1" applyFont="1" applyFill="1" applyBorder="1" applyAlignment="1">
      <alignment horizontal="center"/>
    </xf>
    <xf numFmtId="2" fontId="1" fillId="9" borderId="32" xfId="0" applyNumberFormat="1" applyFont="1" applyFill="1" applyBorder="1" applyAlignment="1">
      <alignment horizontal="center"/>
    </xf>
    <xf numFmtId="44" fontId="1" fillId="9" borderId="37" xfId="0" applyNumberFormat="1" applyFont="1" applyFill="1" applyBorder="1" applyAlignment="1">
      <alignment horizontal="center"/>
    </xf>
    <xf numFmtId="0" fontId="1" fillId="9" borderId="31" xfId="0" applyFont="1" applyFill="1" applyBorder="1" applyAlignment="1">
      <alignment horizontal="center"/>
    </xf>
    <xf numFmtId="0" fontId="1" fillId="9" borderId="32" xfId="0" applyFont="1" applyFill="1" applyBorder="1" applyAlignment="1">
      <alignment horizontal="center"/>
    </xf>
    <xf numFmtId="44" fontId="36" fillId="9" borderId="32" xfId="0" applyNumberFormat="1" applyFont="1" applyFill="1" applyBorder="1"/>
    <xf numFmtId="44" fontId="5" fillId="9" borderId="32" xfId="0" applyNumberFormat="1" applyFont="1" applyFill="1" applyBorder="1"/>
    <xf numFmtId="44" fontId="1" fillId="2" borderId="1" xfId="0" applyNumberFormat="1" applyFont="1" applyFill="1" applyBorder="1"/>
    <xf numFmtId="0" fontId="37" fillId="3" borderId="38" xfId="0" applyFont="1" applyFill="1" applyBorder="1"/>
    <xf numFmtId="0" fontId="1" fillId="3" borderId="38" xfId="0" applyFont="1" applyFill="1" applyBorder="1"/>
    <xf numFmtId="0" fontId="8" fillId="3" borderId="1" xfId="0" applyFont="1" applyFill="1" applyBorder="1"/>
    <xf numFmtId="0" fontId="30" fillId="3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44" fontId="1" fillId="4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1" fillId="9" borderId="40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/>
    </xf>
    <xf numFmtId="44" fontId="1" fillId="9" borderId="17" xfId="0" applyNumberFormat="1" applyFont="1" applyFill="1" applyBorder="1" applyAlignment="1">
      <alignment horizontal="center"/>
    </xf>
    <xf numFmtId="1" fontId="1" fillId="9" borderId="41" xfId="0" applyNumberFormat="1" applyFont="1" applyFill="1" applyBorder="1" applyAlignment="1">
      <alignment horizontal="center"/>
    </xf>
    <xf numFmtId="44" fontId="1" fillId="9" borderId="40" xfId="0" applyNumberFormat="1" applyFont="1" applyFill="1" applyBorder="1" applyAlignment="1">
      <alignment horizontal="center"/>
    </xf>
    <xf numFmtId="0" fontId="1" fillId="9" borderId="11" xfId="0" applyFont="1" applyFill="1" applyBorder="1" applyAlignment="1">
      <alignment horizontal="center"/>
    </xf>
    <xf numFmtId="10" fontId="1" fillId="9" borderId="11" xfId="0" applyNumberFormat="1" applyFont="1" applyFill="1" applyBorder="1" applyAlignment="1">
      <alignment horizontal="center"/>
    </xf>
    <xf numFmtId="1" fontId="1" fillId="9" borderId="31" xfId="0" applyNumberFormat="1" applyFont="1" applyFill="1" applyBorder="1" applyAlignment="1">
      <alignment horizontal="center"/>
    </xf>
    <xf numFmtId="1" fontId="1" fillId="9" borderId="32" xfId="0" applyNumberFormat="1" applyFont="1" applyFill="1" applyBorder="1" applyAlignment="1">
      <alignment horizontal="center"/>
    </xf>
    <xf numFmtId="0" fontId="1" fillId="9" borderId="37" xfId="0" applyFont="1" applyFill="1" applyBorder="1" applyAlignment="1">
      <alignment horizontal="center"/>
    </xf>
    <xf numFmtId="1" fontId="1" fillId="9" borderId="37" xfId="0" applyNumberFormat="1" applyFont="1" applyFill="1" applyBorder="1" applyAlignment="1">
      <alignment horizontal="center"/>
    </xf>
    <xf numFmtId="1" fontId="1" fillId="9" borderId="11" xfId="0" applyNumberFormat="1" applyFont="1" applyFill="1" applyBorder="1" applyAlignment="1">
      <alignment horizontal="center"/>
    </xf>
    <xf numFmtId="44" fontId="1" fillId="9" borderId="32" xfId="0" applyNumberFormat="1" applyFont="1" applyFill="1" applyBorder="1" applyAlignment="1">
      <alignment horizontal="center"/>
    </xf>
    <xf numFmtId="0" fontId="1" fillId="4" borderId="22" xfId="0" applyFont="1" applyFill="1" applyBorder="1"/>
    <xf numFmtId="0" fontId="1" fillId="4" borderId="22" xfId="0" applyFont="1" applyFill="1" applyBorder="1" applyAlignment="1">
      <alignment horizontal="center"/>
    </xf>
    <xf numFmtId="44" fontId="1" fillId="4" borderId="1" xfId="0" applyNumberFormat="1" applyFont="1" applyFill="1" applyBorder="1" applyAlignment="1">
      <alignment horizontal="center"/>
    </xf>
    <xf numFmtId="169" fontId="1" fillId="4" borderId="1" xfId="0" applyNumberFormat="1" applyFont="1" applyFill="1" applyBorder="1" applyAlignment="1">
      <alignment horizontal="center"/>
    </xf>
    <xf numFmtId="1" fontId="1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44" fontId="5" fillId="4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0" fontId="8" fillId="2" borderId="1" xfId="0" applyFont="1" applyFill="1" applyBorder="1"/>
    <xf numFmtId="44" fontId="5" fillId="2" borderId="1" xfId="0" applyNumberFormat="1" applyFont="1" applyFill="1" applyBorder="1"/>
    <xf numFmtId="0" fontId="26" fillId="3" borderId="1" xfId="0" applyFont="1" applyFill="1" applyBorder="1"/>
    <xf numFmtId="0" fontId="5" fillId="3" borderId="1" xfId="0" applyFont="1" applyFill="1" applyBorder="1"/>
    <xf numFmtId="0" fontId="38" fillId="3" borderId="1" xfId="0" applyFont="1" applyFill="1" applyBorder="1" applyAlignment="1">
      <alignment horizontal="left" wrapText="1"/>
    </xf>
    <xf numFmtId="0" fontId="23" fillId="3" borderId="29" xfId="0" applyFont="1" applyFill="1" applyBorder="1" applyAlignment="1">
      <alignment horizontal="center"/>
    </xf>
    <xf numFmtId="0" fontId="5" fillId="3" borderId="29" xfId="0" applyFont="1" applyFill="1" applyBorder="1"/>
    <xf numFmtId="0" fontId="23" fillId="3" borderId="1" xfId="0" applyFont="1" applyFill="1" applyBorder="1" applyAlignment="1">
      <alignment horizontal="right"/>
    </xf>
    <xf numFmtId="164" fontId="1" fillId="9" borderId="39" xfId="0" applyNumberFormat="1" applyFont="1" applyFill="1" applyBorder="1" applyAlignment="1">
      <alignment horizontal="center"/>
    </xf>
    <xf numFmtId="170" fontId="1" fillId="9" borderId="11" xfId="0" applyNumberFormat="1" applyFont="1" applyFill="1" applyBorder="1" applyAlignment="1">
      <alignment horizontal="center"/>
    </xf>
    <xf numFmtId="170" fontId="1" fillId="3" borderId="1" xfId="0" applyNumberFormat="1" applyFont="1" applyFill="1" applyBorder="1"/>
    <xf numFmtId="171" fontId="1" fillId="9" borderId="41" xfId="0" applyNumberFormat="1" applyFont="1" applyFill="1" applyBorder="1" applyAlignment="1">
      <alignment horizontal="center"/>
    </xf>
    <xf numFmtId="164" fontId="1" fillId="9" borderId="31" xfId="0" applyNumberFormat="1" applyFont="1" applyFill="1" applyBorder="1" applyAlignment="1">
      <alignment horizontal="center"/>
    </xf>
    <xf numFmtId="171" fontId="1" fillId="9" borderId="11" xfId="0" applyNumberFormat="1" applyFont="1" applyFill="1" applyBorder="1" applyAlignment="1">
      <alignment horizontal="center"/>
    </xf>
    <xf numFmtId="0" fontId="23" fillId="3" borderId="1" xfId="0" applyFont="1" applyFill="1" applyBorder="1"/>
    <xf numFmtId="0" fontId="26" fillId="0" borderId="0" xfId="0" applyFont="1"/>
    <xf numFmtId="164" fontId="1" fillId="4" borderId="1" xfId="0" applyNumberFormat="1" applyFont="1" applyFill="1" applyBorder="1"/>
    <xf numFmtId="0" fontId="5" fillId="10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/>
    </xf>
    <xf numFmtId="165" fontId="1" fillId="4" borderId="1" xfId="0" applyNumberFormat="1" applyFont="1" applyFill="1" applyBorder="1"/>
    <xf numFmtId="0" fontId="2" fillId="3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/>
    </xf>
    <xf numFmtId="0" fontId="1" fillId="11" borderId="1" xfId="0" applyFont="1" applyFill="1" applyBorder="1"/>
    <xf numFmtId="0" fontId="39" fillId="3" borderId="1" xfId="0" applyFont="1" applyFill="1" applyBorder="1" applyAlignment="1">
      <alignment horizontal="right"/>
    </xf>
    <xf numFmtId="165" fontId="1" fillId="9" borderId="45" xfId="0" applyNumberFormat="1" applyFont="1" applyFill="1" applyBorder="1" applyAlignment="1">
      <alignment horizontal="center"/>
    </xf>
    <xf numFmtId="165" fontId="1" fillId="9" borderId="39" xfId="0" applyNumberFormat="1" applyFont="1" applyFill="1" applyBorder="1" applyAlignment="1">
      <alignment horizontal="center"/>
    </xf>
    <xf numFmtId="6" fontId="1" fillId="9" borderId="39" xfId="0" applyNumberFormat="1" applyFont="1" applyFill="1" applyBorder="1" applyAlignment="1">
      <alignment horizontal="center"/>
    </xf>
    <xf numFmtId="165" fontId="1" fillId="9" borderId="46" xfId="0" applyNumberFormat="1" applyFont="1" applyFill="1" applyBorder="1" applyAlignment="1">
      <alignment horizontal="center"/>
    </xf>
    <xf numFmtId="6" fontId="1" fillId="9" borderId="46" xfId="0" applyNumberFormat="1" applyFont="1" applyFill="1" applyBorder="1" applyAlignment="1">
      <alignment horizontal="center"/>
    </xf>
    <xf numFmtId="2" fontId="1" fillId="4" borderId="1" xfId="0" applyNumberFormat="1" applyFont="1" applyFill="1" applyBorder="1"/>
    <xf numFmtId="165" fontId="1" fillId="9" borderId="31" xfId="0" applyNumberFormat="1" applyFont="1" applyFill="1" applyBorder="1" applyAlignment="1">
      <alignment horizontal="center"/>
    </xf>
    <xf numFmtId="6" fontId="1" fillId="9" borderId="31" xfId="0" applyNumberFormat="1" applyFont="1" applyFill="1" applyBorder="1" applyAlignment="1">
      <alignment horizontal="center"/>
    </xf>
    <xf numFmtId="0" fontId="39" fillId="3" borderId="48" xfId="0" applyFont="1" applyFill="1" applyBorder="1" applyAlignment="1">
      <alignment horizontal="right"/>
    </xf>
    <xf numFmtId="0" fontId="39" fillId="3" borderId="22" xfId="0" applyFont="1" applyFill="1" applyBorder="1" applyAlignment="1">
      <alignment horizontal="right" vertical="center"/>
    </xf>
    <xf numFmtId="0" fontId="39" fillId="3" borderId="1" xfId="0" applyFont="1" applyFill="1" applyBorder="1" applyAlignment="1">
      <alignment horizontal="right" vertical="center"/>
    </xf>
    <xf numFmtId="0" fontId="1" fillId="9" borderId="46" xfId="0" applyFont="1" applyFill="1" applyBorder="1" applyAlignment="1">
      <alignment horizontal="center"/>
    </xf>
    <xf numFmtId="165" fontId="1" fillId="4" borderId="1" xfId="0" applyNumberFormat="1" applyFont="1" applyFill="1" applyBorder="1" applyAlignment="1">
      <alignment horizontal="center"/>
    </xf>
    <xf numFmtId="44" fontId="34" fillId="4" borderId="1" xfId="0" applyNumberFormat="1" applyFont="1" applyFill="1" applyBorder="1"/>
    <xf numFmtId="2" fontId="5" fillId="4" borderId="1" xfId="0" applyNumberFormat="1" applyFont="1" applyFill="1" applyBorder="1" applyAlignment="1">
      <alignment horizontal="center"/>
    </xf>
    <xf numFmtId="0" fontId="34" fillId="2" borderId="1" xfId="0" applyFont="1" applyFill="1" applyBorder="1"/>
    <xf numFmtId="0" fontId="34" fillId="3" borderId="1" xfId="0" applyFont="1" applyFill="1" applyBorder="1" applyAlignment="1">
      <alignment vertical="center"/>
    </xf>
    <xf numFmtId="0" fontId="1" fillId="3" borderId="16" xfId="0" applyFont="1" applyFill="1" applyBorder="1"/>
    <xf numFmtId="0" fontId="40" fillId="4" borderId="49" xfId="0" applyFont="1" applyFill="1" applyBorder="1" applyAlignment="1">
      <alignment horizontal="center" vertical="center"/>
    </xf>
    <xf numFmtId="0" fontId="40" fillId="4" borderId="1" xfId="0" applyFont="1" applyFill="1" applyBorder="1"/>
    <xf numFmtId="0" fontId="24" fillId="4" borderId="49" xfId="0" applyFont="1" applyFill="1" applyBorder="1" applyAlignment="1">
      <alignment horizontal="center" vertical="center"/>
    </xf>
    <xf numFmtId="0" fontId="24" fillId="4" borderId="53" xfId="0" applyFont="1" applyFill="1" applyBorder="1" applyAlignment="1">
      <alignment horizontal="center" vertical="center"/>
    </xf>
    <xf numFmtId="0" fontId="41" fillId="4" borderId="18" xfId="0" applyFont="1" applyFill="1" applyBorder="1" applyAlignment="1">
      <alignment horizontal="center" vertical="center"/>
    </xf>
    <xf numFmtId="0" fontId="41" fillId="4" borderId="17" xfId="0" applyFont="1" applyFill="1" applyBorder="1" applyAlignment="1">
      <alignment horizontal="center" vertical="center"/>
    </xf>
    <xf numFmtId="2" fontId="41" fillId="4" borderId="18" xfId="0" applyNumberFormat="1" applyFont="1" applyFill="1" applyBorder="1" applyAlignment="1">
      <alignment horizontal="center" vertical="center"/>
    </xf>
    <xf numFmtId="2" fontId="41" fillId="4" borderId="17" xfId="0" applyNumberFormat="1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2" fontId="41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2" fontId="24" fillId="4" borderId="19" xfId="0" applyNumberFormat="1" applyFont="1" applyFill="1" applyBorder="1" applyAlignment="1">
      <alignment horizontal="center" vertical="center"/>
    </xf>
    <xf numFmtId="2" fontId="24" fillId="4" borderId="16" xfId="0" applyNumberFormat="1" applyFont="1" applyFill="1" applyBorder="1" applyAlignment="1">
      <alignment horizontal="center" vertical="center"/>
    </xf>
    <xf numFmtId="1" fontId="24" fillId="4" borderId="19" xfId="0" applyNumberFormat="1" applyFont="1" applyFill="1" applyBorder="1" applyAlignment="1">
      <alignment horizontal="center" vertical="center"/>
    </xf>
    <xf numFmtId="1" fontId="24" fillId="4" borderId="16" xfId="0" applyNumberFormat="1" applyFont="1" applyFill="1" applyBorder="1" applyAlignment="1">
      <alignment horizontal="center" vertical="center"/>
    </xf>
    <xf numFmtId="164" fontId="24" fillId="4" borderId="16" xfId="0" applyNumberFormat="1" applyFont="1" applyFill="1" applyBorder="1" applyAlignment="1">
      <alignment horizontal="center" vertical="center"/>
    </xf>
    <xf numFmtId="169" fontId="24" fillId="4" borderId="1" xfId="0" applyNumberFormat="1" applyFont="1" applyFill="1" applyBorder="1" applyAlignment="1">
      <alignment horizontal="center"/>
    </xf>
    <xf numFmtId="169" fontId="24" fillId="4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42" fillId="0" borderId="0" xfId="0" applyFont="1"/>
    <xf numFmtId="171" fontId="8" fillId="3" borderId="1" xfId="0" applyNumberFormat="1" applyFont="1" applyFill="1" applyBorder="1" applyAlignment="1">
      <alignment horizontal="center"/>
    </xf>
    <xf numFmtId="171" fontId="1" fillId="3" borderId="1" xfId="0" applyNumberFormat="1" applyFont="1" applyFill="1" applyBorder="1"/>
    <xf numFmtId="167" fontId="1" fillId="9" borderId="11" xfId="0" applyNumberFormat="1" applyFont="1" applyFill="1" applyBorder="1" applyAlignment="1">
      <alignment horizontal="center"/>
    </xf>
    <xf numFmtId="171" fontId="1" fillId="9" borderId="39" xfId="0" applyNumberFormat="1" applyFont="1" applyFill="1" applyBorder="1" applyAlignment="1">
      <alignment horizontal="center"/>
    </xf>
    <xf numFmtId="171" fontId="1" fillId="9" borderId="40" xfId="0" applyNumberFormat="1" applyFont="1" applyFill="1" applyBorder="1" applyAlignment="1">
      <alignment horizontal="center"/>
    </xf>
    <xf numFmtId="171" fontId="1" fillId="9" borderId="17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171" fontId="1" fillId="9" borderId="31" xfId="0" applyNumberFormat="1" applyFont="1" applyFill="1" applyBorder="1" applyAlignment="1">
      <alignment horizontal="center"/>
    </xf>
    <xf numFmtId="171" fontId="1" fillId="9" borderId="32" xfId="0" applyNumberFormat="1" applyFont="1" applyFill="1" applyBorder="1" applyAlignment="1">
      <alignment horizontal="center"/>
    </xf>
    <xf numFmtId="171" fontId="1" fillId="9" borderId="37" xfId="0" applyNumberFormat="1" applyFont="1" applyFill="1" applyBorder="1" applyAlignment="1">
      <alignment horizontal="center"/>
    </xf>
    <xf numFmtId="0" fontId="4" fillId="0" borderId="0" xfId="0" applyFont="1"/>
    <xf numFmtId="43" fontId="4" fillId="0" borderId="0" xfId="0" applyNumberFormat="1" applyFont="1"/>
    <xf numFmtId="9" fontId="4" fillId="0" borderId="0" xfId="0" applyNumberFormat="1" applyFont="1"/>
    <xf numFmtId="0" fontId="43" fillId="0" borderId="0" xfId="0" applyFont="1" applyAlignment="1">
      <alignment horizontal="center"/>
    </xf>
    <xf numFmtId="0" fontId="43" fillId="0" borderId="0" xfId="0" applyFont="1"/>
    <xf numFmtId="172" fontId="4" fillId="0" borderId="0" xfId="0" applyNumberFormat="1" applyFont="1"/>
    <xf numFmtId="1" fontId="43" fillId="0" borderId="0" xfId="0" applyNumberFormat="1" applyFont="1" applyAlignment="1">
      <alignment horizontal="center"/>
    </xf>
    <xf numFmtId="169" fontId="43" fillId="0" borderId="0" xfId="0" applyNumberFormat="1" applyFont="1" applyAlignment="1">
      <alignment horizontal="center"/>
    </xf>
    <xf numFmtId="2" fontId="43" fillId="0" borderId="0" xfId="0" applyNumberFormat="1" applyFont="1" applyAlignment="1">
      <alignment horizontal="center"/>
    </xf>
    <xf numFmtId="0" fontId="43" fillId="10" borderId="49" xfId="0" applyFont="1" applyFill="1" applyBorder="1" applyAlignment="1">
      <alignment horizontal="center"/>
    </xf>
    <xf numFmtId="169" fontId="43" fillId="10" borderId="49" xfId="0" applyNumberFormat="1" applyFont="1" applyFill="1" applyBorder="1" applyAlignment="1">
      <alignment horizontal="center"/>
    </xf>
    <xf numFmtId="1" fontId="4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/>
    </xf>
    <xf numFmtId="1" fontId="4" fillId="0" borderId="49" xfId="0" applyNumberFormat="1" applyFont="1" applyBorder="1" applyAlignment="1">
      <alignment horizontal="center"/>
    </xf>
    <xf numFmtId="169" fontId="4" fillId="0" borderId="49" xfId="0" applyNumberFormat="1" applyFont="1" applyBorder="1" applyAlignment="1">
      <alignment horizontal="center"/>
    </xf>
    <xf numFmtId="169" fontId="4" fillId="0" borderId="0" xfId="0" applyNumberFormat="1" applyFont="1"/>
    <xf numFmtId="173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44" fontId="5" fillId="10" borderId="1" xfId="0" applyNumberFormat="1" applyFont="1" applyFill="1" applyBorder="1" applyAlignment="1">
      <alignment horizontal="center" vertical="center"/>
    </xf>
    <xf numFmtId="44" fontId="5" fillId="10" borderId="1" xfId="0" applyNumberFormat="1" applyFont="1" applyFill="1" applyBorder="1"/>
    <xf numFmtId="0" fontId="0" fillId="0" borderId="0" xfId="0" applyFont="1" applyAlignment="1"/>
    <xf numFmtId="0" fontId="44" fillId="3" borderId="1" xfId="0" applyFont="1" applyFill="1" applyBorder="1" applyAlignment="1">
      <alignment horizontal="center" vertical="center"/>
    </xf>
    <xf numFmtId="0" fontId="1" fillId="4" borderId="42" xfId="0" applyFont="1" applyFill="1" applyBorder="1"/>
    <xf numFmtId="2" fontId="1" fillId="4" borderId="42" xfId="0" applyNumberFormat="1" applyFont="1" applyFill="1" applyBorder="1" applyAlignment="1">
      <alignment horizontal="center"/>
    </xf>
    <xf numFmtId="0" fontId="8" fillId="4" borderId="42" xfId="0" applyFont="1" applyFill="1" applyBorder="1"/>
    <xf numFmtId="165" fontId="1" fillId="9" borderId="28" xfId="0" applyNumberFormat="1" applyFont="1" applyFill="1" applyBorder="1" applyAlignment="1">
      <alignment horizontal="center"/>
    </xf>
    <xf numFmtId="171" fontId="1" fillId="9" borderId="28" xfId="0" applyNumberFormat="1" applyFont="1" applyFill="1" applyBorder="1" applyAlignment="1">
      <alignment horizontal="center"/>
    </xf>
    <xf numFmtId="1" fontId="1" fillId="9" borderId="17" xfId="0" applyNumberFormat="1" applyFont="1" applyFill="1" applyBorder="1" applyAlignment="1">
      <alignment horizontal="center"/>
    </xf>
    <xf numFmtId="1" fontId="1" fillId="9" borderId="40" xfId="0" applyNumberFormat="1" applyFont="1" applyFill="1" applyBorder="1" applyAlignment="1">
      <alignment horizontal="center"/>
    </xf>
    <xf numFmtId="0" fontId="0" fillId="0" borderId="0" xfId="0" applyFont="1" applyAlignment="1"/>
    <xf numFmtId="0" fontId="33" fillId="3" borderId="1" xfId="0" applyFont="1" applyFill="1" applyBorder="1" applyAlignment="1">
      <alignment horizontal="center" vertical="center"/>
    </xf>
    <xf numFmtId="165" fontId="1" fillId="9" borderId="1" xfId="0" applyNumberFormat="1" applyFont="1" applyFill="1" applyBorder="1" applyAlignment="1">
      <alignment horizontal="center"/>
    </xf>
    <xf numFmtId="165" fontId="1" fillId="9" borderId="19" xfId="0" applyNumberFormat="1" applyFont="1" applyFill="1" applyBorder="1" applyAlignment="1">
      <alignment horizontal="center"/>
    </xf>
    <xf numFmtId="164" fontId="1" fillId="9" borderId="24" xfId="0" applyNumberFormat="1" applyFont="1" applyFill="1" applyBorder="1" applyAlignment="1">
      <alignment horizontal="center"/>
    </xf>
    <xf numFmtId="164" fontId="1" fillId="9" borderId="26" xfId="0" applyNumberFormat="1" applyFont="1" applyFill="1" applyBorder="1" applyAlignment="1">
      <alignment horizontal="center"/>
    </xf>
    <xf numFmtId="164" fontId="1" fillId="9" borderId="1" xfId="0" applyNumberFormat="1" applyFont="1" applyFill="1" applyBorder="1" applyAlignment="1">
      <alignment horizontal="center"/>
    </xf>
    <xf numFmtId="164" fontId="1" fillId="9" borderId="19" xfId="0" applyNumberFormat="1" applyFont="1" applyFill="1" applyBorder="1" applyAlignment="1">
      <alignment horizontal="center"/>
    </xf>
    <xf numFmtId="164" fontId="1" fillId="9" borderId="27" xfId="0" applyNumberFormat="1" applyFont="1" applyFill="1" applyBorder="1" applyAlignment="1">
      <alignment horizontal="center"/>
    </xf>
    <xf numFmtId="165" fontId="1" fillId="9" borderId="24" xfId="0" applyNumberFormat="1" applyFont="1" applyFill="1" applyBorder="1" applyAlignment="1">
      <alignment horizontal="center"/>
    </xf>
    <xf numFmtId="165" fontId="1" fillId="9" borderId="25" xfId="0" applyNumberFormat="1" applyFont="1" applyFill="1" applyBorder="1" applyAlignment="1">
      <alignment horizontal="center"/>
    </xf>
    <xf numFmtId="0" fontId="45" fillId="4" borderId="1" xfId="0" applyFont="1" applyFill="1" applyBorder="1"/>
    <xf numFmtId="0" fontId="46" fillId="3" borderId="23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horizontal="left" vertical="center"/>
    </xf>
    <xf numFmtId="0" fontId="47" fillId="3" borderId="1" xfId="0" applyFont="1" applyFill="1" applyBorder="1"/>
    <xf numFmtId="0" fontId="48" fillId="4" borderId="1" xfId="0" applyFont="1" applyFill="1" applyBorder="1"/>
    <xf numFmtId="0" fontId="49" fillId="3" borderId="1" xfId="0" applyFont="1" applyFill="1" applyBorder="1" applyAlignment="1">
      <alignment horizontal="right"/>
    </xf>
    <xf numFmtId="0" fontId="0" fillId="0" borderId="0" xfId="0" applyFont="1" applyAlignment="1"/>
    <xf numFmtId="8" fontId="1" fillId="13" borderId="1" xfId="0" applyNumberFormat="1" applyFont="1" applyFill="1" applyBorder="1"/>
    <xf numFmtId="0" fontId="1" fillId="13" borderId="1" xfId="0" applyFont="1" applyFill="1" applyBorder="1"/>
    <xf numFmtId="44" fontId="1" fillId="4" borderId="42" xfId="0" applyNumberFormat="1" applyFont="1" applyFill="1" applyBorder="1"/>
    <xf numFmtId="6" fontId="1" fillId="15" borderId="46" xfId="0" applyNumberFormat="1" applyFont="1" applyFill="1" applyBorder="1" applyAlignment="1">
      <alignment horizontal="center"/>
    </xf>
    <xf numFmtId="0" fontId="51" fillId="0" borderId="54" xfId="0" applyFont="1" applyFill="1" applyBorder="1" applyAlignment="1">
      <alignment horizontal="center" vertical="center"/>
    </xf>
    <xf numFmtId="0" fontId="51" fillId="0" borderId="55" xfId="0" applyFont="1" applyFill="1" applyBorder="1" applyAlignment="1">
      <alignment horizontal="center"/>
    </xf>
    <xf numFmtId="0" fontId="51" fillId="0" borderId="56" xfId="0" applyFont="1" applyFill="1" applyBorder="1" applyAlignment="1">
      <alignment horizontal="center"/>
    </xf>
    <xf numFmtId="0" fontId="52" fillId="14" borderId="60" xfId="0" applyFont="1" applyFill="1" applyBorder="1" applyAlignment="1">
      <alignment horizontal="right" vertical="center"/>
    </xf>
    <xf numFmtId="0" fontId="52" fillId="14" borderId="60" xfId="0" applyFont="1" applyFill="1" applyBorder="1" applyAlignment="1">
      <alignment horizontal="right"/>
    </xf>
    <xf numFmtId="0" fontId="52" fillId="14" borderId="61" xfId="0" applyFont="1" applyFill="1" applyBorder="1" applyAlignment="1">
      <alignment horizontal="right"/>
    </xf>
    <xf numFmtId="0" fontId="1" fillId="14" borderId="0" xfId="0" applyFont="1" applyFill="1"/>
    <xf numFmtId="0" fontId="0" fillId="14" borderId="0" xfId="0" applyFont="1" applyFill="1" applyAlignment="1"/>
    <xf numFmtId="2" fontId="24" fillId="4" borderId="1" xfId="0" applyNumberFormat="1" applyFont="1" applyFill="1" applyBorder="1" applyAlignment="1">
      <alignment horizontal="center" vertical="center"/>
    </xf>
    <xf numFmtId="2" fontId="24" fillId="4" borderId="1" xfId="0" applyNumberFormat="1" applyFont="1" applyFill="1" applyBorder="1" applyAlignment="1">
      <alignment horizontal="center"/>
    </xf>
    <xf numFmtId="0" fontId="1" fillId="16" borderId="1" xfId="0" applyFont="1" applyFill="1" applyBorder="1"/>
    <xf numFmtId="0" fontId="1" fillId="16" borderId="1" xfId="0" applyFont="1" applyFill="1" applyBorder="1" applyAlignment="1">
      <alignment horizontal="center" vertical="center"/>
    </xf>
    <xf numFmtId="0" fontId="1" fillId="4" borderId="63" xfId="0" applyFont="1" applyFill="1" applyBorder="1" applyAlignment="1">
      <alignment horizontal="center"/>
    </xf>
    <xf numFmtId="0" fontId="1" fillId="4" borderId="64" xfId="0" applyFont="1" applyFill="1" applyBorder="1" applyAlignment="1">
      <alignment horizontal="center"/>
    </xf>
    <xf numFmtId="0" fontId="1" fillId="4" borderId="57" xfId="0" applyFont="1" applyFill="1" applyBorder="1" applyAlignment="1">
      <alignment horizontal="center"/>
    </xf>
    <xf numFmtId="0" fontId="1" fillId="4" borderId="65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63" xfId="0" applyFont="1" applyBorder="1" applyAlignment="1">
      <alignment horizontal="center"/>
    </xf>
    <xf numFmtId="0" fontId="1" fillId="14" borderId="63" xfId="0" applyFont="1" applyFill="1" applyBorder="1" applyAlignment="1">
      <alignment horizontal="center"/>
    </xf>
    <xf numFmtId="0" fontId="1" fillId="14" borderId="64" xfId="0" applyFont="1" applyFill="1" applyBorder="1" applyAlignment="1">
      <alignment horizontal="center"/>
    </xf>
    <xf numFmtId="0" fontId="53" fillId="4" borderId="1" xfId="0" applyFont="1" applyFill="1" applyBorder="1"/>
    <xf numFmtId="2" fontId="54" fillId="4" borderId="1" xfId="0" applyNumberFormat="1" applyFont="1" applyFill="1" applyBorder="1" applyAlignment="1">
      <alignment horizontal="center" vertical="center"/>
    </xf>
    <xf numFmtId="169" fontId="55" fillId="4" borderId="1" xfId="0" applyNumberFormat="1" applyFont="1" applyFill="1" applyBorder="1" applyAlignment="1">
      <alignment horizontal="center" vertical="center"/>
    </xf>
    <xf numFmtId="0" fontId="8" fillId="17" borderId="1" xfId="0" applyFont="1" applyFill="1" applyBorder="1"/>
    <xf numFmtId="3" fontId="8" fillId="4" borderId="1" xfId="0" applyNumberFormat="1" applyFont="1" applyFill="1" applyBorder="1"/>
    <xf numFmtId="0" fontId="8" fillId="14" borderId="0" xfId="0" applyFont="1" applyFill="1"/>
    <xf numFmtId="0" fontId="56" fillId="14" borderId="0" xfId="0" applyFont="1" applyFill="1" applyAlignment="1"/>
    <xf numFmtId="44" fontId="8" fillId="4" borderId="1" xfId="0" applyNumberFormat="1" applyFont="1" applyFill="1" applyBorder="1"/>
    <xf numFmtId="167" fontId="8" fillId="4" borderId="1" xfId="0" applyNumberFormat="1" applyFont="1" applyFill="1" applyBorder="1"/>
    <xf numFmtId="2" fontId="8" fillId="4" borderId="1" xfId="0" applyNumberFormat="1" applyFont="1" applyFill="1" applyBorder="1"/>
    <xf numFmtId="0" fontId="26" fillId="14" borderId="0" xfId="0" applyFont="1" applyFill="1"/>
    <xf numFmtId="0" fontId="1" fillId="4" borderId="66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left"/>
    </xf>
    <xf numFmtId="0" fontId="34" fillId="2" borderId="42" xfId="0" applyFont="1" applyFill="1" applyBorder="1"/>
    <xf numFmtId="0" fontId="34" fillId="3" borderId="42" xfId="0" applyFont="1" applyFill="1" applyBorder="1" applyAlignment="1">
      <alignment vertical="center"/>
    </xf>
    <xf numFmtId="0" fontId="34" fillId="4" borderId="42" xfId="0" applyFont="1" applyFill="1" applyBorder="1"/>
    <xf numFmtId="0" fontId="34" fillId="0" borderId="42" xfId="0" applyFont="1" applyBorder="1"/>
    <xf numFmtId="0" fontId="53" fillId="2" borderId="42" xfId="0" applyFont="1" applyFill="1" applyBorder="1"/>
    <xf numFmtId="0" fontId="53" fillId="3" borderId="42" xfId="0" applyFont="1" applyFill="1" applyBorder="1" applyAlignment="1">
      <alignment vertical="center"/>
    </xf>
    <xf numFmtId="0" fontId="53" fillId="4" borderId="42" xfId="0" applyFont="1" applyFill="1" applyBorder="1"/>
    <xf numFmtId="0" fontId="57" fillId="4" borderId="1" xfId="0" applyFont="1" applyFill="1" applyBorder="1" applyAlignment="1">
      <alignment horizontal="center"/>
    </xf>
    <xf numFmtId="164" fontId="53" fillId="4" borderId="42" xfId="0" applyNumberFormat="1" applyFont="1" applyFill="1" applyBorder="1"/>
    <xf numFmtId="0" fontId="3" fillId="0" borderId="0" xfId="0" applyFont="1" applyAlignment="1"/>
    <xf numFmtId="164" fontId="1" fillId="4" borderId="1" xfId="0" applyNumberFormat="1" applyFont="1" applyFill="1" applyBorder="1" applyAlignment="1">
      <alignment horizontal="center" vertical="center"/>
    </xf>
    <xf numFmtId="1" fontId="53" fillId="4" borderId="42" xfId="0" applyNumberFormat="1" applyFont="1" applyFill="1" applyBorder="1"/>
    <xf numFmtId="0" fontId="0" fillId="0" borderId="0" xfId="0" applyFont="1" applyAlignment="1"/>
    <xf numFmtId="0" fontId="1" fillId="3" borderId="1" xfId="0" applyFont="1" applyFill="1" applyBorder="1" applyAlignment="1">
      <alignment horizontal="center" vertical="center"/>
    </xf>
    <xf numFmtId="0" fontId="1" fillId="2" borderId="42" xfId="0" applyFont="1" applyFill="1" applyBorder="1"/>
    <xf numFmtId="173" fontId="1" fillId="9" borderId="37" xfId="0" applyNumberFormat="1" applyFont="1" applyFill="1" applyBorder="1" applyAlignment="1">
      <alignment horizontal="center"/>
    </xf>
    <xf numFmtId="168" fontId="1" fillId="9" borderId="37" xfId="0" applyNumberFormat="1" applyFont="1" applyFill="1" applyBorder="1" applyAlignment="1">
      <alignment horizontal="center"/>
    </xf>
    <xf numFmtId="173" fontId="1" fillId="4" borderId="67" xfId="0" applyNumberFormat="1" applyFont="1" applyFill="1" applyBorder="1" applyAlignment="1">
      <alignment horizontal="center"/>
    </xf>
    <xf numFmtId="0" fontId="1" fillId="4" borderId="67" xfId="0" applyFont="1" applyFill="1" applyBorder="1" applyAlignment="1">
      <alignment horizontal="center"/>
    </xf>
    <xf numFmtId="0" fontId="1" fillId="18" borderId="67" xfId="0" applyFont="1" applyFill="1" applyBorder="1" applyAlignment="1">
      <alignment horizontal="center"/>
    </xf>
    <xf numFmtId="0" fontId="1" fillId="3" borderId="68" xfId="0" applyFont="1" applyFill="1" applyBorder="1"/>
    <xf numFmtId="0" fontId="58" fillId="3" borderId="69" xfId="0" applyFont="1" applyFill="1" applyBorder="1" applyAlignment="1">
      <alignment vertical="center"/>
    </xf>
    <xf numFmtId="0" fontId="1" fillId="3" borderId="69" xfId="0" applyFont="1" applyFill="1" applyBorder="1"/>
    <xf numFmtId="0" fontId="1" fillId="3" borderId="70" xfId="0" applyFont="1" applyFill="1" applyBorder="1"/>
    <xf numFmtId="0" fontId="1" fillId="4" borderId="57" xfId="0" applyFont="1" applyFill="1" applyBorder="1"/>
    <xf numFmtId="0" fontId="59" fillId="4" borderId="42" xfId="0" applyFont="1" applyFill="1" applyBorder="1"/>
    <xf numFmtId="0" fontId="1" fillId="4" borderId="71" xfId="0" applyFont="1" applyFill="1" applyBorder="1"/>
    <xf numFmtId="0" fontId="1" fillId="4" borderId="42" xfId="0" applyFont="1" applyFill="1" applyBorder="1" applyAlignment="1">
      <alignment horizontal="center"/>
    </xf>
    <xf numFmtId="0" fontId="5" fillId="4" borderId="42" xfId="0" applyFont="1" applyFill="1" applyBorder="1"/>
    <xf numFmtId="0" fontId="0" fillId="0" borderId="42" xfId="0" applyFont="1" applyBorder="1" applyAlignment="1"/>
    <xf numFmtId="0" fontId="1" fillId="4" borderId="42" xfId="0" applyFont="1" applyFill="1" applyBorder="1" applyAlignment="1">
      <alignment horizontal="right"/>
    </xf>
    <xf numFmtId="0" fontId="1" fillId="4" borderId="72" xfId="0" applyFont="1" applyFill="1" applyBorder="1"/>
    <xf numFmtId="0" fontId="1" fillId="4" borderId="73" xfId="0" applyFont="1" applyFill="1" applyBorder="1" applyAlignment="1">
      <alignment horizontal="center"/>
    </xf>
    <xf numFmtId="171" fontId="1" fillId="9" borderId="74" xfId="0" applyNumberFormat="1" applyFont="1" applyFill="1" applyBorder="1" applyAlignment="1">
      <alignment horizontal="center"/>
    </xf>
    <xf numFmtId="0" fontId="1" fillId="4" borderId="73" xfId="0" applyFont="1" applyFill="1" applyBorder="1"/>
    <xf numFmtId="0" fontId="1" fillId="4" borderId="75" xfId="0" applyFont="1" applyFill="1" applyBorder="1"/>
    <xf numFmtId="0" fontId="1" fillId="4" borderId="76" xfId="0" applyFont="1" applyFill="1" applyBorder="1"/>
    <xf numFmtId="0" fontId="1" fillId="3" borderId="42" xfId="0" applyFont="1" applyFill="1" applyBorder="1" applyAlignment="1">
      <alignment vertical="center"/>
    </xf>
    <xf numFmtId="0" fontId="5" fillId="4" borderId="42" xfId="0" applyFont="1" applyFill="1" applyBorder="1" applyAlignment="1">
      <alignment horizontal="right"/>
    </xf>
    <xf numFmtId="0" fontId="5" fillId="4" borderId="73" xfId="0" applyFont="1" applyFill="1" applyBorder="1" applyAlignment="1">
      <alignment horizontal="right"/>
    </xf>
    <xf numFmtId="173" fontId="1" fillId="18" borderId="67" xfId="0" applyNumberFormat="1" applyFont="1" applyFill="1" applyBorder="1" applyAlignment="1">
      <alignment horizontal="center"/>
    </xf>
    <xf numFmtId="0" fontId="1" fillId="4" borderId="73" xfId="0" applyFont="1" applyFill="1" applyBorder="1" applyAlignment="1">
      <alignment horizontal="right"/>
    </xf>
    <xf numFmtId="0" fontId="59" fillId="4" borderId="76" xfId="0" applyFont="1" applyFill="1" applyBorder="1"/>
    <xf numFmtId="0" fontId="58" fillId="3" borderId="68" xfId="0" applyFont="1" applyFill="1" applyBorder="1" applyAlignment="1">
      <alignment vertical="center"/>
    </xf>
    <xf numFmtId="0" fontId="5" fillId="4" borderId="42" xfId="0" applyFont="1" applyFill="1" applyBorder="1" applyAlignment="1">
      <alignment horizontal="center"/>
    </xf>
    <xf numFmtId="0" fontId="5" fillId="4" borderId="71" xfId="0" applyFont="1" applyFill="1" applyBorder="1" applyAlignment="1">
      <alignment horizontal="center"/>
    </xf>
    <xf numFmtId="171" fontId="1" fillId="4" borderId="42" xfId="0" applyNumberFormat="1" applyFont="1" applyFill="1" applyBorder="1"/>
    <xf numFmtId="1" fontId="1" fillId="9" borderId="78" xfId="0" applyNumberFormat="1" applyFont="1" applyFill="1" applyBorder="1" applyAlignment="1">
      <alignment horizontal="center"/>
    </xf>
    <xf numFmtId="171" fontId="1" fillId="4" borderId="55" xfId="0" applyNumberFormat="1" applyFont="1" applyFill="1" applyBorder="1"/>
    <xf numFmtId="171" fontId="1" fillId="4" borderId="77" xfId="0" applyNumberFormat="1" applyFont="1" applyFill="1" applyBorder="1" applyAlignment="1">
      <alignment horizontal="center"/>
    </xf>
    <xf numFmtId="171" fontId="1" fillId="4" borderId="57" xfId="0" applyNumberFormat="1" applyFont="1" applyFill="1" applyBorder="1" applyAlignment="1">
      <alignment horizontal="center"/>
    </xf>
    <xf numFmtId="0" fontId="1" fillId="4" borderId="79" xfId="0" applyFont="1" applyFill="1" applyBorder="1" applyAlignment="1">
      <alignment horizontal="center"/>
    </xf>
    <xf numFmtId="0" fontId="1" fillId="4" borderId="80" xfId="0" applyFont="1" applyFill="1" applyBorder="1" applyAlignment="1">
      <alignment horizontal="center"/>
    </xf>
    <xf numFmtId="0" fontId="1" fillId="4" borderId="59" xfId="0" applyFont="1" applyFill="1" applyBorder="1"/>
    <xf numFmtId="0" fontId="1" fillId="4" borderId="60" xfId="0" applyFont="1" applyFill="1" applyBorder="1"/>
    <xf numFmtId="0" fontId="8" fillId="3" borderId="69" xfId="0" applyFont="1" applyFill="1" applyBorder="1"/>
    <xf numFmtId="173" fontId="8" fillId="3" borderId="69" xfId="0" applyNumberFormat="1" applyFont="1" applyFill="1" applyBorder="1"/>
    <xf numFmtId="0" fontId="30" fillId="3" borderId="68" xfId="0" applyFont="1" applyFill="1" applyBorder="1" applyAlignment="1">
      <alignment horizontal="right"/>
    </xf>
    <xf numFmtId="0" fontId="30" fillId="3" borderId="57" xfId="0" applyFont="1" applyFill="1" applyBorder="1" applyAlignment="1">
      <alignment horizontal="right"/>
    </xf>
    <xf numFmtId="0" fontId="8" fillId="3" borderId="42" xfId="0" applyFont="1" applyFill="1" applyBorder="1"/>
    <xf numFmtId="0" fontId="1" fillId="3" borderId="57" xfId="0" applyFont="1" applyFill="1" applyBorder="1"/>
    <xf numFmtId="0" fontId="1" fillId="3" borderId="42" xfId="0" applyFont="1" applyFill="1" applyBorder="1"/>
    <xf numFmtId="173" fontId="8" fillId="3" borderId="69" xfId="0" applyNumberFormat="1" applyFont="1" applyFill="1" applyBorder="1" applyAlignment="1">
      <alignment horizontal="left"/>
    </xf>
    <xf numFmtId="0" fontId="8" fillId="3" borderId="42" xfId="0" applyFont="1" applyFill="1" applyBorder="1" applyAlignment="1">
      <alignment horizontal="left"/>
    </xf>
    <xf numFmtId="173" fontId="8" fillId="3" borderId="42" xfId="0" applyNumberFormat="1" applyFont="1" applyFill="1" applyBorder="1" applyAlignment="1">
      <alignment horizontal="left"/>
    </xf>
    <xf numFmtId="0" fontId="1" fillId="14" borderId="0" xfId="0" applyFont="1" applyFill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14" borderId="57" xfId="0" applyFont="1" applyFill="1" applyBorder="1"/>
    <xf numFmtId="0" fontId="60" fillId="4" borderId="57" xfId="0" applyFont="1" applyFill="1" applyBorder="1" applyAlignment="1">
      <alignment horizontal="center"/>
    </xf>
    <xf numFmtId="0" fontId="1" fillId="14" borderId="67" xfId="0" applyFont="1" applyFill="1" applyBorder="1" applyAlignment="1">
      <alignment horizontal="center"/>
    </xf>
    <xf numFmtId="0" fontId="60" fillId="14" borderId="57" xfId="0" applyFont="1" applyFill="1" applyBorder="1" applyAlignment="1">
      <alignment horizontal="center"/>
    </xf>
    <xf numFmtId="0" fontId="61" fillId="14" borderId="57" xfId="0" applyFont="1" applyFill="1" applyBorder="1" applyAlignment="1">
      <alignment horizontal="center"/>
    </xf>
    <xf numFmtId="0" fontId="1" fillId="14" borderId="67" xfId="0" applyFont="1" applyFill="1" applyBorder="1" applyAlignment="1"/>
    <xf numFmtId="0" fontId="1" fillId="2" borderId="1" xfId="0" applyFont="1" applyFill="1" applyBorder="1" applyAlignment="1">
      <alignment horizontal="center"/>
    </xf>
    <xf numFmtId="173" fontId="1" fillId="14" borderId="67" xfId="0" applyNumberFormat="1" applyFont="1" applyFill="1" applyBorder="1" applyAlignment="1">
      <alignment horizontal="center"/>
    </xf>
    <xf numFmtId="0" fontId="60" fillId="4" borderId="42" xfId="0" applyFont="1" applyFill="1" applyBorder="1" applyAlignment="1">
      <alignment horizontal="center"/>
    </xf>
    <xf numFmtId="0" fontId="60" fillId="14" borderId="71" xfId="0" applyFont="1" applyFill="1" applyBorder="1" applyAlignment="1">
      <alignment horizontal="center"/>
    </xf>
    <xf numFmtId="0" fontId="1" fillId="14" borderId="42" xfId="0" applyFont="1" applyFill="1" applyBorder="1"/>
    <xf numFmtId="0" fontId="0" fillId="14" borderId="42" xfId="0" applyFont="1" applyFill="1" applyBorder="1" applyAlignment="1"/>
    <xf numFmtId="0" fontId="1" fillId="14" borderId="42" xfId="0" applyFont="1" applyFill="1" applyBorder="1" applyAlignment="1"/>
    <xf numFmtId="0" fontId="1" fillId="14" borderId="72" xfId="0" applyFont="1" applyFill="1" applyBorder="1"/>
    <xf numFmtId="0" fontId="1" fillId="14" borderId="73" xfId="0" applyFont="1" applyFill="1" applyBorder="1"/>
    <xf numFmtId="0" fontId="1" fillId="3" borderId="56" xfId="0" applyFont="1" applyFill="1" applyBorder="1"/>
    <xf numFmtId="0" fontId="1" fillId="3" borderId="71" xfId="0" applyFont="1" applyFill="1" applyBorder="1"/>
    <xf numFmtId="0" fontId="1" fillId="3" borderId="77" xfId="0" applyFont="1" applyFill="1" applyBorder="1"/>
    <xf numFmtId="0" fontId="59" fillId="4" borderId="84" xfId="0" applyFont="1" applyFill="1" applyBorder="1" applyAlignment="1">
      <alignment horizontal="center"/>
    </xf>
    <xf numFmtId="0" fontId="59" fillId="4" borderId="85" xfId="0" applyFont="1" applyFill="1" applyBorder="1" applyAlignment="1">
      <alignment horizontal="center"/>
    </xf>
    <xf numFmtId="0" fontId="1" fillId="14" borderId="86" xfId="0" applyFont="1" applyFill="1" applyBorder="1" applyAlignment="1">
      <alignment horizontal="center"/>
    </xf>
    <xf numFmtId="0" fontId="1" fillId="14" borderId="87" xfId="0" applyFont="1" applyFill="1" applyBorder="1" applyAlignment="1">
      <alignment horizontal="center"/>
    </xf>
    <xf numFmtId="0" fontId="1" fillId="14" borderId="88" xfId="0" applyFont="1" applyFill="1" applyBorder="1" applyAlignment="1">
      <alignment horizontal="center"/>
    </xf>
    <xf numFmtId="0" fontId="1" fillId="14" borderId="89" xfId="0" applyFont="1" applyFill="1" applyBorder="1" applyAlignment="1">
      <alignment horizontal="center"/>
    </xf>
    <xf numFmtId="0" fontId="50" fillId="14" borderId="0" xfId="0" applyFont="1" applyFill="1" applyAlignment="1"/>
    <xf numFmtId="0" fontId="53" fillId="2" borderId="1" xfId="0" applyFont="1" applyFill="1" applyBorder="1"/>
    <xf numFmtId="0" fontId="62" fillId="2" borderId="1" xfId="0" applyFont="1" applyFill="1" applyBorder="1" applyAlignment="1">
      <alignment horizontal="right"/>
    </xf>
    <xf numFmtId="0" fontId="53" fillId="2" borderId="1" xfId="0" applyFont="1" applyFill="1" applyBorder="1" applyAlignment="1">
      <alignment horizontal="center" vertical="center"/>
    </xf>
    <xf numFmtId="44" fontId="57" fillId="2" borderId="1" xfId="0" applyNumberFormat="1" applyFont="1" applyFill="1" applyBorder="1"/>
    <xf numFmtId="44" fontId="62" fillId="2" borderId="1" xfId="0" applyNumberFormat="1" applyFont="1" applyFill="1" applyBorder="1" applyAlignment="1">
      <alignment horizontal="right" vertical="center"/>
    </xf>
    <xf numFmtId="0" fontId="63" fillId="12" borderId="1" xfId="0" applyFont="1" applyFill="1" applyBorder="1" applyAlignment="1">
      <alignment horizontal="center" vertical="center"/>
    </xf>
    <xf numFmtId="44" fontId="53" fillId="2" borderId="1" xfId="0" applyNumberFormat="1" applyFont="1" applyFill="1" applyBorder="1" applyAlignment="1">
      <alignment horizontal="center" vertical="top"/>
    </xf>
    <xf numFmtId="0" fontId="53" fillId="2" borderId="1" xfId="0" applyFont="1" applyFill="1" applyBorder="1" applyAlignment="1">
      <alignment horizontal="center" vertical="top"/>
    </xf>
    <xf numFmtId="171" fontId="1" fillId="4" borderId="1" xfId="0" applyNumberFormat="1" applyFont="1" applyFill="1" applyBorder="1" applyAlignment="1">
      <alignment horizontal="center"/>
    </xf>
    <xf numFmtId="0" fontId="0" fillId="0" borderId="0" xfId="0" applyFont="1" applyAlignment="1"/>
    <xf numFmtId="2" fontId="1" fillId="9" borderId="39" xfId="0" applyNumberFormat="1" applyFont="1" applyFill="1" applyBorder="1" applyAlignment="1">
      <alignment horizontal="center"/>
    </xf>
    <xf numFmtId="0" fontId="45" fillId="4" borderId="1" xfId="0" applyNumberFormat="1" applyFont="1" applyFill="1" applyBorder="1"/>
    <xf numFmtId="0" fontId="50" fillId="0" borderId="0" xfId="0" applyFont="1" applyAlignment="1"/>
    <xf numFmtId="171" fontId="0" fillId="0" borderId="0" xfId="0" applyNumberFormat="1" applyFont="1" applyAlignment="1"/>
    <xf numFmtId="174" fontId="0" fillId="0" borderId="0" xfId="0" applyNumberFormat="1" applyFont="1" applyAlignment="1"/>
    <xf numFmtId="175" fontId="0" fillId="0" borderId="0" xfId="0" applyNumberFormat="1" applyFont="1" applyAlignment="1"/>
    <xf numFmtId="0" fontId="50" fillId="0" borderId="0" xfId="0" applyFont="1" applyAlignment="1">
      <alignment horizontal="center"/>
    </xf>
    <xf numFmtId="0" fontId="64" fillId="0" borderId="0" xfId="0" applyFont="1" applyAlignment="1">
      <alignment horizontal="center"/>
    </xf>
    <xf numFmtId="0" fontId="64" fillId="0" borderId="0" xfId="0" applyFont="1" applyAlignment="1"/>
    <xf numFmtId="176" fontId="0" fillId="0" borderId="0" xfId="0" applyNumberFormat="1" applyFont="1" applyAlignment="1"/>
    <xf numFmtId="174" fontId="1" fillId="9" borderId="39" xfId="0" applyNumberFormat="1" applyFont="1" applyFill="1" applyBorder="1" applyAlignment="1">
      <alignment horizontal="center"/>
    </xf>
    <xf numFmtId="174" fontId="1" fillId="9" borderId="31" xfId="0" applyNumberFormat="1" applyFont="1" applyFill="1" applyBorder="1" applyAlignment="1">
      <alignment horizontal="center"/>
    </xf>
    <xf numFmtId="0" fontId="1" fillId="4" borderId="1" xfId="0" applyNumberFormat="1" applyFont="1" applyFill="1" applyBorder="1"/>
    <xf numFmtId="165" fontId="5" fillId="4" borderId="1" xfId="0" applyNumberFormat="1" applyFont="1" applyFill="1" applyBorder="1"/>
    <xf numFmtId="169" fontId="0" fillId="0" borderId="0" xfId="0" applyNumberFormat="1" applyFont="1" applyAlignment="1"/>
    <xf numFmtId="0" fontId="0" fillId="0" borderId="0" xfId="0" applyFont="1" applyAlignment="1">
      <alignment horizontal="center"/>
    </xf>
    <xf numFmtId="0" fontId="0" fillId="0" borderId="0" xfId="0" applyFont="1" applyAlignment="1"/>
    <xf numFmtId="0" fontId="51" fillId="0" borderId="42" xfId="0" applyFont="1" applyFill="1" applyBorder="1" applyAlignment="1">
      <alignment horizontal="center"/>
    </xf>
    <xf numFmtId="0" fontId="8" fillId="4" borderId="1" xfId="0" applyNumberFormat="1" applyFont="1" applyFill="1" applyBorder="1"/>
    <xf numFmtId="2" fontId="1" fillId="4" borderId="67" xfId="0" applyNumberFormat="1" applyFont="1" applyFill="1" applyBorder="1" applyAlignment="1">
      <alignment horizontal="center"/>
    </xf>
    <xf numFmtId="44" fontId="1" fillId="4" borderId="67" xfId="0" applyNumberFormat="1" applyFont="1" applyFill="1" applyBorder="1" applyAlignment="1">
      <alignment horizontal="center"/>
    </xf>
    <xf numFmtId="44" fontId="1" fillId="4" borderId="67" xfId="0" applyNumberFormat="1" applyFont="1" applyFill="1" applyBorder="1"/>
    <xf numFmtId="0" fontId="5" fillId="14" borderId="67" xfId="0" applyFont="1" applyFill="1" applyBorder="1" applyAlignment="1">
      <alignment horizontal="center" vertical="center"/>
    </xf>
    <xf numFmtId="164" fontId="1" fillId="14" borderId="67" xfId="0" applyNumberFormat="1" applyFont="1" applyFill="1" applyBorder="1"/>
    <xf numFmtId="164" fontId="5" fillId="14" borderId="67" xfId="0" applyNumberFormat="1" applyFont="1" applyFill="1" applyBorder="1" applyAlignment="1">
      <alignment horizontal="center" vertical="center"/>
    </xf>
    <xf numFmtId="0" fontId="1" fillId="4" borderId="62" xfId="0" applyFont="1" applyFill="1" applyBorder="1" applyAlignment="1">
      <alignment horizontal="center"/>
    </xf>
    <xf numFmtId="0" fontId="1" fillId="3" borderId="73" xfId="0" applyFont="1" applyFill="1" applyBorder="1"/>
    <xf numFmtId="0" fontId="1" fillId="9" borderId="90" xfId="0" applyFont="1" applyFill="1" applyBorder="1" applyAlignment="1">
      <alignment horizontal="center"/>
    </xf>
    <xf numFmtId="0" fontId="1" fillId="3" borderId="73" xfId="0" applyFont="1" applyFill="1" applyBorder="1" applyAlignment="1">
      <alignment horizontal="center"/>
    </xf>
    <xf numFmtId="170" fontId="1" fillId="9" borderId="90" xfId="0" applyNumberFormat="1" applyFont="1" applyFill="1" applyBorder="1" applyAlignment="1">
      <alignment horizontal="center"/>
    </xf>
    <xf numFmtId="1" fontId="1" fillId="9" borderId="58" xfId="0" applyNumberFormat="1" applyFont="1" applyFill="1" applyBorder="1" applyAlignment="1">
      <alignment horizontal="center"/>
    </xf>
    <xf numFmtId="1" fontId="1" fillId="9" borderId="74" xfId="0" applyNumberFormat="1" applyFont="1" applyFill="1" applyBorder="1" applyAlignment="1">
      <alignment horizontal="center"/>
    </xf>
    <xf numFmtId="44" fontId="1" fillId="9" borderId="74" xfId="0" applyNumberFormat="1" applyFont="1" applyFill="1" applyBorder="1" applyAlignment="1">
      <alignment horizontal="center"/>
    </xf>
    <xf numFmtId="171" fontId="1" fillId="9" borderId="90" xfId="0" applyNumberFormat="1" applyFont="1" applyFill="1" applyBorder="1" applyAlignment="1">
      <alignment horizontal="center"/>
    </xf>
    <xf numFmtId="170" fontId="1" fillId="3" borderId="73" xfId="0" applyNumberFormat="1" applyFont="1" applyFill="1" applyBorder="1"/>
    <xf numFmtId="174" fontId="1" fillId="9" borderId="58" xfId="0" applyNumberFormat="1" applyFont="1" applyFill="1" applyBorder="1" applyAlignment="1">
      <alignment horizontal="center"/>
    </xf>
    <xf numFmtId="164" fontId="5" fillId="9" borderId="39" xfId="0" applyNumberFormat="1" applyFont="1" applyFill="1" applyBorder="1" applyAlignment="1">
      <alignment horizontal="center"/>
    </xf>
    <xf numFmtId="0" fontId="58" fillId="3" borderId="1" xfId="0" applyFont="1" applyFill="1" applyBorder="1" applyAlignment="1">
      <alignment horizontal="right"/>
    </xf>
    <xf numFmtId="0" fontId="58" fillId="3" borderId="1" xfId="0" applyFont="1" applyFill="1" applyBorder="1"/>
    <xf numFmtId="0" fontId="0" fillId="0" borderId="0" xfId="0" applyFont="1" applyAlignment="1"/>
    <xf numFmtId="1" fontId="1" fillId="4" borderId="19" xfId="0" applyNumberFormat="1" applyFont="1" applyFill="1" applyBorder="1" applyAlignment="1">
      <alignment horizontal="center"/>
    </xf>
    <xf numFmtId="1" fontId="1" fillId="4" borderId="16" xfId="0" applyNumberFormat="1" applyFont="1" applyFill="1" applyBorder="1" applyAlignment="1">
      <alignment horizontal="center"/>
    </xf>
    <xf numFmtId="10" fontId="1" fillId="9" borderId="46" xfId="0" applyNumberFormat="1" applyFont="1" applyFill="1" applyBorder="1" applyAlignment="1">
      <alignment horizontal="center"/>
    </xf>
    <xf numFmtId="0" fontId="39" fillId="3" borderId="42" xfId="0" applyFont="1" applyFill="1" applyBorder="1" applyAlignment="1">
      <alignment horizontal="right" vertical="center"/>
    </xf>
    <xf numFmtId="0" fontId="1" fillId="9" borderId="36" xfId="0" applyFont="1" applyFill="1" applyBorder="1" applyAlignment="1">
      <alignment horizontal="center"/>
    </xf>
    <xf numFmtId="6" fontId="1" fillId="9" borderId="15" xfId="0" applyNumberFormat="1" applyFont="1" applyFill="1" applyBorder="1" applyAlignment="1">
      <alignment horizontal="center"/>
    </xf>
    <xf numFmtId="6" fontId="1" fillId="9" borderId="36" xfId="0" applyNumberFormat="1" applyFont="1" applyFill="1" applyBorder="1" applyAlignment="1">
      <alignment horizontal="center"/>
    </xf>
    <xf numFmtId="0" fontId="39" fillId="3" borderId="73" xfId="0" applyFont="1" applyFill="1" applyBorder="1" applyAlignment="1">
      <alignment horizontal="right" vertical="center"/>
    </xf>
    <xf numFmtId="0" fontId="1" fillId="9" borderId="58" xfId="0" applyFont="1" applyFill="1" applyBorder="1" applyAlignment="1">
      <alignment horizontal="center"/>
    </xf>
    <xf numFmtId="6" fontId="1" fillId="9" borderId="58" xfId="0" applyNumberFormat="1" applyFont="1" applyFill="1" applyBorder="1" applyAlignment="1">
      <alignment horizontal="center"/>
    </xf>
    <xf numFmtId="6" fontId="1" fillId="9" borderId="92" xfId="0" applyNumberFormat="1" applyFont="1" applyFill="1" applyBorder="1" applyAlignment="1">
      <alignment horizontal="center"/>
    </xf>
    <xf numFmtId="44" fontId="1" fillId="15" borderId="39" xfId="1" applyFont="1" applyFill="1" applyBorder="1" applyAlignment="1">
      <alignment horizontal="center"/>
    </xf>
    <xf numFmtId="44" fontId="1" fillId="15" borderId="46" xfId="1" applyFont="1" applyFill="1" applyBorder="1" applyAlignment="1">
      <alignment horizontal="center"/>
    </xf>
    <xf numFmtId="44" fontId="1" fillId="15" borderId="31" xfId="1" applyFont="1" applyFill="1" applyBorder="1" applyAlignment="1">
      <alignment horizontal="center"/>
    </xf>
    <xf numFmtId="0" fontId="52" fillId="14" borderId="59" xfId="0" applyFont="1" applyFill="1" applyBorder="1" applyAlignment="1">
      <alignment horizontal="right"/>
    </xf>
    <xf numFmtId="0" fontId="0" fillId="0" borderId="60" xfId="0" applyFont="1" applyBorder="1" applyAlignment="1">
      <alignment horizontal="right"/>
    </xf>
    <xf numFmtId="0" fontId="52" fillId="14" borderId="0" xfId="0" applyFont="1" applyFill="1" applyBorder="1" applyAlignment="1">
      <alignment horizontal="right"/>
    </xf>
    <xf numFmtId="0" fontId="52" fillId="14" borderId="61" xfId="0" applyFont="1" applyFill="1" applyBorder="1" applyAlignment="1">
      <alignment horizontal="right" vertical="center"/>
    </xf>
    <xf numFmtId="44" fontId="0" fillId="0" borderId="46" xfId="1" applyFont="1" applyBorder="1" applyAlignment="1"/>
    <xf numFmtId="44" fontId="1" fillId="15" borderId="0" xfId="1" applyFont="1" applyFill="1" applyBorder="1" applyAlignment="1">
      <alignment horizontal="center"/>
    </xf>
    <xf numFmtId="0" fontId="0" fillId="19" borderId="0" xfId="0" applyFont="1" applyFill="1" applyAlignment="1"/>
    <xf numFmtId="0" fontId="1" fillId="19" borderId="67" xfId="0" applyFont="1" applyFill="1" applyBorder="1" applyAlignment="1">
      <alignment horizontal="center"/>
    </xf>
    <xf numFmtId="0" fontId="50" fillId="19" borderId="0" xfId="0" applyFont="1" applyFill="1" applyAlignment="1"/>
    <xf numFmtId="0" fontId="0" fillId="19" borderId="0" xfId="0" applyFont="1" applyFill="1" applyAlignment="1">
      <alignment horizontal="center"/>
    </xf>
    <xf numFmtId="175" fontId="0" fillId="19" borderId="0" xfId="0" applyNumberFormat="1" applyFont="1" applyFill="1" applyAlignment="1"/>
    <xf numFmtId="0" fontId="50" fillId="0" borderId="0" xfId="0" applyFont="1" applyFill="1" applyAlignment="1"/>
    <xf numFmtId="171" fontId="1" fillId="4" borderId="72" xfId="0" applyNumberFormat="1" applyFont="1" applyFill="1" applyBorder="1" applyAlignment="1">
      <alignment horizontal="center"/>
    </xf>
    <xf numFmtId="0" fontId="1" fillId="4" borderId="81" xfId="0" applyFont="1" applyFill="1" applyBorder="1" applyAlignment="1">
      <alignment horizontal="center"/>
    </xf>
    <xf numFmtId="171" fontId="1" fillId="4" borderId="73" xfId="0" applyNumberFormat="1" applyFont="1" applyFill="1" applyBorder="1"/>
    <xf numFmtId="0" fontId="1" fillId="4" borderId="62" xfId="0" applyFont="1" applyFill="1" applyBorder="1"/>
    <xf numFmtId="0" fontId="0" fillId="0" borderId="62" xfId="0" applyFont="1" applyBorder="1" applyAlignment="1">
      <alignment horizontal="right"/>
    </xf>
    <xf numFmtId="44" fontId="0" fillId="0" borderId="58" xfId="1" applyFont="1" applyBorder="1" applyAlignment="1"/>
    <xf numFmtId="0" fontId="66" fillId="14" borderId="0" xfId="0" applyFont="1" applyFill="1" applyAlignment="1">
      <alignment horizontal="center"/>
    </xf>
    <xf numFmtId="0" fontId="66" fillId="14" borderId="67" xfId="0" applyFont="1" applyFill="1" applyBorder="1" applyAlignment="1">
      <alignment horizontal="center"/>
    </xf>
    <xf numFmtId="0" fontId="5" fillId="4" borderId="57" xfId="0" applyFont="1" applyFill="1" applyBorder="1" applyAlignment="1">
      <alignment horizontal="center"/>
    </xf>
    <xf numFmtId="164" fontId="66" fillId="14" borderId="67" xfId="1" applyNumberFormat="1" applyFont="1" applyFill="1" applyBorder="1" applyAlignment="1">
      <alignment horizontal="center"/>
    </xf>
    <xf numFmtId="44" fontId="1" fillId="4" borderId="1" xfId="1" applyFont="1" applyFill="1" applyBorder="1"/>
    <xf numFmtId="164" fontId="1" fillId="4" borderId="1" xfId="1" applyNumberFormat="1" applyFont="1" applyFill="1" applyBorder="1"/>
    <xf numFmtId="164" fontId="53" fillId="4" borderId="1" xfId="0" applyNumberFormat="1" applyFont="1" applyFill="1" applyBorder="1"/>
    <xf numFmtId="165" fontId="48" fillId="4" borderId="1" xfId="0" applyNumberFormat="1" applyFont="1" applyFill="1" applyBorder="1"/>
    <xf numFmtId="0" fontId="2" fillId="3" borderId="2" xfId="0" applyFont="1" applyFill="1" applyBorder="1" applyAlignment="1">
      <alignment horizontal="left" vertic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6" fillId="4" borderId="2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center" vertical="center"/>
    </xf>
    <xf numFmtId="0" fontId="27" fillId="4" borderId="12" xfId="0" applyFont="1" applyFill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44" fontId="1" fillId="9" borderId="35" xfId="0" applyNumberFormat="1" applyFont="1" applyFill="1" applyBorder="1" applyAlignment="1">
      <alignment horizontal="center"/>
    </xf>
    <xf numFmtId="0" fontId="3" fillId="0" borderId="36" xfId="0" applyFont="1" applyBorder="1"/>
    <xf numFmtId="44" fontId="5" fillId="9" borderId="35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left"/>
    </xf>
    <xf numFmtId="0" fontId="32" fillId="3" borderId="33" xfId="0" applyFont="1" applyFill="1" applyBorder="1" applyAlignment="1">
      <alignment horizontal="center" vertical="center"/>
    </xf>
    <xf numFmtId="0" fontId="3" fillId="0" borderId="34" xfId="0" applyFont="1" applyBorder="1"/>
    <xf numFmtId="0" fontId="38" fillId="3" borderId="33" xfId="0" applyFont="1" applyFill="1" applyBorder="1" applyAlignment="1">
      <alignment horizontal="left" wrapText="1"/>
    </xf>
    <xf numFmtId="0" fontId="3" fillId="0" borderId="42" xfId="0" applyFont="1" applyBorder="1"/>
    <xf numFmtId="0" fontId="8" fillId="3" borderId="43" xfId="0" applyFont="1" applyFill="1" applyBorder="1" applyAlignment="1">
      <alignment horizontal="center" vertical="center" textRotation="90"/>
    </xf>
    <xf numFmtId="0" fontId="3" fillId="0" borderId="44" xfId="0" applyFont="1" applyBorder="1"/>
    <xf numFmtId="0" fontId="3" fillId="0" borderId="47" xfId="0" applyFont="1" applyBorder="1"/>
    <xf numFmtId="0" fontId="3" fillId="0" borderId="91" xfId="0" applyFont="1" applyBorder="1"/>
    <xf numFmtId="0" fontId="24" fillId="4" borderId="50" xfId="0" applyFont="1" applyFill="1" applyBorder="1" applyAlignment="1">
      <alignment horizontal="center" vertical="center"/>
    </xf>
    <xf numFmtId="0" fontId="3" fillId="0" borderId="52" xfId="0" applyFont="1" applyBorder="1"/>
    <xf numFmtId="0" fontId="17" fillId="4" borderId="50" xfId="0" applyFont="1" applyFill="1" applyBorder="1" applyAlignment="1">
      <alignment horizontal="center" vertical="center"/>
    </xf>
    <xf numFmtId="0" fontId="3" fillId="0" borderId="51" xfId="0" applyFont="1" applyBorder="1"/>
    <xf numFmtId="0" fontId="24" fillId="4" borderId="50" xfId="0" applyFont="1" applyFill="1" applyBorder="1" applyAlignment="1">
      <alignment horizontal="center"/>
    </xf>
    <xf numFmtId="0" fontId="1" fillId="4" borderId="50" xfId="0" applyFont="1" applyFill="1" applyBorder="1" applyAlignment="1">
      <alignment horizontal="center"/>
    </xf>
    <xf numFmtId="0" fontId="59" fillId="4" borderId="54" xfId="0" applyFont="1" applyFill="1" applyBorder="1" applyAlignment="1">
      <alignment horizontal="center"/>
    </xf>
    <xf numFmtId="0" fontId="59" fillId="4" borderId="82" xfId="0" applyFont="1" applyFill="1" applyBorder="1" applyAlignment="1">
      <alignment horizontal="center"/>
    </xf>
    <xf numFmtId="0" fontId="59" fillId="4" borderId="83" xfId="0" applyFont="1" applyFill="1" applyBorder="1" applyAlignment="1">
      <alignment horizontal="center"/>
    </xf>
    <xf numFmtId="0" fontId="1" fillId="4" borderId="57" xfId="0" applyFont="1" applyFill="1" applyBorder="1" applyAlignment="1">
      <alignment horizontal="right"/>
    </xf>
    <xf numFmtId="0" fontId="1" fillId="4" borderId="42" xfId="0" applyFont="1" applyFill="1" applyBorder="1" applyAlignment="1">
      <alignment horizontal="right"/>
    </xf>
    <xf numFmtId="0" fontId="1" fillId="4" borderId="72" xfId="0" applyFont="1" applyFill="1" applyBorder="1" applyAlignment="1">
      <alignment horizontal="right"/>
    </xf>
    <xf numFmtId="0" fontId="1" fillId="4" borderId="73" xfId="0" applyFont="1" applyFill="1" applyBorder="1" applyAlignment="1">
      <alignment horizontal="right"/>
    </xf>
    <xf numFmtId="0" fontId="2" fillId="3" borderId="42" xfId="0" applyFont="1" applyFill="1" applyBorder="1" applyAlignment="1">
      <alignment horizontal="left" vertical="center"/>
    </xf>
    <xf numFmtId="0" fontId="1" fillId="4" borderId="77" xfId="0" applyFont="1" applyFill="1" applyBorder="1" applyAlignment="1">
      <alignment horizontal="right"/>
    </xf>
    <xf numFmtId="0" fontId="1" fillId="4" borderId="55" xfId="0" applyFont="1" applyFill="1" applyBorder="1" applyAlignment="1">
      <alignment horizontal="right"/>
    </xf>
    <xf numFmtId="0" fontId="43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>
      <alignment vertical="center"/>
    </xf>
    <xf numFmtId="0" fontId="36" fillId="4" borderId="1" xfId="0" applyFont="1" applyFill="1" applyBorder="1"/>
    <xf numFmtId="0" fontId="67" fillId="4" borderId="1" xfId="0" applyFont="1" applyFill="1" applyBorder="1"/>
    <xf numFmtId="0" fontId="67" fillId="20" borderId="1" xfId="0" applyFont="1" applyFill="1" applyBorder="1" applyAlignment="1">
      <alignment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3F743"/>
      <color rgb="FFFF99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4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PET Only - Health Status over Time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spPr>
            <a:pattFill prst="openDmnd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Model_b'!$T$11:$T$119</c:f>
              <c:numCache>
                <c:formatCode>0.00</c:formatCode>
                <c:ptCount val="109"/>
                <c:pt idx="0">
                  <c:v>76.5</c:v>
                </c:pt>
                <c:pt idx="1">
                  <c:v>75.071317228464807</c:v>
                </c:pt>
                <c:pt idx="2">
                  <c:v>73.765071471268044</c:v>
                </c:pt>
                <c:pt idx="3">
                  <c:v>72.567781231662053</c:v>
                </c:pt>
                <c:pt idx="4">
                  <c:v>71.467785574449977</c:v>
                </c:pt>
                <c:pt idx="5">
                  <c:v>70.454955338432327</c:v>
                </c:pt>
                <c:pt idx="6">
                  <c:v>69.520456537767942</c:v>
                </c:pt>
                <c:pt idx="7">
                  <c:v>68.656555437250972</c:v>
                </c:pt>
                <c:pt idx="8">
                  <c:v>67.856457110571682</c:v>
                </c:pt>
                <c:pt idx="9">
                  <c:v>67.114171058205272</c:v>
                </c:pt>
                <c:pt idx="10">
                  <c:v>66.42439881559352</c:v>
                </c:pt>
                <c:pt idx="11">
                  <c:v>65.782439526611853</c:v>
                </c:pt>
                <c:pt idx="12">
                  <c:v>65.184110268042573</c:v>
                </c:pt>
                <c:pt idx="13">
                  <c:v>64.625678544066147</c:v>
                </c:pt>
                <c:pt idx="14" formatCode="0">
                  <c:v>64.103804867410474</c:v>
                </c:pt>
                <c:pt idx="15" formatCode="0">
                  <c:v>63.615493737040097</c:v>
                </c:pt>
                <c:pt idx="16" formatCode="0">
                  <c:v>63.158051634704698</c:v>
                </c:pt>
                <c:pt idx="17" formatCode="0">
                  <c:v>62.729050912190729</c:v>
                </c:pt>
                <c:pt idx="18" formatCode="0">
                  <c:v>62.326298641389869</c:v>
                </c:pt>
                <c:pt idx="19" formatCode="0">
                  <c:v>61.947809660800864</c:v>
                </c:pt>
                <c:pt idx="20" formatCode="0">
                  <c:v>61.591783182916402</c:v>
                </c:pt>
                <c:pt idx="21" formatCode="0">
                  <c:v>61.256582433402315</c:v>
                </c:pt>
                <c:pt idx="22" formatCode="0">
                  <c:v>60.940716879959957</c:v>
                </c:pt>
                <c:pt idx="23" formatCode="0">
                  <c:v>60.642826680123839</c:v>
                </c:pt>
                <c:pt idx="24" formatCode="0">
                  <c:v>60.361669036018711</c:v>
                </c:pt>
                <c:pt idx="25" formatCode="0">
                  <c:v>60.096106192686669</c:v>
                </c:pt>
                <c:pt idx="26" formatCode="0">
                  <c:v>59.845094856904367</c:v>
                </c:pt>
                <c:pt idx="27" formatCode="0">
                  <c:v>59.607676846970911</c:v>
                </c:pt>
                <c:pt idx="28" formatCode="0">
                  <c:v>59.38297081198106</c:v>
                </c:pt>
                <c:pt idx="29" formatCode="0">
                  <c:v>59.17016488259253</c:v>
                </c:pt>
                <c:pt idx="30" formatCode="0">
                  <c:v>58.968510135046863</c:v>
                </c:pt>
                <c:pt idx="31" formatCode="0">
                  <c:v>58.777314766857188</c:v>
                </c:pt>
                <c:pt idx="32" formatCode="0">
                  <c:v>58.595938896659888</c:v>
                </c:pt>
                <c:pt idx="33" formatCode="0">
                  <c:v>58.423789912670792</c:v>
                </c:pt>
                <c:pt idx="34" formatCode="0">
                  <c:v>58.260318304342782</c:v>
                </c:pt>
                <c:pt idx="35" formatCode="0">
                  <c:v>58.105013920481362</c:v>
                </c:pt>
                <c:pt idx="36" formatCode="0">
                  <c:v>57.957402604476535</c:v>
                </c:pt>
                <c:pt idx="37" formatCode="0">
                  <c:v>57.817043163652158</c:v>
                </c:pt>
                <c:pt idx="38" formatCode="0">
                  <c:v>57.683524635182344</c:v>
                </c:pt>
                <c:pt idx="39" formatCode="0">
                  <c:v>57.556463815714764</c:v>
                </c:pt>
                <c:pt idx="40" formatCode="0">
                  <c:v>57.435503025888771</c:v>
                </c:pt>
                <c:pt idx="41" formatCode="0">
                  <c:v>57.320308084436149</c:v>
                </c:pt>
                <c:pt idx="42" formatCode="0">
                  <c:v>57.210566469586077</c:v>
                </c:pt>
                <c:pt idx="43" formatCode="0">
                  <c:v>57.105985648129995</c:v>
                </c:pt>
                <c:pt idx="44" formatCode="0">
                  <c:v>57.00629155479443</c:v>
                </c:pt>
                <c:pt idx="45" formatCode="0">
                  <c:v>56.911227206568277</c:v>
                </c:pt>
                <c:pt idx="46" formatCode="0">
                  <c:v>56.820551438376754</c:v>
                </c:pt>
                <c:pt idx="47" formatCode="0">
                  <c:v>56.734037748021798</c:v>
                </c:pt>
                <c:pt idx="48" formatCode="0">
                  <c:v>56.651473239648134</c:v>
                </c:pt>
                <c:pt idx="49" formatCode="0">
                  <c:v>56.572657656170108</c:v>
                </c:pt>
                <c:pt idx="50" formatCode="0">
                  <c:v>56.497402492129204</c:v>
                </c:pt>
                <c:pt idx="51" formatCode="0">
                  <c:v>56.425530179363719</c:v>
                </c:pt>
                <c:pt idx="52" formatCode="0">
                  <c:v>56.356873338676593</c:v>
                </c:pt>
                <c:pt idx="53" formatCode="0">
                  <c:v>56.291274091398726</c:v>
                </c:pt>
                <c:pt idx="54" formatCode="0">
                  <c:v>56.228583425374538</c:v>
                </c:pt>
                <c:pt idx="55" formatCode="0">
                  <c:v>56.168660610454772</c:v>
                </c:pt>
                <c:pt idx="56" formatCode="0">
                  <c:v>56.111372659077354</c:v>
                </c:pt>
                <c:pt idx="57" formatCode="0">
                  <c:v>56.056593827957336</c:v>
                </c:pt>
                <c:pt idx="58" formatCode="0">
                  <c:v>56.004205157299864</c:v>
                </c:pt>
                <c:pt idx="59" formatCode="0">
                  <c:v>55.954094044299353</c:v>
                </c:pt>
                <c:pt idx="60" formatCode="0">
                  <c:v>55.906153848000791</c:v>
                </c:pt>
                <c:pt idx="61" formatCode="0">
                  <c:v>55.860283522877907</c:v>
                </c:pt>
                <c:pt idx="62" formatCode="0">
                  <c:v>55.816387278732883</c:v>
                </c:pt>
                <c:pt idx="63" formatCode="0">
                  <c:v>55.774374264746172</c:v>
                </c:pt>
                <c:pt idx="64" formatCode="0">
                  <c:v>55.734158275705703</c:v>
                </c:pt>
                <c:pt idx="65" formatCode="0">
                  <c:v>55.69565747862525</c:v>
                </c:pt>
                <c:pt idx="66" formatCode="0">
                  <c:v>55.658794158123868</c:v>
                </c:pt>
                <c:pt idx="67" formatCode="0">
                  <c:v>55.623494479084329</c:v>
                </c:pt>
                <c:pt idx="68" formatCode="0">
                  <c:v>55.589688265240156</c:v>
                </c:pt>
                <c:pt idx="69" formatCode="0">
                  <c:v>55.557308792459381</c:v>
                </c:pt>
                <c:pt idx="70" formatCode="0">
                  <c:v>55.526292595600644</c:v>
                </c:pt>
                <c:pt idx="71" formatCode="0">
                  <c:v>55.496579287913853</c:v>
                </c:pt>
                <c:pt idx="72" formatCode="0">
                  <c:v>55.4681113920456</c:v>
                </c:pt>
                <c:pt idx="73" formatCode="0">
                  <c:v>55.440834181788794</c:v>
                </c:pt>
                <c:pt idx="74" formatCode="0">
                  <c:v>55.414695533788134</c:v>
                </c:pt>
                <c:pt idx="75" formatCode="0">
                  <c:v>55.389645788478227</c:v>
                </c:pt>
                <c:pt idx="76" formatCode="0">
                  <c:v>55.365637619590835</c:v>
                </c:pt>
                <c:pt idx="77" formatCode="0">
                  <c:v>55.342625911621383</c:v>
                </c:pt>
                <c:pt idx="78" formatCode="0">
                  <c:v>55.320567644694258</c:v>
                </c:pt>
                <c:pt idx="79" formatCode="0">
                  <c:v>55.299421786311022</c:v>
                </c:pt>
                <c:pt idx="80" formatCode="0">
                  <c:v>55.279149189506541</c:v>
                </c:pt>
                <c:pt idx="81" formatCode="0">
                  <c:v>55.25971249697519</c:v>
                </c:pt>
                <c:pt idx="82" formatCode="0">
                  <c:v>55.241076050763269</c:v>
                </c:pt>
                <c:pt idx="83" formatCode="0">
                  <c:v>55.223205807154947</c:v>
                </c:pt>
                <c:pt idx="84" formatCode="0">
                  <c:v>55.20606925640719</c:v>
                </c:pt>
                <c:pt idx="85" formatCode="0">
                  <c:v>55.189635347015511</c:v>
                </c:pt>
                <c:pt idx="86" formatCode="0">
                  <c:v>55.173874414215746</c:v>
                </c:pt>
                <c:pt idx="87" formatCode="0">
                  <c:v>55.158758112449313</c:v>
                </c:pt>
                <c:pt idx="88" formatCode="0">
                  <c:v>55.144259351539077</c:v>
                </c:pt>
                <c:pt idx="89" formatCode="0">
                  <c:v>55.130352236341665</c:v>
                </c:pt>
                <c:pt idx="90" formatCode="0">
                  <c:v>55.117012009658659</c:v>
                </c:pt>
                <c:pt idx="91" formatCode="0">
                  <c:v>55.104214998204895</c:v>
                </c:pt>
                <c:pt idx="92" formatCode="0">
                  <c:v>55.09193856144617</c:v>
                </c:pt>
                <c:pt idx="93" formatCode="0">
                  <c:v>55.080161043132009</c:v>
                </c:pt>
                <c:pt idx="94" formatCode="0">
                  <c:v>55.068861725361089</c:v>
                </c:pt>
                <c:pt idx="95" formatCode="0">
                  <c:v>55.058020785028297</c:v>
                </c:pt>
                <c:pt idx="96" formatCode="0">
                  <c:v>55.047619252512519</c:v>
                </c:pt>
                <c:pt idx="97" formatCode="0">
                  <c:v>55.037638972473893</c:v>
                </c:pt>
                <c:pt idx="98" formatCode="0">
                  <c:v>55.028062566638127</c:v>
                </c:pt>
                <c:pt idx="99" formatCode="0">
                  <c:v>55.01887339845338</c:v>
                </c:pt>
                <c:pt idx="100" formatCode="0">
                  <c:v>55.010055539513033</c:v>
                </c:pt>
                <c:pt idx="101" formatCode="0">
                  <c:v>55.001593737644413</c:v>
                </c:pt>
                <c:pt idx="102" formatCode="0">
                  <c:v>54.993473386570138</c:v>
                </c:pt>
                <c:pt idx="103" formatCode="0">
                  <c:v>54.985680497054588</c:v>
                </c:pt>
                <c:pt idx="104" formatCode="0">
                  <c:v>54.978201669453824</c:v>
                </c:pt>
                <c:pt idx="105" formatCode="0">
                  <c:v>54.971024067591983</c:v>
                </c:pt>
                <c:pt idx="106" formatCode="0">
                  <c:v>54.964135393892541</c:v>
                </c:pt>
                <c:pt idx="107" formatCode="0">
                  <c:v>54.957523865696714</c:v>
                </c:pt>
                <c:pt idx="108" formatCode="0">
                  <c:v>54.951178192705861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F-44CD-8DB8-F8D32D96478D}"/>
            </c:ext>
          </c:extLst>
        </c:ser>
        <c:ser>
          <c:idx val="1"/>
          <c:order val="1"/>
          <c:tx>
            <c:strRef>
              <c:f>'Markov Model_b'!$U$11:$U$119</c:f>
              <c:strCache>
                <c:ptCount val="109"/>
                <c:pt idx="0">
                  <c:v>24</c:v>
                </c:pt>
                <c:pt idx="1">
                  <c:v>25</c:v>
                </c:pt>
                <c:pt idx="2">
                  <c:v>26</c:v>
                </c:pt>
                <c:pt idx="3">
                  <c:v>27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31</c:v>
                </c:pt>
                <c:pt idx="8">
                  <c:v>32</c:v>
                </c:pt>
                <c:pt idx="9">
                  <c:v>33</c:v>
                </c:pt>
                <c:pt idx="10">
                  <c:v>34</c:v>
                </c:pt>
                <c:pt idx="11">
                  <c:v>34</c:v>
                </c:pt>
                <c:pt idx="12">
                  <c:v>35</c:v>
                </c:pt>
                <c:pt idx="13">
                  <c:v>35</c:v>
                </c:pt>
                <c:pt idx="14">
                  <c:v>36</c:v>
                </c:pt>
                <c:pt idx="15">
                  <c:v>36</c:v>
                </c:pt>
                <c:pt idx="16">
                  <c:v>37</c:v>
                </c:pt>
                <c:pt idx="17">
                  <c:v>37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39</c:v>
                </c:pt>
                <c:pt idx="22">
                  <c:v>39</c:v>
                </c:pt>
                <c:pt idx="23">
                  <c:v>39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42</c:v>
                </c:pt>
                <c:pt idx="34">
                  <c:v>42</c:v>
                </c:pt>
                <c:pt idx="35">
                  <c:v>42</c:v>
                </c:pt>
                <c:pt idx="36">
                  <c:v>42</c:v>
                </c:pt>
                <c:pt idx="37">
                  <c:v>42</c:v>
                </c:pt>
                <c:pt idx="38">
                  <c:v>42</c:v>
                </c:pt>
                <c:pt idx="39">
                  <c:v>42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44</c:v>
                </c:pt>
                <c:pt idx="56">
                  <c:v>44</c:v>
                </c:pt>
                <c:pt idx="57">
                  <c:v>44</c:v>
                </c:pt>
                <c:pt idx="58">
                  <c:v>44</c:v>
                </c:pt>
                <c:pt idx="59">
                  <c:v>44</c:v>
                </c:pt>
                <c:pt idx="60">
                  <c:v>44</c:v>
                </c:pt>
                <c:pt idx="61">
                  <c:v>44</c:v>
                </c:pt>
                <c:pt idx="62">
                  <c:v>44</c:v>
                </c:pt>
                <c:pt idx="63">
                  <c:v>44</c:v>
                </c:pt>
                <c:pt idx="64">
                  <c:v>44</c:v>
                </c:pt>
                <c:pt idx="65">
                  <c:v>44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</c:strCache>
            </c:strRef>
          </c:tx>
          <c:spPr>
            <a:pattFill prst="pct60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Model_b'!$H$11:$H$119</c:f>
              <c:numCache>
                <c:formatCode>0</c:formatCode>
                <c:ptCount val="109"/>
                <c:pt idx="0">
                  <c:v>18.799999999999997</c:v>
                </c:pt>
                <c:pt idx="1">
                  <c:v>20.316458052923625</c:v>
                </c:pt>
                <c:pt idx="2">
                  <c:v>21.702956817425299</c:v>
                </c:pt>
                <c:pt idx="3">
                  <c:v>22.973806065216227</c:v>
                </c:pt>
                <c:pt idx="4">
                  <c:v>24.141383154962895</c:v>
                </c:pt>
                <c:pt idx="5">
                  <c:v>25.21643956234373</c:v>
                </c:pt>
                <c:pt idx="6">
                  <c:v>26.208352014813634</c:v>
                </c:pt>
                <c:pt idx="7">
                  <c:v>27.125329392094386</c:v>
                </c:pt>
                <c:pt idx="8">
                  <c:v>27.9745840865566</c:v>
                </c:pt>
                <c:pt idx="9">
                  <c:v>28.76247464148668</c:v>
                </c:pt>
                <c:pt idx="10">
                  <c:v>29.4946250480236</c:v>
                </c:pt>
                <c:pt idx="11">
                  <c:v>30.176024973060361</c:v>
                </c:pt>
                <c:pt idx="12">
                  <c:v>30.811114329868541</c:v>
                </c:pt>
                <c:pt idx="13">
                  <c:v>31.403854931004314</c:v>
                </c:pt>
                <c:pt idx="14">
                  <c:v>31.95779143485321</c:v>
                </c:pt>
                <c:pt idx="15">
                  <c:v>32.476103379769214</c:v>
                </c:pt>
                <c:pt idx="16">
                  <c:v>32.961649768130449</c:v>
                </c:pt>
                <c:pt idx="17">
                  <c:v>33.417007397779265</c:v>
                </c:pt>
                <c:pt idx="18">
                  <c:v>33.84450392574044</c:v>
                </c:pt>
                <c:pt idx="19">
                  <c:v>34.246246477685894</c:v>
                </c:pt>
                <c:pt idx="20">
                  <c:v>34.624146477741036</c:v>
                </c:pt>
                <c:pt idx="21">
                  <c:v>34.979941260231811</c:v>
                </c:pt>
                <c:pt idx="22">
                  <c:v>35.315212932643831</c:v>
                </c:pt>
                <c:pt idx="23">
                  <c:v>35.631404883319554</c:v>
                </c:pt>
                <c:pt idx="24">
                  <c:v>35.929836265036371</c:v>
                </c:pt>
                <c:pt idx="25">
                  <c:v>36.21171473403718</c:v>
                </c:pt>
                <c:pt idx="26">
                  <c:v>36.478147681298921</c:v>
                </c:pt>
                <c:pt idx="27">
                  <c:v>36.730152157202149</c:v>
                </c:pt>
                <c:pt idx="28">
                  <c:v>36.968663661008371</c:v>
                </c:pt>
                <c:pt idx="29">
                  <c:v>37.194543941614235</c:v>
                </c:pt>
                <c:pt idx="30">
                  <c:v>37.408587935087539</c:v>
                </c:pt>
                <c:pt idx="31">
                  <c:v>37.61152994681305</c:v>
                </c:pt>
                <c:pt idx="32">
                  <c:v>37.804049171127041</c:v>
                </c:pt>
                <c:pt idx="33">
                  <c:v>37.986774628642266</c:v>
                </c:pt>
                <c:pt idx="34">
                  <c:v>38.160289590684542</c:v>
                </c:pt>
                <c:pt idx="35">
                  <c:v>38.32513555107078</c:v>
                </c:pt>
                <c:pt idx="36">
                  <c:v>38.481815797601392</c:v>
                </c:pt>
                <c:pt idx="37">
                  <c:v>38.63079862890779</c:v>
                </c:pt>
                <c:pt idx="38">
                  <c:v>38.772520256512351</c:v>
                </c:pt>
                <c:pt idx="39">
                  <c:v>38.907387426979902</c:v>
                </c:pt>
                <c:pt idx="40">
                  <c:v>39.035779794742922</c:v>
                </c:pt>
                <c:pt idx="41">
                  <c:v>39.15805207246779</c:v>
                </c:pt>
                <c:pt idx="42">
                  <c:v>39.274535982609308</c:v>
                </c:pt>
                <c:pt idx="43">
                  <c:v>39.385542031004519</c:v>
                </c:pt>
                <c:pt idx="44">
                  <c:v>39.491361120924104</c:v>
                </c:pt>
                <c:pt idx="45">
                  <c:v>39.592266023877876</c:v>
                </c:pt>
                <c:pt idx="46">
                  <c:v>39.688512721618423</c:v>
                </c:pt>
                <c:pt idx="47">
                  <c:v>39.780341632165126</c:v>
                </c:pt>
                <c:pt idx="48">
                  <c:v>39.86797873124933</c:v>
                </c:pt>
                <c:pt idx="49">
                  <c:v>39.951636579333197</c:v>
                </c:pt>
                <c:pt idx="50">
                  <c:v>40.031515263256352</c:v>
                </c:pt>
                <c:pt idx="51">
                  <c:v>40.107803260596974</c:v>
                </c:pt>
                <c:pt idx="52">
                  <c:v>40.180678233979911</c:v>
                </c:pt>
                <c:pt idx="53">
                  <c:v>40.250307761809488</c:v>
                </c:pt>
                <c:pt idx="54">
                  <c:v>40.316850011236475</c:v>
                </c:pt>
                <c:pt idx="55">
                  <c:v>40.380454358576152</c:v>
                </c:pt>
                <c:pt idx="56">
                  <c:v>40.441261961868257</c:v>
                </c:pt>
                <c:pt idx="57">
                  <c:v>40.499406289802188</c:v>
                </c:pt>
                <c:pt idx="58">
                  <c:v>40.555013610813781</c:v>
                </c:pt>
                <c:pt idx="59">
                  <c:v>40.608203445789485</c:v>
                </c:pt>
                <c:pt idx="60">
                  <c:v>40.659088987481553</c:v>
                </c:pt>
                <c:pt idx="61">
                  <c:v>40.707777489442059</c:v>
                </c:pt>
                <c:pt idx="62">
                  <c:v>40.754370627018218</c:v>
                </c:pt>
                <c:pt idx="63">
                  <c:v>40.798964832713914</c:v>
                </c:pt>
                <c:pt idx="64">
                  <c:v>40.841651608009158</c:v>
                </c:pt>
                <c:pt idx="65">
                  <c:v>40.882517813537689</c:v>
                </c:pt>
                <c:pt idx="66">
                  <c:v>40.921645939350924</c:v>
                </c:pt>
                <c:pt idx="67">
                  <c:v>40.959114356841255</c:v>
                </c:pt>
                <c:pt idx="68">
                  <c:v>40.994997553758211</c:v>
                </c:pt>
                <c:pt idx="69">
                  <c:v>41.029366353624866</c:v>
                </c:pt>
                <c:pt idx="70">
                  <c:v>41.062288120748129</c:v>
                </c:pt>
                <c:pt idx="71">
                  <c:v>41.093826951913719</c:v>
                </c:pt>
                <c:pt idx="72">
                  <c:v>41.124043855763418</c:v>
                </c:pt>
                <c:pt idx="73">
                  <c:v>41.152996920768025</c:v>
                </c:pt>
                <c:pt idx="74">
                  <c:v>41.180741472632782</c:v>
                </c:pt>
                <c:pt idx="75">
                  <c:v>41.2073302219029</c:v>
                </c:pt>
                <c:pt idx="76">
                  <c:v>41.232813402473568</c:v>
                </c:pt>
                <c:pt idx="77">
                  <c:v>41.257238901651604</c:v>
                </c:pt>
                <c:pt idx="78">
                  <c:v>41.280652382363797</c:v>
                </c:pt>
                <c:pt idx="79">
                  <c:v>41.303097398059471</c:v>
                </c:pt>
                <c:pt idx="80">
                  <c:v>41.324615500811419</c:v>
                </c:pt>
                <c:pt idx="81">
                  <c:v>41.345246343079985</c:v>
                </c:pt>
                <c:pt idx="82">
                  <c:v>41.365027773568976</c:v>
                </c:pt>
                <c:pt idx="83">
                  <c:v>41.383995927568925</c:v>
                </c:pt>
                <c:pt idx="84">
                  <c:v>41.40218531215347</c:v>
                </c:pt>
                <c:pt idx="85">
                  <c:v>41.419628886566599</c:v>
                </c:pt>
                <c:pt idx="86">
                  <c:v>41.43635813811354</c:v>
                </c:pt>
                <c:pt idx="87">
                  <c:v>41.452403153844713</c:v>
                </c:pt>
                <c:pt idx="88">
                  <c:v>41.467792688301067</c:v>
                </c:pt>
                <c:pt idx="89">
                  <c:v>41.48255422756943</c:v>
                </c:pt>
                <c:pt idx="90">
                  <c:v>41.496714049878712</c:v>
                </c:pt>
                <c:pt idx="91">
                  <c:v>41.5102972829512</c:v>
                </c:pt>
                <c:pt idx="92">
                  <c:v>41.523327958308172</c:v>
                </c:pt>
                <c:pt idx="93">
                  <c:v>41.535829062714839</c:v>
                </c:pt>
                <c:pt idx="94">
                  <c:v>41.547822586937045</c:v>
                </c:pt>
                <c:pt idx="95">
                  <c:v>41.559329571970025</c:v>
                </c:pt>
                <c:pt idx="96">
                  <c:v>41.570370152888735</c:v>
                </c:pt>
                <c:pt idx="97">
                  <c:v>41.580963600459143</c:v>
                </c:pt>
                <c:pt idx="98">
                  <c:v>41.591128360640369</c:v>
                </c:pt>
                <c:pt idx="99">
                  <c:v>41.600882092099212</c:v>
                </c:pt>
                <c:pt idx="100">
                  <c:v>41.610241701850278</c:v>
                </c:pt>
                <c:pt idx="101">
                  <c:v>41.619223379127824</c:v>
                </c:pt>
                <c:pt idx="102">
                  <c:v>41.627842627588365</c:v>
                </c:pt>
                <c:pt idx="103">
                  <c:v>41.636114295936892</c:v>
                </c:pt>
                <c:pt idx="104">
                  <c:v>41.644052607063458</c:v>
                </c:pt>
                <c:pt idx="105">
                  <c:v>41.651671185771711</c:v>
                </c:pt>
                <c:pt idx="106">
                  <c:v>41.658983085175564</c:v>
                </c:pt>
                <c:pt idx="107">
                  <c:v>41.666000811835708</c:v>
                </c:pt>
                <c:pt idx="108">
                  <c:v>41.672736349703122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F-44CD-8DB8-F8D32D964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386616"/>
        <c:axId val="488141848"/>
      </c:areaChart>
      <c:catAx>
        <c:axId val="643386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 Cycle</a:t>
                </a:r>
                <a:r>
                  <a:rPr lang="en-US" sz="1200" b="1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endParaRPr lang="en-US" sz="1200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41848"/>
        <c:crosses val="autoZero"/>
        <c:auto val="1"/>
        <c:lblAlgn val="ctr"/>
        <c:lblOffset val="100"/>
        <c:tickMarkSkip val="1"/>
        <c:noMultiLvlLbl val="0"/>
      </c:catAx>
      <c:valAx>
        <c:axId val="48814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Percentage of Cohort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38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Letermovir</a:t>
            </a:r>
            <a:r>
              <a:rPr lang="en-US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Prophylaxis - Health Status over Time</a:t>
            </a:r>
            <a:endParaRPr lang="en-US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spPr>
            <a:pattFill prst="openDmnd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Model_b'!$G$10:$G$119</c:f>
              <c:numCache>
                <c:formatCode>0.00000</c:formatCode>
                <c:ptCount val="110"/>
                <c:pt idx="0" formatCode="General">
                  <c:v>100</c:v>
                </c:pt>
                <c:pt idx="1">
                  <c:v>81.2</c:v>
                </c:pt>
                <c:pt idx="2">
                  <c:v>79.683541947076378</c:v>
                </c:pt>
                <c:pt idx="3">
                  <c:v>78.297043182574697</c:v>
                </c:pt>
                <c:pt idx="4">
                  <c:v>77.026193934783777</c:v>
                </c:pt>
                <c:pt idx="5">
                  <c:v>75.858616845037105</c:v>
                </c:pt>
                <c:pt idx="6">
                  <c:v>74.783560437656263</c:v>
                </c:pt>
                <c:pt idx="7">
                  <c:v>73.791647985186358</c:v>
                </c:pt>
                <c:pt idx="8">
                  <c:v>72.874670607905614</c:v>
                </c:pt>
                <c:pt idx="9">
                  <c:v>72.025415913443396</c:v>
                </c:pt>
                <c:pt idx="10">
                  <c:v>71.237525358513324</c:v>
                </c:pt>
                <c:pt idx="11">
                  <c:v>70.505374951976393</c:v>
                </c:pt>
                <c:pt idx="12">
                  <c:v>69.823975026939635</c:v>
                </c:pt>
                <c:pt idx="13">
                  <c:v>69.188885670131455</c:v>
                </c:pt>
                <c:pt idx="14">
                  <c:v>68.596145068995682</c:v>
                </c:pt>
                <c:pt idx="15">
                  <c:v>68.042208565146794</c:v>
                </c:pt>
                <c:pt idx="16">
                  <c:v>67.523896620230786</c:v>
                </c:pt>
                <c:pt idx="17">
                  <c:v>67.038350231869543</c:v>
                </c:pt>
                <c:pt idx="18">
                  <c:v>66.582992602220742</c:v>
                </c:pt>
                <c:pt idx="19">
                  <c:v>66.15549607425956</c:v>
                </c:pt>
                <c:pt idx="20">
                  <c:v>65.753753522314099</c:v>
                </c:pt>
                <c:pt idx="21">
                  <c:v>65.375853522258964</c:v>
                </c:pt>
                <c:pt idx="22">
                  <c:v>65.020058739768189</c:v>
                </c:pt>
                <c:pt idx="23">
                  <c:v>64.684787067356169</c:v>
                </c:pt>
                <c:pt idx="24">
                  <c:v>64.368595116680439</c:v>
                </c:pt>
                <c:pt idx="25">
                  <c:v>64.070163734963629</c:v>
                </c:pt>
                <c:pt idx="26">
                  <c:v>63.78828526596282</c:v>
                </c:pt>
                <c:pt idx="27">
                  <c:v>63.521852318701079</c:v>
                </c:pt>
                <c:pt idx="28">
                  <c:v>63.269847842797851</c:v>
                </c:pt>
                <c:pt idx="29">
                  <c:v>63.031336338991629</c:v>
                </c:pt>
                <c:pt idx="30">
                  <c:v>62.805456058385765</c:v>
                </c:pt>
                <c:pt idx="31">
                  <c:v>62.591412064912461</c:v>
                </c:pt>
                <c:pt idx="32">
                  <c:v>62.38847005318695</c:v>
                </c:pt>
                <c:pt idx="33">
                  <c:v>62.195950828872959</c:v>
                </c:pt>
                <c:pt idx="34">
                  <c:v>62.013225371357734</c:v>
                </c:pt>
                <c:pt idx="35">
                  <c:v>61.839710409315458</c:v>
                </c:pt>
                <c:pt idx="36">
                  <c:v>61.67486444892922</c:v>
                </c:pt>
                <c:pt idx="37">
                  <c:v>61.518184202398608</c:v>
                </c:pt>
                <c:pt idx="38">
                  <c:v>61.36920137109221</c:v>
                </c:pt>
                <c:pt idx="39">
                  <c:v>61.227479743487649</c:v>
                </c:pt>
                <c:pt idx="40">
                  <c:v>61.092612573020098</c:v>
                </c:pt>
                <c:pt idx="41">
                  <c:v>60.964220205257078</c:v>
                </c:pt>
                <c:pt idx="42">
                  <c:v>60.84194792753221</c:v>
                </c:pt>
                <c:pt idx="43">
                  <c:v>60.725464017390692</c:v>
                </c:pt>
                <c:pt idx="44">
                  <c:v>60.614457968995481</c:v>
                </c:pt>
                <c:pt idx="45">
                  <c:v>60.508638879075896</c:v>
                </c:pt>
                <c:pt idx="46">
                  <c:v>60.407733976122124</c:v>
                </c:pt>
                <c:pt idx="47">
                  <c:v>60.311487278381577</c:v>
                </c:pt>
                <c:pt idx="48">
                  <c:v>60.219658367834874</c:v>
                </c:pt>
                <c:pt idx="49">
                  <c:v>60.13202126875067</c:v>
                </c:pt>
                <c:pt idx="50">
                  <c:v>60.048363420666803</c:v>
                </c:pt>
                <c:pt idx="51">
                  <c:v>59.968484736743648</c:v>
                </c:pt>
                <c:pt idx="52">
                  <c:v>59.892196739403026</c:v>
                </c:pt>
                <c:pt idx="53">
                  <c:v>59.819321766020089</c:v>
                </c:pt>
                <c:pt idx="54">
                  <c:v>59.749692238190512</c:v>
                </c:pt>
                <c:pt idx="55">
                  <c:v>59.683149988763525</c:v>
                </c:pt>
                <c:pt idx="56">
                  <c:v>59.619545641423848</c:v>
                </c:pt>
                <c:pt idx="57">
                  <c:v>59.558738038131743</c:v>
                </c:pt>
                <c:pt idx="58">
                  <c:v>59.500593710197812</c:v>
                </c:pt>
                <c:pt idx="59">
                  <c:v>59.444986389186219</c:v>
                </c:pt>
                <c:pt idx="60">
                  <c:v>59.391796554210515</c:v>
                </c:pt>
                <c:pt idx="61">
                  <c:v>59.340911012518447</c:v>
                </c:pt>
                <c:pt idx="62">
                  <c:v>59.292222510557941</c:v>
                </c:pt>
                <c:pt idx="63">
                  <c:v>59.245629372981782</c:v>
                </c:pt>
                <c:pt idx="64">
                  <c:v>59.201035167286086</c:v>
                </c:pt>
                <c:pt idx="65">
                  <c:v>59.158348391990842</c:v>
                </c:pt>
                <c:pt idx="66">
                  <c:v>59.117482186462311</c:v>
                </c:pt>
                <c:pt idx="67">
                  <c:v>59.078354060649076</c:v>
                </c:pt>
                <c:pt idx="68">
                  <c:v>59.040885643158745</c:v>
                </c:pt>
                <c:pt idx="69">
                  <c:v>59.005002446241789</c:v>
                </c:pt>
                <c:pt idx="70">
                  <c:v>58.970633646375134</c:v>
                </c:pt>
                <c:pt idx="71">
                  <c:v>58.937711879251871</c:v>
                </c:pt>
                <c:pt idx="72">
                  <c:v>58.906173048086281</c:v>
                </c:pt>
                <c:pt idx="73">
                  <c:v>58.875956144236582</c:v>
                </c:pt>
                <c:pt idx="74">
                  <c:v>58.847003079231975</c:v>
                </c:pt>
                <c:pt idx="75">
                  <c:v>58.819258527367218</c:v>
                </c:pt>
                <c:pt idx="76">
                  <c:v>58.7926697780971</c:v>
                </c:pt>
                <c:pt idx="77">
                  <c:v>58.767186597526432</c:v>
                </c:pt>
                <c:pt idx="78">
                  <c:v>58.742761098348396</c:v>
                </c:pt>
                <c:pt idx="79">
                  <c:v>58.719347617636203</c:v>
                </c:pt>
                <c:pt idx="80">
                  <c:v>58.696902601940529</c:v>
                </c:pt>
                <c:pt idx="81">
                  <c:v>58.675384499188581</c:v>
                </c:pt>
                <c:pt idx="82">
                  <c:v>58.654753656920015</c:v>
                </c:pt>
                <c:pt idx="83">
                  <c:v>58.634972226431024</c:v>
                </c:pt>
                <c:pt idx="84">
                  <c:v>58.616004072431075</c:v>
                </c:pt>
                <c:pt idx="85">
                  <c:v>58.59781468784653</c:v>
                </c:pt>
                <c:pt idx="86">
                  <c:v>58.580371113433401</c:v>
                </c:pt>
                <c:pt idx="87">
                  <c:v>58.56364186188646</c:v>
                </c:pt>
                <c:pt idx="88">
                  <c:v>58.547596846155287</c:v>
                </c:pt>
                <c:pt idx="89">
                  <c:v>58.532207311698933</c:v>
                </c:pt>
                <c:pt idx="90">
                  <c:v>58.51744577243057</c:v>
                </c:pt>
                <c:pt idx="91">
                  <c:v>58.503285950121288</c:v>
                </c:pt>
                <c:pt idx="92">
                  <c:v>58.4897027170488</c:v>
                </c:pt>
                <c:pt idx="93">
                  <c:v>58.476672041691828</c:v>
                </c:pt>
                <c:pt idx="94">
                  <c:v>58.464170937285161</c:v>
                </c:pt>
                <c:pt idx="95">
                  <c:v>58.452177413062955</c:v>
                </c:pt>
                <c:pt idx="96">
                  <c:v>58.440670428029975</c:v>
                </c:pt>
                <c:pt idx="97">
                  <c:v>58.429629847111265</c:v>
                </c:pt>
                <c:pt idx="98">
                  <c:v>58.419036399540857</c:v>
                </c:pt>
                <c:pt idx="99">
                  <c:v>58.408871639359631</c:v>
                </c:pt>
                <c:pt idx="100">
                  <c:v>58.399117907900788</c:v>
                </c:pt>
                <c:pt idx="101">
                  <c:v>58.389758298149722</c:v>
                </c:pt>
                <c:pt idx="102">
                  <c:v>58.380776620872176</c:v>
                </c:pt>
                <c:pt idx="103">
                  <c:v>58.372157372411635</c:v>
                </c:pt>
                <c:pt idx="104">
                  <c:v>58.363885704063108</c:v>
                </c:pt>
                <c:pt idx="105">
                  <c:v>58.355947392936542</c:v>
                </c:pt>
                <c:pt idx="106">
                  <c:v>58.348328814228289</c:v>
                </c:pt>
                <c:pt idx="107">
                  <c:v>58.341016914824436</c:v>
                </c:pt>
                <c:pt idx="108">
                  <c:v>58.333999188164292</c:v>
                </c:pt>
                <c:pt idx="109">
                  <c:v>58.327263650296878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CD-4DE3-8DEB-1688A7DCBF69}"/>
            </c:ext>
          </c:extLst>
        </c:ser>
        <c:ser>
          <c:idx val="1"/>
          <c:order val="1"/>
          <c:spPr>
            <a:pattFill prst="pct60">
              <a:fgClr>
                <a:schemeClr val="tx2">
                  <a:lumMod val="65000"/>
                  <a:lumOff val="3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val>
            <c:numRef>
              <c:f>'Markov Model_b'!$H$11:$H$119</c:f>
              <c:numCache>
                <c:formatCode>0</c:formatCode>
                <c:ptCount val="109"/>
                <c:pt idx="0">
                  <c:v>18.799999999999997</c:v>
                </c:pt>
                <c:pt idx="1">
                  <c:v>20.316458052923625</c:v>
                </c:pt>
                <c:pt idx="2">
                  <c:v>21.702956817425299</c:v>
                </c:pt>
                <c:pt idx="3">
                  <c:v>22.973806065216227</c:v>
                </c:pt>
                <c:pt idx="4">
                  <c:v>24.141383154962895</c:v>
                </c:pt>
                <c:pt idx="5">
                  <c:v>25.21643956234373</c:v>
                </c:pt>
                <c:pt idx="6">
                  <c:v>26.208352014813634</c:v>
                </c:pt>
                <c:pt idx="7">
                  <c:v>27.125329392094386</c:v>
                </c:pt>
                <c:pt idx="8">
                  <c:v>27.9745840865566</c:v>
                </c:pt>
                <c:pt idx="9">
                  <c:v>28.76247464148668</c:v>
                </c:pt>
                <c:pt idx="10">
                  <c:v>29.4946250480236</c:v>
                </c:pt>
                <c:pt idx="11">
                  <c:v>30.176024973060361</c:v>
                </c:pt>
                <c:pt idx="12">
                  <c:v>30.811114329868541</c:v>
                </c:pt>
                <c:pt idx="13">
                  <c:v>31.403854931004314</c:v>
                </c:pt>
                <c:pt idx="14">
                  <c:v>31.95779143485321</c:v>
                </c:pt>
                <c:pt idx="15">
                  <c:v>32.476103379769214</c:v>
                </c:pt>
                <c:pt idx="16">
                  <c:v>32.961649768130449</c:v>
                </c:pt>
                <c:pt idx="17">
                  <c:v>33.417007397779265</c:v>
                </c:pt>
                <c:pt idx="18">
                  <c:v>33.84450392574044</c:v>
                </c:pt>
                <c:pt idx="19">
                  <c:v>34.246246477685894</c:v>
                </c:pt>
                <c:pt idx="20">
                  <c:v>34.624146477741036</c:v>
                </c:pt>
                <c:pt idx="21">
                  <c:v>34.979941260231811</c:v>
                </c:pt>
                <c:pt idx="22">
                  <c:v>35.315212932643831</c:v>
                </c:pt>
                <c:pt idx="23">
                  <c:v>35.631404883319554</c:v>
                </c:pt>
                <c:pt idx="24">
                  <c:v>35.929836265036371</c:v>
                </c:pt>
                <c:pt idx="25">
                  <c:v>36.21171473403718</c:v>
                </c:pt>
                <c:pt idx="26">
                  <c:v>36.478147681298921</c:v>
                </c:pt>
                <c:pt idx="27">
                  <c:v>36.730152157202149</c:v>
                </c:pt>
                <c:pt idx="28">
                  <c:v>36.968663661008371</c:v>
                </c:pt>
                <c:pt idx="29">
                  <c:v>37.194543941614235</c:v>
                </c:pt>
                <c:pt idx="30">
                  <c:v>37.408587935087539</c:v>
                </c:pt>
                <c:pt idx="31">
                  <c:v>37.61152994681305</c:v>
                </c:pt>
                <c:pt idx="32">
                  <c:v>37.804049171127041</c:v>
                </c:pt>
                <c:pt idx="33">
                  <c:v>37.986774628642266</c:v>
                </c:pt>
                <c:pt idx="34">
                  <c:v>38.160289590684542</c:v>
                </c:pt>
                <c:pt idx="35">
                  <c:v>38.32513555107078</c:v>
                </c:pt>
                <c:pt idx="36">
                  <c:v>38.481815797601392</c:v>
                </c:pt>
                <c:pt idx="37">
                  <c:v>38.63079862890779</c:v>
                </c:pt>
                <c:pt idx="38">
                  <c:v>38.772520256512351</c:v>
                </c:pt>
                <c:pt idx="39">
                  <c:v>38.907387426979902</c:v>
                </c:pt>
                <c:pt idx="40">
                  <c:v>39.035779794742922</c:v>
                </c:pt>
                <c:pt idx="41">
                  <c:v>39.15805207246779</c:v>
                </c:pt>
                <c:pt idx="42">
                  <c:v>39.274535982609308</c:v>
                </c:pt>
                <c:pt idx="43">
                  <c:v>39.385542031004519</c:v>
                </c:pt>
                <c:pt idx="44">
                  <c:v>39.491361120924104</c:v>
                </c:pt>
                <c:pt idx="45">
                  <c:v>39.592266023877876</c:v>
                </c:pt>
                <c:pt idx="46">
                  <c:v>39.688512721618423</c:v>
                </c:pt>
                <c:pt idx="47">
                  <c:v>39.780341632165126</c:v>
                </c:pt>
                <c:pt idx="48">
                  <c:v>39.86797873124933</c:v>
                </c:pt>
                <c:pt idx="49">
                  <c:v>39.951636579333197</c:v>
                </c:pt>
                <c:pt idx="50">
                  <c:v>40.031515263256352</c:v>
                </c:pt>
                <c:pt idx="51">
                  <c:v>40.107803260596974</c:v>
                </c:pt>
                <c:pt idx="52">
                  <c:v>40.180678233979911</c:v>
                </c:pt>
                <c:pt idx="53">
                  <c:v>40.250307761809488</c:v>
                </c:pt>
                <c:pt idx="54">
                  <c:v>40.316850011236475</c:v>
                </c:pt>
                <c:pt idx="55">
                  <c:v>40.380454358576152</c:v>
                </c:pt>
                <c:pt idx="56">
                  <c:v>40.441261961868257</c:v>
                </c:pt>
                <c:pt idx="57">
                  <c:v>40.499406289802188</c:v>
                </c:pt>
                <c:pt idx="58">
                  <c:v>40.555013610813781</c:v>
                </c:pt>
                <c:pt idx="59">
                  <c:v>40.608203445789485</c:v>
                </c:pt>
                <c:pt idx="60">
                  <c:v>40.659088987481553</c:v>
                </c:pt>
                <c:pt idx="61">
                  <c:v>40.707777489442059</c:v>
                </c:pt>
                <c:pt idx="62">
                  <c:v>40.754370627018218</c:v>
                </c:pt>
                <c:pt idx="63">
                  <c:v>40.798964832713914</c:v>
                </c:pt>
                <c:pt idx="64">
                  <c:v>40.841651608009158</c:v>
                </c:pt>
                <c:pt idx="65">
                  <c:v>40.882517813537689</c:v>
                </c:pt>
                <c:pt idx="66">
                  <c:v>40.921645939350924</c:v>
                </c:pt>
                <c:pt idx="67">
                  <c:v>40.959114356841255</c:v>
                </c:pt>
                <c:pt idx="68">
                  <c:v>40.994997553758211</c:v>
                </c:pt>
                <c:pt idx="69">
                  <c:v>41.029366353624866</c:v>
                </c:pt>
                <c:pt idx="70">
                  <c:v>41.062288120748129</c:v>
                </c:pt>
                <c:pt idx="71">
                  <c:v>41.093826951913719</c:v>
                </c:pt>
                <c:pt idx="72">
                  <c:v>41.124043855763418</c:v>
                </c:pt>
                <c:pt idx="73">
                  <c:v>41.152996920768025</c:v>
                </c:pt>
                <c:pt idx="74">
                  <c:v>41.180741472632782</c:v>
                </c:pt>
                <c:pt idx="75">
                  <c:v>41.2073302219029</c:v>
                </c:pt>
                <c:pt idx="76">
                  <c:v>41.232813402473568</c:v>
                </c:pt>
                <c:pt idx="77">
                  <c:v>41.257238901651604</c:v>
                </c:pt>
                <c:pt idx="78">
                  <c:v>41.280652382363797</c:v>
                </c:pt>
                <c:pt idx="79">
                  <c:v>41.303097398059471</c:v>
                </c:pt>
                <c:pt idx="80">
                  <c:v>41.324615500811419</c:v>
                </c:pt>
                <c:pt idx="81">
                  <c:v>41.345246343079985</c:v>
                </c:pt>
                <c:pt idx="82">
                  <c:v>41.365027773568976</c:v>
                </c:pt>
                <c:pt idx="83">
                  <c:v>41.383995927568925</c:v>
                </c:pt>
                <c:pt idx="84">
                  <c:v>41.40218531215347</c:v>
                </c:pt>
                <c:pt idx="85">
                  <c:v>41.419628886566599</c:v>
                </c:pt>
                <c:pt idx="86">
                  <c:v>41.43635813811354</c:v>
                </c:pt>
                <c:pt idx="87">
                  <c:v>41.452403153844713</c:v>
                </c:pt>
                <c:pt idx="88">
                  <c:v>41.467792688301067</c:v>
                </c:pt>
                <c:pt idx="89">
                  <c:v>41.48255422756943</c:v>
                </c:pt>
                <c:pt idx="90">
                  <c:v>41.496714049878712</c:v>
                </c:pt>
                <c:pt idx="91">
                  <c:v>41.5102972829512</c:v>
                </c:pt>
                <c:pt idx="92">
                  <c:v>41.523327958308172</c:v>
                </c:pt>
                <c:pt idx="93">
                  <c:v>41.535829062714839</c:v>
                </c:pt>
                <c:pt idx="94">
                  <c:v>41.547822586937045</c:v>
                </c:pt>
                <c:pt idx="95">
                  <c:v>41.559329571970025</c:v>
                </c:pt>
                <c:pt idx="96">
                  <c:v>41.570370152888735</c:v>
                </c:pt>
                <c:pt idx="97">
                  <c:v>41.580963600459143</c:v>
                </c:pt>
                <c:pt idx="98">
                  <c:v>41.591128360640369</c:v>
                </c:pt>
                <c:pt idx="99">
                  <c:v>41.600882092099212</c:v>
                </c:pt>
                <c:pt idx="100">
                  <c:v>41.610241701850278</c:v>
                </c:pt>
                <c:pt idx="101">
                  <c:v>41.619223379127824</c:v>
                </c:pt>
                <c:pt idx="102">
                  <c:v>41.627842627588365</c:v>
                </c:pt>
                <c:pt idx="103">
                  <c:v>41.636114295936892</c:v>
                </c:pt>
                <c:pt idx="104">
                  <c:v>41.644052607063458</c:v>
                </c:pt>
                <c:pt idx="105">
                  <c:v>41.651671185771711</c:v>
                </c:pt>
                <c:pt idx="106">
                  <c:v>41.658983085175564</c:v>
                </c:pt>
                <c:pt idx="107">
                  <c:v>41.666000811835708</c:v>
                </c:pt>
                <c:pt idx="108">
                  <c:v>41.672736349703122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D-4DE3-8DEB-1688A7DCB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386616"/>
        <c:axId val="488141848"/>
      </c:areaChart>
      <c:catAx>
        <c:axId val="643386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 Cycle</a:t>
                </a:r>
                <a:r>
                  <a:rPr lang="en-US" sz="1200" b="1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  <a:endParaRPr lang="en-US" sz="1200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41848"/>
        <c:crosses val="autoZero"/>
        <c:auto val="1"/>
        <c:lblAlgn val="ctr"/>
        <c:lblOffset val="100"/>
        <c:tickMarkSkip val="1"/>
        <c:noMultiLvlLbl val="0"/>
      </c:catAx>
      <c:valAx>
        <c:axId val="48814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Percentage of Cohort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38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ICER - Baseline Utility,</a:t>
            </a:r>
            <a:r>
              <a:rPr lang="en-US" baseline="0">
                <a:solidFill>
                  <a:sysClr val="windowText" lastClr="000000"/>
                </a:solidFill>
              </a:rPr>
              <a:t> Letermovir Group </a:t>
            </a:r>
            <a:endParaRPr lang="en-US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OWSA!$E$56</c:f>
              <c:strCache>
                <c:ptCount val="1"/>
                <c:pt idx="0">
                  <c:v>ICER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OWSA!$D$84:$D$110</c:f>
            </c:multiLvlStrRef>
          </c:cat>
          <c:val>
            <c:numRef>
              <c:f>OWSA!$E$84:$E$110</c:f>
            </c:numRef>
          </c:val>
          <c:smooth val="0"/>
          <c:extLst>
            <c:ext xmlns:c16="http://schemas.microsoft.com/office/drawing/2014/chart" uri="{C3380CC4-5D6E-409C-BE32-E72D297353CC}">
              <c16:uniqueId val="{00000001-508D-4C0B-B842-E79F21389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0169600"/>
        <c:axId val="740175504"/>
      </c:lineChart>
      <c:catAx>
        <c:axId val="74016960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175504"/>
        <c:crosses val="autoZero"/>
        <c:auto val="1"/>
        <c:lblAlgn val="ctr"/>
        <c:lblOffset val="100"/>
        <c:noMultiLvlLbl val="0"/>
      </c:catAx>
      <c:valAx>
        <c:axId val="740175504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16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sz="1400" b="0" i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One Way Sensitivity Analysis - Tornado Diagram</a:t>
            </a:r>
          </a:p>
        </c:rich>
      </c:tx>
      <c:layout>
        <c:manualLayout>
          <c:xMode val="edge"/>
          <c:yMode val="edge"/>
          <c:x val="0.29257976773327538"/>
          <c:y val="1.5168627955468462E-2"/>
        </c:manualLayout>
      </c:layout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'OWSA Graph'!$B$1</c:f>
              <c:strCache>
                <c:ptCount val="1"/>
                <c:pt idx="0">
                  <c:v>Low Result</c:v>
                </c:pt>
              </c:strCache>
            </c:strRef>
          </c:tx>
          <c:spPr>
            <a:solidFill>
              <a:srgbClr val="465674"/>
            </a:solidFill>
            <a:ln cmpd="sng">
              <a:noFill/>
            </a:ln>
          </c:spPr>
          <c:invertIfNegative val="1"/>
          <c:cat>
            <c:strRef>
              <c:f>'OWSA Graph'!$A$2:$A$27</c:f>
              <c:strCache>
                <c:ptCount val="26"/>
                <c:pt idx="0">
                  <c:v>Alive Year 1,  PET</c:v>
                </c:pt>
                <c:pt idx="1">
                  <c:v>Alive Year 1, LET</c:v>
                </c:pt>
                <c:pt idx="2">
                  <c:v>Year 2+ Utility</c:v>
                </c:pt>
                <c:pt idx="3">
                  <c:v>Cost of Letermovir</c:v>
                </c:pt>
                <c:pt idx="4">
                  <c:v>Baseline Utility, LET</c:v>
                </c:pt>
                <c:pt idx="5">
                  <c:v>Week 24 Utility, LET</c:v>
                </c:pt>
                <c:pt idx="6">
                  <c:v>Week 14 Utility, LET</c:v>
                </c:pt>
                <c:pt idx="7">
                  <c:v>Baseline Utility, PET</c:v>
                </c:pt>
                <c:pt idx="8">
                  <c:v>Week 14 Utility, PET</c:v>
                </c:pt>
                <c:pt idx="9">
                  <c:v>Week 48 Utility, PET</c:v>
                </c:pt>
                <c:pt idx="10">
                  <c:v>Discounting Rate</c:v>
                </c:pt>
                <c:pt idx="11">
                  <c:v>Week 24 Utility, PET</c:v>
                </c:pt>
                <c:pt idx="12">
                  <c:v>Cost of Year 2 +</c:v>
                </c:pt>
                <c:pt idx="13">
                  <c:v>Week 48 Utility, LET</c:v>
                </c:pt>
                <c:pt idx="14">
                  <c:v>CMV Disease, PET</c:v>
                </c:pt>
                <c:pt idx="15">
                  <c:v>Neutropenia</c:v>
                </c:pt>
                <c:pt idx="16">
                  <c:v>CMV Viremia, PET</c:v>
                </c:pt>
                <c:pt idx="17">
                  <c:v>Cost of Neutropenia</c:v>
                </c:pt>
                <c:pt idx="18">
                  <c:v>CMV Viremia, LET</c:v>
                </c:pt>
                <c:pt idx="19">
                  <c:v>CMV Disease, LET</c:v>
                </c:pt>
                <c:pt idx="20">
                  <c:v>Cost of CMV Disease</c:v>
                </c:pt>
                <c:pt idx="21">
                  <c:v>Cost of PET</c:v>
                </c:pt>
                <c:pt idx="22">
                  <c:v>CMV Complications, PET</c:v>
                </c:pt>
                <c:pt idx="23">
                  <c:v>Cost of Rehospitalization</c:v>
                </c:pt>
                <c:pt idx="24">
                  <c:v>Cost of GVHD</c:v>
                </c:pt>
                <c:pt idx="25">
                  <c:v>CMV Complications, LET</c:v>
                </c:pt>
              </c:strCache>
            </c:strRef>
          </c:cat>
          <c:val>
            <c:numRef>
              <c:f>'OWSA Graph'!$B$2:$B$27</c:f>
              <c:numCache>
                <c:formatCode>_("$"* #,##0.00_);_("$"* \(#,##0.00\);_("$"* "-"??_);_(@_)</c:formatCode>
                <c:ptCount val="26"/>
                <c:pt idx="0">
                  <c:v>40958.6</c:v>
                </c:pt>
                <c:pt idx="1">
                  <c:v>89651.82</c:v>
                </c:pt>
                <c:pt idx="2">
                  <c:v>68979.64</c:v>
                </c:pt>
                <c:pt idx="3">
                  <c:v>46327.15</c:v>
                </c:pt>
                <c:pt idx="4">
                  <c:v>63446.74</c:v>
                </c:pt>
                <c:pt idx="5">
                  <c:v>61810.45</c:v>
                </c:pt>
                <c:pt idx="6">
                  <c:v>61795.09</c:v>
                </c:pt>
                <c:pt idx="7">
                  <c:v>52182.559999999998</c:v>
                </c:pt>
                <c:pt idx="8">
                  <c:v>52467.85</c:v>
                </c:pt>
                <c:pt idx="9">
                  <c:v>52660.18</c:v>
                </c:pt>
                <c:pt idx="10">
                  <c:v>52520.58</c:v>
                </c:pt>
                <c:pt idx="11">
                  <c:v>53015.15</c:v>
                </c:pt>
                <c:pt idx="12">
                  <c:v>52881.29</c:v>
                </c:pt>
                <c:pt idx="13">
                  <c:v>60309.72</c:v>
                </c:pt>
                <c:pt idx="14">
                  <c:v>59131.72</c:v>
                </c:pt>
                <c:pt idx="15">
                  <c:v>58799.91</c:v>
                </c:pt>
                <c:pt idx="16">
                  <c:v>58420.94</c:v>
                </c:pt>
                <c:pt idx="17">
                  <c:v>58183.17</c:v>
                </c:pt>
                <c:pt idx="18">
                  <c:v>55537.09</c:v>
                </c:pt>
                <c:pt idx="19">
                  <c:v>55802.99</c:v>
                </c:pt>
                <c:pt idx="20">
                  <c:v>56916.84</c:v>
                </c:pt>
                <c:pt idx="21">
                  <c:v>56769.69</c:v>
                </c:pt>
                <c:pt idx="22">
                  <c:v>56693.86</c:v>
                </c:pt>
                <c:pt idx="23">
                  <c:v>56688.59</c:v>
                </c:pt>
                <c:pt idx="24">
                  <c:v>56590.5</c:v>
                </c:pt>
                <c:pt idx="25">
                  <c:v>56457.49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46567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B72-4FBA-95C1-F51180FD82DC}"/>
            </c:ext>
          </c:extLst>
        </c:ser>
        <c:ser>
          <c:idx val="1"/>
          <c:order val="1"/>
          <c:tx>
            <c:strRef>
              <c:f>'OWSA Graph'!$C$1</c:f>
              <c:strCache>
                <c:ptCount val="1"/>
                <c:pt idx="0">
                  <c:v>High Result</c:v>
                </c:pt>
              </c:strCache>
            </c:strRef>
          </c:tx>
          <c:spPr>
            <a:solidFill>
              <a:srgbClr val="9DABC4"/>
            </a:solidFill>
            <a:ln cmpd="sng">
              <a:noFill/>
            </a:ln>
          </c:spPr>
          <c:invertIfNegative val="1"/>
          <c:cat>
            <c:strRef>
              <c:f>'OWSA Graph'!$A$2:$A$27</c:f>
              <c:strCache>
                <c:ptCount val="26"/>
                <c:pt idx="0">
                  <c:v>Alive Year 1,  PET</c:v>
                </c:pt>
                <c:pt idx="1">
                  <c:v>Alive Year 1, LET</c:v>
                </c:pt>
                <c:pt idx="2">
                  <c:v>Year 2+ Utility</c:v>
                </c:pt>
                <c:pt idx="3">
                  <c:v>Cost of Letermovir</c:v>
                </c:pt>
                <c:pt idx="4">
                  <c:v>Baseline Utility, LET</c:v>
                </c:pt>
                <c:pt idx="5">
                  <c:v>Week 24 Utility, LET</c:v>
                </c:pt>
                <c:pt idx="6">
                  <c:v>Week 14 Utility, LET</c:v>
                </c:pt>
                <c:pt idx="7">
                  <c:v>Baseline Utility, PET</c:v>
                </c:pt>
                <c:pt idx="8">
                  <c:v>Week 14 Utility, PET</c:v>
                </c:pt>
                <c:pt idx="9">
                  <c:v>Week 48 Utility, PET</c:v>
                </c:pt>
                <c:pt idx="10">
                  <c:v>Discounting Rate</c:v>
                </c:pt>
                <c:pt idx="11">
                  <c:v>Week 24 Utility, PET</c:v>
                </c:pt>
                <c:pt idx="12">
                  <c:v>Cost of Year 2 +</c:v>
                </c:pt>
                <c:pt idx="13">
                  <c:v>Week 48 Utility, LET</c:v>
                </c:pt>
                <c:pt idx="14">
                  <c:v>CMV Disease, PET</c:v>
                </c:pt>
                <c:pt idx="15">
                  <c:v>Neutropenia</c:v>
                </c:pt>
                <c:pt idx="16">
                  <c:v>CMV Viremia, PET</c:v>
                </c:pt>
                <c:pt idx="17">
                  <c:v>Cost of Neutropenia</c:v>
                </c:pt>
                <c:pt idx="18">
                  <c:v>CMV Viremia, LET</c:v>
                </c:pt>
                <c:pt idx="19">
                  <c:v>CMV Disease, LET</c:v>
                </c:pt>
                <c:pt idx="20">
                  <c:v>Cost of CMV Disease</c:v>
                </c:pt>
                <c:pt idx="21">
                  <c:v>Cost of PET</c:v>
                </c:pt>
                <c:pt idx="22">
                  <c:v>CMV Complications, PET</c:v>
                </c:pt>
                <c:pt idx="23">
                  <c:v>Cost of Rehospitalization</c:v>
                </c:pt>
                <c:pt idx="24">
                  <c:v>Cost of GVHD</c:v>
                </c:pt>
                <c:pt idx="25">
                  <c:v>CMV Complications, LET</c:v>
                </c:pt>
              </c:strCache>
            </c:strRef>
          </c:cat>
          <c:val>
            <c:numRef>
              <c:f>'OWSA Graph'!$C$2:$C$27</c:f>
              <c:numCache>
                <c:formatCode>_("$"* #,##0.00_);_("$"* \(#,##0.00\);_("$"* "-"??_);_(@_)</c:formatCode>
                <c:ptCount val="26"/>
                <c:pt idx="0">
                  <c:v>143210.03</c:v>
                </c:pt>
                <c:pt idx="1">
                  <c:v>44375.02</c:v>
                </c:pt>
                <c:pt idx="2">
                  <c:v>47874.8</c:v>
                </c:pt>
                <c:pt idx="3">
                  <c:v>66715.460000000006</c:v>
                </c:pt>
                <c:pt idx="4">
                  <c:v>49375.76</c:v>
                </c:pt>
                <c:pt idx="5">
                  <c:v>52066.11</c:v>
                </c:pt>
                <c:pt idx="6">
                  <c:v>52077.01</c:v>
                </c:pt>
                <c:pt idx="7">
                  <c:v>61647.12</c:v>
                </c:pt>
                <c:pt idx="8">
                  <c:v>61253.65</c:v>
                </c:pt>
                <c:pt idx="9">
                  <c:v>60993.58</c:v>
                </c:pt>
                <c:pt idx="10">
                  <c:v>60701.18</c:v>
                </c:pt>
                <c:pt idx="11">
                  <c:v>60524.21</c:v>
                </c:pt>
                <c:pt idx="12">
                  <c:v>60163.12</c:v>
                </c:pt>
                <c:pt idx="13">
                  <c:v>53180.82</c:v>
                </c:pt>
                <c:pt idx="14">
                  <c:v>53911.02</c:v>
                </c:pt>
                <c:pt idx="15">
                  <c:v>54242.83</c:v>
                </c:pt>
                <c:pt idx="16">
                  <c:v>54621.8</c:v>
                </c:pt>
                <c:pt idx="17">
                  <c:v>54869.57</c:v>
                </c:pt>
                <c:pt idx="18">
                  <c:v>57505.65</c:v>
                </c:pt>
                <c:pt idx="19">
                  <c:v>57239.75</c:v>
                </c:pt>
                <c:pt idx="20">
                  <c:v>56125.9</c:v>
                </c:pt>
                <c:pt idx="21">
                  <c:v>56272.53</c:v>
                </c:pt>
                <c:pt idx="22">
                  <c:v>56348.88</c:v>
                </c:pt>
                <c:pt idx="23">
                  <c:v>56354.15</c:v>
                </c:pt>
                <c:pt idx="24">
                  <c:v>56452.23</c:v>
                </c:pt>
                <c:pt idx="25">
                  <c:v>56585.25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9DABC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B72-4FBA-95C1-F51180FD8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100"/>
        <c:axId val="1474342131"/>
        <c:axId val="1222688521"/>
      </c:barChart>
      <c:catAx>
        <c:axId val="147434213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050" b="0" i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</a:t>
                </a:r>
                <a:r>
                  <a:rPr lang="en-US" sz="1050" b="0" i="0" baseline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Input</a:t>
                </a:r>
                <a:endParaRPr lang="en-US" sz="1050" b="0" i="0">
                  <a:solidFill>
                    <a:srgbClr val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222688521"/>
        <c:crossesAt val="56521"/>
        <c:auto val="1"/>
        <c:lblAlgn val="ctr"/>
        <c:lblOffset val="100"/>
        <c:noMultiLvlLbl val="1"/>
      </c:catAx>
      <c:valAx>
        <c:axId val="1222688521"/>
        <c:scaling>
          <c:orientation val="minMax"/>
          <c:max val="180000"/>
          <c:min val="40000"/>
        </c:scaling>
        <c:delete val="0"/>
        <c:axPos val="b"/>
        <c:title>
          <c:tx>
            <c:rich>
              <a:bodyPr/>
              <a:lstStyle/>
              <a:p>
                <a:pPr lvl="0">
                  <a:defRPr sz="12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000" b="0" i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Incremental Cost-Effectiveness Ratio</a:t>
                </a:r>
              </a:p>
            </c:rich>
          </c:tx>
          <c:layout>
            <c:manualLayout>
              <c:xMode val="edge"/>
              <c:yMode val="edge"/>
              <c:x val="0.40094875737865271"/>
              <c:y val="0.95161923071250665"/>
            </c:manualLayout>
          </c:layout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high"/>
        <c:spPr>
          <a:ln/>
        </c:spPr>
        <c:txPr>
          <a:bodyPr rot="0" vert="horz" anchor="ctr" anchorCtr="0"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474342131"/>
        <c:crosses val="max"/>
        <c:crossBetween val="between"/>
        <c:majorUnit val="20000"/>
        <c:minorUnit val="100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400" b="0" i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 sz="1400" b="0" i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One Way Sensitivity Analysis - Tornado Diagram</a:t>
            </a:r>
          </a:p>
        </c:rich>
      </c:tx>
      <c:layout>
        <c:manualLayout>
          <c:xMode val="edge"/>
          <c:yMode val="edge"/>
          <c:x val="0.29257976773327538"/>
          <c:y val="1.5168627955468462E-2"/>
        </c:manualLayout>
      </c:layout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'OWSA Graph'!$B$1</c:f>
              <c:strCache>
                <c:ptCount val="1"/>
                <c:pt idx="0">
                  <c:v>Low Result</c:v>
                </c:pt>
              </c:strCache>
            </c:strRef>
          </c:tx>
          <c:spPr>
            <a:solidFill>
              <a:srgbClr val="465674"/>
            </a:solidFill>
            <a:ln cmpd="sng">
              <a:noFill/>
            </a:ln>
          </c:spPr>
          <c:invertIfNegative val="1"/>
          <c:cat>
            <c:strRef>
              <c:f>'OWSA Graph'!$A$2:$A$27</c:f>
              <c:strCache>
                <c:ptCount val="26"/>
                <c:pt idx="0">
                  <c:v>Alive Year 1,  PET</c:v>
                </c:pt>
                <c:pt idx="1">
                  <c:v>Alive Year 1, LET</c:v>
                </c:pt>
                <c:pt idx="2">
                  <c:v>Year 2+ Utility</c:v>
                </c:pt>
                <c:pt idx="3">
                  <c:v>Cost of Letermovir</c:v>
                </c:pt>
                <c:pt idx="4">
                  <c:v>Baseline Utility, LET</c:v>
                </c:pt>
                <c:pt idx="5">
                  <c:v>Week 24 Utility, LET</c:v>
                </c:pt>
                <c:pt idx="6">
                  <c:v>Week 14 Utility, LET</c:v>
                </c:pt>
                <c:pt idx="7">
                  <c:v>Baseline Utility, PET</c:v>
                </c:pt>
                <c:pt idx="8">
                  <c:v>Week 14 Utility, PET</c:v>
                </c:pt>
                <c:pt idx="9">
                  <c:v>Week 48 Utility, PET</c:v>
                </c:pt>
                <c:pt idx="10">
                  <c:v>Discounting Rate</c:v>
                </c:pt>
                <c:pt idx="11">
                  <c:v>Week 24 Utility, PET</c:v>
                </c:pt>
                <c:pt idx="12">
                  <c:v>Cost of Year 2 +</c:v>
                </c:pt>
                <c:pt idx="13">
                  <c:v>Week 48 Utility, LET</c:v>
                </c:pt>
                <c:pt idx="14">
                  <c:v>CMV Disease, PET</c:v>
                </c:pt>
                <c:pt idx="15">
                  <c:v>Neutropenia</c:v>
                </c:pt>
                <c:pt idx="16">
                  <c:v>CMV Viremia, PET</c:v>
                </c:pt>
                <c:pt idx="17">
                  <c:v>Cost of Neutropenia</c:v>
                </c:pt>
                <c:pt idx="18">
                  <c:v>CMV Viremia, LET</c:v>
                </c:pt>
                <c:pt idx="19">
                  <c:v>CMV Disease, LET</c:v>
                </c:pt>
                <c:pt idx="20">
                  <c:v>Cost of CMV Disease</c:v>
                </c:pt>
                <c:pt idx="21">
                  <c:v>Cost of PET</c:v>
                </c:pt>
                <c:pt idx="22">
                  <c:v>CMV Complications, PET</c:v>
                </c:pt>
                <c:pt idx="23">
                  <c:v>Cost of Rehospitalization</c:v>
                </c:pt>
                <c:pt idx="24">
                  <c:v>Cost of GVHD</c:v>
                </c:pt>
                <c:pt idx="25">
                  <c:v>CMV Complications, LET</c:v>
                </c:pt>
              </c:strCache>
            </c:strRef>
          </c:cat>
          <c:val>
            <c:numRef>
              <c:f>'OWSA Graph'!$B$2:$B$27</c:f>
              <c:numCache>
                <c:formatCode>_("$"* #,##0.00_);_("$"* \(#,##0.00\);_("$"* "-"??_);_(@_)</c:formatCode>
                <c:ptCount val="26"/>
                <c:pt idx="0">
                  <c:v>40958.6</c:v>
                </c:pt>
                <c:pt idx="1">
                  <c:v>89651.82</c:v>
                </c:pt>
                <c:pt idx="2">
                  <c:v>68979.64</c:v>
                </c:pt>
                <c:pt idx="3">
                  <c:v>46327.15</c:v>
                </c:pt>
                <c:pt idx="4">
                  <c:v>63446.74</c:v>
                </c:pt>
                <c:pt idx="5">
                  <c:v>61810.45</c:v>
                </c:pt>
                <c:pt idx="6">
                  <c:v>61795.09</c:v>
                </c:pt>
                <c:pt idx="7">
                  <c:v>52182.559999999998</c:v>
                </c:pt>
                <c:pt idx="8">
                  <c:v>52467.85</c:v>
                </c:pt>
                <c:pt idx="9">
                  <c:v>52660.18</c:v>
                </c:pt>
                <c:pt idx="10">
                  <c:v>52520.58</c:v>
                </c:pt>
                <c:pt idx="11">
                  <c:v>53015.15</c:v>
                </c:pt>
                <c:pt idx="12">
                  <c:v>52881.29</c:v>
                </c:pt>
                <c:pt idx="13">
                  <c:v>60309.72</c:v>
                </c:pt>
                <c:pt idx="14">
                  <c:v>59131.72</c:v>
                </c:pt>
                <c:pt idx="15">
                  <c:v>58799.91</c:v>
                </c:pt>
                <c:pt idx="16">
                  <c:v>58420.94</c:v>
                </c:pt>
                <c:pt idx="17">
                  <c:v>58183.17</c:v>
                </c:pt>
                <c:pt idx="18">
                  <c:v>55537.09</c:v>
                </c:pt>
                <c:pt idx="19">
                  <c:v>55802.99</c:v>
                </c:pt>
                <c:pt idx="20">
                  <c:v>56916.84</c:v>
                </c:pt>
                <c:pt idx="21">
                  <c:v>56769.69</c:v>
                </c:pt>
                <c:pt idx="22">
                  <c:v>56693.86</c:v>
                </c:pt>
                <c:pt idx="23">
                  <c:v>56688.59</c:v>
                </c:pt>
                <c:pt idx="24">
                  <c:v>56590.5</c:v>
                </c:pt>
                <c:pt idx="25">
                  <c:v>56457.49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46567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905-E94F-A005-33604412EF29}"/>
            </c:ext>
          </c:extLst>
        </c:ser>
        <c:ser>
          <c:idx val="1"/>
          <c:order val="1"/>
          <c:tx>
            <c:strRef>
              <c:f>'OWSA Graph'!$C$1</c:f>
              <c:strCache>
                <c:ptCount val="1"/>
                <c:pt idx="0">
                  <c:v>High Result</c:v>
                </c:pt>
              </c:strCache>
            </c:strRef>
          </c:tx>
          <c:spPr>
            <a:solidFill>
              <a:srgbClr val="9DABC4"/>
            </a:solidFill>
            <a:ln cmpd="sng">
              <a:noFill/>
            </a:ln>
          </c:spPr>
          <c:invertIfNegative val="1"/>
          <c:cat>
            <c:strRef>
              <c:f>'OWSA Graph'!$A$2:$A$27</c:f>
              <c:strCache>
                <c:ptCount val="26"/>
                <c:pt idx="0">
                  <c:v>Alive Year 1,  PET</c:v>
                </c:pt>
                <c:pt idx="1">
                  <c:v>Alive Year 1, LET</c:v>
                </c:pt>
                <c:pt idx="2">
                  <c:v>Year 2+ Utility</c:v>
                </c:pt>
                <c:pt idx="3">
                  <c:v>Cost of Letermovir</c:v>
                </c:pt>
                <c:pt idx="4">
                  <c:v>Baseline Utility, LET</c:v>
                </c:pt>
                <c:pt idx="5">
                  <c:v>Week 24 Utility, LET</c:v>
                </c:pt>
                <c:pt idx="6">
                  <c:v>Week 14 Utility, LET</c:v>
                </c:pt>
                <c:pt idx="7">
                  <c:v>Baseline Utility, PET</c:v>
                </c:pt>
                <c:pt idx="8">
                  <c:v>Week 14 Utility, PET</c:v>
                </c:pt>
                <c:pt idx="9">
                  <c:v>Week 48 Utility, PET</c:v>
                </c:pt>
                <c:pt idx="10">
                  <c:v>Discounting Rate</c:v>
                </c:pt>
                <c:pt idx="11">
                  <c:v>Week 24 Utility, PET</c:v>
                </c:pt>
                <c:pt idx="12">
                  <c:v>Cost of Year 2 +</c:v>
                </c:pt>
                <c:pt idx="13">
                  <c:v>Week 48 Utility, LET</c:v>
                </c:pt>
                <c:pt idx="14">
                  <c:v>CMV Disease, PET</c:v>
                </c:pt>
                <c:pt idx="15">
                  <c:v>Neutropenia</c:v>
                </c:pt>
                <c:pt idx="16">
                  <c:v>CMV Viremia, PET</c:v>
                </c:pt>
                <c:pt idx="17">
                  <c:v>Cost of Neutropenia</c:v>
                </c:pt>
                <c:pt idx="18">
                  <c:v>CMV Viremia, LET</c:v>
                </c:pt>
                <c:pt idx="19">
                  <c:v>CMV Disease, LET</c:v>
                </c:pt>
                <c:pt idx="20">
                  <c:v>Cost of CMV Disease</c:v>
                </c:pt>
                <c:pt idx="21">
                  <c:v>Cost of PET</c:v>
                </c:pt>
                <c:pt idx="22">
                  <c:v>CMV Complications, PET</c:v>
                </c:pt>
                <c:pt idx="23">
                  <c:v>Cost of Rehospitalization</c:v>
                </c:pt>
                <c:pt idx="24">
                  <c:v>Cost of GVHD</c:v>
                </c:pt>
                <c:pt idx="25">
                  <c:v>CMV Complications, LET</c:v>
                </c:pt>
              </c:strCache>
            </c:strRef>
          </c:cat>
          <c:val>
            <c:numRef>
              <c:f>'OWSA Graph'!$C$2:$C$27</c:f>
              <c:numCache>
                <c:formatCode>_("$"* #,##0.00_);_("$"* \(#,##0.00\);_("$"* "-"??_);_(@_)</c:formatCode>
                <c:ptCount val="26"/>
                <c:pt idx="0">
                  <c:v>143210.03</c:v>
                </c:pt>
                <c:pt idx="1">
                  <c:v>44375.02</c:v>
                </c:pt>
                <c:pt idx="2">
                  <c:v>47874.8</c:v>
                </c:pt>
                <c:pt idx="3">
                  <c:v>66715.460000000006</c:v>
                </c:pt>
                <c:pt idx="4">
                  <c:v>49375.76</c:v>
                </c:pt>
                <c:pt idx="5">
                  <c:v>52066.11</c:v>
                </c:pt>
                <c:pt idx="6">
                  <c:v>52077.01</c:v>
                </c:pt>
                <c:pt idx="7">
                  <c:v>61647.12</c:v>
                </c:pt>
                <c:pt idx="8">
                  <c:v>61253.65</c:v>
                </c:pt>
                <c:pt idx="9">
                  <c:v>60993.58</c:v>
                </c:pt>
                <c:pt idx="10">
                  <c:v>60701.18</c:v>
                </c:pt>
                <c:pt idx="11">
                  <c:v>60524.21</c:v>
                </c:pt>
                <c:pt idx="12">
                  <c:v>60163.12</c:v>
                </c:pt>
                <c:pt idx="13">
                  <c:v>53180.82</c:v>
                </c:pt>
                <c:pt idx="14">
                  <c:v>53911.02</c:v>
                </c:pt>
                <c:pt idx="15">
                  <c:v>54242.83</c:v>
                </c:pt>
                <c:pt idx="16">
                  <c:v>54621.8</c:v>
                </c:pt>
                <c:pt idx="17">
                  <c:v>54869.57</c:v>
                </c:pt>
                <c:pt idx="18">
                  <c:v>57505.65</c:v>
                </c:pt>
                <c:pt idx="19">
                  <c:v>57239.75</c:v>
                </c:pt>
                <c:pt idx="20">
                  <c:v>56125.9</c:v>
                </c:pt>
                <c:pt idx="21">
                  <c:v>56272.53</c:v>
                </c:pt>
                <c:pt idx="22">
                  <c:v>56348.88</c:v>
                </c:pt>
                <c:pt idx="23">
                  <c:v>56354.15</c:v>
                </c:pt>
                <c:pt idx="24">
                  <c:v>56452.23</c:v>
                </c:pt>
                <c:pt idx="25">
                  <c:v>56585.25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9DABC4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7905-E94F-A005-33604412E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"/>
        <c:overlap val="100"/>
        <c:axId val="1474342131"/>
        <c:axId val="1222688521"/>
      </c:barChart>
      <c:catAx>
        <c:axId val="147434213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050" b="0" i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Model</a:t>
                </a:r>
                <a:r>
                  <a:rPr lang="en-US" sz="1050" b="0" i="0" baseline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Input</a:t>
                </a:r>
                <a:endParaRPr lang="en-US" sz="1050" b="0" i="0">
                  <a:solidFill>
                    <a:srgbClr val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222688521"/>
        <c:crossesAt val="56521"/>
        <c:auto val="1"/>
        <c:lblAlgn val="ctr"/>
        <c:lblOffset val="100"/>
        <c:noMultiLvlLbl val="1"/>
      </c:catAx>
      <c:valAx>
        <c:axId val="1222688521"/>
        <c:scaling>
          <c:orientation val="minMax"/>
          <c:max val="180000"/>
          <c:min val="40000"/>
        </c:scaling>
        <c:delete val="0"/>
        <c:axPos val="b"/>
        <c:title>
          <c:tx>
            <c:rich>
              <a:bodyPr/>
              <a:lstStyle/>
              <a:p>
                <a:pPr lvl="0">
                  <a:defRPr sz="12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000" b="0" i="0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Incremental Cost-Effectiveness Ratio</a:t>
                </a:r>
              </a:p>
            </c:rich>
          </c:tx>
          <c:layout>
            <c:manualLayout>
              <c:xMode val="edge"/>
              <c:yMode val="edge"/>
              <c:x val="0.40094875737865271"/>
              <c:y val="0.95161923071250665"/>
            </c:manualLayout>
          </c:layout>
          <c:overlay val="0"/>
        </c:title>
        <c:numFmt formatCode="_(&quot;$&quot;* #,##0.00_);_(&quot;$&quot;* \(#,##0.00\);_(&quot;$&quot;* &quot;-&quot;??_);_(@_)" sourceLinked="1"/>
        <c:majorTickMark val="none"/>
        <c:minorTickMark val="none"/>
        <c:tickLblPos val="high"/>
        <c:spPr>
          <a:ln/>
        </c:spPr>
        <c:txPr>
          <a:bodyPr rot="0" vert="horz" anchor="ctr" anchorCtr="0"/>
          <a:lstStyle/>
          <a:p>
            <a:pPr lvl="0">
              <a:defRPr sz="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474342131"/>
        <c:crosses val="max"/>
        <c:crossBetween val="between"/>
        <c:majorUnit val="20000"/>
        <c:minorUnit val="1000"/>
      </c:valAx>
    </c:plotArea>
    <c:legend>
      <c:legendPos val="t"/>
      <c:overlay val="0"/>
      <c:txPr>
        <a:bodyPr/>
        <a:lstStyle/>
        <a:p>
          <a:pPr lvl="0">
            <a:defRPr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sz="1800" b="1" i="0">
                <a:solidFill>
                  <a:srgbClr val="000000"/>
                </a:solidFill>
                <a:latin typeface="Arial"/>
              </a:defRPr>
            </a:pPr>
            <a:r>
              <a:rPr lang="en-US" sz="1800" b="1" i="0">
                <a:solidFill>
                  <a:srgbClr val="000000"/>
                </a:solidFill>
                <a:latin typeface="Arial"/>
              </a:rPr>
              <a:t>Cost-Effectiveness Acceptability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strRef>
              <c:f>PSA!$AR$10</c:f>
              <c:strCache>
                <c:ptCount val="1"/>
                <c:pt idx="0">
                  <c:v>LET Prophylaxis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PSA!$AQ$14:$AQ$96</c:f>
              <c:numCache>
                <c:formatCode>General</c:formatCode>
                <c:ptCount val="83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  <c:pt idx="58">
                  <c:v>110000</c:v>
                </c:pt>
                <c:pt idx="59">
                  <c:v>120000</c:v>
                </c:pt>
                <c:pt idx="60">
                  <c:v>130000</c:v>
                </c:pt>
                <c:pt idx="61">
                  <c:v>140000</c:v>
                </c:pt>
                <c:pt idx="62">
                  <c:v>150000</c:v>
                </c:pt>
                <c:pt idx="63">
                  <c:v>160000</c:v>
                </c:pt>
                <c:pt idx="64">
                  <c:v>170000</c:v>
                </c:pt>
                <c:pt idx="65">
                  <c:v>180000</c:v>
                </c:pt>
                <c:pt idx="66">
                  <c:v>190000</c:v>
                </c:pt>
                <c:pt idx="67">
                  <c:v>200000</c:v>
                </c:pt>
                <c:pt idx="68">
                  <c:v>250000</c:v>
                </c:pt>
                <c:pt idx="69">
                  <c:v>300000</c:v>
                </c:pt>
                <c:pt idx="70">
                  <c:v>350000</c:v>
                </c:pt>
                <c:pt idx="71">
                  <c:v>400000</c:v>
                </c:pt>
                <c:pt idx="72">
                  <c:v>450000</c:v>
                </c:pt>
                <c:pt idx="73">
                  <c:v>500000</c:v>
                </c:pt>
                <c:pt idx="74">
                  <c:v>550000</c:v>
                </c:pt>
                <c:pt idx="75">
                  <c:v>600000</c:v>
                </c:pt>
                <c:pt idx="76">
                  <c:v>650000</c:v>
                </c:pt>
                <c:pt idx="77">
                  <c:v>700000</c:v>
                </c:pt>
                <c:pt idx="78">
                  <c:v>750000</c:v>
                </c:pt>
                <c:pt idx="79">
                  <c:v>800000</c:v>
                </c:pt>
                <c:pt idx="80">
                  <c:v>850000</c:v>
                </c:pt>
                <c:pt idx="81">
                  <c:v>900000</c:v>
                </c:pt>
                <c:pt idx="82">
                  <c:v>950000</c:v>
                </c:pt>
              </c:numCache>
            </c:numRef>
          </c:xVal>
          <c:yVal>
            <c:numRef>
              <c:f>PSA!$AR$14:$AR$96</c:f>
              <c:numCache>
                <c:formatCode>General</c:formatCode>
                <c:ptCount val="83"/>
                <c:pt idx="0">
                  <c:v>0.03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2.9000000000000001E-2</c:v>
                </c:pt>
                <c:pt idx="11">
                  <c:v>2.8000000000000001E-2</c:v>
                </c:pt>
                <c:pt idx="12">
                  <c:v>2.5000000000000001E-2</c:v>
                </c:pt>
                <c:pt idx="13">
                  <c:v>2.7E-2</c:v>
                </c:pt>
                <c:pt idx="14">
                  <c:v>2.7E-2</c:v>
                </c:pt>
                <c:pt idx="15">
                  <c:v>2.5999999999999999E-2</c:v>
                </c:pt>
                <c:pt idx="16">
                  <c:v>2.4E-2</c:v>
                </c:pt>
                <c:pt idx="17">
                  <c:v>2.4E-2</c:v>
                </c:pt>
                <c:pt idx="18">
                  <c:v>2.1000000000000001E-2</c:v>
                </c:pt>
                <c:pt idx="19">
                  <c:v>2.1000000000000001E-2</c:v>
                </c:pt>
                <c:pt idx="20">
                  <c:v>2.4E-2</c:v>
                </c:pt>
                <c:pt idx="21">
                  <c:v>2.4E-2</c:v>
                </c:pt>
                <c:pt idx="22">
                  <c:v>2.5999999999999999E-2</c:v>
                </c:pt>
                <c:pt idx="23">
                  <c:v>3.1E-2</c:v>
                </c:pt>
                <c:pt idx="24">
                  <c:v>3.4000000000000002E-2</c:v>
                </c:pt>
                <c:pt idx="25">
                  <c:v>4.2999999999999997E-2</c:v>
                </c:pt>
                <c:pt idx="26">
                  <c:v>0.05</c:v>
                </c:pt>
                <c:pt idx="27">
                  <c:v>5.8999999999999997E-2</c:v>
                </c:pt>
                <c:pt idx="28">
                  <c:v>6.6000000000000003E-2</c:v>
                </c:pt>
                <c:pt idx="29">
                  <c:v>7.0999999999999994E-2</c:v>
                </c:pt>
                <c:pt idx="30">
                  <c:v>8.1000000000000003E-2</c:v>
                </c:pt>
                <c:pt idx="31">
                  <c:v>0.09</c:v>
                </c:pt>
                <c:pt idx="32">
                  <c:v>0.10100000000000001</c:v>
                </c:pt>
                <c:pt idx="33">
                  <c:v>0.112</c:v>
                </c:pt>
                <c:pt idx="34">
                  <c:v>0.11700000000000001</c:v>
                </c:pt>
                <c:pt idx="35">
                  <c:v>0.126</c:v>
                </c:pt>
                <c:pt idx="36">
                  <c:v>0.13900000000000001</c:v>
                </c:pt>
                <c:pt idx="37">
                  <c:v>0.14699999999999999</c:v>
                </c:pt>
                <c:pt idx="38">
                  <c:v>0.16</c:v>
                </c:pt>
                <c:pt idx="39">
                  <c:v>0.17100000000000001</c:v>
                </c:pt>
                <c:pt idx="40">
                  <c:v>0.192</c:v>
                </c:pt>
                <c:pt idx="41">
                  <c:v>0.19900000000000001</c:v>
                </c:pt>
                <c:pt idx="42">
                  <c:v>0.21099999999999999</c:v>
                </c:pt>
                <c:pt idx="43">
                  <c:v>0.221</c:v>
                </c:pt>
                <c:pt idx="44">
                  <c:v>0.26700000000000002</c:v>
                </c:pt>
                <c:pt idx="45">
                  <c:v>0.313</c:v>
                </c:pt>
                <c:pt idx="46">
                  <c:v>0.34599999999999997</c:v>
                </c:pt>
                <c:pt idx="47">
                  <c:v>0.38100000000000001</c:v>
                </c:pt>
                <c:pt idx="48">
                  <c:v>0.40799999999999997</c:v>
                </c:pt>
                <c:pt idx="49">
                  <c:v>0.42399999999999999</c:v>
                </c:pt>
                <c:pt idx="50">
                  <c:v>0.438</c:v>
                </c:pt>
                <c:pt idx="51">
                  <c:v>0.45400000000000001</c:v>
                </c:pt>
                <c:pt idx="52">
                  <c:v>0.47199999999999998</c:v>
                </c:pt>
                <c:pt idx="53">
                  <c:v>0.48799999999999999</c:v>
                </c:pt>
                <c:pt idx="54">
                  <c:v>0.501</c:v>
                </c:pt>
                <c:pt idx="55">
                  <c:v>0.51</c:v>
                </c:pt>
                <c:pt idx="56">
                  <c:v>0.51600000000000001</c:v>
                </c:pt>
                <c:pt idx="57">
                  <c:v>0.52700000000000002</c:v>
                </c:pt>
                <c:pt idx="58">
                  <c:v>0.54500000000000004</c:v>
                </c:pt>
                <c:pt idx="59">
                  <c:v>0.55800000000000005</c:v>
                </c:pt>
                <c:pt idx="60">
                  <c:v>0.56499999999999995</c:v>
                </c:pt>
                <c:pt idx="61">
                  <c:v>0.56999999999999995</c:v>
                </c:pt>
                <c:pt idx="62">
                  <c:v>0.57599999999999996</c:v>
                </c:pt>
                <c:pt idx="63">
                  <c:v>0.58199999999999996</c:v>
                </c:pt>
                <c:pt idx="64">
                  <c:v>0.58799999999999997</c:v>
                </c:pt>
                <c:pt idx="65">
                  <c:v>0.59399999999999997</c:v>
                </c:pt>
                <c:pt idx="66">
                  <c:v>0.59699999999999998</c:v>
                </c:pt>
                <c:pt idx="67">
                  <c:v>0.59699999999999998</c:v>
                </c:pt>
                <c:pt idx="68">
                  <c:v>0.61499999999999999</c:v>
                </c:pt>
                <c:pt idx="69">
                  <c:v>0.624</c:v>
                </c:pt>
                <c:pt idx="70">
                  <c:v>0.63</c:v>
                </c:pt>
                <c:pt idx="71">
                  <c:v>0.63400000000000001</c:v>
                </c:pt>
                <c:pt idx="72">
                  <c:v>0.63700000000000001</c:v>
                </c:pt>
                <c:pt idx="73">
                  <c:v>0.64</c:v>
                </c:pt>
                <c:pt idx="74">
                  <c:v>0.64500000000000002</c:v>
                </c:pt>
                <c:pt idx="75">
                  <c:v>0.64700000000000002</c:v>
                </c:pt>
                <c:pt idx="76">
                  <c:v>0.64900000000000002</c:v>
                </c:pt>
                <c:pt idx="77">
                  <c:v>0.65200000000000002</c:v>
                </c:pt>
                <c:pt idx="78">
                  <c:v>0.65300000000000002</c:v>
                </c:pt>
                <c:pt idx="79">
                  <c:v>0.65400000000000003</c:v>
                </c:pt>
                <c:pt idx="80">
                  <c:v>0.65600000000000003</c:v>
                </c:pt>
                <c:pt idx="81">
                  <c:v>0.65800000000000003</c:v>
                </c:pt>
                <c:pt idx="82">
                  <c:v>0.66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11-7C40-AD36-77372E906E4E}"/>
            </c:ext>
          </c:extLst>
        </c:ser>
        <c:ser>
          <c:idx val="1"/>
          <c:order val="1"/>
          <c:tx>
            <c:strRef>
              <c:f>PSA!$AS$10</c:f>
              <c:strCache>
                <c:ptCount val="1"/>
                <c:pt idx="0">
                  <c:v>PET-Alone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PSA!$AQ$14:$AQ$96</c:f>
              <c:numCache>
                <c:formatCode>General</c:formatCode>
                <c:ptCount val="83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6000</c:v>
                </c:pt>
                <c:pt idx="20">
                  <c:v>7000</c:v>
                </c:pt>
                <c:pt idx="21">
                  <c:v>8000</c:v>
                </c:pt>
                <c:pt idx="22">
                  <c:v>9000</c:v>
                </c:pt>
                <c:pt idx="23">
                  <c:v>10000</c:v>
                </c:pt>
                <c:pt idx="24">
                  <c:v>11000</c:v>
                </c:pt>
                <c:pt idx="25">
                  <c:v>12000</c:v>
                </c:pt>
                <c:pt idx="26">
                  <c:v>13000</c:v>
                </c:pt>
                <c:pt idx="27">
                  <c:v>14000</c:v>
                </c:pt>
                <c:pt idx="28">
                  <c:v>15000</c:v>
                </c:pt>
                <c:pt idx="29">
                  <c:v>16000</c:v>
                </c:pt>
                <c:pt idx="30">
                  <c:v>17000</c:v>
                </c:pt>
                <c:pt idx="31">
                  <c:v>18000</c:v>
                </c:pt>
                <c:pt idx="32">
                  <c:v>19000</c:v>
                </c:pt>
                <c:pt idx="33">
                  <c:v>20000</c:v>
                </c:pt>
                <c:pt idx="34">
                  <c:v>21000</c:v>
                </c:pt>
                <c:pt idx="35">
                  <c:v>22000</c:v>
                </c:pt>
                <c:pt idx="36">
                  <c:v>23000</c:v>
                </c:pt>
                <c:pt idx="37">
                  <c:v>24000</c:v>
                </c:pt>
                <c:pt idx="38">
                  <c:v>25000</c:v>
                </c:pt>
                <c:pt idx="39">
                  <c:v>26000</c:v>
                </c:pt>
                <c:pt idx="40">
                  <c:v>27000</c:v>
                </c:pt>
                <c:pt idx="41">
                  <c:v>28000</c:v>
                </c:pt>
                <c:pt idx="42">
                  <c:v>29000</c:v>
                </c:pt>
                <c:pt idx="43">
                  <c:v>30000</c:v>
                </c:pt>
                <c:pt idx="44">
                  <c:v>35000</c:v>
                </c:pt>
                <c:pt idx="45">
                  <c:v>40000</c:v>
                </c:pt>
                <c:pt idx="46">
                  <c:v>45000</c:v>
                </c:pt>
                <c:pt idx="47">
                  <c:v>50000</c:v>
                </c:pt>
                <c:pt idx="48">
                  <c:v>55000</c:v>
                </c:pt>
                <c:pt idx="49">
                  <c:v>60000</c:v>
                </c:pt>
                <c:pt idx="50">
                  <c:v>65000</c:v>
                </c:pt>
                <c:pt idx="51">
                  <c:v>70000</c:v>
                </c:pt>
                <c:pt idx="52">
                  <c:v>75000</c:v>
                </c:pt>
                <c:pt idx="53">
                  <c:v>80000</c:v>
                </c:pt>
                <c:pt idx="54">
                  <c:v>85000</c:v>
                </c:pt>
                <c:pt idx="55">
                  <c:v>90000</c:v>
                </c:pt>
                <c:pt idx="56">
                  <c:v>95000</c:v>
                </c:pt>
                <c:pt idx="57">
                  <c:v>100000</c:v>
                </c:pt>
                <c:pt idx="58">
                  <c:v>110000</c:v>
                </c:pt>
                <c:pt idx="59">
                  <c:v>120000</c:v>
                </c:pt>
                <c:pt idx="60">
                  <c:v>130000</c:v>
                </c:pt>
                <c:pt idx="61">
                  <c:v>140000</c:v>
                </c:pt>
                <c:pt idx="62">
                  <c:v>150000</c:v>
                </c:pt>
                <c:pt idx="63">
                  <c:v>160000</c:v>
                </c:pt>
                <c:pt idx="64">
                  <c:v>170000</c:v>
                </c:pt>
                <c:pt idx="65">
                  <c:v>180000</c:v>
                </c:pt>
                <c:pt idx="66">
                  <c:v>190000</c:v>
                </c:pt>
                <c:pt idx="67">
                  <c:v>200000</c:v>
                </c:pt>
                <c:pt idx="68">
                  <c:v>250000</c:v>
                </c:pt>
                <c:pt idx="69">
                  <c:v>300000</c:v>
                </c:pt>
                <c:pt idx="70">
                  <c:v>350000</c:v>
                </c:pt>
                <c:pt idx="71">
                  <c:v>400000</c:v>
                </c:pt>
                <c:pt idx="72">
                  <c:v>450000</c:v>
                </c:pt>
                <c:pt idx="73">
                  <c:v>500000</c:v>
                </c:pt>
                <c:pt idx="74">
                  <c:v>550000</c:v>
                </c:pt>
                <c:pt idx="75">
                  <c:v>600000</c:v>
                </c:pt>
                <c:pt idx="76">
                  <c:v>650000</c:v>
                </c:pt>
                <c:pt idx="77">
                  <c:v>700000</c:v>
                </c:pt>
                <c:pt idx="78">
                  <c:v>750000</c:v>
                </c:pt>
                <c:pt idx="79">
                  <c:v>800000</c:v>
                </c:pt>
                <c:pt idx="80">
                  <c:v>850000</c:v>
                </c:pt>
                <c:pt idx="81">
                  <c:v>900000</c:v>
                </c:pt>
                <c:pt idx="82">
                  <c:v>950000</c:v>
                </c:pt>
              </c:numCache>
            </c:numRef>
          </c:xVal>
          <c:yVal>
            <c:numRef>
              <c:f>PSA!$AS$14:$AS$96</c:f>
              <c:numCache>
                <c:formatCode>General</c:formatCode>
                <c:ptCount val="83"/>
                <c:pt idx="0">
                  <c:v>0.97</c:v>
                </c:pt>
                <c:pt idx="1">
                  <c:v>0.96899999999999997</c:v>
                </c:pt>
                <c:pt idx="2">
                  <c:v>0.96899999999999997</c:v>
                </c:pt>
                <c:pt idx="3">
                  <c:v>0.96899999999999997</c:v>
                </c:pt>
                <c:pt idx="4">
                  <c:v>0.96899999999999997</c:v>
                </c:pt>
                <c:pt idx="5">
                  <c:v>0.96899999999999997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  <c:pt idx="10">
                  <c:v>0.97099999999999997</c:v>
                </c:pt>
                <c:pt idx="11">
                  <c:v>0.97199999999999998</c:v>
                </c:pt>
                <c:pt idx="12">
                  <c:v>0.97499999999999998</c:v>
                </c:pt>
                <c:pt idx="13">
                  <c:v>0.97299999999999998</c:v>
                </c:pt>
                <c:pt idx="14">
                  <c:v>0.97299999999999998</c:v>
                </c:pt>
                <c:pt idx="15">
                  <c:v>0.97399999999999998</c:v>
                </c:pt>
                <c:pt idx="16">
                  <c:v>0.97599999999999998</c:v>
                </c:pt>
                <c:pt idx="17">
                  <c:v>0.97599999999999998</c:v>
                </c:pt>
                <c:pt idx="18">
                  <c:v>0.97899999999999998</c:v>
                </c:pt>
                <c:pt idx="19">
                  <c:v>0.97899999999999998</c:v>
                </c:pt>
                <c:pt idx="20">
                  <c:v>0.97599999999999998</c:v>
                </c:pt>
                <c:pt idx="21">
                  <c:v>0.97599999999999998</c:v>
                </c:pt>
                <c:pt idx="22">
                  <c:v>0.97399999999999998</c:v>
                </c:pt>
                <c:pt idx="23">
                  <c:v>0.96899999999999997</c:v>
                </c:pt>
                <c:pt idx="24">
                  <c:v>0.96599999999999997</c:v>
                </c:pt>
                <c:pt idx="25">
                  <c:v>0.95699999999999996</c:v>
                </c:pt>
                <c:pt idx="26">
                  <c:v>0.95</c:v>
                </c:pt>
                <c:pt idx="27">
                  <c:v>0.94099999999999995</c:v>
                </c:pt>
                <c:pt idx="28">
                  <c:v>0.93400000000000005</c:v>
                </c:pt>
                <c:pt idx="29">
                  <c:v>0.92900000000000005</c:v>
                </c:pt>
                <c:pt idx="30">
                  <c:v>0.91900000000000004</c:v>
                </c:pt>
                <c:pt idx="31">
                  <c:v>0.91</c:v>
                </c:pt>
                <c:pt idx="32">
                  <c:v>0.89900000000000002</c:v>
                </c:pt>
                <c:pt idx="33">
                  <c:v>0.88800000000000001</c:v>
                </c:pt>
                <c:pt idx="34">
                  <c:v>0.88300000000000001</c:v>
                </c:pt>
                <c:pt idx="35">
                  <c:v>0.874</c:v>
                </c:pt>
                <c:pt idx="36">
                  <c:v>0.86099999999999999</c:v>
                </c:pt>
                <c:pt idx="37">
                  <c:v>0.85299999999999998</c:v>
                </c:pt>
                <c:pt idx="38">
                  <c:v>0.84</c:v>
                </c:pt>
                <c:pt idx="39">
                  <c:v>0.82899999999999996</c:v>
                </c:pt>
                <c:pt idx="40">
                  <c:v>0.80800000000000005</c:v>
                </c:pt>
                <c:pt idx="41">
                  <c:v>0.80100000000000005</c:v>
                </c:pt>
                <c:pt idx="42">
                  <c:v>0.78900000000000003</c:v>
                </c:pt>
                <c:pt idx="43">
                  <c:v>0.77900000000000003</c:v>
                </c:pt>
                <c:pt idx="44">
                  <c:v>0.73299999999999998</c:v>
                </c:pt>
                <c:pt idx="45">
                  <c:v>0.68700000000000006</c:v>
                </c:pt>
                <c:pt idx="46">
                  <c:v>0.65400000000000003</c:v>
                </c:pt>
                <c:pt idx="47">
                  <c:v>0.61899999999999999</c:v>
                </c:pt>
                <c:pt idx="48">
                  <c:v>0.59199999999999997</c:v>
                </c:pt>
                <c:pt idx="49">
                  <c:v>0.57599999999999996</c:v>
                </c:pt>
                <c:pt idx="50">
                  <c:v>0.56200000000000006</c:v>
                </c:pt>
                <c:pt idx="51">
                  <c:v>0.54600000000000004</c:v>
                </c:pt>
                <c:pt idx="52">
                  <c:v>0.52800000000000002</c:v>
                </c:pt>
                <c:pt idx="53">
                  <c:v>0.51200000000000001</c:v>
                </c:pt>
                <c:pt idx="54">
                  <c:v>0.499</c:v>
                </c:pt>
                <c:pt idx="55">
                  <c:v>0.49</c:v>
                </c:pt>
                <c:pt idx="56">
                  <c:v>0.48399999999999999</c:v>
                </c:pt>
                <c:pt idx="57">
                  <c:v>0.47299999999999998</c:v>
                </c:pt>
                <c:pt idx="58">
                  <c:v>0.45500000000000002</c:v>
                </c:pt>
                <c:pt idx="59">
                  <c:v>0.442</c:v>
                </c:pt>
                <c:pt idx="60">
                  <c:v>0.435</c:v>
                </c:pt>
                <c:pt idx="61">
                  <c:v>0.43</c:v>
                </c:pt>
                <c:pt idx="62">
                  <c:v>0.42399999999999999</c:v>
                </c:pt>
                <c:pt idx="63">
                  <c:v>0.41799999999999998</c:v>
                </c:pt>
                <c:pt idx="64">
                  <c:v>0.41199999999999998</c:v>
                </c:pt>
                <c:pt idx="65">
                  <c:v>0.40600000000000003</c:v>
                </c:pt>
                <c:pt idx="66">
                  <c:v>0.40300000000000002</c:v>
                </c:pt>
                <c:pt idx="67">
                  <c:v>0.40300000000000002</c:v>
                </c:pt>
                <c:pt idx="68">
                  <c:v>0.38500000000000001</c:v>
                </c:pt>
                <c:pt idx="69">
                  <c:v>0.376</c:v>
                </c:pt>
                <c:pt idx="70">
                  <c:v>0.37</c:v>
                </c:pt>
                <c:pt idx="71">
                  <c:v>0.36599999999999999</c:v>
                </c:pt>
                <c:pt idx="72">
                  <c:v>0.36299999999999999</c:v>
                </c:pt>
                <c:pt idx="73">
                  <c:v>0.36</c:v>
                </c:pt>
                <c:pt idx="74">
                  <c:v>0.35499999999999998</c:v>
                </c:pt>
                <c:pt idx="75">
                  <c:v>0.35299999999999998</c:v>
                </c:pt>
                <c:pt idx="76">
                  <c:v>0.35099999999999998</c:v>
                </c:pt>
                <c:pt idx="77">
                  <c:v>0.34799999999999998</c:v>
                </c:pt>
                <c:pt idx="78">
                  <c:v>0.34699999999999998</c:v>
                </c:pt>
                <c:pt idx="79">
                  <c:v>0.34599999999999997</c:v>
                </c:pt>
                <c:pt idx="80">
                  <c:v>0.34399999999999997</c:v>
                </c:pt>
                <c:pt idx="81">
                  <c:v>0.34200000000000003</c:v>
                </c:pt>
                <c:pt idx="82">
                  <c:v>0.34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11-7C40-AD36-77372E906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9586814"/>
        <c:axId val="943814258"/>
      </c:scatterChart>
      <c:valAx>
        <c:axId val="1879586814"/>
        <c:scaling>
          <c:orientation val="minMax"/>
          <c:max val="300000"/>
        </c:scaling>
        <c:delete val="0"/>
        <c:axPos val="b"/>
        <c:title>
          <c:tx>
            <c:rich>
              <a:bodyPr/>
              <a:lstStyle/>
              <a:p>
                <a:pPr lvl="0">
                  <a:defRPr sz="18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800" b="1" i="0">
                    <a:solidFill>
                      <a:srgbClr val="000000"/>
                    </a:solidFill>
                    <a:latin typeface="+mn-lt"/>
                  </a:rPr>
                  <a:t>Value of Ceiling Ratio</a:t>
                </a:r>
              </a:p>
            </c:rich>
          </c:tx>
          <c:layout>
            <c:manualLayout>
              <c:xMode val="edge"/>
              <c:yMode val="edge"/>
              <c:x val="0.41763692249285633"/>
              <c:y val="0.9589123469102121"/>
            </c:manualLayout>
          </c:layout>
          <c:overlay val="0"/>
        </c:title>
        <c:numFmt formatCode="&quot;$&quot;#,##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16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943814258"/>
        <c:crosses val="autoZero"/>
        <c:crossBetween val="midCat"/>
      </c:valAx>
      <c:valAx>
        <c:axId val="943814258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lvl="0">
                  <a:defRPr sz="2000"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2000" b="1" i="0">
                    <a:solidFill>
                      <a:srgbClr val="000000"/>
                    </a:solidFill>
                    <a:latin typeface="+mn-lt"/>
                  </a:rPr>
                  <a:t>Probability Cost-Effective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1800" b="0" i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879586814"/>
        <c:crosses val="autoZero"/>
        <c:crossBetween val="midCat"/>
      </c:valAx>
    </c:plotArea>
    <c:legend>
      <c:legendPos val="t"/>
      <c:overlay val="0"/>
      <c:txPr>
        <a:bodyPr/>
        <a:lstStyle/>
        <a:p>
          <a:pPr lvl="0">
            <a:defRPr sz="1400" b="0" i="0">
              <a:solidFill>
                <a:srgbClr val="000000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20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Incremental 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5000"/>
                </a:schemeClr>
              </a:solidFill>
              <a:ln w="317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PSA!$AG$14:$AG$1013</c:f>
              <c:numCache>
                <c:formatCode>General</c:formatCode>
                <c:ptCount val="1000"/>
                <c:pt idx="0">
                  <c:v>0.22960541690368075</c:v>
                </c:pt>
                <c:pt idx="1">
                  <c:v>-7.1263415404194674E-2</c:v>
                </c:pt>
                <c:pt idx="2">
                  <c:v>-1.8316153672905955E-3</c:v>
                </c:pt>
                <c:pt idx="3">
                  <c:v>0.94382611929717974</c:v>
                </c:pt>
                <c:pt idx="4">
                  <c:v>0.82359062885285761</c:v>
                </c:pt>
                <c:pt idx="5">
                  <c:v>0.65894460383243914</c:v>
                </c:pt>
                <c:pt idx="6">
                  <c:v>-2.7788875959844361E-3</c:v>
                </c:pt>
                <c:pt idx="7">
                  <c:v>-6.2009344314777337E-2</c:v>
                </c:pt>
                <c:pt idx="8">
                  <c:v>0.50404982314792957</c:v>
                </c:pt>
                <c:pt idx="9">
                  <c:v>-0.22528129632100558</c:v>
                </c:pt>
                <c:pt idx="10">
                  <c:v>0.37275776126058258</c:v>
                </c:pt>
                <c:pt idx="11">
                  <c:v>0.11448250155554263</c:v>
                </c:pt>
                <c:pt idx="12">
                  <c:v>-0.43684691619476057</c:v>
                </c:pt>
                <c:pt idx="13">
                  <c:v>5.9201623692280991E-2</c:v>
                </c:pt>
                <c:pt idx="14">
                  <c:v>0.38867233958815151</c:v>
                </c:pt>
                <c:pt idx="15">
                  <c:v>0.22734549368116852</c:v>
                </c:pt>
                <c:pt idx="16">
                  <c:v>8.5779340147252192E-2</c:v>
                </c:pt>
                <c:pt idx="17">
                  <c:v>-6.7072493567157387E-2</c:v>
                </c:pt>
                <c:pt idx="18">
                  <c:v>-0.20806217464765808</c:v>
                </c:pt>
                <c:pt idx="19">
                  <c:v>-0.2522344041477842</c:v>
                </c:pt>
                <c:pt idx="20">
                  <c:v>0.35432402706129729</c:v>
                </c:pt>
                <c:pt idx="21">
                  <c:v>1.3856954892683682E-2</c:v>
                </c:pt>
                <c:pt idx="22">
                  <c:v>0.10596323353100279</c:v>
                </c:pt>
                <c:pt idx="23">
                  <c:v>0.29291922932692316</c:v>
                </c:pt>
                <c:pt idx="24">
                  <c:v>0.15054928691142777</c:v>
                </c:pt>
                <c:pt idx="25">
                  <c:v>-0.19694314128160428</c:v>
                </c:pt>
                <c:pt idx="26">
                  <c:v>0.48264318770572778</c:v>
                </c:pt>
                <c:pt idx="27">
                  <c:v>0.42027839211469242</c:v>
                </c:pt>
                <c:pt idx="28">
                  <c:v>0.29387263701737876</c:v>
                </c:pt>
                <c:pt idx="29">
                  <c:v>0.29418258440551348</c:v>
                </c:pt>
                <c:pt idx="30">
                  <c:v>0.29740980058877575</c:v>
                </c:pt>
                <c:pt idx="31">
                  <c:v>0.11076068992099897</c:v>
                </c:pt>
                <c:pt idx="32">
                  <c:v>-5.4620124505629697E-2</c:v>
                </c:pt>
                <c:pt idx="33">
                  <c:v>0.57264144055733368</c:v>
                </c:pt>
                <c:pt idx="34">
                  <c:v>0.40005085810757102</c:v>
                </c:pt>
                <c:pt idx="35">
                  <c:v>0.11110454859966112</c:v>
                </c:pt>
                <c:pt idx="36">
                  <c:v>-0.24665081164639258</c:v>
                </c:pt>
                <c:pt idx="37">
                  <c:v>-0.46427963417445639</c:v>
                </c:pt>
                <c:pt idx="38">
                  <c:v>0.1790483317701197</c:v>
                </c:pt>
                <c:pt idx="39">
                  <c:v>0.24846849289431239</c:v>
                </c:pt>
                <c:pt idx="40">
                  <c:v>0.60133257909752036</c:v>
                </c:pt>
                <c:pt idx="41">
                  <c:v>-4.2597972848945953E-2</c:v>
                </c:pt>
                <c:pt idx="42">
                  <c:v>0.59981627188166353</c:v>
                </c:pt>
                <c:pt idx="43">
                  <c:v>7.1240444614566911E-2</c:v>
                </c:pt>
                <c:pt idx="44">
                  <c:v>0.68505002151153915</c:v>
                </c:pt>
                <c:pt idx="45">
                  <c:v>0.22944740730094537</c:v>
                </c:pt>
                <c:pt idx="46">
                  <c:v>-0.16213847015278215</c:v>
                </c:pt>
                <c:pt idx="47">
                  <c:v>0.18097275523304646</c:v>
                </c:pt>
                <c:pt idx="48">
                  <c:v>0.34639152961653719</c:v>
                </c:pt>
                <c:pt idx="49">
                  <c:v>7.241374627011421E-2</c:v>
                </c:pt>
                <c:pt idx="50">
                  <c:v>0.46424083690004114</c:v>
                </c:pt>
                <c:pt idx="51">
                  <c:v>0.1672468643366134</c:v>
                </c:pt>
                <c:pt idx="52">
                  <c:v>-0.14474121361661485</c:v>
                </c:pt>
                <c:pt idx="53">
                  <c:v>-0.12220746533698668</c:v>
                </c:pt>
                <c:pt idx="54">
                  <c:v>-4.6693510167061802E-2</c:v>
                </c:pt>
                <c:pt idx="55">
                  <c:v>-2.4753828703251379E-2</c:v>
                </c:pt>
                <c:pt idx="56">
                  <c:v>0.1794074995645214</c:v>
                </c:pt>
                <c:pt idx="57">
                  <c:v>0.70169073645859115</c:v>
                </c:pt>
                <c:pt idx="58">
                  <c:v>-4.8782552325088435E-3</c:v>
                </c:pt>
                <c:pt idx="59">
                  <c:v>0.38312107407633533</c:v>
                </c:pt>
                <c:pt idx="60">
                  <c:v>-0.1346180285940588</c:v>
                </c:pt>
                <c:pt idx="61">
                  <c:v>0.33873496545496073</c:v>
                </c:pt>
                <c:pt idx="62">
                  <c:v>0.56383032105539588</c:v>
                </c:pt>
                <c:pt idx="63">
                  <c:v>-7.7701290915265453E-2</c:v>
                </c:pt>
                <c:pt idx="64">
                  <c:v>1.8227806949552061E-2</c:v>
                </c:pt>
                <c:pt idx="65">
                  <c:v>-0.10281343901360931</c:v>
                </c:pt>
                <c:pt idx="66">
                  <c:v>0.40894742142553353</c:v>
                </c:pt>
                <c:pt idx="67">
                  <c:v>0.10250371337639685</c:v>
                </c:pt>
                <c:pt idx="68">
                  <c:v>-0.16148403390211463</c:v>
                </c:pt>
                <c:pt idx="69">
                  <c:v>-0.25231744789753074</c:v>
                </c:pt>
                <c:pt idx="70">
                  <c:v>-0.13713798342160732</c:v>
                </c:pt>
                <c:pt idx="71">
                  <c:v>0.37580850174621405</c:v>
                </c:pt>
                <c:pt idx="72">
                  <c:v>0.35321615163355258</c:v>
                </c:pt>
                <c:pt idx="73">
                  <c:v>0.14908264450595965</c:v>
                </c:pt>
                <c:pt idx="74">
                  <c:v>0.36623239545623498</c:v>
                </c:pt>
                <c:pt idx="75">
                  <c:v>7.806987619188277E-2</c:v>
                </c:pt>
                <c:pt idx="76">
                  <c:v>0.43362272088398068</c:v>
                </c:pt>
                <c:pt idx="77">
                  <c:v>0.34614786950076759</c:v>
                </c:pt>
                <c:pt idx="78">
                  <c:v>-0.17318104379306565</c:v>
                </c:pt>
                <c:pt idx="79">
                  <c:v>-5.9219152766044836E-2</c:v>
                </c:pt>
                <c:pt idx="80">
                  <c:v>0.32010162645242446</c:v>
                </c:pt>
                <c:pt idx="81">
                  <c:v>0.87717419194648816</c:v>
                </c:pt>
                <c:pt idx="82">
                  <c:v>0.35130841918176081</c:v>
                </c:pt>
                <c:pt idx="83">
                  <c:v>-7.9856315552022217E-2</c:v>
                </c:pt>
                <c:pt idx="84">
                  <c:v>0.58541324561635832</c:v>
                </c:pt>
                <c:pt idx="85">
                  <c:v>-0.12499361174099377</c:v>
                </c:pt>
                <c:pt idx="86">
                  <c:v>0.67434248994524193</c:v>
                </c:pt>
                <c:pt idx="87">
                  <c:v>0.51585734465695499</c:v>
                </c:pt>
                <c:pt idx="88">
                  <c:v>6.5659781640451609E-2</c:v>
                </c:pt>
                <c:pt idx="89">
                  <c:v>-0.13739334882983734</c:v>
                </c:pt>
                <c:pt idx="90">
                  <c:v>-0.1408830768499193</c:v>
                </c:pt>
                <c:pt idx="91">
                  <c:v>-7.3659918282746872E-3</c:v>
                </c:pt>
                <c:pt idx="92">
                  <c:v>0.14644212371450838</c:v>
                </c:pt>
                <c:pt idx="93">
                  <c:v>0.12521292308543597</c:v>
                </c:pt>
                <c:pt idx="94">
                  <c:v>0.26556794817334151</c:v>
                </c:pt>
                <c:pt idx="95">
                  <c:v>0.40210548721546724</c:v>
                </c:pt>
                <c:pt idx="96">
                  <c:v>-0.57770316941044442</c:v>
                </c:pt>
                <c:pt idx="97">
                  <c:v>0.36564383899896313</c:v>
                </c:pt>
                <c:pt idx="98">
                  <c:v>-9.329873206963768E-2</c:v>
                </c:pt>
                <c:pt idx="99">
                  <c:v>0.22918016490360849</c:v>
                </c:pt>
                <c:pt idx="100">
                  <c:v>0.45116396028676231</c:v>
                </c:pt>
                <c:pt idx="101">
                  <c:v>0.49947434738404173</c:v>
                </c:pt>
                <c:pt idx="102">
                  <c:v>0.21659710432759449</c:v>
                </c:pt>
                <c:pt idx="103">
                  <c:v>0.28804655242677146</c:v>
                </c:pt>
                <c:pt idx="104">
                  <c:v>0.37582677806982456</c:v>
                </c:pt>
                <c:pt idx="105">
                  <c:v>0.40032049564901628</c:v>
                </c:pt>
                <c:pt idx="106">
                  <c:v>0.87360739353384087</c:v>
                </c:pt>
                <c:pt idx="107">
                  <c:v>2.4561027280286307E-2</c:v>
                </c:pt>
                <c:pt idx="108">
                  <c:v>-0.39854298476266647</c:v>
                </c:pt>
                <c:pt idx="109">
                  <c:v>0.26530620905435676</c:v>
                </c:pt>
                <c:pt idx="110">
                  <c:v>5.4266439638965713E-2</c:v>
                </c:pt>
                <c:pt idx="111">
                  <c:v>0.13532129962084971</c:v>
                </c:pt>
                <c:pt idx="112">
                  <c:v>0.40553842515745853</c:v>
                </c:pt>
                <c:pt idx="113">
                  <c:v>-0.24467168745463297</c:v>
                </c:pt>
                <c:pt idx="114">
                  <c:v>0.86085900590067332</c:v>
                </c:pt>
                <c:pt idx="115">
                  <c:v>-0.170647708541386</c:v>
                </c:pt>
                <c:pt idx="116">
                  <c:v>7.9623050176566679E-2</c:v>
                </c:pt>
                <c:pt idx="117">
                  <c:v>0.34133477537866197</c:v>
                </c:pt>
                <c:pt idx="118">
                  <c:v>-0.20595350462029582</c:v>
                </c:pt>
                <c:pt idx="119">
                  <c:v>0.76956859747430251</c:v>
                </c:pt>
                <c:pt idx="120">
                  <c:v>0.34151764379503824</c:v>
                </c:pt>
                <c:pt idx="121">
                  <c:v>0.23059558388744827</c:v>
                </c:pt>
                <c:pt idx="122">
                  <c:v>3.6303409187549818E-2</c:v>
                </c:pt>
                <c:pt idx="123">
                  <c:v>-0.27873552486562847</c:v>
                </c:pt>
                <c:pt idx="124">
                  <c:v>0.34520108356747325</c:v>
                </c:pt>
                <c:pt idx="125">
                  <c:v>-0.31690863808140968</c:v>
                </c:pt>
                <c:pt idx="126">
                  <c:v>-0.19190346431093197</c:v>
                </c:pt>
                <c:pt idx="127">
                  <c:v>0.62396995428730762</c:v>
                </c:pt>
                <c:pt idx="128">
                  <c:v>0.46403963453579422</c:v>
                </c:pt>
                <c:pt idx="129">
                  <c:v>1.6010670421815032E-2</c:v>
                </c:pt>
                <c:pt idx="130">
                  <c:v>0.64850132274043304</c:v>
                </c:pt>
                <c:pt idx="131">
                  <c:v>0.12474315045956885</c:v>
                </c:pt>
                <c:pt idx="132">
                  <c:v>0.77150962589375016</c:v>
                </c:pt>
                <c:pt idx="133">
                  <c:v>-8.3044809221776372E-2</c:v>
                </c:pt>
                <c:pt idx="134">
                  <c:v>-2.1080513055159678E-2</c:v>
                </c:pt>
                <c:pt idx="135">
                  <c:v>0.45800026319691067</c:v>
                </c:pt>
                <c:pt idx="136">
                  <c:v>0.15680139167212048</c:v>
                </c:pt>
                <c:pt idx="137">
                  <c:v>9.4405116024138813E-3</c:v>
                </c:pt>
                <c:pt idx="138">
                  <c:v>-1.7433124012824486E-3</c:v>
                </c:pt>
                <c:pt idx="139">
                  <c:v>0.23795897486455519</c:v>
                </c:pt>
                <c:pt idx="140">
                  <c:v>7.6422205616744066E-4</c:v>
                </c:pt>
                <c:pt idx="141">
                  <c:v>-0.22088454060064944</c:v>
                </c:pt>
                <c:pt idx="142">
                  <c:v>0.10903851685755361</c:v>
                </c:pt>
                <c:pt idx="143">
                  <c:v>-0.17425820775712308</c:v>
                </c:pt>
                <c:pt idx="144">
                  <c:v>-4.5792780064565441E-2</c:v>
                </c:pt>
                <c:pt idx="145">
                  <c:v>-2.3261932731403867E-2</c:v>
                </c:pt>
                <c:pt idx="146">
                  <c:v>-0.23138125212296812</c:v>
                </c:pt>
                <c:pt idx="147">
                  <c:v>-0.11031802747060482</c:v>
                </c:pt>
                <c:pt idx="148">
                  <c:v>0.59778901688039099</c:v>
                </c:pt>
                <c:pt idx="149">
                  <c:v>-0.43432833034581009</c:v>
                </c:pt>
                <c:pt idx="150">
                  <c:v>0.16569867614626865</c:v>
                </c:pt>
                <c:pt idx="151">
                  <c:v>5.9236421900195069E-3</c:v>
                </c:pt>
                <c:pt idx="152">
                  <c:v>0.14109307333954324</c:v>
                </c:pt>
                <c:pt idx="153">
                  <c:v>0.39128651231230727</c:v>
                </c:pt>
                <c:pt idx="154">
                  <c:v>5.0393792340494237E-2</c:v>
                </c:pt>
                <c:pt idx="155">
                  <c:v>0.23919464592169914</c:v>
                </c:pt>
                <c:pt idx="156">
                  <c:v>0.16704679223100038</c:v>
                </c:pt>
                <c:pt idx="157">
                  <c:v>0.16592444756194524</c:v>
                </c:pt>
                <c:pt idx="158">
                  <c:v>0.55083713795089828</c:v>
                </c:pt>
                <c:pt idx="159">
                  <c:v>0.35543040735100628</c:v>
                </c:pt>
                <c:pt idx="160">
                  <c:v>7.4784596709192463E-2</c:v>
                </c:pt>
                <c:pt idx="161">
                  <c:v>-0.11124937246501876</c:v>
                </c:pt>
                <c:pt idx="162">
                  <c:v>0.1854985726987648</c:v>
                </c:pt>
                <c:pt idx="163">
                  <c:v>0.30104087956314185</c:v>
                </c:pt>
                <c:pt idx="164">
                  <c:v>0.39763840086728219</c:v>
                </c:pt>
                <c:pt idx="165">
                  <c:v>0.11195094564961128</c:v>
                </c:pt>
                <c:pt idx="166">
                  <c:v>0.65907349806088611</c:v>
                </c:pt>
                <c:pt idx="167">
                  <c:v>6.6570614566763275E-3</c:v>
                </c:pt>
                <c:pt idx="168">
                  <c:v>0.43472578641044723</c:v>
                </c:pt>
                <c:pt idx="169">
                  <c:v>0.75101496137832546</c:v>
                </c:pt>
                <c:pt idx="170">
                  <c:v>-4.5665416333844355E-2</c:v>
                </c:pt>
                <c:pt idx="171">
                  <c:v>0.2804549714214053</c:v>
                </c:pt>
                <c:pt idx="172">
                  <c:v>0.29079349075408611</c:v>
                </c:pt>
                <c:pt idx="173">
                  <c:v>1.8463951910948739E-2</c:v>
                </c:pt>
                <c:pt idx="174">
                  <c:v>0.57673522101433328</c:v>
                </c:pt>
                <c:pt idx="175">
                  <c:v>-6.9089270320698226E-2</c:v>
                </c:pt>
                <c:pt idx="176">
                  <c:v>0.25252246039404325</c:v>
                </c:pt>
                <c:pt idx="177">
                  <c:v>3.8493878034738804E-2</c:v>
                </c:pt>
                <c:pt idx="178">
                  <c:v>0.27499447225981211</c:v>
                </c:pt>
                <c:pt idx="179">
                  <c:v>7.5412476548011753E-2</c:v>
                </c:pt>
                <c:pt idx="180">
                  <c:v>-0.25969878801553903</c:v>
                </c:pt>
                <c:pt idx="181">
                  <c:v>0.26014182024517374</c:v>
                </c:pt>
                <c:pt idx="182">
                  <c:v>6.0723071696533015E-2</c:v>
                </c:pt>
                <c:pt idx="183">
                  <c:v>8.8955247869097143E-2</c:v>
                </c:pt>
                <c:pt idx="184">
                  <c:v>0.22230373344593612</c:v>
                </c:pt>
                <c:pt idx="185">
                  <c:v>-0.11268800429507575</c:v>
                </c:pt>
                <c:pt idx="186">
                  <c:v>9.6872255920071204E-2</c:v>
                </c:pt>
                <c:pt idx="187">
                  <c:v>0.22263144805619328</c:v>
                </c:pt>
                <c:pt idx="188">
                  <c:v>-1.2341665672594537E-2</c:v>
                </c:pt>
                <c:pt idx="189">
                  <c:v>-8.7903217602343986E-2</c:v>
                </c:pt>
                <c:pt idx="190">
                  <c:v>0.27876638243475593</c:v>
                </c:pt>
                <c:pt idx="191">
                  <c:v>-0.12826106351414968</c:v>
                </c:pt>
                <c:pt idx="192">
                  <c:v>-5.3390821249369225E-2</c:v>
                </c:pt>
                <c:pt idx="193">
                  <c:v>0.67214339744645546</c:v>
                </c:pt>
                <c:pt idx="194">
                  <c:v>-6.1240460894357085E-2</c:v>
                </c:pt>
                <c:pt idx="195">
                  <c:v>1.2946184686737361E-3</c:v>
                </c:pt>
                <c:pt idx="196">
                  <c:v>0.6315418505211694</c:v>
                </c:pt>
                <c:pt idx="197">
                  <c:v>0.59105168173771183</c:v>
                </c:pt>
                <c:pt idx="198">
                  <c:v>-1.9949624157432844E-2</c:v>
                </c:pt>
                <c:pt idx="199">
                  <c:v>2.4137612774559614E-3</c:v>
                </c:pt>
                <c:pt idx="200">
                  <c:v>0.18151828603524667</c:v>
                </c:pt>
                <c:pt idx="201">
                  <c:v>0.13244109074648824</c:v>
                </c:pt>
                <c:pt idx="202">
                  <c:v>-3.4622605081889857E-2</c:v>
                </c:pt>
                <c:pt idx="203">
                  <c:v>0.10047162968029744</c:v>
                </c:pt>
                <c:pt idx="204">
                  <c:v>0.14961899106047394</c:v>
                </c:pt>
                <c:pt idx="205">
                  <c:v>0.15891651301926579</c:v>
                </c:pt>
                <c:pt idx="206">
                  <c:v>0.15271491239544144</c:v>
                </c:pt>
                <c:pt idx="207">
                  <c:v>-0.18668938788868861</c:v>
                </c:pt>
                <c:pt idx="208">
                  <c:v>0.50214308985500544</c:v>
                </c:pt>
                <c:pt idx="209">
                  <c:v>0.19640983013458513</c:v>
                </c:pt>
                <c:pt idx="210">
                  <c:v>0.59497112291389564</c:v>
                </c:pt>
                <c:pt idx="211">
                  <c:v>-0.10158010742887061</c:v>
                </c:pt>
                <c:pt idx="212">
                  <c:v>0.39650215263930733</c:v>
                </c:pt>
                <c:pt idx="213">
                  <c:v>0.26993369445502324</c:v>
                </c:pt>
                <c:pt idx="214">
                  <c:v>0.67353123539425219</c:v>
                </c:pt>
                <c:pt idx="215">
                  <c:v>5.4266350556147813E-2</c:v>
                </c:pt>
                <c:pt idx="216">
                  <c:v>0.43534907683541846</c:v>
                </c:pt>
                <c:pt idx="217">
                  <c:v>-0.13697691348385543</c:v>
                </c:pt>
                <c:pt idx="218">
                  <c:v>1.1152259496660655E-2</c:v>
                </c:pt>
                <c:pt idx="219">
                  <c:v>-0.21796277717865919</c:v>
                </c:pt>
                <c:pt idx="220">
                  <c:v>-0.30972914659453199</c:v>
                </c:pt>
                <c:pt idx="221">
                  <c:v>-0.29507939230100888</c:v>
                </c:pt>
                <c:pt idx="222">
                  <c:v>0.29574225160488687</c:v>
                </c:pt>
                <c:pt idx="223">
                  <c:v>0.30935537497491428</c:v>
                </c:pt>
                <c:pt idx="224">
                  <c:v>-1.1031646241574933E-3</c:v>
                </c:pt>
                <c:pt idx="225">
                  <c:v>-3.8750818990456182E-3</c:v>
                </c:pt>
                <c:pt idx="226">
                  <c:v>0.47814867706115649</c:v>
                </c:pt>
                <c:pt idx="227">
                  <c:v>0.21809987456997249</c:v>
                </c:pt>
                <c:pt idx="228">
                  <c:v>-0.39607391178525564</c:v>
                </c:pt>
                <c:pt idx="229">
                  <c:v>-0.29463987036363637</c:v>
                </c:pt>
                <c:pt idx="230">
                  <c:v>6.8711591121481952E-2</c:v>
                </c:pt>
                <c:pt idx="231">
                  <c:v>0.30902922166782165</c:v>
                </c:pt>
                <c:pt idx="232">
                  <c:v>1.6980229556285309E-2</c:v>
                </c:pt>
                <c:pt idx="233">
                  <c:v>0.45578616001682271</c:v>
                </c:pt>
                <c:pt idx="234">
                  <c:v>9.3040789525924872E-2</c:v>
                </c:pt>
                <c:pt idx="235">
                  <c:v>0.45415767210189184</c:v>
                </c:pt>
                <c:pt idx="236">
                  <c:v>-0.22046304377436932</c:v>
                </c:pt>
                <c:pt idx="237">
                  <c:v>8.2371147566201675E-2</c:v>
                </c:pt>
                <c:pt idx="238">
                  <c:v>-2.8156252434063944E-2</c:v>
                </c:pt>
                <c:pt idx="239">
                  <c:v>-0.15018908415616838</c:v>
                </c:pt>
                <c:pt idx="240">
                  <c:v>0.14815297052793763</c:v>
                </c:pt>
                <c:pt idx="241">
                  <c:v>0.57012486148130881</c:v>
                </c:pt>
                <c:pt idx="242">
                  <c:v>3.5528983105175937E-2</c:v>
                </c:pt>
                <c:pt idx="243">
                  <c:v>0.19009717410713156</c:v>
                </c:pt>
                <c:pt idx="244">
                  <c:v>0.16871178678558341</c:v>
                </c:pt>
                <c:pt idx="245">
                  <c:v>-6.9770956595864464E-2</c:v>
                </c:pt>
                <c:pt idx="246">
                  <c:v>0.36102317131056783</c:v>
                </c:pt>
                <c:pt idx="247">
                  <c:v>-0.21077748407369423</c:v>
                </c:pt>
                <c:pt idx="248">
                  <c:v>-8.3611714610069221E-2</c:v>
                </c:pt>
                <c:pt idx="249">
                  <c:v>1.0529725582092198E-2</c:v>
                </c:pt>
                <c:pt idx="250">
                  <c:v>-0.23128976310798999</c:v>
                </c:pt>
                <c:pt idx="251">
                  <c:v>0.27522172142506296</c:v>
                </c:pt>
                <c:pt idx="252">
                  <c:v>0.53406894328907217</c:v>
                </c:pt>
                <c:pt idx="253">
                  <c:v>-0.2099830875463633</c:v>
                </c:pt>
                <c:pt idx="254">
                  <c:v>0.303050446567104</c:v>
                </c:pt>
                <c:pt idx="255">
                  <c:v>0.44764344873836315</c:v>
                </c:pt>
                <c:pt idx="256">
                  <c:v>0.22032952086322544</c:v>
                </c:pt>
                <c:pt idx="257">
                  <c:v>-0.43802861644023405</c:v>
                </c:pt>
                <c:pt idx="258">
                  <c:v>0.28043204218998152</c:v>
                </c:pt>
                <c:pt idx="259">
                  <c:v>-0.27147586930183509</c:v>
                </c:pt>
                <c:pt idx="260">
                  <c:v>-0.31143624981229934</c:v>
                </c:pt>
                <c:pt idx="261">
                  <c:v>-0.18673223546414786</c:v>
                </c:pt>
                <c:pt idx="262">
                  <c:v>0.14057330704441195</c:v>
                </c:pt>
                <c:pt idx="263">
                  <c:v>0.10205996013790211</c:v>
                </c:pt>
                <c:pt idx="264">
                  <c:v>-0.24187337971384881</c:v>
                </c:pt>
                <c:pt idx="265">
                  <c:v>-0.17964023179905464</c:v>
                </c:pt>
                <c:pt idx="266">
                  <c:v>-6.8613213838695897E-2</c:v>
                </c:pt>
                <c:pt idx="267">
                  <c:v>-3.1888008259273015E-2</c:v>
                </c:pt>
                <c:pt idx="268">
                  <c:v>-2.3881932878623502E-2</c:v>
                </c:pt>
                <c:pt idx="269">
                  <c:v>-4.0857435321900226E-2</c:v>
                </c:pt>
                <c:pt idx="270">
                  <c:v>-4.593510418397706E-2</c:v>
                </c:pt>
                <c:pt idx="271">
                  <c:v>0.16331449977734458</c:v>
                </c:pt>
                <c:pt idx="272">
                  <c:v>0.16011102158056612</c:v>
                </c:pt>
                <c:pt idx="273">
                  <c:v>0.4792521631360156</c:v>
                </c:pt>
                <c:pt idx="274">
                  <c:v>0.32723630528041525</c:v>
                </c:pt>
                <c:pt idx="275">
                  <c:v>0.26767144937510956</c:v>
                </c:pt>
                <c:pt idx="276">
                  <c:v>1.1008292930860852</c:v>
                </c:pt>
                <c:pt idx="277">
                  <c:v>1.1856241989574912E-2</c:v>
                </c:pt>
                <c:pt idx="278">
                  <c:v>0.2333453670165706</c:v>
                </c:pt>
                <c:pt idx="279">
                  <c:v>0.5663570676336791</c:v>
                </c:pt>
                <c:pt idx="280">
                  <c:v>0.49634923037188505</c:v>
                </c:pt>
                <c:pt idx="281">
                  <c:v>-0.37819781137866415</c:v>
                </c:pt>
                <c:pt idx="282">
                  <c:v>0.10616371675854097</c:v>
                </c:pt>
                <c:pt idx="283">
                  <c:v>4.949883402093036E-2</c:v>
                </c:pt>
                <c:pt idx="284">
                  <c:v>0.18042680505252751</c:v>
                </c:pt>
                <c:pt idx="285">
                  <c:v>0.29682055872934088</c:v>
                </c:pt>
                <c:pt idx="286">
                  <c:v>0.21939024545049346</c:v>
                </c:pt>
                <c:pt idx="287">
                  <c:v>-0.22925937043299927</c:v>
                </c:pt>
                <c:pt idx="288">
                  <c:v>0.35514454115196692</c:v>
                </c:pt>
                <c:pt idx="289">
                  <c:v>0.19578707912613069</c:v>
                </c:pt>
                <c:pt idx="290">
                  <c:v>0.46838773494544306</c:v>
                </c:pt>
                <c:pt idx="291">
                  <c:v>0.12276128001690889</c:v>
                </c:pt>
                <c:pt idx="292">
                  <c:v>2.9852125879886948E-2</c:v>
                </c:pt>
                <c:pt idx="293">
                  <c:v>0.29998260812700828</c:v>
                </c:pt>
                <c:pt idx="294">
                  <c:v>-0.325483388553371</c:v>
                </c:pt>
                <c:pt idx="295">
                  <c:v>0.55214554073391664</c:v>
                </c:pt>
                <c:pt idx="296">
                  <c:v>8.5632428366517743E-3</c:v>
                </c:pt>
                <c:pt idx="297">
                  <c:v>0.13132136754811086</c:v>
                </c:pt>
                <c:pt idx="298">
                  <c:v>0.58154653257610867</c:v>
                </c:pt>
                <c:pt idx="299">
                  <c:v>0.24980297730379153</c:v>
                </c:pt>
                <c:pt idx="300">
                  <c:v>0.30951241531953677</c:v>
                </c:pt>
                <c:pt idx="301">
                  <c:v>0.51136816805893703</c:v>
                </c:pt>
                <c:pt idx="302">
                  <c:v>0.10968027122009105</c:v>
                </c:pt>
                <c:pt idx="303">
                  <c:v>-0.37337481370969972</c:v>
                </c:pt>
                <c:pt idx="304">
                  <c:v>-9.7626932361891683E-2</c:v>
                </c:pt>
                <c:pt idx="305">
                  <c:v>1.0283476077632558</c:v>
                </c:pt>
                <c:pt idx="306">
                  <c:v>6.0516696656673918E-2</c:v>
                </c:pt>
                <c:pt idx="307">
                  <c:v>0.27304073309992916</c:v>
                </c:pt>
                <c:pt idx="308">
                  <c:v>-0.14565391569928465</c:v>
                </c:pt>
                <c:pt idx="309">
                  <c:v>0.13655172374164293</c:v>
                </c:pt>
                <c:pt idx="310">
                  <c:v>0.38678148894664144</c:v>
                </c:pt>
                <c:pt idx="311">
                  <c:v>0.25362846979082443</c:v>
                </c:pt>
                <c:pt idx="312">
                  <c:v>-0.21928213327001692</c:v>
                </c:pt>
                <c:pt idx="313">
                  <c:v>-0.18751053663562539</c:v>
                </c:pt>
                <c:pt idx="314">
                  <c:v>5.9998581126006534E-2</c:v>
                </c:pt>
                <c:pt idx="315">
                  <c:v>-8.1638553060479957E-2</c:v>
                </c:pt>
                <c:pt idx="316">
                  <c:v>4.7818749784879877E-2</c:v>
                </c:pt>
                <c:pt idx="317">
                  <c:v>0.44555735141177699</c:v>
                </c:pt>
                <c:pt idx="318">
                  <c:v>0.60913288131587695</c:v>
                </c:pt>
                <c:pt idx="319">
                  <c:v>0.24844988739030782</c:v>
                </c:pt>
                <c:pt idx="320">
                  <c:v>1.0106847903992922</c:v>
                </c:pt>
                <c:pt idx="321">
                  <c:v>0.32347263324212694</c:v>
                </c:pt>
                <c:pt idx="322">
                  <c:v>-0.56221046265461805</c:v>
                </c:pt>
                <c:pt idx="323">
                  <c:v>1.1280155474031606E-2</c:v>
                </c:pt>
                <c:pt idx="324">
                  <c:v>0.61775771046027472</c:v>
                </c:pt>
                <c:pt idx="325">
                  <c:v>-0.25664566845749182</c:v>
                </c:pt>
                <c:pt idx="326">
                  <c:v>0.36325103563413208</c:v>
                </c:pt>
                <c:pt idx="327">
                  <c:v>0.64408523596456746</c:v>
                </c:pt>
                <c:pt idx="328">
                  <c:v>-0.51668267018327763</c:v>
                </c:pt>
                <c:pt idx="329">
                  <c:v>7.9089375630494452E-3</c:v>
                </c:pt>
                <c:pt idx="330">
                  <c:v>-9.0934871601264788E-2</c:v>
                </c:pt>
                <c:pt idx="331">
                  <c:v>-0.12075556032945389</c:v>
                </c:pt>
                <c:pt idx="332">
                  <c:v>0.13159773615715586</c:v>
                </c:pt>
                <c:pt idx="333">
                  <c:v>5.5907205578752728E-2</c:v>
                </c:pt>
                <c:pt idx="334">
                  <c:v>0.2497801419146608</c:v>
                </c:pt>
                <c:pt idx="335">
                  <c:v>-1.203247049950118E-2</c:v>
                </c:pt>
                <c:pt idx="336">
                  <c:v>-0.1440437776699266</c:v>
                </c:pt>
                <c:pt idx="337">
                  <c:v>0.11039278505503081</c:v>
                </c:pt>
                <c:pt idx="338">
                  <c:v>3.3235927874138094E-2</c:v>
                </c:pt>
                <c:pt idx="339">
                  <c:v>0.56494387881135566</c:v>
                </c:pt>
                <c:pt idx="340">
                  <c:v>0.43175863692765648</c:v>
                </c:pt>
                <c:pt idx="341">
                  <c:v>0.11173459750739312</c:v>
                </c:pt>
                <c:pt idx="342">
                  <c:v>0.16561303137945416</c:v>
                </c:pt>
                <c:pt idx="343">
                  <c:v>0.31812474665624979</c:v>
                </c:pt>
                <c:pt idx="344">
                  <c:v>0.6264099861864274</c:v>
                </c:pt>
                <c:pt idx="345">
                  <c:v>0.31807225764787006</c:v>
                </c:pt>
                <c:pt idx="346">
                  <c:v>0.93126308201999031</c:v>
                </c:pt>
                <c:pt idx="347">
                  <c:v>-0.3967428205768293</c:v>
                </c:pt>
                <c:pt idx="348">
                  <c:v>-9.551136425699891E-2</c:v>
                </c:pt>
                <c:pt idx="349">
                  <c:v>0.11213770901793296</c:v>
                </c:pt>
                <c:pt idx="350">
                  <c:v>0.38517637248307768</c:v>
                </c:pt>
                <c:pt idx="351">
                  <c:v>0.22685947314509308</c:v>
                </c:pt>
                <c:pt idx="352">
                  <c:v>0.52047130300973565</c:v>
                </c:pt>
                <c:pt idx="353">
                  <c:v>0.19828837585198844</c:v>
                </c:pt>
                <c:pt idx="354">
                  <c:v>-0.75406261464717783</c:v>
                </c:pt>
                <c:pt idx="355">
                  <c:v>0.36120294465695046</c:v>
                </c:pt>
                <c:pt idx="356">
                  <c:v>0.6522179767923344</c:v>
                </c:pt>
                <c:pt idx="357">
                  <c:v>7.2136045255508208E-2</c:v>
                </c:pt>
                <c:pt idx="358">
                  <c:v>2.3319223997296606E-2</c:v>
                </c:pt>
                <c:pt idx="359">
                  <c:v>0.21646889034281003</c:v>
                </c:pt>
                <c:pt idx="360">
                  <c:v>0.27652171927110558</c:v>
                </c:pt>
                <c:pt idx="361">
                  <c:v>-0.11529717277290974</c:v>
                </c:pt>
                <c:pt idx="362">
                  <c:v>0.37099659871321422</c:v>
                </c:pt>
                <c:pt idx="363">
                  <c:v>-9.0140452647925251E-2</c:v>
                </c:pt>
                <c:pt idx="364">
                  <c:v>-0.17877602821416216</c:v>
                </c:pt>
                <c:pt idx="365">
                  <c:v>0.33918791597401743</c:v>
                </c:pt>
                <c:pt idx="366">
                  <c:v>-8.0647213275825802E-2</c:v>
                </c:pt>
                <c:pt idx="367">
                  <c:v>0.74119741011918006</c:v>
                </c:pt>
                <c:pt idx="368">
                  <c:v>0.32949708340372741</c:v>
                </c:pt>
                <c:pt idx="369">
                  <c:v>-0.40663343139678609</c:v>
                </c:pt>
                <c:pt idx="370">
                  <c:v>7.9082045815189961E-2</c:v>
                </c:pt>
                <c:pt idx="371">
                  <c:v>0.43768513710133927</c:v>
                </c:pt>
                <c:pt idx="372">
                  <c:v>-6.880630129447507E-3</c:v>
                </c:pt>
                <c:pt idx="373">
                  <c:v>3.3377232071151286E-2</c:v>
                </c:pt>
                <c:pt idx="374">
                  <c:v>-0.18791219653539049</c:v>
                </c:pt>
                <c:pt idx="375">
                  <c:v>-0.19029697333618145</c:v>
                </c:pt>
                <c:pt idx="376">
                  <c:v>-0.31948929264809767</c:v>
                </c:pt>
                <c:pt idx="377">
                  <c:v>0.15152387717802407</c:v>
                </c:pt>
                <c:pt idx="378">
                  <c:v>-3.9333503566588046E-2</c:v>
                </c:pt>
                <c:pt idx="379">
                  <c:v>-0.1561891471543646</c:v>
                </c:pt>
                <c:pt idx="380">
                  <c:v>0.75504812348216666</c:v>
                </c:pt>
                <c:pt idx="381">
                  <c:v>0.17813673397149365</c:v>
                </c:pt>
                <c:pt idx="382">
                  <c:v>0.4244305292589603</c:v>
                </c:pt>
                <c:pt idx="383">
                  <c:v>-2.1582940374711868E-2</c:v>
                </c:pt>
                <c:pt idx="384">
                  <c:v>-0.16310582757644643</c:v>
                </c:pt>
                <c:pt idx="385">
                  <c:v>0.12548080237623149</c:v>
                </c:pt>
                <c:pt idx="386">
                  <c:v>0.78894303489249751</c:v>
                </c:pt>
                <c:pt idx="387">
                  <c:v>-3.1618729173770177E-3</c:v>
                </c:pt>
                <c:pt idx="388">
                  <c:v>0.45381126279302642</c:v>
                </c:pt>
                <c:pt idx="389">
                  <c:v>0.10376593208975193</c:v>
                </c:pt>
                <c:pt idx="390">
                  <c:v>0.33056511130122956</c:v>
                </c:pt>
                <c:pt idx="391">
                  <c:v>-0.19854024831456041</c:v>
                </c:pt>
                <c:pt idx="392">
                  <c:v>-0.28089017037617658</c:v>
                </c:pt>
                <c:pt idx="393">
                  <c:v>-0.39283700213356365</c:v>
                </c:pt>
                <c:pt idx="394">
                  <c:v>0.3022172148444171</c:v>
                </c:pt>
                <c:pt idx="395">
                  <c:v>2.6611374377043528E-2</c:v>
                </c:pt>
                <c:pt idx="396">
                  <c:v>0.26999582933442756</c:v>
                </c:pt>
                <c:pt idx="397">
                  <c:v>0.45742624437169166</c:v>
                </c:pt>
                <c:pt idx="398">
                  <c:v>0.20160858246311708</c:v>
                </c:pt>
                <c:pt idx="399">
                  <c:v>-7.8535452015215945E-2</c:v>
                </c:pt>
                <c:pt idx="400">
                  <c:v>0.5366357026023616</c:v>
                </c:pt>
                <c:pt idx="401">
                  <c:v>0.43382060238078335</c:v>
                </c:pt>
                <c:pt idx="402">
                  <c:v>2.8741573539713627E-2</c:v>
                </c:pt>
                <c:pt idx="403">
                  <c:v>-7.6441231394221543E-2</c:v>
                </c:pt>
                <c:pt idx="404">
                  <c:v>0.21338615407894235</c:v>
                </c:pt>
                <c:pt idx="405">
                  <c:v>0.10499587755146189</c:v>
                </c:pt>
                <c:pt idx="406">
                  <c:v>-1.339628984690977E-2</c:v>
                </c:pt>
                <c:pt idx="407">
                  <c:v>-0.24285572478012973</c:v>
                </c:pt>
                <c:pt idx="408">
                  <c:v>0.10018624726654107</c:v>
                </c:pt>
                <c:pt idx="409">
                  <c:v>-8.0580105333385887E-2</c:v>
                </c:pt>
                <c:pt idx="410">
                  <c:v>2.8784933950888991E-2</c:v>
                </c:pt>
                <c:pt idx="411">
                  <c:v>8.7688368454024612E-2</c:v>
                </c:pt>
                <c:pt idx="412">
                  <c:v>-6.7230844742217855E-2</c:v>
                </c:pt>
                <c:pt idx="413">
                  <c:v>0.67657698221943097</c:v>
                </c:pt>
                <c:pt idx="414">
                  <c:v>0.19077673715622367</c:v>
                </c:pt>
                <c:pt idx="415">
                  <c:v>0.12416122519294426</c:v>
                </c:pt>
                <c:pt idx="416">
                  <c:v>-0.12914042178286245</c:v>
                </c:pt>
                <c:pt idx="417">
                  <c:v>0.30722275148784506</c:v>
                </c:pt>
                <c:pt idx="418">
                  <c:v>0.22058857349019689</c:v>
                </c:pt>
                <c:pt idx="419">
                  <c:v>0.88742473020793966</c:v>
                </c:pt>
                <c:pt idx="420">
                  <c:v>-7.2402929308711617E-2</c:v>
                </c:pt>
                <c:pt idx="421">
                  <c:v>-7.9263249621940979E-2</c:v>
                </c:pt>
                <c:pt idx="422">
                  <c:v>0.42853006577940533</c:v>
                </c:pt>
                <c:pt idx="423">
                  <c:v>-0.12182718658306113</c:v>
                </c:pt>
                <c:pt idx="424">
                  <c:v>0.1312170827301129</c:v>
                </c:pt>
                <c:pt idx="425">
                  <c:v>0.56464758605554977</c:v>
                </c:pt>
                <c:pt idx="426">
                  <c:v>-8.2684637611195377E-2</c:v>
                </c:pt>
                <c:pt idx="427">
                  <c:v>0.43294768506487635</c:v>
                </c:pt>
                <c:pt idx="428">
                  <c:v>0.15235391026288969</c:v>
                </c:pt>
                <c:pt idx="429">
                  <c:v>0.56213536423414379</c:v>
                </c:pt>
                <c:pt idx="430">
                  <c:v>-0.4511927790193706</c:v>
                </c:pt>
                <c:pt idx="431">
                  <c:v>0.17946214482214451</c:v>
                </c:pt>
                <c:pt idx="432">
                  <c:v>0.46441218301626286</c:v>
                </c:pt>
                <c:pt idx="433">
                  <c:v>0.32873766833473095</c:v>
                </c:pt>
                <c:pt idx="434">
                  <c:v>1.2808113242740227E-2</c:v>
                </c:pt>
                <c:pt idx="435">
                  <c:v>0.33422141838145247</c:v>
                </c:pt>
                <c:pt idx="436">
                  <c:v>-0.1698560119280339</c:v>
                </c:pt>
                <c:pt idx="437">
                  <c:v>3.7293179570795587E-2</c:v>
                </c:pt>
                <c:pt idx="438">
                  <c:v>0.63656960512059779</c:v>
                </c:pt>
                <c:pt idx="439">
                  <c:v>-7.699824027753488E-2</c:v>
                </c:pt>
                <c:pt idx="440">
                  <c:v>0.49379963721690245</c:v>
                </c:pt>
                <c:pt idx="441">
                  <c:v>0.40751627132083845</c:v>
                </c:pt>
                <c:pt idx="442">
                  <c:v>-0.23896897249093918</c:v>
                </c:pt>
                <c:pt idx="443">
                  <c:v>6.4897824842601315E-2</c:v>
                </c:pt>
                <c:pt idx="444">
                  <c:v>-0.11887132381539089</c:v>
                </c:pt>
                <c:pt idx="445">
                  <c:v>6.4724261385046056E-2</c:v>
                </c:pt>
                <c:pt idx="446">
                  <c:v>0.12294920278368249</c:v>
                </c:pt>
                <c:pt idx="447">
                  <c:v>-0.14564057894290983</c:v>
                </c:pt>
                <c:pt idx="448">
                  <c:v>-0.12449711551705001</c:v>
                </c:pt>
                <c:pt idx="449">
                  <c:v>0.34264812235107645</c:v>
                </c:pt>
                <c:pt idx="450">
                  <c:v>-0.25499786281576986</c:v>
                </c:pt>
                <c:pt idx="451">
                  <c:v>0.49081898354346265</c:v>
                </c:pt>
                <c:pt idx="452">
                  <c:v>0.40711649921042392</c:v>
                </c:pt>
                <c:pt idx="453">
                  <c:v>0.10972921121500612</c:v>
                </c:pt>
                <c:pt idx="454">
                  <c:v>0.26093147534553696</c:v>
                </c:pt>
                <c:pt idx="455">
                  <c:v>-0.15667892785908055</c:v>
                </c:pt>
                <c:pt idx="456">
                  <c:v>0.6175370483747793</c:v>
                </c:pt>
                <c:pt idx="457">
                  <c:v>0.53196051870498806</c:v>
                </c:pt>
                <c:pt idx="458">
                  <c:v>0.5118689663982332</c:v>
                </c:pt>
                <c:pt idx="459">
                  <c:v>-4.2468139290898321E-2</c:v>
                </c:pt>
                <c:pt idx="460">
                  <c:v>0.15621886534010088</c:v>
                </c:pt>
                <c:pt idx="461">
                  <c:v>-0.65435274679963351</c:v>
                </c:pt>
                <c:pt idx="462">
                  <c:v>2.7980802719226538E-2</c:v>
                </c:pt>
                <c:pt idx="463">
                  <c:v>0.39926809343413261</c:v>
                </c:pt>
                <c:pt idx="464">
                  <c:v>0.19454034666530307</c:v>
                </c:pt>
                <c:pt idx="465">
                  <c:v>0.17018638224237126</c:v>
                </c:pt>
                <c:pt idx="466">
                  <c:v>0.63558337265332288</c:v>
                </c:pt>
                <c:pt idx="467">
                  <c:v>-0.13790312529667581</c:v>
                </c:pt>
                <c:pt idx="468">
                  <c:v>0.64368289987823868</c:v>
                </c:pt>
                <c:pt idx="469">
                  <c:v>0.58792848118447871</c:v>
                </c:pt>
                <c:pt idx="470">
                  <c:v>-3.5892086734748307E-2</c:v>
                </c:pt>
                <c:pt idx="471">
                  <c:v>-0.17828266254878056</c:v>
                </c:pt>
                <c:pt idx="472">
                  <c:v>-0.11928410986983007</c:v>
                </c:pt>
                <c:pt idx="473">
                  <c:v>0.64968073891995637</c:v>
                </c:pt>
                <c:pt idx="474">
                  <c:v>0.48976760016669463</c:v>
                </c:pt>
                <c:pt idx="475">
                  <c:v>9.4545551208510936E-2</c:v>
                </c:pt>
                <c:pt idx="476">
                  <c:v>0.85321245768346854</c:v>
                </c:pt>
                <c:pt idx="477">
                  <c:v>0.57369094420909672</c:v>
                </c:pt>
                <c:pt idx="478">
                  <c:v>-0.10222655580469286</c:v>
                </c:pt>
                <c:pt idx="479">
                  <c:v>0.50457170719129962</c:v>
                </c:pt>
                <c:pt idx="480">
                  <c:v>7.3432742116503746E-2</c:v>
                </c:pt>
                <c:pt idx="481">
                  <c:v>3.5176136027418758E-2</c:v>
                </c:pt>
                <c:pt idx="482">
                  <c:v>0.59999752153437225</c:v>
                </c:pt>
                <c:pt idx="483">
                  <c:v>0.10145863581953307</c:v>
                </c:pt>
                <c:pt idx="484">
                  <c:v>7.7805615412018803E-2</c:v>
                </c:pt>
                <c:pt idx="485">
                  <c:v>0.36569027923379149</c:v>
                </c:pt>
                <c:pt idx="486">
                  <c:v>3.8042102184831256E-2</c:v>
                </c:pt>
                <c:pt idx="487">
                  <c:v>7.4751916496753168E-2</c:v>
                </c:pt>
                <c:pt idx="488">
                  <c:v>0.15030697318925501</c:v>
                </c:pt>
                <c:pt idx="489">
                  <c:v>2.7758922868246216E-3</c:v>
                </c:pt>
                <c:pt idx="490">
                  <c:v>0.32921561163879287</c:v>
                </c:pt>
                <c:pt idx="491">
                  <c:v>4.9334741957439809E-2</c:v>
                </c:pt>
                <c:pt idx="492">
                  <c:v>-5.7237596932091961E-2</c:v>
                </c:pt>
                <c:pt idx="493">
                  <c:v>0.31907105726216756</c:v>
                </c:pt>
                <c:pt idx="494">
                  <c:v>4.1225157536963764E-2</c:v>
                </c:pt>
                <c:pt idx="495">
                  <c:v>8.7110122826219882E-2</c:v>
                </c:pt>
                <c:pt idx="496">
                  <c:v>-0.11594026515005407</c:v>
                </c:pt>
                <c:pt idx="497">
                  <c:v>0.22583804602761282</c:v>
                </c:pt>
                <c:pt idx="498">
                  <c:v>-6.1397445642045412E-2</c:v>
                </c:pt>
                <c:pt idx="499">
                  <c:v>8.6979234426551866E-3</c:v>
                </c:pt>
                <c:pt idx="500">
                  <c:v>0.82723596013000833</c:v>
                </c:pt>
                <c:pt idx="501">
                  <c:v>0.26820866476949856</c:v>
                </c:pt>
                <c:pt idx="502">
                  <c:v>0.2841124056842439</c:v>
                </c:pt>
                <c:pt idx="503">
                  <c:v>0.64488234023235202</c:v>
                </c:pt>
                <c:pt idx="504">
                  <c:v>0.26078733435702439</c:v>
                </c:pt>
                <c:pt idx="505">
                  <c:v>-8.3555182424988494E-2</c:v>
                </c:pt>
                <c:pt idx="506">
                  <c:v>3.065574641233848E-2</c:v>
                </c:pt>
                <c:pt idx="507">
                  <c:v>1.6392652269732633E-2</c:v>
                </c:pt>
                <c:pt idx="508">
                  <c:v>2.6526367015810237E-2</c:v>
                </c:pt>
                <c:pt idx="509">
                  <c:v>-6.1186593894351882E-2</c:v>
                </c:pt>
                <c:pt idx="510">
                  <c:v>6.6877769535152343E-2</c:v>
                </c:pt>
                <c:pt idx="511">
                  <c:v>-4.1244212096756883E-2</c:v>
                </c:pt>
                <c:pt idx="512">
                  <c:v>-0.17196085998924904</c:v>
                </c:pt>
                <c:pt idx="513">
                  <c:v>0.20412055683758901</c:v>
                </c:pt>
                <c:pt idx="514">
                  <c:v>0.28083723635786351</c:v>
                </c:pt>
                <c:pt idx="515">
                  <c:v>0.27280342691000659</c:v>
                </c:pt>
                <c:pt idx="516">
                  <c:v>0.4281469607487689</c:v>
                </c:pt>
                <c:pt idx="517">
                  <c:v>-8.3680060492330899E-2</c:v>
                </c:pt>
                <c:pt idx="518">
                  <c:v>-0.15913248745094483</c:v>
                </c:pt>
                <c:pt idx="519">
                  <c:v>-4.6018393234780852E-2</c:v>
                </c:pt>
                <c:pt idx="520">
                  <c:v>0.22219105582784771</c:v>
                </c:pt>
                <c:pt idx="521">
                  <c:v>-2.2219450985293321E-2</c:v>
                </c:pt>
                <c:pt idx="522">
                  <c:v>4.1501501355908577E-2</c:v>
                </c:pt>
                <c:pt idx="523">
                  <c:v>-0.19831274406829014</c:v>
                </c:pt>
                <c:pt idx="524">
                  <c:v>0.36959120348988916</c:v>
                </c:pt>
                <c:pt idx="525">
                  <c:v>-5.3691257878125676E-3</c:v>
                </c:pt>
                <c:pt idx="526">
                  <c:v>0.68982219981261306</c:v>
                </c:pt>
                <c:pt idx="527">
                  <c:v>0.45458949624498679</c:v>
                </c:pt>
                <c:pt idx="528">
                  <c:v>-0.3788248250590649</c:v>
                </c:pt>
                <c:pt idx="529">
                  <c:v>0.13524571239085104</c:v>
                </c:pt>
                <c:pt idx="530">
                  <c:v>-4.8040249292563786E-2</c:v>
                </c:pt>
                <c:pt idx="531">
                  <c:v>0.29716823666966441</c:v>
                </c:pt>
                <c:pt idx="532">
                  <c:v>-0.22655459531491662</c:v>
                </c:pt>
                <c:pt idx="533">
                  <c:v>0.4728602169824927</c:v>
                </c:pt>
                <c:pt idx="534">
                  <c:v>0.19676356977420362</c:v>
                </c:pt>
                <c:pt idx="535">
                  <c:v>0.19435426540932443</c:v>
                </c:pt>
                <c:pt idx="536">
                  <c:v>-0.24834769674757684</c:v>
                </c:pt>
                <c:pt idx="537">
                  <c:v>0.19326181567639633</c:v>
                </c:pt>
                <c:pt idx="538">
                  <c:v>-0.24939758705071746</c:v>
                </c:pt>
                <c:pt idx="539">
                  <c:v>0.44300200698891778</c:v>
                </c:pt>
                <c:pt idx="540">
                  <c:v>0.3904703045241229</c:v>
                </c:pt>
                <c:pt idx="541">
                  <c:v>-0.20010216551721793</c:v>
                </c:pt>
                <c:pt idx="542">
                  <c:v>-0.16279890083843718</c:v>
                </c:pt>
                <c:pt idx="543">
                  <c:v>0.23789966124447481</c:v>
                </c:pt>
                <c:pt idx="544">
                  <c:v>0.1334871097763437</c:v>
                </c:pt>
                <c:pt idx="545">
                  <c:v>0.2169996572217805</c:v>
                </c:pt>
                <c:pt idx="546">
                  <c:v>0.48979059042047268</c:v>
                </c:pt>
                <c:pt idx="547">
                  <c:v>0.56573588784634588</c:v>
                </c:pt>
                <c:pt idx="548">
                  <c:v>-1.9802603884771397E-2</c:v>
                </c:pt>
                <c:pt idx="549">
                  <c:v>0.18623554796749686</c:v>
                </c:pt>
                <c:pt idx="550">
                  <c:v>1.6258868901963375E-2</c:v>
                </c:pt>
                <c:pt idx="551">
                  <c:v>-0.29443251783885316</c:v>
                </c:pt>
                <c:pt idx="552">
                  <c:v>0.32306361730106925</c:v>
                </c:pt>
                <c:pt idx="553">
                  <c:v>5.8509385029144934E-2</c:v>
                </c:pt>
                <c:pt idx="554">
                  <c:v>0.57424416403299616</c:v>
                </c:pt>
                <c:pt idx="555">
                  <c:v>0.29754275314808964</c:v>
                </c:pt>
                <c:pt idx="556">
                  <c:v>0.14885014183194567</c:v>
                </c:pt>
                <c:pt idx="557">
                  <c:v>0.19808181047993711</c:v>
                </c:pt>
                <c:pt idx="558">
                  <c:v>1.9904358831472457E-2</c:v>
                </c:pt>
                <c:pt idx="559">
                  <c:v>-0.11806802650019321</c:v>
                </c:pt>
                <c:pt idx="560">
                  <c:v>-0.18506960067945233</c:v>
                </c:pt>
                <c:pt idx="561">
                  <c:v>0.55829588446724765</c:v>
                </c:pt>
                <c:pt idx="562">
                  <c:v>-4.6632308342512419E-3</c:v>
                </c:pt>
                <c:pt idx="563">
                  <c:v>-7.1162807262559191E-2</c:v>
                </c:pt>
                <c:pt idx="564">
                  <c:v>0.22360673178858059</c:v>
                </c:pt>
                <c:pt idx="565">
                  <c:v>0.15113544239158383</c:v>
                </c:pt>
                <c:pt idx="566">
                  <c:v>5.5618545463455016E-2</c:v>
                </c:pt>
                <c:pt idx="567">
                  <c:v>0.38520589150907547</c:v>
                </c:pt>
                <c:pt idx="568">
                  <c:v>0.51318813184596124</c:v>
                </c:pt>
                <c:pt idx="569">
                  <c:v>-0.14221102844182365</c:v>
                </c:pt>
                <c:pt idx="570">
                  <c:v>0.35223072929129007</c:v>
                </c:pt>
                <c:pt idx="571">
                  <c:v>0.70746949030808581</c:v>
                </c:pt>
                <c:pt idx="572">
                  <c:v>0.22391643098888281</c:v>
                </c:pt>
                <c:pt idx="573">
                  <c:v>1.079976463326572</c:v>
                </c:pt>
                <c:pt idx="574">
                  <c:v>-6.4640042754706695E-2</c:v>
                </c:pt>
                <c:pt idx="575">
                  <c:v>2.2439947912264557E-2</c:v>
                </c:pt>
                <c:pt idx="576">
                  <c:v>8.3197515595929694E-2</c:v>
                </c:pt>
                <c:pt idx="577">
                  <c:v>0.29615490206491035</c:v>
                </c:pt>
                <c:pt idx="578">
                  <c:v>0.3023336507628267</c:v>
                </c:pt>
                <c:pt idx="579">
                  <c:v>-0.15680115464911898</c:v>
                </c:pt>
                <c:pt idx="580">
                  <c:v>-7.2982928988453932E-2</c:v>
                </c:pt>
                <c:pt idx="581">
                  <c:v>2.731357702225079E-2</c:v>
                </c:pt>
                <c:pt idx="582">
                  <c:v>-0.17053745608087212</c:v>
                </c:pt>
                <c:pt idx="583">
                  <c:v>9.998250285365895E-2</c:v>
                </c:pt>
                <c:pt idx="584">
                  <c:v>8.4670526618374709E-2</c:v>
                </c:pt>
                <c:pt idx="585">
                  <c:v>0.60663380101118847</c:v>
                </c:pt>
                <c:pt idx="586">
                  <c:v>-0.19709565516557159</c:v>
                </c:pt>
                <c:pt idx="587">
                  <c:v>0.21192232249287013</c:v>
                </c:pt>
                <c:pt idx="588">
                  <c:v>-0.21865091235179257</c:v>
                </c:pt>
                <c:pt idx="589">
                  <c:v>7.3217378105269404E-2</c:v>
                </c:pt>
                <c:pt idx="590">
                  <c:v>0.16333079341063739</c:v>
                </c:pt>
                <c:pt idx="591">
                  <c:v>-7.4741942421824525E-2</c:v>
                </c:pt>
                <c:pt idx="592">
                  <c:v>0.62463833800004487</c:v>
                </c:pt>
                <c:pt idx="593">
                  <c:v>-0.1274762194658996</c:v>
                </c:pt>
                <c:pt idx="594">
                  <c:v>0.1718836403210231</c:v>
                </c:pt>
                <c:pt idx="595">
                  <c:v>-9.3270339778972478E-4</c:v>
                </c:pt>
                <c:pt idx="596">
                  <c:v>-2.2418236167446981E-2</c:v>
                </c:pt>
                <c:pt idx="597">
                  <c:v>0.19899835021859191</c:v>
                </c:pt>
                <c:pt idx="598">
                  <c:v>4.0453378088944447E-2</c:v>
                </c:pt>
                <c:pt idx="599">
                  <c:v>0.4091415567839623</c:v>
                </c:pt>
                <c:pt idx="600">
                  <c:v>-0.46842056163083878</c:v>
                </c:pt>
                <c:pt idx="601">
                  <c:v>-0.33197492080208502</c:v>
                </c:pt>
                <c:pt idx="602">
                  <c:v>0.31499280344246605</c:v>
                </c:pt>
                <c:pt idx="603">
                  <c:v>-0.25172610476644097</c:v>
                </c:pt>
                <c:pt idx="604">
                  <c:v>0.35219400323191419</c:v>
                </c:pt>
                <c:pt idx="605">
                  <c:v>2.4628287857680675E-2</c:v>
                </c:pt>
                <c:pt idx="606">
                  <c:v>0.34274797625931708</c:v>
                </c:pt>
                <c:pt idx="607">
                  <c:v>0.1615699374993409</c:v>
                </c:pt>
                <c:pt idx="608">
                  <c:v>0.19252997903038249</c:v>
                </c:pt>
                <c:pt idx="609">
                  <c:v>-1.8838124664947609E-2</c:v>
                </c:pt>
                <c:pt idx="610">
                  <c:v>-0.40463285582421715</c:v>
                </c:pt>
                <c:pt idx="611">
                  <c:v>-0.2753441792108875</c:v>
                </c:pt>
                <c:pt idx="612">
                  <c:v>-4.8011190948108684E-2</c:v>
                </c:pt>
                <c:pt idx="613">
                  <c:v>0.41555370283334714</c:v>
                </c:pt>
                <c:pt idx="614">
                  <c:v>-0.16727581834528316</c:v>
                </c:pt>
                <c:pt idx="615">
                  <c:v>-0.32480956510821102</c:v>
                </c:pt>
                <c:pt idx="616">
                  <c:v>0.1584104230596779</c:v>
                </c:pt>
                <c:pt idx="617">
                  <c:v>2.2822745218450013E-2</c:v>
                </c:pt>
                <c:pt idx="618">
                  <c:v>0.44690566240602703</c:v>
                </c:pt>
                <c:pt idx="619">
                  <c:v>-0.20070706802532268</c:v>
                </c:pt>
                <c:pt idx="620">
                  <c:v>0.40962953212838205</c:v>
                </c:pt>
                <c:pt idx="621">
                  <c:v>0.3988714305101051</c:v>
                </c:pt>
                <c:pt idx="622">
                  <c:v>-0.11915480240903076</c:v>
                </c:pt>
                <c:pt idx="623">
                  <c:v>-5.681118205142166E-2</c:v>
                </c:pt>
                <c:pt idx="624">
                  <c:v>-2.0844365671854881E-2</c:v>
                </c:pt>
                <c:pt idx="625">
                  <c:v>0.26111071716424883</c:v>
                </c:pt>
                <c:pt idx="626">
                  <c:v>0.16682287087499814</c:v>
                </c:pt>
                <c:pt idx="627">
                  <c:v>0.65627158220992765</c:v>
                </c:pt>
                <c:pt idx="628">
                  <c:v>-0.20695511295960767</c:v>
                </c:pt>
                <c:pt idx="629">
                  <c:v>3.7392002181797501E-2</c:v>
                </c:pt>
                <c:pt idx="630">
                  <c:v>-0.30913029789510738</c:v>
                </c:pt>
                <c:pt idx="631">
                  <c:v>-2.795750693694421E-2</c:v>
                </c:pt>
                <c:pt idx="632">
                  <c:v>1.1785113754791965E-3</c:v>
                </c:pt>
                <c:pt idx="633">
                  <c:v>4.4377200256562332E-4</c:v>
                </c:pt>
                <c:pt idx="634">
                  <c:v>-0.26403099489484028</c:v>
                </c:pt>
                <c:pt idx="635">
                  <c:v>6.7468919054540777E-2</c:v>
                </c:pt>
                <c:pt idx="636">
                  <c:v>-0.15143622503319776</c:v>
                </c:pt>
                <c:pt idx="637">
                  <c:v>0.51010792066461974</c:v>
                </c:pt>
                <c:pt idx="638">
                  <c:v>0.37841682379663411</c:v>
                </c:pt>
                <c:pt idx="639">
                  <c:v>8.3317052843321804E-2</c:v>
                </c:pt>
                <c:pt idx="640">
                  <c:v>-0.29686798128662573</c:v>
                </c:pt>
                <c:pt idx="641">
                  <c:v>0.40798987372089468</c:v>
                </c:pt>
                <c:pt idx="642">
                  <c:v>0.29436304925086088</c:v>
                </c:pt>
                <c:pt idx="643">
                  <c:v>0.12304946474164291</c:v>
                </c:pt>
                <c:pt idx="644">
                  <c:v>0.38442885407624683</c:v>
                </c:pt>
                <c:pt idx="645">
                  <c:v>-9.0435431665204291E-2</c:v>
                </c:pt>
                <c:pt idx="646">
                  <c:v>0.42945929905810676</c:v>
                </c:pt>
                <c:pt idx="647">
                  <c:v>-0.20078697249032373</c:v>
                </c:pt>
                <c:pt idx="648">
                  <c:v>-0.12259074838893869</c:v>
                </c:pt>
                <c:pt idx="649">
                  <c:v>0.33560426851904257</c:v>
                </c:pt>
                <c:pt idx="650">
                  <c:v>0.41091401238077552</c:v>
                </c:pt>
                <c:pt idx="651">
                  <c:v>0.26640615417588087</c:v>
                </c:pt>
                <c:pt idx="652">
                  <c:v>3.3368845397846236E-2</c:v>
                </c:pt>
                <c:pt idx="653">
                  <c:v>0.33743284606346524</c:v>
                </c:pt>
                <c:pt idx="654">
                  <c:v>0.62301721613188565</c:v>
                </c:pt>
                <c:pt idx="655">
                  <c:v>0.78130802920400999</c:v>
                </c:pt>
                <c:pt idx="656">
                  <c:v>-2.7398374248979174E-2</c:v>
                </c:pt>
                <c:pt idx="657">
                  <c:v>-0.13194509609818672</c:v>
                </c:pt>
                <c:pt idx="658">
                  <c:v>4.8908651839733253E-2</c:v>
                </c:pt>
                <c:pt idx="659">
                  <c:v>-0.5608845000790259</c:v>
                </c:pt>
                <c:pt idx="660">
                  <c:v>5.6000819377983291E-2</c:v>
                </c:pt>
                <c:pt idx="661">
                  <c:v>-2.9358628485993243E-2</c:v>
                </c:pt>
                <c:pt idx="662">
                  <c:v>0.680379184754484</c:v>
                </c:pt>
                <c:pt idx="663">
                  <c:v>-0.22502090154329601</c:v>
                </c:pt>
                <c:pt idx="664">
                  <c:v>-0.31664184662649442</c:v>
                </c:pt>
                <c:pt idx="665">
                  <c:v>-2.5084438087275451E-2</c:v>
                </c:pt>
                <c:pt idx="666">
                  <c:v>0.28700975675003537</c:v>
                </c:pt>
                <c:pt idx="667">
                  <c:v>0.27458201298503404</c:v>
                </c:pt>
                <c:pt idx="668">
                  <c:v>0.27633958385239588</c:v>
                </c:pt>
                <c:pt idx="669">
                  <c:v>0.43092366186389697</c:v>
                </c:pt>
                <c:pt idx="670">
                  <c:v>-0.17673444221221146</c:v>
                </c:pt>
                <c:pt idx="671">
                  <c:v>-8.9796392226501931E-2</c:v>
                </c:pt>
                <c:pt idx="672">
                  <c:v>-0.20252663632872547</c:v>
                </c:pt>
                <c:pt idx="673">
                  <c:v>7.1727468278336204E-2</c:v>
                </c:pt>
                <c:pt idx="674">
                  <c:v>-2.0841661424963576E-2</c:v>
                </c:pt>
                <c:pt idx="675">
                  <c:v>-7.1507729620869931E-3</c:v>
                </c:pt>
                <c:pt idx="676">
                  <c:v>0.34340484601116472</c:v>
                </c:pt>
                <c:pt idx="677">
                  <c:v>0.27785324924631905</c:v>
                </c:pt>
                <c:pt idx="678">
                  <c:v>0.7498191366711966</c:v>
                </c:pt>
                <c:pt idx="679">
                  <c:v>0.86647212137009788</c:v>
                </c:pt>
                <c:pt idx="680">
                  <c:v>-0.23704610670759241</c:v>
                </c:pt>
                <c:pt idx="681">
                  <c:v>0.26580145279258272</c:v>
                </c:pt>
                <c:pt idx="682">
                  <c:v>0.37613155509111795</c:v>
                </c:pt>
                <c:pt idx="683">
                  <c:v>-0.23295210606574557</c:v>
                </c:pt>
                <c:pt idx="684">
                  <c:v>-0.18818598786319729</c:v>
                </c:pt>
                <c:pt idx="685">
                  <c:v>-5.3023845483475385E-2</c:v>
                </c:pt>
                <c:pt idx="686">
                  <c:v>0.33013413612755915</c:v>
                </c:pt>
                <c:pt idx="687">
                  <c:v>3.7640320973304497E-2</c:v>
                </c:pt>
                <c:pt idx="688">
                  <c:v>0.23153838810560678</c:v>
                </c:pt>
                <c:pt idx="689">
                  <c:v>-4.4407184267971189E-2</c:v>
                </c:pt>
                <c:pt idx="690">
                  <c:v>0.77788656719487559</c:v>
                </c:pt>
                <c:pt idx="691">
                  <c:v>-0.27212600789394248</c:v>
                </c:pt>
                <c:pt idx="692">
                  <c:v>0.43007648211753846</c:v>
                </c:pt>
                <c:pt idx="693">
                  <c:v>-1.8394009580920745E-2</c:v>
                </c:pt>
                <c:pt idx="694">
                  <c:v>2.3240080940872154E-2</c:v>
                </c:pt>
                <c:pt idx="695">
                  <c:v>0.46476236668939919</c:v>
                </c:pt>
                <c:pt idx="696">
                  <c:v>0.21181214352055744</c:v>
                </c:pt>
                <c:pt idx="697">
                  <c:v>0.17324297410632816</c:v>
                </c:pt>
                <c:pt idx="698">
                  <c:v>-0.11369321739804406</c:v>
                </c:pt>
                <c:pt idx="699">
                  <c:v>-0.11263888567436453</c:v>
                </c:pt>
                <c:pt idx="700">
                  <c:v>-0.10540514399688483</c:v>
                </c:pt>
                <c:pt idx="701">
                  <c:v>-0.32952823011797183</c:v>
                </c:pt>
                <c:pt idx="702">
                  <c:v>-0.34447436762525285</c:v>
                </c:pt>
                <c:pt idx="703">
                  <c:v>0.30395187110117128</c:v>
                </c:pt>
                <c:pt idx="704">
                  <c:v>0.42941893044619084</c:v>
                </c:pt>
                <c:pt idx="705">
                  <c:v>0.44951992104995764</c:v>
                </c:pt>
                <c:pt idx="706">
                  <c:v>-0.1185453688390945</c:v>
                </c:pt>
                <c:pt idx="707">
                  <c:v>-4.8927921283444142E-2</c:v>
                </c:pt>
                <c:pt idx="708">
                  <c:v>0.4856405729559885</c:v>
                </c:pt>
                <c:pt idx="709">
                  <c:v>6.9116113308437477E-2</c:v>
                </c:pt>
                <c:pt idx="710">
                  <c:v>0.26994676083737046</c:v>
                </c:pt>
                <c:pt idx="711">
                  <c:v>5.3411768391690817E-2</c:v>
                </c:pt>
                <c:pt idx="712">
                  <c:v>0.40713388418709773</c:v>
                </c:pt>
                <c:pt idx="713">
                  <c:v>-1.279186013249678E-2</c:v>
                </c:pt>
                <c:pt idx="714">
                  <c:v>0.14995839596683069</c:v>
                </c:pt>
                <c:pt idx="715">
                  <c:v>0.58580516829778073</c:v>
                </c:pt>
                <c:pt idx="716">
                  <c:v>2.1065460562899929E-2</c:v>
                </c:pt>
                <c:pt idx="717">
                  <c:v>0.27701236112239336</c:v>
                </c:pt>
                <c:pt idx="718">
                  <c:v>0.53332642310351019</c:v>
                </c:pt>
                <c:pt idx="719">
                  <c:v>0.22578605893394332</c:v>
                </c:pt>
                <c:pt idx="720">
                  <c:v>0.34110392223142005</c:v>
                </c:pt>
                <c:pt idx="721">
                  <c:v>0.53574403043346042</c:v>
                </c:pt>
                <c:pt idx="722">
                  <c:v>0.52315905656714534</c:v>
                </c:pt>
                <c:pt idx="723">
                  <c:v>7.8523913749600993E-2</c:v>
                </c:pt>
                <c:pt idx="724">
                  <c:v>-0.15250686067579755</c:v>
                </c:pt>
                <c:pt idx="725">
                  <c:v>0.77524390921356101</c:v>
                </c:pt>
                <c:pt idx="726">
                  <c:v>0.44290448413084205</c:v>
                </c:pt>
                <c:pt idx="727">
                  <c:v>0.18601198913134187</c:v>
                </c:pt>
                <c:pt idx="728">
                  <c:v>0.69303448078553975</c:v>
                </c:pt>
                <c:pt idx="729">
                  <c:v>0.10888371791577445</c:v>
                </c:pt>
                <c:pt idx="730">
                  <c:v>0.73830706293112147</c:v>
                </c:pt>
                <c:pt idx="731">
                  <c:v>0.20866711690028517</c:v>
                </c:pt>
                <c:pt idx="732">
                  <c:v>6.4293052297924369E-2</c:v>
                </c:pt>
                <c:pt idx="733">
                  <c:v>-0.31973824603652723</c:v>
                </c:pt>
                <c:pt idx="734">
                  <c:v>-5.3792472041254591E-2</c:v>
                </c:pt>
                <c:pt idx="735">
                  <c:v>9.9913111745826733E-2</c:v>
                </c:pt>
                <c:pt idx="736">
                  <c:v>-0.32036128416079279</c:v>
                </c:pt>
                <c:pt idx="737">
                  <c:v>1.3350748432117587E-2</c:v>
                </c:pt>
                <c:pt idx="738">
                  <c:v>0.55294504150344292</c:v>
                </c:pt>
                <c:pt idx="739">
                  <c:v>-4.1391757873112667E-3</c:v>
                </c:pt>
                <c:pt idx="740">
                  <c:v>-0.23108381520486709</c:v>
                </c:pt>
                <c:pt idx="741">
                  <c:v>9.2692638901089808E-2</c:v>
                </c:pt>
                <c:pt idx="742">
                  <c:v>0.32672371552023893</c:v>
                </c:pt>
                <c:pt idx="743">
                  <c:v>0.3084088557453617</c:v>
                </c:pt>
                <c:pt idx="744">
                  <c:v>0.24512754699901729</c:v>
                </c:pt>
                <c:pt idx="745">
                  <c:v>3.2242420760693391E-2</c:v>
                </c:pt>
                <c:pt idx="746">
                  <c:v>-0.8022617582909719</c:v>
                </c:pt>
                <c:pt idx="747">
                  <c:v>-3.1266823574283897E-2</c:v>
                </c:pt>
                <c:pt idx="748">
                  <c:v>0.85794338282976401</c:v>
                </c:pt>
                <c:pt idx="749">
                  <c:v>0.3501548193065247</c:v>
                </c:pt>
                <c:pt idx="750">
                  <c:v>8.5091395139405446E-2</c:v>
                </c:pt>
                <c:pt idx="751">
                  <c:v>0.19409986467058538</c:v>
                </c:pt>
                <c:pt idx="752">
                  <c:v>0.26655582905731157</c:v>
                </c:pt>
                <c:pt idx="753">
                  <c:v>0.55491582713185306</c:v>
                </c:pt>
                <c:pt idx="754">
                  <c:v>0.33277583664484567</c:v>
                </c:pt>
                <c:pt idx="755">
                  <c:v>-0.21411022581408146</c:v>
                </c:pt>
                <c:pt idx="756">
                  <c:v>-0.14071227317824775</c:v>
                </c:pt>
                <c:pt idx="757">
                  <c:v>0.16235096394104431</c:v>
                </c:pt>
                <c:pt idx="758">
                  <c:v>-0.28175944154881805</c:v>
                </c:pt>
                <c:pt idx="759">
                  <c:v>-0.36399063547673638</c:v>
                </c:pt>
                <c:pt idx="760">
                  <c:v>7.1232653850739069E-2</c:v>
                </c:pt>
                <c:pt idx="761">
                  <c:v>-0.28779242704442431</c:v>
                </c:pt>
                <c:pt idx="762">
                  <c:v>4.3259635863687196E-2</c:v>
                </c:pt>
                <c:pt idx="763">
                  <c:v>-6.2963953220103619E-2</c:v>
                </c:pt>
                <c:pt idx="764">
                  <c:v>0.35742045013548118</c:v>
                </c:pt>
                <c:pt idx="765">
                  <c:v>0.11155955916632143</c:v>
                </c:pt>
                <c:pt idx="766">
                  <c:v>0.28585308331394699</c:v>
                </c:pt>
                <c:pt idx="767">
                  <c:v>0.35101918552971578</c:v>
                </c:pt>
                <c:pt idx="768">
                  <c:v>-0.23193619577065672</c:v>
                </c:pt>
                <c:pt idx="769">
                  <c:v>7.5971497294870183E-2</c:v>
                </c:pt>
                <c:pt idx="770">
                  <c:v>0.10556199470352867</c:v>
                </c:pt>
                <c:pt idx="771">
                  <c:v>0.27094843341573105</c:v>
                </c:pt>
                <c:pt idx="772">
                  <c:v>-7.9628289930424145E-2</c:v>
                </c:pt>
                <c:pt idx="773">
                  <c:v>-0.10867684756300022</c:v>
                </c:pt>
                <c:pt idx="774">
                  <c:v>0.71768795320163736</c:v>
                </c:pt>
                <c:pt idx="775">
                  <c:v>-0.10143000857354867</c:v>
                </c:pt>
                <c:pt idx="776">
                  <c:v>-0.41620279490151546</c:v>
                </c:pt>
                <c:pt idx="777">
                  <c:v>-2.3229299865481057E-2</c:v>
                </c:pt>
                <c:pt idx="778">
                  <c:v>0.41245591935774817</c:v>
                </c:pt>
                <c:pt idx="779">
                  <c:v>0.3785309987821428</c:v>
                </c:pt>
                <c:pt idx="780">
                  <c:v>-1.5438077707851328E-2</c:v>
                </c:pt>
                <c:pt idx="781">
                  <c:v>0.26359273120029325</c:v>
                </c:pt>
                <c:pt idx="782">
                  <c:v>0.52617670635618508</c:v>
                </c:pt>
                <c:pt idx="783">
                  <c:v>0.29559221849764583</c:v>
                </c:pt>
                <c:pt idx="784">
                  <c:v>0.74507919538696754</c:v>
                </c:pt>
                <c:pt idx="785">
                  <c:v>0.31181729398095559</c:v>
                </c:pt>
                <c:pt idx="786">
                  <c:v>3.0037140364176373E-2</c:v>
                </c:pt>
                <c:pt idx="787">
                  <c:v>1.055461918393914</c:v>
                </c:pt>
                <c:pt idx="788">
                  <c:v>1.7969393197018846E-2</c:v>
                </c:pt>
                <c:pt idx="789">
                  <c:v>-5.3846834140276911E-2</c:v>
                </c:pt>
                <c:pt idx="790">
                  <c:v>0.14451149037460453</c:v>
                </c:pt>
                <c:pt idx="791">
                  <c:v>0.44244402255889415</c:v>
                </c:pt>
                <c:pt idx="792">
                  <c:v>5.0062919447010579E-2</c:v>
                </c:pt>
                <c:pt idx="793">
                  <c:v>0.15481114926930672</c:v>
                </c:pt>
                <c:pt idx="794">
                  <c:v>0.15915408641171247</c:v>
                </c:pt>
                <c:pt idx="795">
                  <c:v>0.17393092854283787</c:v>
                </c:pt>
                <c:pt idx="796">
                  <c:v>0.52397006151291592</c:v>
                </c:pt>
                <c:pt idx="797">
                  <c:v>0.54047391124048128</c:v>
                </c:pt>
                <c:pt idx="798">
                  <c:v>-3.724206861267465E-2</c:v>
                </c:pt>
                <c:pt idx="799">
                  <c:v>0.2309189332183994</c:v>
                </c:pt>
                <c:pt idx="800">
                  <c:v>9.5762391126280821E-2</c:v>
                </c:pt>
                <c:pt idx="801">
                  <c:v>0.30198019960408962</c:v>
                </c:pt>
                <c:pt idx="802">
                  <c:v>0.14021995036257096</c:v>
                </c:pt>
                <c:pt idx="803">
                  <c:v>0.73615060663629883</c:v>
                </c:pt>
                <c:pt idx="804">
                  <c:v>0.1481646199765585</c:v>
                </c:pt>
                <c:pt idx="805">
                  <c:v>0.44510201699023577</c:v>
                </c:pt>
                <c:pt idx="806">
                  <c:v>0.22211266036579325</c:v>
                </c:pt>
                <c:pt idx="807">
                  <c:v>-6.8499975331315799E-2</c:v>
                </c:pt>
                <c:pt idx="808">
                  <c:v>0.36795260208532854</c:v>
                </c:pt>
                <c:pt idx="809">
                  <c:v>0.29098882870356846</c:v>
                </c:pt>
                <c:pt idx="810">
                  <c:v>0.12787982650708285</c:v>
                </c:pt>
                <c:pt idx="811">
                  <c:v>-6.9490481121535108E-2</c:v>
                </c:pt>
                <c:pt idx="812">
                  <c:v>-1.480936052668147E-2</c:v>
                </c:pt>
                <c:pt idx="813">
                  <c:v>0.20726632613203977</c:v>
                </c:pt>
                <c:pt idx="814">
                  <c:v>0.2707694651916146</c:v>
                </c:pt>
                <c:pt idx="815">
                  <c:v>-0.13090936435781364</c:v>
                </c:pt>
                <c:pt idx="816">
                  <c:v>-0.26708351719438062</c:v>
                </c:pt>
                <c:pt idx="817">
                  <c:v>0.83794178876969383</c:v>
                </c:pt>
                <c:pt idx="818">
                  <c:v>-5.3852996149958976E-2</c:v>
                </c:pt>
                <c:pt idx="819">
                  <c:v>-0.21296409821521411</c:v>
                </c:pt>
                <c:pt idx="820">
                  <c:v>-7.6326608167678778E-2</c:v>
                </c:pt>
                <c:pt idx="821">
                  <c:v>0.73283075836179101</c:v>
                </c:pt>
                <c:pt idx="822">
                  <c:v>0.50179197221742333</c:v>
                </c:pt>
                <c:pt idx="823">
                  <c:v>0.25312745794763147</c:v>
                </c:pt>
                <c:pt idx="824">
                  <c:v>0.21609766973051592</c:v>
                </c:pt>
                <c:pt idx="825">
                  <c:v>0.23052357248946764</c:v>
                </c:pt>
                <c:pt idx="826">
                  <c:v>-0.35690989522821459</c:v>
                </c:pt>
                <c:pt idx="827">
                  <c:v>5.425867282074881E-2</c:v>
                </c:pt>
                <c:pt idx="828">
                  <c:v>0.39361136927069751</c:v>
                </c:pt>
                <c:pt idx="829">
                  <c:v>-0.26175300034576932</c:v>
                </c:pt>
                <c:pt idx="830">
                  <c:v>0.47280093073725515</c:v>
                </c:pt>
                <c:pt idx="831">
                  <c:v>0.17526700935294404</c:v>
                </c:pt>
                <c:pt idx="832">
                  <c:v>0.13547391347570631</c:v>
                </c:pt>
                <c:pt idx="833">
                  <c:v>-0.34922193347503949</c:v>
                </c:pt>
                <c:pt idx="834">
                  <c:v>0.12915156833170194</c:v>
                </c:pt>
                <c:pt idx="835">
                  <c:v>0.37519022042614747</c:v>
                </c:pt>
                <c:pt idx="836">
                  <c:v>-2.3477825904627103E-2</c:v>
                </c:pt>
                <c:pt idx="837">
                  <c:v>0.21816356722740826</c:v>
                </c:pt>
                <c:pt idx="838">
                  <c:v>-2.3776376228182627E-2</c:v>
                </c:pt>
                <c:pt idx="839">
                  <c:v>-1.3879262342740617E-2</c:v>
                </c:pt>
                <c:pt idx="840">
                  <c:v>2.4188109027497129E-2</c:v>
                </c:pt>
                <c:pt idx="841">
                  <c:v>0.56621155543347035</c:v>
                </c:pt>
                <c:pt idx="842">
                  <c:v>-5.4966911828096654E-2</c:v>
                </c:pt>
                <c:pt idx="843">
                  <c:v>0.11821284815773847</c:v>
                </c:pt>
                <c:pt idx="844">
                  <c:v>0.33959734910735762</c:v>
                </c:pt>
                <c:pt idx="845">
                  <c:v>0.42668540825112444</c:v>
                </c:pt>
                <c:pt idx="846">
                  <c:v>-8.955366211115745E-2</c:v>
                </c:pt>
                <c:pt idx="847">
                  <c:v>-0.11710633863529551</c:v>
                </c:pt>
                <c:pt idx="848">
                  <c:v>0.15499218993355157</c:v>
                </c:pt>
                <c:pt idx="849">
                  <c:v>2.8212411594212616E-2</c:v>
                </c:pt>
                <c:pt idx="850">
                  <c:v>2.4966906644584341E-2</c:v>
                </c:pt>
                <c:pt idx="851">
                  <c:v>-9.6628468415186936E-2</c:v>
                </c:pt>
                <c:pt idx="852">
                  <c:v>0.61045523986891581</c:v>
                </c:pt>
                <c:pt idx="853">
                  <c:v>0.25000877533000265</c:v>
                </c:pt>
                <c:pt idx="854">
                  <c:v>0.25931257492847237</c:v>
                </c:pt>
                <c:pt idx="855">
                  <c:v>0.58657502998117295</c:v>
                </c:pt>
                <c:pt idx="856">
                  <c:v>0.5151474940930596</c:v>
                </c:pt>
                <c:pt idx="857">
                  <c:v>0.40089635356997322</c:v>
                </c:pt>
                <c:pt idx="858">
                  <c:v>6.0564250845137835E-2</c:v>
                </c:pt>
                <c:pt idx="859">
                  <c:v>0.53091943926458551</c:v>
                </c:pt>
                <c:pt idx="860">
                  <c:v>0.86264030265838976</c:v>
                </c:pt>
                <c:pt idx="861">
                  <c:v>0.38546199282298055</c:v>
                </c:pt>
                <c:pt idx="862">
                  <c:v>0.41040476966049599</c:v>
                </c:pt>
                <c:pt idx="863">
                  <c:v>0.13497426565190751</c:v>
                </c:pt>
                <c:pt idx="864">
                  <c:v>0.10993683033846047</c:v>
                </c:pt>
                <c:pt idx="865">
                  <c:v>0.16207170316372377</c:v>
                </c:pt>
                <c:pt idx="866">
                  <c:v>0.60810184235684428</c:v>
                </c:pt>
                <c:pt idx="867">
                  <c:v>-9.4895441509829759E-2</c:v>
                </c:pt>
                <c:pt idx="868">
                  <c:v>0.48697019844211242</c:v>
                </c:pt>
                <c:pt idx="869">
                  <c:v>-0.13586788436703046</c:v>
                </c:pt>
                <c:pt idx="870">
                  <c:v>0.65965419986510954</c:v>
                </c:pt>
                <c:pt idx="871">
                  <c:v>0.52176149348447809</c:v>
                </c:pt>
                <c:pt idx="872">
                  <c:v>0.1719321322414693</c:v>
                </c:pt>
                <c:pt idx="873">
                  <c:v>8.231862976608717E-3</c:v>
                </c:pt>
                <c:pt idx="874">
                  <c:v>0.25761630507633182</c:v>
                </c:pt>
                <c:pt idx="875">
                  <c:v>-0.25020418526329924</c:v>
                </c:pt>
                <c:pt idx="876">
                  <c:v>0.22147263280070817</c:v>
                </c:pt>
                <c:pt idx="877">
                  <c:v>0.14000986562749906</c:v>
                </c:pt>
                <c:pt idx="878">
                  <c:v>0.33613051924680271</c:v>
                </c:pt>
                <c:pt idx="879">
                  <c:v>0.43448315230489332</c:v>
                </c:pt>
                <c:pt idx="880">
                  <c:v>0.18835524449598218</c:v>
                </c:pt>
                <c:pt idx="881">
                  <c:v>0.21369720697919803</c:v>
                </c:pt>
                <c:pt idx="882">
                  <c:v>0.94492570712055324</c:v>
                </c:pt>
                <c:pt idx="883">
                  <c:v>0.52371666972148567</c:v>
                </c:pt>
                <c:pt idx="884">
                  <c:v>0.14010646129019033</c:v>
                </c:pt>
                <c:pt idx="885">
                  <c:v>-7.0084673416570098E-2</c:v>
                </c:pt>
                <c:pt idx="886">
                  <c:v>0.59600711078335955</c:v>
                </c:pt>
                <c:pt idx="887">
                  <c:v>-3.2773349859529954E-2</c:v>
                </c:pt>
                <c:pt idx="888">
                  <c:v>3.3322711080829626E-2</c:v>
                </c:pt>
                <c:pt idx="889">
                  <c:v>-5.817815443217178E-2</c:v>
                </c:pt>
                <c:pt idx="890">
                  <c:v>0.78284049825549751</c:v>
                </c:pt>
                <c:pt idx="891">
                  <c:v>0.12968203343938356</c:v>
                </c:pt>
                <c:pt idx="892">
                  <c:v>-0.47652263132436978</c:v>
                </c:pt>
                <c:pt idx="893">
                  <c:v>9.9820937665035858E-2</c:v>
                </c:pt>
                <c:pt idx="894">
                  <c:v>0.71546531865615393</c:v>
                </c:pt>
                <c:pt idx="895">
                  <c:v>4.8738907662458253E-2</c:v>
                </c:pt>
                <c:pt idx="896">
                  <c:v>-0.15161853181490681</c:v>
                </c:pt>
                <c:pt idx="897">
                  <c:v>9.5836776605949581E-2</c:v>
                </c:pt>
                <c:pt idx="898">
                  <c:v>0.28860169058648122</c:v>
                </c:pt>
                <c:pt idx="899">
                  <c:v>0.37358068042680181</c:v>
                </c:pt>
                <c:pt idx="900">
                  <c:v>0.13216354953726217</c:v>
                </c:pt>
                <c:pt idx="901">
                  <c:v>0.19123197609729026</c:v>
                </c:pt>
                <c:pt idx="902">
                  <c:v>0.34950997278104445</c:v>
                </c:pt>
                <c:pt idx="903">
                  <c:v>0.95170261131703349</c:v>
                </c:pt>
                <c:pt idx="904">
                  <c:v>0.15370147681407259</c:v>
                </c:pt>
                <c:pt idx="905">
                  <c:v>-0.17507902708717626</c:v>
                </c:pt>
                <c:pt idx="906">
                  <c:v>0.27410101581281676</c:v>
                </c:pt>
                <c:pt idx="907">
                  <c:v>-0.30508645289789804</c:v>
                </c:pt>
                <c:pt idx="908">
                  <c:v>0.49971961220287042</c:v>
                </c:pt>
                <c:pt idx="909">
                  <c:v>0.60383252634843121</c:v>
                </c:pt>
                <c:pt idx="910">
                  <c:v>0.70558971350484612</c:v>
                </c:pt>
                <c:pt idx="911">
                  <c:v>0.23886643447271183</c:v>
                </c:pt>
                <c:pt idx="912">
                  <c:v>-0.39981905574648113</c:v>
                </c:pt>
                <c:pt idx="913">
                  <c:v>0.5646099515133205</c:v>
                </c:pt>
                <c:pt idx="914">
                  <c:v>-4.3051244333831562E-2</c:v>
                </c:pt>
                <c:pt idx="915">
                  <c:v>-0.16845624016680749</c:v>
                </c:pt>
                <c:pt idx="916">
                  <c:v>0.38352184056832028</c:v>
                </c:pt>
                <c:pt idx="917">
                  <c:v>0.59547312506393446</c:v>
                </c:pt>
                <c:pt idx="918">
                  <c:v>-4.211708438492856E-2</c:v>
                </c:pt>
                <c:pt idx="919">
                  <c:v>0.2865771826046748</c:v>
                </c:pt>
                <c:pt idx="920">
                  <c:v>-0.38658873610323363</c:v>
                </c:pt>
                <c:pt idx="921">
                  <c:v>6.6697440662506047E-2</c:v>
                </c:pt>
                <c:pt idx="922">
                  <c:v>0.49430066711847509</c:v>
                </c:pt>
                <c:pt idx="923">
                  <c:v>0.59532568262876229</c:v>
                </c:pt>
                <c:pt idx="924">
                  <c:v>-0.16222422842938555</c:v>
                </c:pt>
                <c:pt idx="925">
                  <c:v>6.1258181369788112E-2</c:v>
                </c:pt>
                <c:pt idx="926">
                  <c:v>0.83161997695238643</c:v>
                </c:pt>
                <c:pt idx="927">
                  <c:v>2.0472100833728302E-2</c:v>
                </c:pt>
                <c:pt idx="928">
                  <c:v>0.23224519547077938</c:v>
                </c:pt>
                <c:pt idx="929">
                  <c:v>3.2021334030382764E-2</c:v>
                </c:pt>
                <c:pt idx="930">
                  <c:v>2.9193247845684667E-3</c:v>
                </c:pt>
                <c:pt idx="931">
                  <c:v>0.22170962873570321</c:v>
                </c:pt>
                <c:pt idx="932">
                  <c:v>5.3099601164984023E-2</c:v>
                </c:pt>
                <c:pt idx="933">
                  <c:v>0.38446115140947157</c:v>
                </c:pt>
                <c:pt idx="934">
                  <c:v>-9.3499562742953124E-2</c:v>
                </c:pt>
                <c:pt idx="935">
                  <c:v>0.21969843916370069</c:v>
                </c:pt>
                <c:pt idx="936">
                  <c:v>0.23779852266666079</c:v>
                </c:pt>
                <c:pt idx="937">
                  <c:v>2.1986112080640136E-3</c:v>
                </c:pt>
                <c:pt idx="938">
                  <c:v>1.7127235436061039E-2</c:v>
                </c:pt>
                <c:pt idx="939">
                  <c:v>0.24452587646808421</c:v>
                </c:pt>
                <c:pt idx="940">
                  <c:v>0.18981468713788407</c:v>
                </c:pt>
                <c:pt idx="941">
                  <c:v>2.1424512984471455E-2</c:v>
                </c:pt>
                <c:pt idx="942">
                  <c:v>0.72631343533685211</c:v>
                </c:pt>
                <c:pt idx="943">
                  <c:v>-0.3807581823520394</c:v>
                </c:pt>
                <c:pt idx="944">
                  <c:v>7.1501556627731944E-2</c:v>
                </c:pt>
                <c:pt idx="945">
                  <c:v>0.46829011907262874</c:v>
                </c:pt>
                <c:pt idx="946">
                  <c:v>-2.9756080022020903E-2</c:v>
                </c:pt>
                <c:pt idx="947">
                  <c:v>0.64161089697913098</c:v>
                </c:pt>
                <c:pt idx="948">
                  <c:v>1.6619227763365885E-2</c:v>
                </c:pt>
                <c:pt idx="949">
                  <c:v>0.54269803883397971</c:v>
                </c:pt>
                <c:pt idx="950">
                  <c:v>0.38084582578417603</c:v>
                </c:pt>
                <c:pt idx="951">
                  <c:v>0.54044369624415278</c:v>
                </c:pt>
                <c:pt idx="952">
                  <c:v>0.41037958468020896</c:v>
                </c:pt>
                <c:pt idx="953">
                  <c:v>8.2008633068891612E-2</c:v>
                </c:pt>
                <c:pt idx="954">
                  <c:v>0.54553090017178096</c:v>
                </c:pt>
                <c:pt idx="955">
                  <c:v>0.41005106395540913</c:v>
                </c:pt>
                <c:pt idx="956">
                  <c:v>0.2477903272144184</c:v>
                </c:pt>
                <c:pt idx="957">
                  <c:v>-0.2638770732985769</c:v>
                </c:pt>
                <c:pt idx="958">
                  <c:v>-0.23935895760743708</c:v>
                </c:pt>
                <c:pt idx="959">
                  <c:v>0.30269152401594113</c:v>
                </c:pt>
                <c:pt idx="960">
                  <c:v>-0.28768265411996907</c:v>
                </c:pt>
                <c:pt idx="961">
                  <c:v>-0.46300944564355184</c:v>
                </c:pt>
                <c:pt idx="962">
                  <c:v>0.29628389135043953</c:v>
                </c:pt>
                <c:pt idx="963">
                  <c:v>0.15822156575635526</c:v>
                </c:pt>
                <c:pt idx="964">
                  <c:v>0.27376437567647116</c:v>
                </c:pt>
                <c:pt idx="965">
                  <c:v>0.51613370529541402</c:v>
                </c:pt>
                <c:pt idx="966">
                  <c:v>9.0659939729746952E-2</c:v>
                </c:pt>
                <c:pt idx="967">
                  <c:v>-7.5346267160647296E-2</c:v>
                </c:pt>
                <c:pt idx="968">
                  <c:v>0.14680277340564096</c:v>
                </c:pt>
                <c:pt idx="969">
                  <c:v>0.18190735822142345</c:v>
                </c:pt>
                <c:pt idx="970">
                  <c:v>-3.6887951986599443E-2</c:v>
                </c:pt>
                <c:pt idx="971">
                  <c:v>0.24889989519464217</c:v>
                </c:pt>
                <c:pt idx="972">
                  <c:v>0.76487892649670286</c:v>
                </c:pt>
                <c:pt idx="973">
                  <c:v>0.41782184062930483</c:v>
                </c:pt>
                <c:pt idx="974">
                  <c:v>0.21374589365248386</c:v>
                </c:pt>
                <c:pt idx="975">
                  <c:v>0.59057670240987292</c:v>
                </c:pt>
                <c:pt idx="976">
                  <c:v>4.9658664604796066E-2</c:v>
                </c:pt>
                <c:pt idx="977">
                  <c:v>-3.5689261762543723E-3</c:v>
                </c:pt>
                <c:pt idx="978">
                  <c:v>0.32988038017475829</c:v>
                </c:pt>
                <c:pt idx="979">
                  <c:v>-0.20418384348380481</c:v>
                </c:pt>
                <c:pt idx="980">
                  <c:v>-1.356747777596734E-2</c:v>
                </c:pt>
                <c:pt idx="981">
                  <c:v>-0.1582470741532962</c:v>
                </c:pt>
                <c:pt idx="982">
                  <c:v>-4.4680320983538024E-2</c:v>
                </c:pt>
                <c:pt idx="983">
                  <c:v>-0.27257546816925693</c:v>
                </c:pt>
                <c:pt idx="984">
                  <c:v>0.51900024245927057</c:v>
                </c:pt>
                <c:pt idx="985">
                  <c:v>-0.26885955118859872</c:v>
                </c:pt>
                <c:pt idx="986">
                  <c:v>-8.6997787400419746E-2</c:v>
                </c:pt>
                <c:pt idx="987">
                  <c:v>0.16936266927997901</c:v>
                </c:pt>
                <c:pt idx="988">
                  <c:v>0.48635590984913835</c:v>
                </c:pt>
                <c:pt idx="989">
                  <c:v>-0.1630198060948933</c:v>
                </c:pt>
                <c:pt idx="990">
                  <c:v>-6.4910063890356362E-2</c:v>
                </c:pt>
                <c:pt idx="991">
                  <c:v>0.26784945737619115</c:v>
                </c:pt>
                <c:pt idx="992">
                  <c:v>-5.6661539167377928E-2</c:v>
                </c:pt>
                <c:pt idx="993">
                  <c:v>0.13085153475782452</c:v>
                </c:pt>
                <c:pt idx="994">
                  <c:v>-6.3430571936581082E-2</c:v>
                </c:pt>
                <c:pt idx="995">
                  <c:v>2.7791659316481976E-2</c:v>
                </c:pt>
                <c:pt idx="996">
                  <c:v>-5.0673632980923422E-2</c:v>
                </c:pt>
                <c:pt idx="997">
                  <c:v>-2.2276778559606747E-3</c:v>
                </c:pt>
                <c:pt idx="998">
                  <c:v>5.773453638771997E-2</c:v>
                </c:pt>
                <c:pt idx="999">
                  <c:v>0.30442806068906969</c:v>
                </c:pt>
              </c:numCache>
            </c:numRef>
          </c:xVal>
          <c:yVal>
            <c:numRef>
              <c:f>PSA!$AF$14:$AF$1013</c:f>
              <c:numCache>
                <c:formatCode>General</c:formatCode>
                <c:ptCount val="1000"/>
                <c:pt idx="0">
                  <c:v>8219.5370237176248</c:v>
                </c:pt>
                <c:pt idx="1">
                  <c:v>3300.2063482296944</c:v>
                </c:pt>
                <c:pt idx="2">
                  <c:v>6380.9625697011506</c:v>
                </c:pt>
                <c:pt idx="3">
                  <c:v>30861.83402904564</c:v>
                </c:pt>
                <c:pt idx="4">
                  <c:v>10885.123083376966</c:v>
                </c:pt>
                <c:pt idx="5">
                  <c:v>24167.263403642588</c:v>
                </c:pt>
                <c:pt idx="6">
                  <c:v>5045.3465508400695</c:v>
                </c:pt>
                <c:pt idx="7">
                  <c:v>6297.1569185345579</c:v>
                </c:pt>
                <c:pt idx="8">
                  <c:v>13788.69205862713</c:v>
                </c:pt>
                <c:pt idx="9">
                  <c:v>2736.8863637454633</c:v>
                </c:pt>
                <c:pt idx="10">
                  <c:v>13182.361925340381</c:v>
                </c:pt>
                <c:pt idx="11">
                  <c:v>245.8923698754661</c:v>
                </c:pt>
                <c:pt idx="12">
                  <c:v>-1478.5901439774607</c:v>
                </c:pt>
                <c:pt idx="13">
                  <c:v>13333.371499334244</c:v>
                </c:pt>
                <c:pt idx="14">
                  <c:v>22427.936847193778</c:v>
                </c:pt>
                <c:pt idx="15">
                  <c:v>17811.715506646855</c:v>
                </c:pt>
                <c:pt idx="16">
                  <c:v>4059.9956675263384</c:v>
                </c:pt>
                <c:pt idx="17">
                  <c:v>6066.2111113373539</c:v>
                </c:pt>
                <c:pt idx="18">
                  <c:v>8966.27720495424</c:v>
                </c:pt>
                <c:pt idx="19">
                  <c:v>3673.4600328682573</c:v>
                </c:pt>
                <c:pt idx="20">
                  <c:v>17438.267202212199</c:v>
                </c:pt>
                <c:pt idx="21">
                  <c:v>5658.8363740414788</c:v>
                </c:pt>
                <c:pt idx="22">
                  <c:v>8654.6872914360283</c:v>
                </c:pt>
                <c:pt idx="23">
                  <c:v>12005.681361101102</c:v>
                </c:pt>
                <c:pt idx="24">
                  <c:v>6904.0489575755782</c:v>
                </c:pt>
                <c:pt idx="25">
                  <c:v>9266.6515192018705</c:v>
                </c:pt>
                <c:pt idx="26">
                  <c:v>7736.0751896279544</c:v>
                </c:pt>
                <c:pt idx="27">
                  <c:v>15732.642561708984</c:v>
                </c:pt>
                <c:pt idx="28">
                  <c:v>12954.203683720203</c:v>
                </c:pt>
                <c:pt idx="29">
                  <c:v>9496.5264773236777</c:v>
                </c:pt>
                <c:pt idx="30">
                  <c:v>14387.924201417161</c:v>
                </c:pt>
                <c:pt idx="31">
                  <c:v>4616.5710055345844</c:v>
                </c:pt>
                <c:pt idx="32">
                  <c:v>17526.095410937021</c:v>
                </c:pt>
                <c:pt idx="33">
                  <c:v>25942.286705323975</c:v>
                </c:pt>
                <c:pt idx="34">
                  <c:v>12217.313081829576</c:v>
                </c:pt>
                <c:pt idx="35">
                  <c:v>9733.7898122171318</c:v>
                </c:pt>
                <c:pt idx="36">
                  <c:v>11042.117484833449</c:v>
                </c:pt>
                <c:pt idx="37">
                  <c:v>1028.0916175479942</c:v>
                </c:pt>
                <c:pt idx="38">
                  <c:v>7943.1674306282366</c:v>
                </c:pt>
                <c:pt idx="39">
                  <c:v>15766.528975577632</c:v>
                </c:pt>
                <c:pt idx="40">
                  <c:v>8747.6217297816474</c:v>
                </c:pt>
                <c:pt idx="41">
                  <c:v>10200.382045553364</c:v>
                </c:pt>
                <c:pt idx="42">
                  <c:v>15983.809803691649</c:v>
                </c:pt>
                <c:pt idx="43">
                  <c:v>12135.593394888012</c:v>
                </c:pt>
                <c:pt idx="44">
                  <c:v>14440.186912769423</c:v>
                </c:pt>
                <c:pt idx="45">
                  <c:v>16085.891743123088</c:v>
                </c:pt>
                <c:pt idx="46">
                  <c:v>6308.1803879822255</c:v>
                </c:pt>
                <c:pt idx="47">
                  <c:v>10911.316063476508</c:v>
                </c:pt>
                <c:pt idx="48">
                  <c:v>10285.527388257484</c:v>
                </c:pt>
                <c:pt idx="49">
                  <c:v>17130.676939958787</c:v>
                </c:pt>
                <c:pt idx="50">
                  <c:v>11705.806113368642</c:v>
                </c:pt>
                <c:pt idx="51">
                  <c:v>7249.3181900811178</c:v>
                </c:pt>
                <c:pt idx="52">
                  <c:v>8450.9318556740327</c:v>
                </c:pt>
                <c:pt idx="53">
                  <c:v>4789.9449994075694</c:v>
                </c:pt>
                <c:pt idx="54">
                  <c:v>10319.834311635583</c:v>
                </c:pt>
                <c:pt idx="55">
                  <c:v>8187.6133051915531</c:v>
                </c:pt>
                <c:pt idx="56">
                  <c:v>13242.828865723553</c:v>
                </c:pt>
                <c:pt idx="57">
                  <c:v>13816.71005160526</c:v>
                </c:pt>
                <c:pt idx="58">
                  <c:v>3619.743925483941</c:v>
                </c:pt>
                <c:pt idx="59">
                  <c:v>18238.483883998473</c:v>
                </c:pt>
                <c:pt idx="60">
                  <c:v>4774.3240554307849</c:v>
                </c:pt>
                <c:pt idx="61">
                  <c:v>18036.261962780947</c:v>
                </c:pt>
                <c:pt idx="62">
                  <c:v>18164.603898878369</c:v>
                </c:pt>
                <c:pt idx="63">
                  <c:v>14820.873842593894</c:v>
                </c:pt>
                <c:pt idx="64">
                  <c:v>11483.364119084232</c:v>
                </c:pt>
                <c:pt idx="65">
                  <c:v>13535.708957695977</c:v>
                </c:pt>
                <c:pt idx="66">
                  <c:v>11512.735240344562</c:v>
                </c:pt>
                <c:pt idx="67">
                  <c:v>6870.4174915452459</c:v>
                </c:pt>
                <c:pt idx="68">
                  <c:v>6657.1587067442451</c:v>
                </c:pt>
                <c:pt idx="69">
                  <c:v>7257.3605682669004</c:v>
                </c:pt>
                <c:pt idx="70">
                  <c:v>14873.833526967996</c:v>
                </c:pt>
                <c:pt idx="71">
                  <c:v>17532.166401365335</c:v>
                </c:pt>
                <c:pt idx="72">
                  <c:v>10839.033836190087</c:v>
                </c:pt>
                <c:pt idx="73">
                  <c:v>15200.042955032099</c:v>
                </c:pt>
                <c:pt idx="74">
                  <c:v>6023.8155793274054</c:v>
                </c:pt>
                <c:pt idx="75">
                  <c:v>7130.4196924624848</c:v>
                </c:pt>
                <c:pt idx="76">
                  <c:v>11275.272611639179</c:v>
                </c:pt>
                <c:pt idx="77">
                  <c:v>17811.951355550875</c:v>
                </c:pt>
                <c:pt idx="78">
                  <c:v>8186.5390877054233</c:v>
                </c:pt>
                <c:pt idx="79">
                  <c:v>17826.960663297155</c:v>
                </c:pt>
                <c:pt idx="80">
                  <c:v>4630.9472152275703</c:v>
                </c:pt>
                <c:pt idx="81">
                  <c:v>27596.855286787453</c:v>
                </c:pt>
                <c:pt idx="82">
                  <c:v>9147.2715137329651</c:v>
                </c:pt>
                <c:pt idx="83">
                  <c:v>10058.170400078365</c:v>
                </c:pt>
                <c:pt idx="84">
                  <c:v>12683.307230935345</c:v>
                </c:pt>
                <c:pt idx="85">
                  <c:v>-595.59122699788713</c:v>
                </c:pt>
                <c:pt idx="86">
                  <c:v>24573.365054810041</c:v>
                </c:pt>
                <c:pt idx="87">
                  <c:v>13566.093968046291</c:v>
                </c:pt>
                <c:pt idx="88">
                  <c:v>6318.4132227601513</c:v>
                </c:pt>
                <c:pt idx="89">
                  <c:v>9168.9653191549005</c:v>
                </c:pt>
                <c:pt idx="90">
                  <c:v>29237.095920375781</c:v>
                </c:pt>
                <c:pt idx="91">
                  <c:v>9904.5369024492247</c:v>
                </c:pt>
                <c:pt idx="92">
                  <c:v>18399.051205585522</c:v>
                </c:pt>
                <c:pt idx="93">
                  <c:v>13382.786290236792</c:v>
                </c:pt>
                <c:pt idx="94">
                  <c:v>1619.8519802013761</c:v>
                </c:pt>
                <c:pt idx="95">
                  <c:v>18442.74991821291</c:v>
                </c:pt>
                <c:pt idx="96">
                  <c:v>-1581.7715149675496</c:v>
                </c:pt>
                <c:pt idx="97">
                  <c:v>14477.151444457311</c:v>
                </c:pt>
                <c:pt idx="98">
                  <c:v>11039.027347242212</c:v>
                </c:pt>
                <c:pt idx="99">
                  <c:v>3998.911687352389</c:v>
                </c:pt>
                <c:pt idx="100">
                  <c:v>22533.883657352693</c:v>
                </c:pt>
                <c:pt idx="101">
                  <c:v>15007.412419646658</c:v>
                </c:pt>
                <c:pt idx="102">
                  <c:v>16129.950297937045</c:v>
                </c:pt>
                <c:pt idx="103">
                  <c:v>14659.62371408676</c:v>
                </c:pt>
                <c:pt idx="104">
                  <c:v>4679.1755755820486</c:v>
                </c:pt>
                <c:pt idx="105">
                  <c:v>4517.244047717526</c:v>
                </c:pt>
                <c:pt idx="106">
                  <c:v>17210.868767526845</c:v>
                </c:pt>
                <c:pt idx="107">
                  <c:v>-169.70639953772479</c:v>
                </c:pt>
                <c:pt idx="108">
                  <c:v>6689.0652231496933</c:v>
                </c:pt>
                <c:pt idx="109">
                  <c:v>10991.667370434501</c:v>
                </c:pt>
                <c:pt idx="110">
                  <c:v>17988.883150467736</c:v>
                </c:pt>
                <c:pt idx="111">
                  <c:v>17187.716728155836</c:v>
                </c:pt>
                <c:pt idx="112">
                  <c:v>6933.5651057481737</c:v>
                </c:pt>
                <c:pt idx="113">
                  <c:v>1794.8704669245781</c:v>
                </c:pt>
                <c:pt idx="114">
                  <c:v>11290.874893393222</c:v>
                </c:pt>
                <c:pt idx="115">
                  <c:v>10355.140543152738</c:v>
                </c:pt>
                <c:pt idx="116">
                  <c:v>18808.423544593912</c:v>
                </c:pt>
                <c:pt idx="117">
                  <c:v>8325.1422028138477</c:v>
                </c:pt>
                <c:pt idx="118">
                  <c:v>12100.639149446761</c:v>
                </c:pt>
                <c:pt idx="119">
                  <c:v>16114.846131166705</c:v>
                </c:pt>
                <c:pt idx="120">
                  <c:v>12282.421929482181</c:v>
                </c:pt>
                <c:pt idx="121">
                  <c:v>17985.04941361204</c:v>
                </c:pt>
                <c:pt idx="122">
                  <c:v>6622.887028919693</c:v>
                </c:pt>
                <c:pt idx="123">
                  <c:v>4246.8273618566454</c:v>
                </c:pt>
                <c:pt idx="124">
                  <c:v>7652.5441678289208</c:v>
                </c:pt>
                <c:pt idx="125">
                  <c:v>6282.4273596943531</c:v>
                </c:pt>
                <c:pt idx="126">
                  <c:v>7580.4854731447704</c:v>
                </c:pt>
                <c:pt idx="127">
                  <c:v>20445.129828947131</c:v>
                </c:pt>
                <c:pt idx="128">
                  <c:v>6201.6403947678482</c:v>
                </c:pt>
                <c:pt idx="129">
                  <c:v>5352.6056470399199</c:v>
                </c:pt>
                <c:pt idx="130">
                  <c:v>13475.950028718726</c:v>
                </c:pt>
                <c:pt idx="131">
                  <c:v>6128.9054361493327</c:v>
                </c:pt>
                <c:pt idx="132">
                  <c:v>17638.442908565034</c:v>
                </c:pt>
                <c:pt idx="133">
                  <c:v>7593.9621629601606</c:v>
                </c:pt>
                <c:pt idx="134">
                  <c:v>5417.6620393644698</c:v>
                </c:pt>
                <c:pt idx="135">
                  <c:v>14234.61798396115</c:v>
                </c:pt>
                <c:pt idx="136">
                  <c:v>13921.279123940694</c:v>
                </c:pt>
                <c:pt idx="137">
                  <c:v>8421.6730240567704</c:v>
                </c:pt>
                <c:pt idx="138">
                  <c:v>10963.019593964927</c:v>
                </c:pt>
                <c:pt idx="139">
                  <c:v>7695.910839302669</c:v>
                </c:pt>
                <c:pt idx="140">
                  <c:v>6756.5371855237609</c:v>
                </c:pt>
                <c:pt idx="141">
                  <c:v>5847.8517704765109</c:v>
                </c:pt>
                <c:pt idx="142">
                  <c:v>1255.7720677047037</c:v>
                </c:pt>
                <c:pt idx="143">
                  <c:v>9475.6610018695937</c:v>
                </c:pt>
                <c:pt idx="144">
                  <c:v>10407.188998384227</c:v>
                </c:pt>
                <c:pt idx="145">
                  <c:v>11849.844250592316</c:v>
                </c:pt>
                <c:pt idx="146">
                  <c:v>3900.5540839949244</c:v>
                </c:pt>
                <c:pt idx="147">
                  <c:v>9702.2709228798049</c:v>
                </c:pt>
                <c:pt idx="148">
                  <c:v>21202.004407313056</c:v>
                </c:pt>
                <c:pt idx="149">
                  <c:v>-3928.5818626523105</c:v>
                </c:pt>
                <c:pt idx="150">
                  <c:v>13805.310372874796</c:v>
                </c:pt>
                <c:pt idx="151">
                  <c:v>5926.8266395943501</c:v>
                </c:pt>
                <c:pt idx="152">
                  <c:v>17021.904352924103</c:v>
                </c:pt>
                <c:pt idx="153">
                  <c:v>10457.730079857196</c:v>
                </c:pt>
                <c:pt idx="154">
                  <c:v>10813.064919797544</c:v>
                </c:pt>
                <c:pt idx="155">
                  <c:v>17915.742032464565</c:v>
                </c:pt>
                <c:pt idx="156">
                  <c:v>3094.1699341044878</c:v>
                </c:pt>
                <c:pt idx="157">
                  <c:v>15260.282836821207</c:v>
                </c:pt>
                <c:pt idx="158">
                  <c:v>13226.477922117527</c:v>
                </c:pt>
                <c:pt idx="159">
                  <c:v>14513.189606798507</c:v>
                </c:pt>
                <c:pt idx="160">
                  <c:v>8621.1339931314942</c:v>
                </c:pt>
                <c:pt idx="161">
                  <c:v>14814.434061792141</c:v>
                </c:pt>
                <c:pt idx="162">
                  <c:v>18172.67069701814</c:v>
                </c:pt>
                <c:pt idx="163">
                  <c:v>15369.025079553539</c:v>
                </c:pt>
                <c:pt idx="164">
                  <c:v>17510.968975036245</c:v>
                </c:pt>
                <c:pt idx="165">
                  <c:v>2411.6597092181764</c:v>
                </c:pt>
                <c:pt idx="166">
                  <c:v>10265.804365067903</c:v>
                </c:pt>
                <c:pt idx="167">
                  <c:v>17762.960845328838</c:v>
                </c:pt>
                <c:pt idx="168">
                  <c:v>11592.509786465846</c:v>
                </c:pt>
                <c:pt idx="169">
                  <c:v>19948.044714476244</c:v>
                </c:pt>
                <c:pt idx="170">
                  <c:v>7193.7332699131293</c:v>
                </c:pt>
                <c:pt idx="171">
                  <c:v>13668.33632460676</c:v>
                </c:pt>
                <c:pt idx="172">
                  <c:v>594.84162045173434</c:v>
                </c:pt>
                <c:pt idx="173">
                  <c:v>2683.3899665148638</c:v>
                </c:pt>
                <c:pt idx="174">
                  <c:v>12697.782409321371</c:v>
                </c:pt>
                <c:pt idx="175">
                  <c:v>13240.479968877131</c:v>
                </c:pt>
                <c:pt idx="176">
                  <c:v>15176.779170718481</c:v>
                </c:pt>
                <c:pt idx="177">
                  <c:v>7766.1601011927851</c:v>
                </c:pt>
                <c:pt idx="178">
                  <c:v>8524.8184969444337</c:v>
                </c:pt>
                <c:pt idx="179">
                  <c:v>15531.094470517011</c:v>
                </c:pt>
                <c:pt idx="180">
                  <c:v>7997.9187413899781</c:v>
                </c:pt>
                <c:pt idx="181">
                  <c:v>10262.463834098889</c:v>
                </c:pt>
                <c:pt idx="182">
                  <c:v>-644.66159413455171</c:v>
                </c:pt>
                <c:pt idx="183">
                  <c:v>14370.794440011232</c:v>
                </c:pt>
                <c:pt idx="184">
                  <c:v>22347.431544669467</c:v>
                </c:pt>
                <c:pt idx="185">
                  <c:v>6245.0528318713332</c:v>
                </c:pt>
                <c:pt idx="186">
                  <c:v>15308.673667244875</c:v>
                </c:pt>
                <c:pt idx="187">
                  <c:v>9879.9296688624745</c:v>
                </c:pt>
                <c:pt idx="188">
                  <c:v>12111.641865298079</c:v>
                </c:pt>
                <c:pt idx="189">
                  <c:v>19585.534647124849</c:v>
                </c:pt>
                <c:pt idx="190">
                  <c:v>8314.7501909805287</c:v>
                </c:pt>
                <c:pt idx="191">
                  <c:v>7984.9277570302074</c:v>
                </c:pt>
                <c:pt idx="192">
                  <c:v>11136.831043338956</c:v>
                </c:pt>
                <c:pt idx="193">
                  <c:v>14153.549095359369</c:v>
                </c:pt>
                <c:pt idx="194">
                  <c:v>12328.258953877055</c:v>
                </c:pt>
                <c:pt idx="195">
                  <c:v>1975.9573917127564</c:v>
                </c:pt>
                <c:pt idx="196">
                  <c:v>12915.877563392045</c:v>
                </c:pt>
                <c:pt idx="197">
                  <c:v>11666.363741325054</c:v>
                </c:pt>
                <c:pt idx="198">
                  <c:v>10639.591055174416</c:v>
                </c:pt>
                <c:pt idx="199">
                  <c:v>2621.4234014171088</c:v>
                </c:pt>
                <c:pt idx="200">
                  <c:v>14390.222646027629</c:v>
                </c:pt>
                <c:pt idx="201">
                  <c:v>4241.9861653008993</c:v>
                </c:pt>
                <c:pt idx="202">
                  <c:v>6330.4070311837131</c:v>
                </c:pt>
                <c:pt idx="203">
                  <c:v>20322.148519793293</c:v>
                </c:pt>
                <c:pt idx="204">
                  <c:v>8519.4586329483718</c:v>
                </c:pt>
                <c:pt idx="205">
                  <c:v>2286.181527747307</c:v>
                </c:pt>
                <c:pt idx="206">
                  <c:v>9303.8749031399348</c:v>
                </c:pt>
                <c:pt idx="207">
                  <c:v>16159.619703639211</c:v>
                </c:pt>
                <c:pt idx="208">
                  <c:v>8625.9101841097581</c:v>
                </c:pt>
                <c:pt idx="209">
                  <c:v>17784.313261728603</c:v>
                </c:pt>
                <c:pt idx="210">
                  <c:v>18632.490205775874</c:v>
                </c:pt>
                <c:pt idx="211">
                  <c:v>10487.506684289183</c:v>
                </c:pt>
                <c:pt idx="212">
                  <c:v>7632.8940188877896</c:v>
                </c:pt>
                <c:pt idx="213">
                  <c:v>17566.384725803226</c:v>
                </c:pt>
                <c:pt idx="214">
                  <c:v>7867.7906516236399</c:v>
                </c:pt>
                <c:pt idx="215">
                  <c:v>9166.542667980757</c:v>
                </c:pt>
                <c:pt idx="216">
                  <c:v>9930.9671572362422</c:v>
                </c:pt>
                <c:pt idx="217">
                  <c:v>5193.6554134427352</c:v>
                </c:pt>
                <c:pt idx="218">
                  <c:v>10307.144484692864</c:v>
                </c:pt>
                <c:pt idx="219">
                  <c:v>3955.8081446315482</c:v>
                </c:pt>
                <c:pt idx="220">
                  <c:v>-602.81217719415145</c:v>
                </c:pt>
                <c:pt idx="221">
                  <c:v>1098.3555591821496</c:v>
                </c:pt>
                <c:pt idx="222">
                  <c:v>15531.022188697825</c:v>
                </c:pt>
                <c:pt idx="223">
                  <c:v>12209.633596100161</c:v>
                </c:pt>
                <c:pt idx="224">
                  <c:v>13600.600638201475</c:v>
                </c:pt>
                <c:pt idx="225">
                  <c:v>5924.6536887804614</c:v>
                </c:pt>
                <c:pt idx="226">
                  <c:v>23393.702445335082</c:v>
                </c:pt>
                <c:pt idx="227">
                  <c:v>11957.159662749691</c:v>
                </c:pt>
                <c:pt idx="228">
                  <c:v>6124.1444488930865</c:v>
                </c:pt>
                <c:pt idx="229">
                  <c:v>3887.8863673373053</c:v>
                </c:pt>
                <c:pt idx="230">
                  <c:v>18649.897175043836</c:v>
                </c:pt>
                <c:pt idx="231">
                  <c:v>11276.132978240668</c:v>
                </c:pt>
                <c:pt idx="232">
                  <c:v>8602.7114088060043</c:v>
                </c:pt>
                <c:pt idx="233">
                  <c:v>5325.2035715767706</c:v>
                </c:pt>
                <c:pt idx="234">
                  <c:v>7650.9905490863021</c:v>
                </c:pt>
                <c:pt idx="235">
                  <c:v>19858.256185985039</c:v>
                </c:pt>
                <c:pt idx="236">
                  <c:v>14671.670555773948</c:v>
                </c:pt>
                <c:pt idx="237">
                  <c:v>10667.015588025679</c:v>
                </c:pt>
                <c:pt idx="238">
                  <c:v>7488.9892059761914</c:v>
                </c:pt>
                <c:pt idx="239">
                  <c:v>9957.9806290742708</c:v>
                </c:pt>
                <c:pt idx="240">
                  <c:v>8035.3754878418986</c:v>
                </c:pt>
                <c:pt idx="241">
                  <c:v>16754.594769943629</c:v>
                </c:pt>
                <c:pt idx="242">
                  <c:v>11517.953773930283</c:v>
                </c:pt>
                <c:pt idx="243">
                  <c:v>13349.077429078636</c:v>
                </c:pt>
                <c:pt idx="244">
                  <c:v>12907.067193057737</c:v>
                </c:pt>
                <c:pt idx="245">
                  <c:v>8283.7844849517569</c:v>
                </c:pt>
                <c:pt idx="246">
                  <c:v>13474.284598746512</c:v>
                </c:pt>
                <c:pt idx="247">
                  <c:v>16530.513152117899</c:v>
                </c:pt>
                <c:pt idx="248">
                  <c:v>13498.935322920923</c:v>
                </c:pt>
                <c:pt idx="249">
                  <c:v>11539.182906875416</c:v>
                </c:pt>
                <c:pt idx="250">
                  <c:v>539.33223207086121</c:v>
                </c:pt>
                <c:pt idx="251">
                  <c:v>12703.245122049673</c:v>
                </c:pt>
                <c:pt idx="252">
                  <c:v>12146.921362916066</c:v>
                </c:pt>
                <c:pt idx="253">
                  <c:v>10885.007628364561</c:v>
                </c:pt>
                <c:pt idx="254">
                  <c:v>20786.644998079726</c:v>
                </c:pt>
                <c:pt idx="255">
                  <c:v>19392.152468358996</c:v>
                </c:pt>
                <c:pt idx="256">
                  <c:v>6072.5744742706738</c:v>
                </c:pt>
                <c:pt idx="257">
                  <c:v>5236.503824950647</c:v>
                </c:pt>
                <c:pt idx="258">
                  <c:v>16792.14953639108</c:v>
                </c:pt>
                <c:pt idx="259">
                  <c:v>3017.2259702307783</c:v>
                </c:pt>
                <c:pt idx="260">
                  <c:v>8955.0185667361438</c:v>
                </c:pt>
                <c:pt idx="261">
                  <c:v>9369.2735833920888</c:v>
                </c:pt>
                <c:pt idx="262">
                  <c:v>15006.216288823256</c:v>
                </c:pt>
                <c:pt idx="263">
                  <c:v>10965.089369185909</c:v>
                </c:pt>
                <c:pt idx="264">
                  <c:v>11192.887536776572</c:v>
                </c:pt>
                <c:pt idx="265">
                  <c:v>4854.6605665933603</c:v>
                </c:pt>
                <c:pt idx="266">
                  <c:v>10537.202196247265</c:v>
                </c:pt>
                <c:pt idx="267">
                  <c:v>12249.642483003583</c:v>
                </c:pt>
                <c:pt idx="268">
                  <c:v>12388.126908743856</c:v>
                </c:pt>
                <c:pt idx="269">
                  <c:v>7005.1677872406581</c:v>
                </c:pt>
                <c:pt idx="270">
                  <c:v>8420.8615183318616</c:v>
                </c:pt>
                <c:pt idx="271">
                  <c:v>14249.248789999619</c:v>
                </c:pt>
                <c:pt idx="272">
                  <c:v>7232.618012730818</c:v>
                </c:pt>
                <c:pt idx="273">
                  <c:v>12692.797327608452</c:v>
                </c:pt>
                <c:pt idx="274">
                  <c:v>3390.0806535820157</c:v>
                </c:pt>
                <c:pt idx="275">
                  <c:v>9446.5352345996071</c:v>
                </c:pt>
                <c:pt idx="276">
                  <c:v>15520.2619130073</c:v>
                </c:pt>
                <c:pt idx="277">
                  <c:v>11101.628226806075</c:v>
                </c:pt>
                <c:pt idx="278">
                  <c:v>10819.805416275754</c:v>
                </c:pt>
                <c:pt idx="279">
                  <c:v>22000.936764002588</c:v>
                </c:pt>
                <c:pt idx="280">
                  <c:v>11613.387529754909</c:v>
                </c:pt>
                <c:pt idx="281">
                  <c:v>4622.9779072899837</c:v>
                </c:pt>
                <c:pt idx="282">
                  <c:v>7902.087272570745</c:v>
                </c:pt>
                <c:pt idx="283">
                  <c:v>9028.7013883750624</c:v>
                </c:pt>
                <c:pt idx="284">
                  <c:v>13428.664859821205</c:v>
                </c:pt>
                <c:pt idx="285">
                  <c:v>14083.773919132989</c:v>
                </c:pt>
                <c:pt idx="286">
                  <c:v>9737.3809929063718</c:v>
                </c:pt>
                <c:pt idx="287">
                  <c:v>10394.228720667597</c:v>
                </c:pt>
                <c:pt idx="288">
                  <c:v>13074.912649778897</c:v>
                </c:pt>
                <c:pt idx="289">
                  <c:v>9139.9646225752222</c:v>
                </c:pt>
                <c:pt idx="290">
                  <c:v>25066.744061703066</c:v>
                </c:pt>
                <c:pt idx="291">
                  <c:v>9823.7829617204843</c:v>
                </c:pt>
                <c:pt idx="292">
                  <c:v>20834.983092783441</c:v>
                </c:pt>
                <c:pt idx="293">
                  <c:v>13513.596064811645</c:v>
                </c:pt>
                <c:pt idx="294">
                  <c:v>11806.076154547496</c:v>
                </c:pt>
                <c:pt idx="295">
                  <c:v>15965.844451394572</c:v>
                </c:pt>
                <c:pt idx="296">
                  <c:v>17489.097329815413</c:v>
                </c:pt>
                <c:pt idx="297">
                  <c:v>8589.9073552856717</c:v>
                </c:pt>
                <c:pt idx="298">
                  <c:v>14525.772948879996</c:v>
                </c:pt>
                <c:pt idx="299">
                  <c:v>2875.2504001094785</c:v>
                </c:pt>
                <c:pt idx="300">
                  <c:v>10160.051712220768</c:v>
                </c:pt>
                <c:pt idx="301">
                  <c:v>11628.999041851464</c:v>
                </c:pt>
                <c:pt idx="302">
                  <c:v>8079.2185205144197</c:v>
                </c:pt>
                <c:pt idx="303">
                  <c:v>7461.101723705855</c:v>
                </c:pt>
                <c:pt idx="304">
                  <c:v>-4784.7652552636719</c:v>
                </c:pt>
                <c:pt idx="305">
                  <c:v>19716.99660953616</c:v>
                </c:pt>
                <c:pt idx="306">
                  <c:v>6634.1021688863257</c:v>
                </c:pt>
                <c:pt idx="307">
                  <c:v>11972.475485234201</c:v>
                </c:pt>
                <c:pt idx="308">
                  <c:v>9496.6990573989169</c:v>
                </c:pt>
                <c:pt idx="309">
                  <c:v>7293.7215719121596</c:v>
                </c:pt>
                <c:pt idx="310">
                  <c:v>10499.089336261095</c:v>
                </c:pt>
                <c:pt idx="311">
                  <c:v>7064.2073552652437</c:v>
                </c:pt>
                <c:pt idx="312">
                  <c:v>21072.330138755366</c:v>
                </c:pt>
                <c:pt idx="313">
                  <c:v>1768.3878137671563</c:v>
                </c:pt>
                <c:pt idx="314">
                  <c:v>6597.0151719696005</c:v>
                </c:pt>
                <c:pt idx="315">
                  <c:v>12623.106331639297</c:v>
                </c:pt>
                <c:pt idx="316">
                  <c:v>11347.97984697987</c:v>
                </c:pt>
                <c:pt idx="317">
                  <c:v>3272.5376714094018</c:v>
                </c:pt>
                <c:pt idx="318">
                  <c:v>14150.062921870049</c:v>
                </c:pt>
                <c:pt idx="319">
                  <c:v>13781.027366974216</c:v>
                </c:pt>
                <c:pt idx="320">
                  <c:v>18548.770659951755</c:v>
                </c:pt>
                <c:pt idx="321">
                  <c:v>9714.8730888710343</c:v>
                </c:pt>
                <c:pt idx="322">
                  <c:v>11901.53151827</c:v>
                </c:pt>
                <c:pt idx="323">
                  <c:v>11722.454673636457</c:v>
                </c:pt>
                <c:pt idx="324">
                  <c:v>16281.08291796808</c:v>
                </c:pt>
                <c:pt idx="325">
                  <c:v>4626.262238448573</c:v>
                </c:pt>
                <c:pt idx="326">
                  <c:v>15316.386122459247</c:v>
                </c:pt>
                <c:pt idx="327">
                  <c:v>6924.9107005233527</c:v>
                </c:pt>
                <c:pt idx="328">
                  <c:v>-4104.1538431416557</c:v>
                </c:pt>
                <c:pt idx="329">
                  <c:v>12213.780416931593</c:v>
                </c:pt>
                <c:pt idx="330">
                  <c:v>10299.376528788998</c:v>
                </c:pt>
                <c:pt idx="331">
                  <c:v>8872.0518414308754</c:v>
                </c:pt>
                <c:pt idx="332">
                  <c:v>13634.279059294066</c:v>
                </c:pt>
                <c:pt idx="333">
                  <c:v>7899.5017032708274</c:v>
                </c:pt>
                <c:pt idx="334">
                  <c:v>21774.315167351786</c:v>
                </c:pt>
                <c:pt idx="335">
                  <c:v>14048.031126988993</c:v>
                </c:pt>
                <c:pt idx="336">
                  <c:v>10381.119010167997</c:v>
                </c:pt>
                <c:pt idx="337">
                  <c:v>6571.7201652278454</c:v>
                </c:pt>
                <c:pt idx="338">
                  <c:v>13611.895295158887</c:v>
                </c:pt>
                <c:pt idx="339">
                  <c:v>16939.966771389139</c:v>
                </c:pt>
                <c:pt idx="340">
                  <c:v>19061.35222964664</c:v>
                </c:pt>
                <c:pt idx="341">
                  <c:v>8421.1344377519126</c:v>
                </c:pt>
                <c:pt idx="342">
                  <c:v>9990.2891659254165</c:v>
                </c:pt>
                <c:pt idx="343">
                  <c:v>16115.648117413592</c:v>
                </c:pt>
                <c:pt idx="344">
                  <c:v>13288.574429310727</c:v>
                </c:pt>
                <c:pt idx="345">
                  <c:v>9143.1772916687623</c:v>
                </c:pt>
                <c:pt idx="346">
                  <c:v>11606.708564273766</c:v>
                </c:pt>
                <c:pt idx="347">
                  <c:v>10376.154672061799</c:v>
                </c:pt>
                <c:pt idx="348">
                  <c:v>14105.838144698748</c:v>
                </c:pt>
                <c:pt idx="349">
                  <c:v>12465.896618059807</c:v>
                </c:pt>
                <c:pt idx="350">
                  <c:v>1206.350614365263</c:v>
                </c:pt>
                <c:pt idx="351">
                  <c:v>5476.7025748512533</c:v>
                </c:pt>
                <c:pt idx="352">
                  <c:v>23063.347758014555</c:v>
                </c:pt>
                <c:pt idx="353">
                  <c:v>3601.0964979498531</c:v>
                </c:pt>
                <c:pt idx="354">
                  <c:v>-2437.7213614000211</c:v>
                </c:pt>
                <c:pt idx="355">
                  <c:v>13015.512427300448</c:v>
                </c:pt>
                <c:pt idx="356">
                  <c:v>14561.454198267587</c:v>
                </c:pt>
                <c:pt idx="357">
                  <c:v>11285.848927437328</c:v>
                </c:pt>
                <c:pt idx="358">
                  <c:v>18688.433677561916</c:v>
                </c:pt>
                <c:pt idx="359">
                  <c:v>16229.361336363567</c:v>
                </c:pt>
                <c:pt idx="360">
                  <c:v>20988.781978009487</c:v>
                </c:pt>
                <c:pt idx="361">
                  <c:v>12785.534082665879</c:v>
                </c:pt>
                <c:pt idx="362">
                  <c:v>24397.106314532764</c:v>
                </c:pt>
                <c:pt idx="363">
                  <c:v>2642.9144440176315</c:v>
                </c:pt>
                <c:pt idx="364">
                  <c:v>16010.844360193674</c:v>
                </c:pt>
                <c:pt idx="365">
                  <c:v>13179.073284554004</c:v>
                </c:pt>
                <c:pt idx="366">
                  <c:v>12051.118421456864</c:v>
                </c:pt>
                <c:pt idx="367">
                  <c:v>12851.385010055892</c:v>
                </c:pt>
                <c:pt idx="368">
                  <c:v>11931.534030957977</c:v>
                </c:pt>
                <c:pt idx="369">
                  <c:v>10076.636166129945</c:v>
                </c:pt>
                <c:pt idx="370">
                  <c:v>15942.165304004418</c:v>
                </c:pt>
                <c:pt idx="371">
                  <c:v>16504.48029460742</c:v>
                </c:pt>
                <c:pt idx="372">
                  <c:v>12898.525792434506</c:v>
                </c:pt>
                <c:pt idx="373">
                  <c:v>3977.8296675190795</c:v>
                </c:pt>
                <c:pt idx="374">
                  <c:v>9314.8789870407491</c:v>
                </c:pt>
                <c:pt idx="375">
                  <c:v>-761.1520571126166</c:v>
                </c:pt>
                <c:pt idx="376">
                  <c:v>9244.3503513524483</c:v>
                </c:pt>
                <c:pt idx="377">
                  <c:v>11240.850567367452</c:v>
                </c:pt>
                <c:pt idx="378">
                  <c:v>12852.426243320064</c:v>
                </c:pt>
                <c:pt idx="379">
                  <c:v>11416.665490899788</c:v>
                </c:pt>
                <c:pt idx="380">
                  <c:v>19315.329752572798</c:v>
                </c:pt>
                <c:pt idx="381">
                  <c:v>8759.3354746471596</c:v>
                </c:pt>
                <c:pt idx="382">
                  <c:v>18315.251998201464</c:v>
                </c:pt>
                <c:pt idx="383">
                  <c:v>3936.9005065692108</c:v>
                </c:pt>
                <c:pt idx="384">
                  <c:v>8343.6242070984008</c:v>
                </c:pt>
                <c:pt idx="385">
                  <c:v>16417.32683728679</c:v>
                </c:pt>
                <c:pt idx="386">
                  <c:v>9353.3599117342674</c:v>
                </c:pt>
                <c:pt idx="387">
                  <c:v>6306.6981700156612</c:v>
                </c:pt>
                <c:pt idx="388">
                  <c:v>13796.07969866709</c:v>
                </c:pt>
                <c:pt idx="389">
                  <c:v>12934.41087762214</c:v>
                </c:pt>
                <c:pt idx="390">
                  <c:v>21708.139254083711</c:v>
                </c:pt>
                <c:pt idx="391">
                  <c:v>3318.3234063912969</c:v>
                </c:pt>
                <c:pt idx="392">
                  <c:v>7773.5438683597895</c:v>
                </c:pt>
                <c:pt idx="393">
                  <c:v>9969.3385240375428</c:v>
                </c:pt>
                <c:pt idx="394">
                  <c:v>17171.301131718326</c:v>
                </c:pt>
                <c:pt idx="395">
                  <c:v>13524.367101967</c:v>
                </c:pt>
                <c:pt idx="396">
                  <c:v>17724.003417009189</c:v>
                </c:pt>
                <c:pt idx="397">
                  <c:v>10611.586420226522</c:v>
                </c:pt>
                <c:pt idx="398">
                  <c:v>10174.782262641791</c:v>
                </c:pt>
                <c:pt idx="399">
                  <c:v>2011.3578254762397</c:v>
                </c:pt>
                <c:pt idx="400">
                  <c:v>17549.553694289032</c:v>
                </c:pt>
                <c:pt idx="401">
                  <c:v>11185.478155265024</c:v>
                </c:pt>
                <c:pt idx="402">
                  <c:v>1549.8333496805717</c:v>
                </c:pt>
                <c:pt idx="403">
                  <c:v>-2652.9332552121778</c:v>
                </c:pt>
                <c:pt idx="404">
                  <c:v>21310.080920199383</c:v>
                </c:pt>
                <c:pt idx="405">
                  <c:v>11928.537233170486</c:v>
                </c:pt>
                <c:pt idx="406">
                  <c:v>16309.192321711438</c:v>
                </c:pt>
                <c:pt idx="407">
                  <c:v>-5570.4981881329877</c:v>
                </c:pt>
                <c:pt idx="408">
                  <c:v>11309.815840487892</c:v>
                </c:pt>
                <c:pt idx="409">
                  <c:v>14304.805998796757</c:v>
                </c:pt>
                <c:pt idx="410">
                  <c:v>10837.251242741084</c:v>
                </c:pt>
                <c:pt idx="411">
                  <c:v>11262.935989885365</c:v>
                </c:pt>
                <c:pt idx="412">
                  <c:v>5095.2614795786212</c:v>
                </c:pt>
                <c:pt idx="413">
                  <c:v>6170.8451621858403</c:v>
                </c:pt>
                <c:pt idx="414">
                  <c:v>14805.173991794029</c:v>
                </c:pt>
                <c:pt idx="415">
                  <c:v>9295.6988528799702</c:v>
                </c:pt>
                <c:pt idx="416">
                  <c:v>8306.8233762003365</c:v>
                </c:pt>
                <c:pt idx="417">
                  <c:v>28931.149657463058</c:v>
                </c:pt>
                <c:pt idx="418">
                  <c:v>10445.144978400043</c:v>
                </c:pt>
                <c:pt idx="419">
                  <c:v>28542.342835605363</c:v>
                </c:pt>
                <c:pt idx="420">
                  <c:v>9567.4048330851947</c:v>
                </c:pt>
                <c:pt idx="421">
                  <c:v>7388.2290259685979</c:v>
                </c:pt>
                <c:pt idx="422">
                  <c:v>8405.7480438327038</c:v>
                </c:pt>
                <c:pt idx="423">
                  <c:v>5691.6336765370797</c:v>
                </c:pt>
                <c:pt idx="424">
                  <c:v>13163.293144766241</c:v>
                </c:pt>
                <c:pt idx="425">
                  <c:v>17126.733675989046</c:v>
                </c:pt>
                <c:pt idx="426">
                  <c:v>5069.0087823076174</c:v>
                </c:pt>
                <c:pt idx="427">
                  <c:v>11319.676422076489</c:v>
                </c:pt>
                <c:pt idx="428">
                  <c:v>2584.9172649737011</c:v>
                </c:pt>
                <c:pt idx="429">
                  <c:v>16571.175421903434</c:v>
                </c:pt>
                <c:pt idx="430">
                  <c:v>5828.9412755883386</c:v>
                </c:pt>
                <c:pt idx="431">
                  <c:v>12824.396567471718</c:v>
                </c:pt>
                <c:pt idx="432">
                  <c:v>4289.0478715935096</c:v>
                </c:pt>
                <c:pt idx="433">
                  <c:v>15276.389847074854</c:v>
                </c:pt>
                <c:pt idx="434">
                  <c:v>11007.200658975882</c:v>
                </c:pt>
                <c:pt idx="435">
                  <c:v>13204.781746643028</c:v>
                </c:pt>
                <c:pt idx="436">
                  <c:v>4734.0800265390717</c:v>
                </c:pt>
                <c:pt idx="437">
                  <c:v>6308.339538328044</c:v>
                </c:pt>
                <c:pt idx="438">
                  <c:v>8172.8808874438037</c:v>
                </c:pt>
                <c:pt idx="439">
                  <c:v>5695.0832986922906</c:v>
                </c:pt>
                <c:pt idx="440">
                  <c:v>14748.079766741619</c:v>
                </c:pt>
                <c:pt idx="441">
                  <c:v>10488.754932619617</c:v>
                </c:pt>
                <c:pt idx="442">
                  <c:v>11348.244319164136</c:v>
                </c:pt>
                <c:pt idx="443">
                  <c:v>6817.6776890059846</c:v>
                </c:pt>
                <c:pt idx="444">
                  <c:v>10371.908400144588</c:v>
                </c:pt>
                <c:pt idx="445">
                  <c:v>13574.332145536202</c:v>
                </c:pt>
                <c:pt idx="446">
                  <c:v>7314.8586984538997</c:v>
                </c:pt>
                <c:pt idx="447">
                  <c:v>7132.6770832694456</c:v>
                </c:pt>
                <c:pt idx="448">
                  <c:v>15286.479776791719</c:v>
                </c:pt>
                <c:pt idx="449">
                  <c:v>10186.109096013417</c:v>
                </c:pt>
                <c:pt idx="450">
                  <c:v>7599.9862908794021</c:v>
                </c:pt>
                <c:pt idx="451">
                  <c:v>13772.983550953752</c:v>
                </c:pt>
                <c:pt idx="452">
                  <c:v>18437.217353945613</c:v>
                </c:pt>
                <c:pt idx="453">
                  <c:v>8166.8603021777235</c:v>
                </c:pt>
                <c:pt idx="454">
                  <c:v>15546.325165007336</c:v>
                </c:pt>
                <c:pt idx="455">
                  <c:v>14163.264487936671</c:v>
                </c:pt>
                <c:pt idx="456">
                  <c:v>11849.223988986545</c:v>
                </c:pt>
                <c:pt idx="457">
                  <c:v>2892.5167449634464</c:v>
                </c:pt>
                <c:pt idx="458">
                  <c:v>40.852163604417001</c:v>
                </c:pt>
                <c:pt idx="459">
                  <c:v>7313.4203145225329</c:v>
                </c:pt>
                <c:pt idx="460">
                  <c:v>15657.413014944032</c:v>
                </c:pt>
                <c:pt idx="461">
                  <c:v>-3052.6974675811798</c:v>
                </c:pt>
                <c:pt idx="462">
                  <c:v>13805.326613489829</c:v>
                </c:pt>
                <c:pt idx="463">
                  <c:v>12758.591019931322</c:v>
                </c:pt>
                <c:pt idx="464">
                  <c:v>18879.556396029395</c:v>
                </c:pt>
                <c:pt idx="465">
                  <c:v>8545.5260534320405</c:v>
                </c:pt>
                <c:pt idx="466">
                  <c:v>15110.713501683553</c:v>
                </c:pt>
                <c:pt idx="467">
                  <c:v>7726.4871174921427</c:v>
                </c:pt>
                <c:pt idx="468">
                  <c:v>18230.181984986499</c:v>
                </c:pt>
                <c:pt idx="469">
                  <c:v>11443.158357779255</c:v>
                </c:pt>
                <c:pt idx="470">
                  <c:v>8253.4229784880008</c:v>
                </c:pt>
                <c:pt idx="471">
                  <c:v>5397.4227479208785</c:v>
                </c:pt>
                <c:pt idx="472">
                  <c:v>5296.1031384699745</c:v>
                </c:pt>
                <c:pt idx="473">
                  <c:v>14536.274987486628</c:v>
                </c:pt>
                <c:pt idx="474">
                  <c:v>14890.258328243581</c:v>
                </c:pt>
                <c:pt idx="475">
                  <c:v>4688.1493706685142</c:v>
                </c:pt>
                <c:pt idx="476">
                  <c:v>11713.058459926877</c:v>
                </c:pt>
                <c:pt idx="477">
                  <c:v>13225.454471881472</c:v>
                </c:pt>
                <c:pt idx="478">
                  <c:v>7855.9271021997556</c:v>
                </c:pt>
                <c:pt idx="479">
                  <c:v>14154.164361051429</c:v>
                </c:pt>
                <c:pt idx="480">
                  <c:v>8625.8152700529463</c:v>
                </c:pt>
                <c:pt idx="481">
                  <c:v>3724.0893942005787</c:v>
                </c:pt>
                <c:pt idx="482">
                  <c:v>19212.93071530632</c:v>
                </c:pt>
                <c:pt idx="483">
                  <c:v>15637.905769826306</c:v>
                </c:pt>
                <c:pt idx="484">
                  <c:v>16093.81756811883</c:v>
                </c:pt>
                <c:pt idx="485">
                  <c:v>16843.561231800006</c:v>
                </c:pt>
                <c:pt idx="486">
                  <c:v>5666.1997813154303</c:v>
                </c:pt>
                <c:pt idx="487">
                  <c:v>13823.66862452947</c:v>
                </c:pt>
                <c:pt idx="488">
                  <c:v>3975.8401504792855</c:v>
                </c:pt>
                <c:pt idx="489">
                  <c:v>4564.1659382841899</c:v>
                </c:pt>
                <c:pt idx="490">
                  <c:v>8570.3919544251694</c:v>
                </c:pt>
                <c:pt idx="491">
                  <c:v>8586.1397967619414</c:v>
                </c:pt>
                <c:pt idx="492">
                  <c:v>11032.173337964545</c:v>
                </c:pt>
                <c:pt idx="493">
                  <c:v>10546.220890744517</c:v>
                </c:pt>
                <c:pt idx="494">
                  <c:v>15537.944819726385</c:v>
                </c:pt>
                <c:pt idx="495">
                  <c:v>-2222.3100373465422</c:v>
                </c:pt>
                <c:pt idx="496">
                  <c:v>12089.872268790772</c:v>
                </c:pt>
                <c:pt idx="497">
                  <c:v>10462.842348823804</c:v>
                </c:pt>
                <c:pt idx="498">
                  <c:v>9157.2263538428524</c:v>
                </c:pt>
                <c:pt idx="499">
                  <c:v>21204.83335991123</c:v>
                </c:pt>
                <c:pt idx="500">
                  <c:v>13490.679123341542</c:v>
                </c:pt>
                <c:pt idx="501">
                  <c:v>9625.2960436647409</c:v>
                </c:pt>
                <c:pt idx="502">
                  <c:v>15876.031123589186</c:v>
                </c:pt>
                <c:pt idx="503">
                  <c:v>21797.780828159055</c:v>
                </c:pt>
                <c:pt idx="504">
                  <c:v>13735.881887545387</c:v>
                </c:pt>
                <c:pt idx="505">
                  <c:v>6400.2888952152425</c:v>
                </c:pt>
                <c:pt idx="506">
                  <c:v>4679.75390334861</c:v>
                </c:pt>
                <c:pt idx="507">
                  <c:v>8804.3062897518248</c:v>
                </c:pt>
                <c:pt idx="508">
                  <c:v>7616.2181124543131</c:v>
                </c:pt>
                <c:pt idx="509">
                  <c:v>16224.804784917171</c:v>
                </c:pt>
                <c:pt idx="510">
                  <c:v>11848.757059524927</c:v>
                </c:pt>
                <c:pt idx="511">
                  <c:v>599.558525074106</c:v>
                </c:pt>
                <c:pt idx="512">
                  <c:v>17228.747615365995</c:v>
                </c:pt>
                <c:pt idx="513">
                  <c:v>11691.622221389625</c:v>
                </c:pt>
                <c:pt idx="514">
                  <c:v>17527.003240389706</c:v>
                </c:pt>
                <c:pt idx="515">
                  <c:v>5083.6410669332545</c:v>
                </c:pt>
                <c:pt idx="516">
                  <c:v>15700.127281951151</c:v>
                </c:pt>
                <c:pt idx="517">
                  <c:v>9932.3113730140612</c:v>
                </c:pt>
                <c:pt idx="518">
                  <c:v>11020.857142715322</c:v>
                </c:pt>
                <c:pt idx="519">
                  <c:v>8682.5339797807683</c:v>
                </c:pt>
                <c:pt idx="520">
                  <c:v>7950.6592089418264</c:v>
                </c:pt>
                <c:pt idx="521">
                  <c:v>13433.690462802493</c:v>
                </c:pt>
                <c:pt idx="522">
                  <c:v>12749.971845982378</c:v>
                </c:pt>
                <c:pt idx="523">
                  <c:v>7783.7975183433737</c:v>
                </c:pt>
                <c:pt idx="524">
                  <c:v>8937.5883718907862</c:v>
                </c:pt>
                <c:pt idx="525">
                  <c:v>9868.4576954954246</c:v>
                </c:pt>
                <c:pt idx="526">
                  <c:v>10508.230116578867</c:v>
                </c:pt>
                <c:pt idx="527">
                  <c:v>17224.762611724931</c:v>
                </c:pt>
                <c:pt idx="528">
                  <c:v>3139.9634372674045</c:v>
                </c:pt>
                <c:pt idx="529">
                  <c:v>5664.2171675947466</c:v>
                </c:pt>
                <c:pt idx="530">
                  <c:v>12367.090375972133</c:v>
                </c:pt>
                <c:pt idx="531">
                  <c:v>14191.451003973707</c:v>
                </c:pt>
                <c:pt idx="532">
                  <c:v>-416.44970387608919</c:v>
                </c:pt>
                <c:pt idx="533">
                  <c:v>3184.0312902910664</c:v>
                </c:pt>
                <c:pt idx="534">
                  <c:v>13920.231415536742</c:v>
                </c:pt>
                <c:pt idx="535">
                  <c:v>4952.6772504992841</c:v>
                </c:pt>
                <c:pt idx="536">
                  <c:v>12446.518051076397</c:v>
                </c:pt>
                <c:pt idx="537">
                  <c:v>10209.445608894428</c:v>
                </c:pt>
                <c:pt idx="538">
                  <c:v>73.711797067284351</c:v>
                </c:pt>
                <c:pt idx="539">
                  <c:v>14109.544915897801</c:v>
                </c:pt>
                <c:pt idx="540">
                  <c:v>14806.587733202978</c:v>
                </c:pt>
                <c:pt idx="541">
                  <c:v>11997.388899931611</c:v>
                </c:pt>
                <c:pt idx="542">
                  <c:v>14795.275474417169</c:v>
                </c:pt>
                <c:pt idx="543">
                  <c:v>19358.61893958805</c:v>
                </c:pt>
                <c:pt idx="544">
                  <c:v>13029.093231546147</c:v>
                </c:pt>
                <c:pt idx="545">
                  <c:v>15640.624900730065</c:v>
                </c:pt>
                <c:pt idx="546">
                  <c:v>11784.080709858405</c:v>
                </c:pt>
                <c:pt idx="547">
                  <c:v>16356.222077971848</c:v>
                </c:pt>
                <c:pt idx="548">
                  <c:v>11576.243827376282</c:v>
                </c:pt>
                <c:pt idx="549">
                  <c:v>9919.0600669567357</c:v>
                </c:pt>
                <c:pt idx="550">
                  <c:v>13271.452104205688</c:v>
                </c:pt>
                <c:pt idx="551">
                  <c:v>1371.9648558837944</c:v>
                </c:pt>
                <c:pt idx="552">
                  <c:v>15568.163203477161</c:v>
                </c:pt>
                <c:pt idx="553">
                  <c:v>16251.997496199823</c:v>
                </c:pt>
                <c:pt idx="554">
                  <c:v>21527.291410718521</c:v>
                </c:pt>
                <c:pt idx="555">
                  <c:v>12702.986684108801</c:v>
                </c:pt>
                <c:pt idx="556">
                  <c:v>10343.615787088318</c:v>
                </c:pt>
                <c:pt idx="557">
                  <c:v>8834.6286076460674</c:v>
                </c:pt>
                <c:pt idx="558">
                  <c:v>15215.097512601089</c:v>
                </c:pt>
                <c:pt idx="559">
                  <c:v>3678.9869081347715</c:v>
                </c:pt>
                <c:pt idx="560">
                  <c:v>-583.003584725986</c:v>
                </c:pt>
                <c:pt idx="561">
                  <c:v>20244.567261389566</c:v>
                </c:pt>
                <c:pt idx="562">
                  <c:v>-2956.742537938786</c:v>
                </c:pt>
                <c:pt idx="563">
                  <c:v>11833.023378846934</c:v>
                </c:pt>
                <c:pt idx="564">
                  <c:v>14695.855610474086</c:v>
                </c:pt>
                <c:pt idx="565">
                  <c:v>12338.706386612408</c:v>
                </c:pt>
                <c:pt idx="566">
                  <c:v>9671.8539284291473</c:v>
                </c:pt>
                <c:pt idx="567">
                  <c:v>19003.194639153109</c:v>
                </c:pt>
                <c:pt idx="568">
                  <c:v>12595.561169779525</c:v>
                </c:pt>
                <c:pt idx="569">
                  <c:v>19456.479697499621</c:v>
                </c:pt>
                <c:pt idx="570">
                  <c:v>16397.679947422032</c:v>
                </c:pt>
                <c:pt idx="571">
                  <c:v>18720.368042761576</c:v>
                </c:pt>
                <c:pt idx="572">
                  <c:v>1958.4077066297323</c:v>
                </c:pt>
                <c:pt idx="573">
                  <c:v>14246.686319768633</c:v>
                </c:pt>
                <c:pt idx="574">
                  <c:v>7275.5689804414287</c:v>
                </c:pt>
                <c:pt idx="575">
                  <c:v>11989.289045454221</c:v>
                </c:pt>
                <c:pt idx="576">
                  <c:v>9417.2592207938433</c:v>
                </c:pt>
                <c:pt idx="577">
                  <c:v>9021.7105511251866</c:v>
                </c:pt>
                <c:pt idx="578">
                  <c:v>9987.4309283192124</c:v>
                </c:pt>
                <c:pt idx="579">
                  <c:v>15080.856441614174</c:v>
                </c:pt>
                <c:pt idx="580">
                  <c:v>21314.867331257585</c:v>
                </c:pt>
                <c:pt idx="581">
                  <c:v>18996.316260987223</c:v>
                </c:pt>
                <c:pt idx="582">
                  <c:v>-290.50856583807035</c:v>
                </c:pt>
                <c:pt idx="583">
                  <c:v>14378.597212605848</c:v>
                </c:pt>
                <c:pt idx="584">
                  <c:v>2947.687312111404</c:v>
                </c:pt>
                <c:pt idx="585">
                  <c:v>13036.24693435611</c:v>
                </c:pt>
                <c:pt idx="586">
                  <c:v>1045.6888080456556</c:v>
                </c:pt>
                <c:pt idx="587">
                  <c:v>11728.892002650493</c:v>
                </c:pt>
                <c:pt idx="588">
                  <c:v>10794.019376172699</c:v>
                </c:pt>
                <c:pt idx="589">
                  <c:v>5430.5023302120389</c:v>
                </c:pt>
                <c:pt idx="590">
                  <c:v>12830.271583649723</c:v>
                </c:pt>
                <c:pt idx="591">
                  <c:v>8310.2129811326449</c:v>
                </c:pt>
                <c:pt idx="592">
                  <c:v>15432.096424482399</c:v>
                </c:pt>
                <c:pt idx="593">
                  <c:v>11075.961664659873</c:v>
                </c:pt>
                <c:pt idx="594">
                  <c:v>20023.538015787664</c:v>
                </c:pt>
                <c:pt idx="595">
                  <c:v>7542.6512678806321</c:v>
                </c:pt>
                <c:pt idx="596">
                  <c:v>2612.843272006663</c:v>
                </c:pt>
                <c:pt idx="597">
                  <c:v>17478.224129521885</c:v>
                </c:pt>
                <c:pt idx="598">
                  <c:v>4167.6848381146119</c:v>
                </c:pt>
                <c:pt idx="599">
                  <c:v>14391.819503726321</c:v>
                </c:pt>
                <c:pt idx="600">
                  <c:v>5669.5703269592341</c:v>
                </c:pt>
                <c:pt idx="601">
                  <c:v>13631.239370492491</c:v>
                </c:pt>
                <c:pt idx="602">
                  <c:v>9124.2230500892765</c:v>
                </c:pt>
                <c:pt idx="603">
                  <c:v>12967.184839703012</c:v>
                </c:pt>
                <c:pt idx="604">
                  <c:v>15594.785712648285</c:v>
                </c:pt>
                <c:pt idx="605">
                  <c:v>5575.5211701199587</c:v>
                </c:pt>
                <c:pt idx="606">
                  <c:v>10679.711040688024</c:v>
                </c:pt>
                <c:pt idx="607">
                  <c:v>15672.423275461937</c:v>
                </c:pt>
                <c:pt idx="608">
                  <c:v>13266.92897238845</c:v>
                </c:pt>
                <c:pt idx="609">
                  <c:v>5461.4052902755357</c:v>
                </c:pt>
                <c:pt idx="610">
                  <c:v>4414.5379462223354</c:v>
                </c:pt>
                <c:pt idx="611">
                  <c:v>-1643.2187973690161</c:v>
                </c:pt>
                <c:pt idx="612">
                  <c:v>8225.1908697386025</c:v>
                </c:pt>
                <c:pt idx="613">
                  <c:v>13645.631498628252</c:v>
                </c:pt>
                <c:pt idx="614">
                  <c:v>-5638.2072933513846</c:v>
                </c:pt>
                <c:pt idx="615">
                  <c:v>3680.1922608314053</c:v>
                </c:pt>
                <c:pt idx="616">
                  <c:v>8331.0697147624014</c:v>
                </c:pt>
                <c:pt idx="617">
                  <c:v>24186.749843033889</c:v>
                </c:pt>
                <c:pt idx="618">
                  <c:v>16342.420998396628</c:v>
                </c:pt>
                <c:pt idx="619">
                  <c:v>3577.8074438433105</c:v>
                </c:pt>
                <c:pt idx="620">
                  <c:v>12193.874680893161</c:v>
                </c:pt>
                <c:pt idx="621">
                  <c:v>11411.135925615352</c:v>
                </c:pt>
                <c:pt idx="622">
                  <c:v>12813.588298569928</c:v>
                </c:pt>
                <c:pt idx="623">
                  <c:v>6819.0113559119636</c:v>
                </c:pt>
                <c:pt idx="624">
                  <c:v>11507.808295258801</c:v>
                </c:pt>
                <c:pt idx="625">
                  <c:v>16641.482608378254</c:v>
                </c:pt>
                <c:pt idx="626">
                  <c:v>12530.491867608827</c:v>
                </c:pt>
                <c:pt idx="627">
                  <c:v>5347.1149054973794</c:v>
                </c:pt>
                <c:pt idx="628">
                  <c:v>10987.010701156629</c:v>
                </c:pt>
                <c:pt idx="629">
                  <c:v>14054.193660496327</c:v>
                </c:pt>
                <c:pt idx="630">
                  <c:v>1133.5718703851308</c:v>
                </c:pt>
                <c:pt idx="631">
                  <c:v>12497.124434779776</c:v>
                </c:pt>
                <c:pt idx="632">
                  <c:v>11521.498702322846</c:v>
                </c:pt>
                <c:pt idx="633">
                  <c:v>13852.305082810679</c:v>
                </c:pt>
                <c:pt idx="634">
                  <c:v>7424.1802004950878</c:v>
                </c:pt>
                <c:pt idx="635">
                  <c:v>10139.694805595369</c:v>
                </c:pt>
                <c:pt idx="636">
                  <c:v>-1614.4406877091533</c:v>
                </c:pt>
                <c:pt idx="637">
                  <c:v>6629.4542845241376</c:v>
                </c:pt>
                <c:pt idx="638">
                  <c:v>16196.240542346539</c:v>
                </c:pt>
                <c:pt idx="639">
                  <c:v>20650.243224268561</c:v>
                </c:pt>
                <c:pt idx="640">
                  <c:v>-3833.3210619193123</c:v>
                </c:pt>
                <c:pt idx="641">
                  <c:v>16210.791009504333</c:v>
                </c:pt>
                <c:pt idx="642">
                  <c:v>15991.876199325154</c:v>
                </c:pt>
                <c:pt idx="643">
                  <c:v>3260.7924401965138</c:v>
                </c:pt>
                <c:pt idx="644">
                  <c:v>4614.2532879658829</c:v>
                </c:pt>
                <c:pt idx="645">
                  <c:v>3646.7881757413415</c:v>
                </c:pt>
                <c:pt idx="646">
                  <c:v>12712.109518726</c:v>
                </c:pt>
                <c:pt idx="647">
                  <c:v>6995.7461097795604</c:v>
                </c:pt>
                <c:pt idx="648">
                  <c:v>21867.062833659409</c:v>
                </c:pt>
                <c:pt idx="649">
                  <c:v>12006.559591267855</c:v>
                </c:pt>
                <c:pt idx="650">
                  <c:v>18643.371615200129</c:v>
                </c:pt>
                <c:pt idx="651">
                  <c:v>3870.7577834037947</c:v>
                </c:pt>
                <c:pt idx="652">
                  <c:v>13618.354340158505</c:v>
                </c:pt>
                <c:pt idx="653">
                  <c:v>10068.71758198132</c:v>
                </c:pt>
                <c:pt idx="654">
                  <c:v>15871.559055716527</c:v>
                </c:pt>
                <c:pt idx="655">
                  <c:v>5264.2881763082987</c:v>
                </c:pt>
                <c:pt idx="656">
                  <c:v>18219.876728950272</c:v>
                </c:pt>
                <c:pt idx="657">
                  <c:v>10891.083136130896</c:v>
                </c:pt>
                <c:pt idx="658">
                  <c:v>12634.311206948332</c:v>
                </c:pt>
                <c:pt idx="659">
                  <c:v>-533.65412514482159</c:v>
                </c:pt>
                <c:pt idx="660">
                  <c:v>15213.292270171063</c:v>
                </c:pt>
                <c:pt idx="661">
                  <c:v>15795.930612577155</c:v>
                </c:pt>
                <c:pt idx="662">
                  <c:v>18026.262132127042</c:v>
                </c:pt>
                <c:pt idx="663">
                  <c:v>7424.5677829509586</c:v>
                </c:pt>
                <c:pt idx="664">
                  <c:v>2901.440763686318</c:v>
                </c:pt>
                <c:pt idx="665">
                  <c:v>14701.197001079752</c:v>
                </c:pt>
                <c:pt idx="666">
                  <c:v>9347.9090438595595</c:v>
                </c:pt>
                <c:pt idx="667">
                  <c:v>11117.914629112245</c:v>
                </c:pt>
                <c:pt idx="668">
                  <c:v>13245.605682549387</c:v>
                </c:pt>
                <c:pt idx="669">
                  <c:v>12255.006814839129</c:v>
                </c:pt>
                <c:pt idx="670">
                  <c:v>12961.006441609396</c:v>
                </c:pt>
                <c:pt idx="671">
                  <c:v>10086.678334567507</c:v>
                </c:pt>
                <c:pt idx="672">
                  <c:v>6977.4413313078985</c:v>
                </c:pt>
                <c:pt idx="673">
                  <c:v>11611.42579698078</c:v>
                </c:pt>
                <c:pt idx="674">
                  <c:v>6433.8656806874933</c:v>
                </c:pt>
                <c:pt idx="675">
                  <c:v>18135.637162375948</c:v>
                </c:pt>
                <c:pt idx="676">
                  <c:v>6283.4865322483383</c:v>
                </c:pt>
                <c:pt idx="677">
                  <c:v>18939.427208731897</c:v>
                </c:pt>
                <c:pt idx="678">
                  <c:v>19371.034840346052</c:v>
                </c:pt>
                <c:pt idx="679">
                  <c:v>23252.38098430325</c:v>
                </c:pt>
                <c:pt idx="680">
                  <c:v>2504.9525541280163</c:v>
                </c:pt>
                <c:pt idx="681">
                  <c:v>10246.930181374133</c:v>
                </c:pt>
                <c:pt idx="682">
                  <c:v>9713.5453499912182</c:v>
                </c:pt>
                <c:pt idx="683">
                  <c:v>4044.1051611275325</c:v>
                </c:pt>
                <c:pt idx="684">
                  <c:v>2686.7794270639715</c:v>
                </c:pt>
                <c:pt idx="685">
                  <c:v>22851.600921827456</c:v>
                </c:pt>
                <c:pt idx="686">
                  <c:v>16826.484710080331</c:v>
                </c:pt>
                <c:pt idx="687">
                  <c:v>5323.6268941065791</c:v>
                </c:pt>
                <c:pt idx="688">
                  <c:v>7672.0541127015895</c:v>
                </c:pt>
                <c:pt idx="689">
                  <c:v>8790.4364320921595</c:v>
                </c:pt>
                <c:pt idx="690">
                  <c:v>2609.8716959187295</c:v>
                </c:pt>
                <c:pt idx="691">
                  <c:v>14884.350541417982</c:v>
                </c:pt>
                <c:pt idx="692">
                  <c:v>18170.532291689029</c:v>
                </c:pt>
                <c:pt idx="693">
                  <c:v>4617.2858463054145</c:v>
                </c:pt>
                <c:pt idx="694">
                  <c:v>10781.356146096179</c:v>
                </c:pt>
                <c:pt idx="695">
                  <c:v>1199.6670460619353</c:v>
                </c:pt>
                <c:pt idx="696">
                  <c:v>15930.48727156275</c:v>
                </c:pt>
                <c:pt idx="697">
                  <c:v>2789.5302103966387</c:v>
                </c:pt>
                <c:pt idx="698">
                  <c:v>6943.4647543289902</c:v>
                </c:pt>
                <c:pt idx="699">
                  <c:v>634.94172067759791</c:v>
                </c:pt>
                <c:pt idx="700">
                  <c:v>1403.7707007677236</c:v>
                </c:pt>
                <c:pt idx="701">
                  <c:v>13229.463977636566</c:v>
                </c:pt>
                <c:pt idx="702">
                  <c:v>11917.077529860719</c:v>
                </c:pt>
                <c:pt idx="703">
                  <c:v>19076.668842074243</c:v>
                </c:pt>
                <c:pt idx="704">
                  <c:v>12364.266830603563</c:v>
                </c:pt>
                <c:pt idx="705">
                  <c:v>10233.340773886317</c:v>
                </c:pt>
                <c:pt idx="706">
                  <c:v>18541.388698021401</c:v>
                </c:pt>
                <c:pt idx="707">
                  <c:v>11698.287598559458</c:v>
                </c:pt>
                <c:pt idx="708">
                  <c:v>18713.176904030959</c:v>
                </c:pt>
                <c:pt idx="709">
                  <c:v>14060.431240867198</c:v>
                </c:pt>
                <c:pt idx="710">
                  <c:v>10271.153743553543</c:v>
                </c:pt>
                <c:pt idx="711">
                  <c:v>13316.442103050678</c:v>
                </c:pt>
                <c:pt idx="712">
                  <c:v>12497.029807069586</c:v>
                </c:pt>
                <c:pt idx="713">
                  <c:v>10702.860703015031</c:v>
                </c:pt>
                <c:pt idx="714">
                  <c:v>9626.235727535648</c:v>
                </c:pt>
                <c:pt idx="715">
                  <c:v>20201.615246949048</c:v>
                </c:pt>
                <c:pt idx="716">
                  <c:v>12122.446529114692</c:v>
                </c:pt>
                <c:pt idx="717">
                  <c:v>17151.382959693525</c:v>
                </c:pt>
                <c:pt idx="718">
                  <c:v>17053.451765990598</c:v>
                </c:pt>
                <c:pt idx="719">
                  <c:v>17362.155645621911</c:v>
                </c:pt>
                <c:pt idx="720">
                  <c:v>8466.2495972631441</c:v>
                </c:pt>
                <c:pt idx="721">
                  <c:v>17807.55420458375</c:v>
                </c:pt>
                <c:pt idx="722">
                  <c:v>22487.913872414269</c:v>
                </c:pt>
                <c:pt idx="723">
                  <c:v>6559.6473795115307</c:v>
                </c:pt>
                <c:pt idx="724">
                  <c:v>6030.3983109048568</c:v>
                </c:pt>
                <c:pt idx="725">
                  <c:v>16583.559891611309</c:v>
                </c:pt>
                <c:pt idx="726">
                  <c:v>18353.394497741057</c:v>
                </c:pt>
                <c:pt idx="727">
                  <c:v>6832.464790573853</c:v>
                </c:pt>
                <c:pt idx="728">
                  <c:v>17634.240998058405</c:v>
                </c:pt>
                <c:pt idx="729">
                  <c:v>15796.906612282022</c:v>
                </c:pt>
                <c:pt idx="730">
                  <c:v>7143.825857828102</c:v>
                </c:pt>
                <c:pt idx="731">
                  <c:v>7612.5097484847138</c:v>
                </c:pt>
                <c:pt idx="732">
                  <c:v>6668.6609059398033</c:v>
                </c:pt>
                <c:pt idx="733">
                  <c:v>619.52304839472345</c:v>
                </c:pt>
                <c:pt idx="734">
                  <c:v>13330.33690932946</c:v>
                </c:pt>
                <c:pt idx="735">
                  <c:v>11943.394598249739</c:v>
                </c:pt>
                <c:pt idx="736">
                  <c:v>9054.1816137972273</c:v>
                </c:pt>
                <c:pt idx="737">
                  <c:v>16210.507253078053</c:v>
                </c:pt>
                <c:pt idx="738">
                  <c:v>9711.3541655932786</c:v>
                </c:pt>
                <c:pt idx="739">
                  <c:v>6024.8628678851237</c:v>
                </c:pt>
                <c:pt idx="740">
                  <c:v>11663.111648022794</c:v>
                </c:pt>
                <c:pt idx="741">
                  <c:v>8956.2915364283981</c:v>
                </c:pt>
                <c:pt idx="742">
                  <c:v>12137.635328549615</c:v>
                </c:pt>
                <c:pt idx="743">
                  <c:v>9812.4855436827347</c:v>
                </c:pt>
                <c:pt idx="744">
                  <c:v>14146.255478371764</c:v>
                </c:pt>
                <c:pt idx="745">
                  <c:v>16362.428419127908</c:v>
                </c:pt>
                <c:pt idx="746">
                  <c:v>6826.5723281970277</c:v>
                </c:pt>
                <c:pt idx="747">
                  <c:v>5350.1279377982864</c:v>
                </c:pt>
                <c:pt idx="748">
                  <c:v>20985.109141717025</c:v>
                </c:pt>
                <c:pt idx="749">
                  <c:v>14918.054454071964</c:v>
                </c:pt>
                <c:pt idx="750">
                  <c:v>7713.2090312581131</c:v>
                </c:pt>
                <c:pt idx="751">
                  <c:v>11962.261827003924</c:v>
                </c:pt>
                <c:pt idx="752">
                  <c:v>18779.485965452317</c:v>
                </c:pt>
                <c:pt idx="753">
                  <c:v>5253.7222821149044</c:v>
                </c:pt>
                <c:pt idx="754">
                  <c:v>18004.64383820162</c:v>
                </c:pt>
                <c:pt idx="755">
                  <c:v>3451.4729097603267</c:v>
                </c:pt>
                <c:pt idx="756">
                  <c:v>8484.075940935596</c:v>
                </c:pt>
                <c:pt idx="757">
                  <c:v>9454.8102014757023</c:v>
                </c:pt>
                <c:pt idx="758">
                  <c:v>17503.529770801513</c:v>
                </c:pt>
                <c:pt idx="759">
                  <c:v>6854.6468917396269</c:v>
                </c:pt>
                <c:pt idx="760">
                  <c:v>3910.3317306962999</c:v>
                </c:pt>
                <c:pt idx="761">
                  <c:v>10415.022079357266</c:v>
                </c:pt>
                <c:pt idx="762">
                  <c:v>9355.2240034680872</c:v>
                </c:pt>
                <c:pt idx="763">
                  <c:v>5019.6224983869324</c:v>
                </c:pt>
                <c:pt idx="764">
                  <c:v>6064.3629561035268</c:v>
                </c:pt>
                <c:pt idx="765">
                  <c:v>14725.127661795748</c:v>
                </c:pt>
                <c:pt idx="766">
                  <c:v>19706.863468362848</c:v>
                </c:pt>
                <c:pt idx="767">
                  <c:v>8515.8630194803845</c:v>
                </c:pt>
                <c:pt idx="768">
                  <c:v>16336.710473093146</c:v>
                </c:pt>
                <c:pt idx="769">
                  <c:v>10142.69044108993</c:v>
                </c:pt>
                <c:pt idx="770">
                  <c:v>6281.1830381478794</c:v>
                </c:pt>
                <c:pt idx="771">
                  <c:v>14152.793103778007</c:v>
                </c:pt>
                <c:pt idx="772">
                  <c:v>6941.2033437643113</c:v>
                </c:pt>
                <c:pt idx="773">
                  <c:v>11728.151991723425</c:v>
                </c:pt>
                <c:pt idx="774">
                  <c:v>16704.412599177413</c:v>
                </c:pt>
                <c:pt idx="775">
                  <c:v>11583.289307356616</c:v>
                </c:pt>
                <c:pt idx="776">
                  <c:v>11051.592847075372</c:v>
                </c:pt>
                <c:pt idx="777">
                  <c:v>1305.4859909835068</c:v>
                </c:pt>
                <c:pt idx="778">
                  <c:v>6106.3461684230278</c:v>
                </c:pt>
                <c:pt idx="779">
                  <c:v>13261.582654996768</c:v>
                </c:pt>
                <c:pt idx="780">
                  <c:v>2145.384083097917</c:v>
                </c:pt>
                <c:pt idx="781">
                  <c:v>3482.1570475683038</c:v>
                </c:pt>
                <c:pt idx="782">
                  <c:v>13725.894326024776</c:v>
                </c:pt>
                <c:pt idx="783">
                  <c:v>3453.8876468834715</c:v>
                </c:pt>
                <c:pt idx="784">
                  <c:v>14038.052020062169</c:v>
                </c:pt>
                <c:pt idx="785">
                  <c:v>15237.239913785175</c:v>
                </c:pt>
                <c:pt idx="786">
                  <c:v>17759.366599472211</c:v>
                </c:pt>
                <c:pt idx="787">
                  <c:v>23935.00720741821</c:v>
                </c:pt>
                <c:pt idx="788">
                  <c:v>11998.539583399193</c:v>
                </c:pt>
                <c:pt idx="789">
                  <c:v>10974.927928175093</c:v>
                </c:pt>
                <c:pt idx="790">
                  <c:v>12598.621673281436</c:v>
                </c:pt>
                <c:pt idx="791">
                  <c:v>8591.7021939569895</c:v>
                </c:pt>
                <c:pt idx="792">
                  <c:v>4108.613960956005</c:v>
                </c:pt>
                <c:pt idx="793">
                  <c:v>12087.148993682626</c:v>
                </c:pt>
                <c:pt idx="794">
                  <c:v>15008.591199199233</c:v>
                </c:pt>
                <c:pt idx="795">
                  <c:v>6505.1753661889961</c:v>
                </c:pt>
                <c:pt idx="796">
                  <c:v>8468.970184947495</c:v>
                </c:pt>
                <c:pt idx="797">
                  <c:v>25150.620566085781</c:v>
                </c:pt>
                <c:pt idx="798">
                  <c:v>13682.402647869239</c:v>
                </c:pt>
                <c:pt idx="799">
                  <c:v>19450.515993453766</c:v>
                </c:pt>
                <c:pt idx="800">
                  <c:v>11395.382438388326</c:v>
                </c:pt>
                <c:pt idx="801">
                  <c:v>13603.281266744772</c:v>
                </c:pt>
                <c:pt idx="802">
                  <c:v>11452.717642704753</c:v>
                </c:pt>
                <c:pt idx="803">
                  <c:v>10636.907843032925</c:v>
                </c:pt>
                <c:pt idx="804">
                  <c:v>23932.38973407782</c:v>
                </c:pt>
                <c:pt idx="805">
                  <c:v>15253.1344672587</c:v>
                </c:pt>
                <c:pt idx="806">
                  <c:v>6817.3379329934905</c:v>
                </c:pt>
                <c:pt idx="807">
                  <c:v>19671.622208368877</c:v>
                </c:pt>
                <c:pt idx="808">
                  <c:v>12170.044397743593</c:v>
                </c:pt>
                <c:pt idx="809">
                  <c:v>17804.221704452662</c:v>
                </c:pt>
                <c:pt idx="810">
                  <c:v>16663.485202302967</c:v>
                </c:pt>
                <c:pt idx="811">
                  <c:v>9384.5834228254971</c:v>
                </c:pt>
                <c:pt idx="812">
                  <c:v>16546.108160788252</c:v>
                </c:pt>
                <c:pt idx="813">
                  <c:v>13528.730778372003</c:v>
                </c:pt>
                <c:pt idx="814">
                  <c:v>16693.452552261122</c:v>
                </c:pt>
                <c:pt idx="815">
                  <c:v>14587.404896793101</c:v>
                </c:pt>
                <c:pt idx="816">
                  <c:v>5486.5352022140287</c:v>
                </c:pt>
                <c:pt idx="817">
                  <c:v>18468.725607249202</c:v>
                </c:pt>
                <c:pt idx="818">
                  <c:v>16402.586750756411</c:v>
                </c:pt>
                <c:pt idx="819">
                  <c:v>9147.9544938246327</c:v>
                </c:pt>
                <c:pt idx="820">
                  <c:v>11496.793654637135</c:v>
                </c:pt>
                <c:pt idx="821">
                  <c:v>12928.408887739177</c:v>
                </c:pt>
                <c:pt idx="822">
                  <c:v>17118.291487314527</c:v>
                </c:pt>
                <c:pt idx="823">
                  <c:v>9892.5671263863333</c:v>
                </c:pt>
                <c:pt idx="824">
                  <c:v>9794.6449298843509</c:v>
                </c:pt>
                <c:pt idx="825">
                  <c:v>2905.3012919983739</c:v>
                </c:pt>
                <c:pt idx="826">
                  <c:v>1610.1068252632831</c:v>
                </c:pt>
                <c:pt idx="827">
                  <c:v>18699.075299979319</c:v>
                </c:pt>
                <c:pt idx="828">
                  <c:v>10509.368575321205</c:v>
                </c:pt>
                <c:pt idx="829">
                  <c:v>12952.383180654666</c:v>
                </c:pt>
                <c:pt idx="830">
                  <c:v>8871.7976859544287</c:v>
                </c:pt>
                <c:pt idx="831">
                  <c:v>19229.477229577402</c:v>
                </c:pt>
                <c:pt idx="832">
                  <c:v>8827.4972011090431</c:v>
                </c:pt>
                <c:pt idx="833">
                  <c:v>10284.808184590147</c:v>
                </c:pt>
                <c:pt idx="834">
                  <c:v>12620.631065765905</c:v>
                </c:pt>
                <c:pt idx="835">
                  <c:v>7863.5222770305627</c:v>
                </c:pt>
                <c:pt idx="836">
                  <c:v>7877.8647443292866</c:v>
                </c:pt>
                <c:pt idx="837">
                  <c:v>16986.789425889918</c:v>
                </c:pt>
                <c:pt idx="838">
                  <c:v>7998.3814167895034</c:v>
                </c:pt>
                <c:pt idx="839">
                  <c:v>21238.107495546035</c:v>
                </c:pt>
                <c:pt idx="840">
                  <c:v>5708.1421425704757</c:v>
                </c:pt>
                <c:pt idx="841">
                  <c:v>8500.4585148747428</c:v>
                </c:pt>
                <c:pt idx="842">
                  <c:v>12769.377057776263</c:v>
                </c:pt>
                <c:pt idx="843">
                  <c:v>14462.622066229749</c:v>
                </c:pt>
                <c:pt idx="844">
                  <c:v>3405.9279312674626</c:v>
                </c:pt>
                <c:pt idx="845">
                  <c:v>10658.866223206453</c:v>
                </c:pt>
                <c:pt idx="846">
                  <c:v>13343.793019897479</c:v>
                </c:pt>
                <c:pt idx="847">
                  <c:v>8814.6747930159327</c:v>
                </c:pt>
                <c:pt idx="848">
                  <c:v>15655.742620287099</c:v>
                </c:pt>
                <c:pt idx="849">
                  <c:v>10133.278059268676</c:v>
                </c:pt>
                <c:pt idx="850">
                  <c:v>11430.257939642266</c:v>
                </c:pt>
                <c:pt idx="851">
                  <c:v>21141.167402788713</c:v>
                </c:pt>
                <c:pt idx="852">
                  <c:v>21923.907577216181</c:v>
                </c:pt>
                <c:pt idx="853">
                  <c:v>3380.1180513675936</c:v>
                </c:pt>
                <c:pt idx="854">
                  <c:v>3505.8038337241451</c:v>
                </c:pt>
                <c:pt idx="855">
                  <c:v>9469.3597339341577</c:v>
                </c:pt>
                <c:pt idx="856">
                  <c:v>10618.632620240736</c:v>
                </c:pt>
                <c:pt idx="857">
                  <c:v>22117.747117944535</c:v>
                </c:pt>
                <c:pt idx="858">
                  <c:v>12351.289639126961</c:v>
                </c:pt>
                <c:pt idx="859">
                  <c:v>6723.7251033543434</c:v>
                </c:pt>
                <c:pt idx="860">
                  <c:v>14080.068784949181</c:v>
                </c:pt>
                <c:pt idx="861">
                  <c:v>10785.534393531532</c:v>
                </c:pt>
                <c:pt idx="862">
                  <c:v>15091.693867731796</c:v>
                </c:pt>
                <c:pt idx="863">
                  <c:v>14147.454741109061</c:v>
                </c:pt>
                <c:pt idx="864">
                  <c:v>11507.911700228593</c:v>
                </c:pt>
                <c:pt idx="865">
                  <c:v>16120.080195433417</c:v>
                </c:pt>
                <c:pt idx="866">
                  <c:v>12989.603094377206</c:v>
                </c:pt>
                <c:pt idx="867">
                  <c:v>11030.839988720705</c:v>
                </c:pt>
                <c:pt idx="868">
                  <c:v>5547.960030233342</c:v>
                </c:pt>
                <c:pt idx="869">
                  <c:v>497.01443808051408</c:v>
                </c:pt>
                <c:pt idx="870">
                  <c:v>12528.951386630193</c:v>
                </c:pt>
                <c:pt idx="871">
                  <c:v>13652.513863842338</c:v>
                </c:pt>
                <c:pt idx="872">
                  <c:v>14714.447114079885</c:v>
                </c:pt>
                <c:pt idx="873">
                  <c:v>10363.533464052103</c:v>
                </c:pt>
                <c:pt idx="874">
                  <c:v>6532.4651457845175</c:v>
                </c:pt>
                <c:pt idx="875">
                  <c:v>7168.2755319836142</c:v>
                </c:pt>
                <c:pt idx="876">
                  <c:v>9703.7555825919844</c:v>
                </c:pt>
                <c:pt idx="877">
                  <c:v>12464.907768798206</c:v>
                </c:pt>
                <c:pt idx="878">
                  <c:v>12397.84906320271</c:v>
                </c:pt>
                <c:pt idx="879">
                  <c:v>7203.0086388789496</c:v>
                </c:pt>
                <c:pt idx="880">
                  <c:v>14697.087516567699</c:v>
                </c:pt>
                <c:pt idx="881">
                  <c:v>16080.239284837357</c:v>
                </c:pt>
                <c:pt idx="882">
                  <c:v>16285.603033619249</c:v>
                </c:pt>
                <c:pt idx="883">
                  <c:v>10301.84614611615</c:v>
                </c:pt>
                <c:pt idx="884">
                  <c:v>11605.744257329541</c:v>
                </c:pt>
                <c:pt idx="885">
                  <c:v>10091.640889688177</c:v>
                </c:pt>
                <c:pt idx="886">
                  <c:v>7700.4559434545663</c:v>
                </c:pt>
                <c:pt idx="887">
                  <c:v>13968.529290941573</c:v>
                </c:pt>
                <c:pt idx="888">
                  <c:v>8426.9417523747106</c:v>
                </c:pt>
                <c:pt idx="889">
                  <c:v>12290.870932441714</c:v>
                </c:pt>
                <c:pt idx="890">
                  <c:v>17177.023458371492</c:v>
                </c:pt>
                <c:pt idx="891">
                  <c:v>6763.3798834653717</c:v>
                </c:pt>
                <c:pt idx="892">
                  <c:v>-284.00027679126651</c:v>
                </c:pt>
                <c:pt idx="893">
                  <c:v>13190.961691699049</c:v>
                </c:pt>
                <c:pt idx="894">
                  <c:v>16809.797398055438</c:v>
                </c:pt>
                <c:pt idx="895">
                  <c:v>14614.049847696457</c:v>
                </c:pt>
                <c:pt idx="896">
                  <c:v>10421.972860817841</c:v>
                </c:pt>
                <c:pt idx="897">
                  <c:v>11225.874945355914</c:v>
                </c:pt>
                <c:pt idx="898">
                  <c:v>12066.70562081931</c:v>
                </c:pt>
                <c:pt idx="899">
                  <c:v>-1979.0335494698811</c:v>
                </c:pt>
                <c:pt idx="900">
                  <c:v>14817.594903390156</c:v>
                </c:pt>
                <c:pt idx="901">
                  <c:v>18961.767075562922</c:v>
                </c:pt>
                <c:pt idx="902">
                  <c:v>7838.817350793237</c:v>
                </c:pt>
                <c:pt idx="903">
                  <c:v>27161.924042275714</c:v>
                </c:pt>
                <c:pt idx="904">
                  <c:v>7134.0491588720251</c:v>
                </c:pt>
                <c:pt idx="905">
                  <c:v>6043.2780746335775</c:v>
                </c:pt>
                <c:pt idx="906">
                  <c:v>9240.0626789633679</c:v>
                </c:pt>
                <c:pt idx="907">
                  <c:v>3644.2219566015992</c:v>
                </c:pt>
                <c:pt idx="908">
                  <c:v>9373.5770040757925</c:v>
                </c:pt>
                <c:pt idx="909">
                  <c:v>9538.6487210446212</c:v>
                </c:pt>
                <c:pt idx="910">
                  <c:v>18532.256918650761</c:v>
                </c:pt>
                <c:pt idx="911">
                  <c:v>12244.539686196273</c:v>
                </c:pt>
                <c:pt idx="912">
                  <c:v>6352.5563740070647</c:v>
                </c:pt>
                <c:pt idx="913">
                  <c:v>7760.237197962706</c:v>
                </c:pt>
                <c:pt idx="914">
                  <c:v>11895.194502695391</c:v>
                </c:pt>
                <c:pt idx="915">
                  <c:v>6827.2742019632278</c:v>
                </c:pt>
                <c:pt idx="916">
                  <c:v>11831.473253126795</c:v>
                </c:pt>
                <c:pt idx="917">
                  <c:v>18353.393099575769</c:v>
                </c:pt>
                <c:pt idx="918">
                  <c:v>6013.608942715684</c:v>
                </c:pt>
                <c:pt idx="919">
                  <c:v>14873.3773071061</c:v>
                </c:pt>
                <c:pt idx="920">
                  <c:v>10601.201912844372</c:v>
                </c:pt>
                <c:pt idx="921">
                  <c:v>21601.463327018995</c:v>
                </c:pt>
                <c:pt idx="922">
                  <c:v>5153.2553162820986</c:v>
                </c:pt>
                <c:pt idx="923">
                  <c:v>16185.242452735125</c:v>
                </c:pt>
                <c:pt idx="924">
                  <c:v>3321.9693951047957</c:v>
                </c:pt>
                <c:pt idx="925">
                  <c:v>10711.309103045925</c:v>
                </c:pt>
                <c:pt idx="926">
                  <c:v>16349.709400952925</c:v>
                </c:pt>
                <c:pt idx="927">
                  <c:v>14832.780662148871</c:v>
                </c:pt>
                <c:pt idx="928">
                  <c:v>16149.703221345422</c:v>
                </c:pt>
                <c:pt idx="929">
                  <c:v>8041.3400005674775</c:v>
                </c:pt>
                <c:pt idx="930">
                  <c:v>3486.4472399731458</c:v>
                </c:pt>
                <c:pt idx="931">
                  <c:v>7237.4912217445672</c:v>
                </c:pt>
                <c:pt idx="932">
                  <c:v>2872.2096187798743</c:v>
                </c:pt>
                <c:pt idx="933">
                  <c:v>13398.214618365389</c:v>
                </c:pt>
                <c:pt idx="934">
                  <c:v>8878.3488377900358</c:v>
                </c:pt>
                <c:pt idx="935">
                  <c:v>8557.8333547820221</c:v>
                </c:pt>
                <c:pt idx="936">
                  <c:v>14534.974444147156</c:v>
                </c:pt>
                <c:pt idx="937">
                  <c:v>16527.73988242542</c:v>
                </c:pt>
                <c:pt idx="938">
                  <c:v>10953.587222478061</c:v>
                </c:pt>
                <c:pt idx="939">
                  <c:v>21447.140523328082</c:v>
                </c:pt>
                <c:pt idx="940">
                  <c:v>15019.592182645902</c:v>
                </c:pt>
                <c:pt idx="941">
                  <c:v>-5147.1798019206908</c:v>
                </c:pt>
                <c:pt idx="942">
                  <c:v>16153.595971972274</c:v>
                </c:pt>
                <c:pt idx="943">
                  <c:v>1937.4791437572712</c:v>
                </c:pt>
                <c:pt idx="944">
                  <c:v>8062.8632954935165</c:v>
                </c:pt>
                <c:pt idx="945">
                  <c:v>4373.0032144485158</c:v>
                </c:pt>
                <c:pt idx="946">
                  <c:v>2165.5637596169836</c:v>
                </c:pt>
                <c:pt idx="947">
                  <c:v>17871.18995842064</c:v>
                </c:pt>
                <c:pt idx="948">
                  <c:v>10417.187192343139</c:v>
                </c:pt>
                <c:pt idx="949">
                  <c:v>22095.172790996425</c:v>
                </c:pt>
                <c:pt idx="950">
                  <c:v>9372.2491901301109</c:v>
                </c:pt>
                <c:pt idx="951">
                  <c:v>8505.6002278414671</c:v>
                </c:pt>
                <c:pt idx="952">
                  <c:v>3742.3064893386618</c:v>
                </c:pt>
                <c:pt idx="953">
                  <c:v>6925.9229229894408</c:v>
                </c:pt>
                <c:pt idx="954">
                  <c:v>13960.62852508502</c:v>
                </c:pt>
                <c:pt idx="955">
                  <c:v>9027.3759654524329</c:v>
                </c:pt>
                <c:pt idx="956">
                  <c:v>19981.443279754792</c:v>
                </c:pt>
                <c:pt idx="957">
                  <c:v>8069.3413504330965</c:v>
                </c:pt>
                <c:pt idx="958">
                  <c:v>8372.2864389528113</c:v>
                </c:pt>
                <c:pt idx="959">
                  <c:v>11896.316069196488</c:v>
                </c:pt>
                <c:pt idx="960">
                  <c:v>-1322.7304001533194</c:v>
                </c:pt>
                <c:pt idx="961">
                  <c:v>-684.37529426514811</c:v>
                </c:pt>
                <c:pt idx="962">
                  <c:v>9726.1421269620332</c:v>
                </c:pt>
                <c:pt idx="963">
                  <c:v>6756.4170901905454</c:v>
                </c:pt>
                <c:pt idx="964">
                  <c:v>4988.3498263250804</c:v>
                </c:pt>
                <c:pt idx="965">
                  <c:v>13803.256753987269</c:v>
                </c:pt>
                <c:pt idx="966">
                  <c:v>15615.889243665384</c:v>
                </c:pt>
                <c:pt idx="967">
                  <c:v>7199.637129385068</c:v>
                </c:pt>
                <c:pt idx="968">
                  <c:v>23998.542240308525</c:v>
                </c:pt>
                <c:pt idx="969">
                  <c:v>18152.226775939067</c:v>
                </c:pt>
                <c:pt idx="970">
                  <c:v>6130.1273532292835</c:v>
                </c:pt>
                <c:pt idx="971">
                  <c:v>13020.389088380063</c:v>
                </c:pt>
                <c:pt idx="972">
                  <c:v>13736.660100529174</c:v>
                </c:pt>
                <c:pt idx="973">
                  <c:v>7778.3902754588344</c:v>
                </c:pt>
                <c:pt idx="974">
                  <c:v>9520.9153861860686</c:v>
                </c:pt>
                <c:pt idx="975">
                  <c:v>6826.1635835889465</c:v>
                </c:pt>
                <c:pt idx="976">
                  <c:v>853.29311129757843</c:v>
                </c:pt>
                <c:pt idx="977">
                  <c:v>11645.80561544864</c:v>
                </c:pt>
                <c:pt idx="978">
                  <c:v>10788.645166903509</c:v>
                </c:pt>
                <c:pt idx="979">
                  <c:v>10348.548528101623</c:v>
                </c:pt>
                <c:pt idx="980">
                  <c:v>12930.16276909117</c:v>
                </c:pt>
                <c:pt idx="981">
                  <c:v>4895.8314064066653</c:v>
                </c:pt>
                <c:pt idx="982">
                  <c:v>11246.389527496067</c:v>
                </c:pt>
                <c:pt idx="983">
                  <c:v>-957.76094278875098</c:v>
                </c:pt>
                <c:pt idx="984">
                  <c:v>12046.212909781825</c:v>
                </c:pt>
                <c:pt idx="985">
                  <c:v>5036.3224744917097</c:v>
                </c:pt>
                <c:pt idx="986">
                  <c:v>9079.1195220442605</c:v>
                </c:pt>
                <c:pt idx="987">
                  <c:v>11034.087849727381</c:v>
                </c:pt>
                <c:pt idx="988">
                  <c:v>18252.374289995889</c:v>
                </c:pt>
                <c:pt idx="989">
                  <c:v>5827.6543637788491</c:v>
                </c:pt>
                <c:pt idx="990">
                  <c:v>79.662144363552216</c:v>
                </c:pt>
                <c:pt idx="991">
                  <c:v>19002.682467222083</c:v>
                </c:pt>
                <c:pt idx="992">
                  <c:v>13135.171492338544</c:v>
                </c:pt>
                <c:pt idx="993">
                  <c:v>7562.0635703586813</c:v>
                </c:pt>
                <c:pt idx="994">
                  <c:v>11584.383639210428</c:v>
                </c:pt>
                <c:pt idx="995">
                  <c:v>7372.5663397223689</c:v>
                </c:pt>
                <c:pt idx="996">
                  <c:v>8273.4265521628404</c:v>
                </c:pt>
                <c:pt idx="997">
                  <c:v>10395.636339382887</c:v>
                </c:pt>
                <c:pt idx="998">
                  <c:v>9222.7844107331766</c:v>
                </c:pt>
                <c:pt idx="999">
                  <c:v>13553.060856615441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0D-42AF-A346-E17E1DA63097}"/>
            </c:ext>
          </c:extLst>
        </c:ser>
        <c:ser>
          <c:idx val="1"/>
          <c:order val="1"/>
          <c:spPr>
            <a:ln w="63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PSA!$BX$91:$BX$92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xVal>
          <c:yVal>
            <c:numRef>
              <c:f>PSA!$BY$91:$BY$92</c:f>
              <c:numCache>
                <c:formatCode>General</c:formatCode>
                <c:ptCount val="2"/>
                <c:pt idx="0">
                  <c:v>100000</c:v>
                </c:pt>
                <c:pt idx="1">
                  <c:v>-100000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0D-42AF-A346-E17E1DA63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205680"/>
        <c:axId val="740209616"/>
      </c:scatterChart>
      <c:valAx>
        <c:axId val="740205680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209616"/>
        <c:crosses val="autoZero"/>
        <c:crossBetween val="midCat"/>
      </c:valAx>
      <c:valAx>
        <c:axId val="740209616"/>
        <c:scaling>
          <c:orientation val="minMax"/>
          <c:max val="50000"/>
          <c:min val="-50000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4020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Extrapolated Survival</a:t>
            </a:r>
            <a:r>
              <a:rPr lang="en-US" sz="1600" b="1" baseline="0">
                <a:solidFill>
                  <a:schemeClr val="tx1"/>
                </a:solidFill>
              </a:rPr>
              <a:t> Curves vs Original Kaplan-Meier Curve Fit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'Survival Extrapolation'!$AK$24</c:f>
              <c:strCache>
                <c:ptCount val="1"/>
                <c:pt idx="0">
                  <c:v>Original KM Data</c:v>
                </c:pt>
              </c:strCache>
            </c:strRef>
          </c:tx>
          <c:spPr>
            <a:ln w="25400" cap="rnd">
              <a:solidFill>
                <a:srgbClr val="FF7C8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Extrapolation'!$AK$26:$AK$102</c:f>
              <c:numCache>
                <c:formatCode>General</c:formatCode>
                <c:ptCount val="77"/>
                <c:pt idx="0">
                  <c:v>0.17799999999999999</c:v>
                </c:pt>
                <c:pt idx="1">
                  <c:v>1.08</c:v>
                </c:pt>
                <c:pt idx="2">
                  <c:v>1.35</c:v>
                </c:pt>
                <c:pt idx="3">
                  <c:v>1.58</c:v>
                </c:pt>
                <c:pt idx="4">
                  <c:v>1.67</c:v>
                </c:pt>
                <c:pt idx="5">
                  <c:v>1.81</c:v>
                </c:pt>
                <c:pt idx="6">
                  <c:v>2.0299999999999998</c:v>
                </c:pt>
                <c:pt idx="7">
                  <c:v>2.2999999999999998</c:v>
                </c:pt>
                <c:pt idx="8">
                  <c:v>2.44</c:v>
                </c:pt>
                <c:pt idx="9">
                  <c:v>2.71</c:v>
                </c:pt>
                <c:pt idx="10">
                  <c:v>2.85</c:v>
                </c:pt>
                <c:pt idx="11">
                  <c:v>3.34</c:v>
                </c:pt>
                <c:pt idx="12">
                  <c:v>3.53</c:v>
                </c:pt>
                <c:pt idx="13">
                  <c:v>3.98</c:v>
                </c:pt>
                <c:pt idx="14">
                  <c:v>3.98</c:v>
                </c:pt>
                <c:pt idx="15">
                  <c:v>4.57</c:v>
                </c:pt>
                <c:pt idx="16">
                  <c:v>4.88</c:v>
                </c:pt>
                <c:pt idx="17">
                  <c:v>5.2</c:v>
                </c:pt>
                <c:pt idx="18">
                  <c:v>5.56</c:v>
                </c:pt>
                <c:pt idx="19">
                  <c:v>5.88</c:v>
                </c:pt>
                <c:pt idx="20">
                  <c:v>5.92</c:v>
                </c:pt>
                <c:pt idx="21">
                  <c:v>6.24</c:v>
                </c:pt>
                <c:pt idx="22">
                  <c:v>6.51</c:v>
                </c:pt>
                <c:pt idx="23">
                  <c:v>6.78</c:v>
                </c:pt>
                <c:pt idx="24">
                  <c:v>6.87</c:v>
                </c:pt>
                <c:pt idx="25">
                  <c:v>6.96</c:v>
                </c:pt>
                <c:pt idx="26">
                  <c:v>7.42</c:v>
                </c:pt>
                <c:pt idx="27">
                  <c:v>7.46</c:v>
                </c:pt>
                <c:pt idx="28">
                  <c:v>7.78</c:v>
                </c:pt>
                <c:pt idx="29">
                  <c:v>7.91</c:v>
                </c:pt>
                <c:pt idx="30">
                  <c:v>8.09</c:v>
                </c:pt>
                <c:pt idx="31">
                  <c:v>8.41</c:v>
                </c:pt>
                <c:pt idx="32">
                  <c:v>9.23</c:v>
                </c:pt>
                <c:pt idx="33">
                  <c:v>9.4499999999999993</c:v>
                </c:pt>
                <c:pt idx="34">
                  <c:v>10.1</c:v>
                </c:pt>
                <c:pt idx="35">
                  <c:v>10.1</c:v>
                </c:pt>
                <c:pt idx="36">
                  <c:v>10.4</c:v>
                </c:pt>
                <c:pt idx="37">
                  <c:v>10.8</c:v>
                </c:pt>
                <c:pt idx="38">
                  <c:v>11.4</c:v>
                </c:pt>
                <c:pt idx="39">
                  <c:v>11.6</c:v>
                </c:pt>
                <c:pt idx="40">
                  <c:v>12</c:v>
                </c:pt>
                <c:pt idx="41">
                  <c:v>12.3</c:v>
                </c:pt>
                <c:pt idx="42">
                  <c:v>13.6</c:v>
                </c:pt>
                <c:pt idx="43">
                  <c:v>14</c:v>
                </c:pt>
                <c:pt idx="44">
                  <c:v>14.2</c:v>
                </c:pt>
                <c:pt idx="45">
                  <c:v>14.8</c:v>
                </c:pt>
                <c:pt idx="46">
                  <c:v>15.1</c:v>
                </c:pt>
                <c:pt idx="47">
                  <c:v>16.2</c:v>
                </c:pt>
                <c:pt idx="48">
                  <c:v>16.7</c:v>
                </c:pt>
                <c:pt idx="49">
                  <c:v>17.100000000000001</c:v>
                </c:pt>
                <c:pt idx="50">
                  <c:v>19.7</c:v>
                </c:pt>
                <c:pt idx="51">
                  <c:v>20.3</c:v>
                </c:pt>
                <c:pt idx="52">
                  <c:v>21</c:v>
                </c:pt>
                <c:pt idx="53">
                  <c:v>21.5</c:v>
                </c:pt>
                <c:pt idx="54">
                  <c:v>21.9</c:v>
                </c:pt>
                <c:pt idx="55">
                  <c:v>22.6</c:v>
                </c:pt>
                <c:pt idx="56">
                  <c:v>22.9</c:v>
                </c:pt>
                <c:pt idx="57">
                  <c:v>25.3</c:v>
                </c:pt>
                <c:pt idx="58">
                  <c:v>26.3</c:v>
                </c:pt>
                <c:pt idx="59">
                  <c:v>29</c:v>
                </c:pt>
                <c:pt idx="60">
                  <c:v>29.8</c:v>
                </c:pt>
                <c:pt idx="61">
                  <c:v>30.9</c:v>
                </c:pt>
                <c:pt idx="62">
                  <c:v>35.700000000000003</c:v>
                </c:pt>
                <c:pt idx="63">
                  <c:v>35.9</c:v>
                </c:pt>
                <c:pt idx="64">
                  <c:v>40</c:v>
                </c:pt>
                <c:pt idx="65">
                  <c:v>40.6</c:v>
                </c:pt>
                <c:pt idx="66">
                  <c:v>40.9</c:v>
                </c:pt>
                <c:pt idx="67">
                  <c:v>41.4</c:v>
                </c:pt>
                <c:pt idx="68">
                  <c:v>41.7</c:v>
                </c:pt>
                <c:pt idx="69">
                  <c:v>45.5</c:v>
                </c:pt>
                <c:pt idx="70">
                  <c:v>45.7</c:v>
                </c:pt>
                <c:pt idx="71">
                  <c:v>48</c:v>
                </c:pt>
                <c:pt idx="72">
                  <c:v>48.4</c:v>
                </c:pt>
                <c:pt idx="73">
                  <c:v>50.4</c:v>
                </c:pt>
                <c:pt idx="74">
                  <c:v>50.8</c:v>
                </c:pt>
                <c:pt idx="75">
                  <c:v>59.6</c:v>
                </c:pt>
                <c:pt idx="76">
                  <c:v>59.9</c:v>
                </c:pt>
              </c:numCache>
            </c:numRef>
          </c:xVal>
          <c:yVal>
            <c:numRef>
              <c:f>'Survival Extrapolation'!$AL$26:$AL$102</c:f>
              <c:numCache>
                <c:formatCode>General</c:formatCode>
                <c:ptCount val="77"/>
                <c:pt idx="0">
                  <c:v>1</c:v>
                </c:pt>
                <c:pt idx="1">
                  <c:v>1</c:v>
                </c:pt>
                <c:pt idx="2">
                  <c:v>0.99399999999999999</c:v>
                </c:pt>
                <c:pt idx="3">
                  <c:v>0.98499999999999999</c:v>
                </c:pt>
                <c:pt idx="4">
                  <c:v>0.97699999999999998</c:v>
                </c:pt>
                <c:pt idx="5">
                  <c:v>0.96599999999999997</c:v>
                </c:pt>
                <c:pt idx="6">
                  <c:v>0.96</c:v>
                </c:pt>
                <c:pt idx="7">
                  <c:v>0.95099999999999996</c:v>
                </c:pt>
                <c:pt idx="8">
                  <c:v>0.93899999999999995</c:v>
                </c:pt>
                <c:pt idx="9">
                  <c:v>0.93400000000000005</c:v>
                </c:pt>
                <c:pt idx="10">
                  <c:v>0.92300000000000004</c:v>
                </c:pt>
                <c:pt idx="11">
                  <c:v>0.91300000000000003</c:v>
                </c:pt>
                <c:pt idx="12">
                  <c:v>0.89200000000000002</c:v>
                </c:pt>
                <c:pt idx="13">
                  <c:v>0.88</c:v>
                </c:pt>
                <c:pt idx="14">
                  <c:v>0.86799999999999999</c:v>
                </c:pt>
                <c:pt idx="15">
                  <c:v>0.85599999999999998</c:v>
                </c:pt>
                <c:pt idx="16">
                  <c:v>0.84699999999999998</c:v>
                </c:pt>
                <c:pt idx="17">
                  <c:v>0.83699999999999997</c:v>
                </c:pt>
                <c:pt idx="18">
                  <c:v>0.82299999999999995</c:v>
                </c:pt>
                <c:pt idx="19">
                  <c:v>0.81</c:v>
                </c:pt>
                <c:pt idx="20">
                  <c:v>0.80300000000000005</c:v>
                </c:pt>
                <c:pt idx="21">
                  <c:v>0.79200000000000004</c:v>
                </c:pt>
                <c:pt idx="22">
                  <c:v>0.77700000000000002</c:v>
                </c:pt>
                <c:pt idx="23">
                  <c:v>0.76900000000000002</c:v>
                </c:pt>
                <c:pt idx="24">
                  <c:v>0.752</c:v>
                </c:pt>
                <c:pt idx="25">
                  <c:v>0.74</c:v>
                </c:pt>
                <c:pt idx="26">
                  <c:v>0.72499999999999998</c:v>
                </c:pt>
                <c:pt idx="27">
                  <c:v>0.70799999999999996</c:v>
                </c:pt>
                <c:pt idx="28">
                  <c:v>0.70099999999999996</c:v>
                </c:pt>
                <c:pt idx="29">
                  <c:v>0.68500000000000005</c:v>
                </c:pt>
                <c:pt idx="30">
                  <c:v>0.67600000000000005</c:v>
                </c:pt>
                <c:pt idx="31">
                  <c:v>0.66500000000000004</c:v>
                </c:pt>
                <c:pt idx="32">
                  <c:v>0.65500000000000003</c:v>
                </c:pt>
                <c:pt idx="33">
                  <c:v>0.64200000000000002</c:v>
                </c:pt>
                <c:pt idx="34">
                  <c:v>0.64100000000000001</c:v>
                </c:pt>
                <c:pt idx="35">
                  <c:v>0.621</c:v>
                </c:pt>
                <c:pt idx="36">
                  <c:v>0.61</c:v>
                </c:pt>
                <c:pt idx="37">
                  <c:v>0.6</c:v>
                </c:pt>
                <c:pt idx="38">
                  <c:v>0.58499999999999996</c:v>
                </c:pt>
                <c:pt idx="39">
                  <c:v>0.57499999999999996</c:v>
                </c:pt>
                <c:pt idx="40">
                  <c:v>0.56299999999999994</c:v>
                </c:pt>
                <c:pt idx="41">
                  <c:v>0.54300000000000004</c:v>
                </c:pt>
                <c:pt idx="42">
                  <c:v>0.54100000000000004</c:v>
                </c:pt>
                <c:pt idx="43">
                  <c:v>0.52600000000000002</c:v>
                </c:pt>
                <c:pt idx="44">
                  <c:v>0.50700000000000001</c:v>
                </c:pt>
                <c:pt idx="45">
                  <c:v>0.5</c:v>
                </c:pt>
                <c:pt idx="46">
                  <c:v>0.48599999999999999</c:v>
                </c:pt>
                <c:pt idx="47">
                  <c:v>0.48399999999999999</c:v>
                </c:pt>
                <c:pt idx="48">
                  <c:v>0.48</c:v>
                </c:pt>
                <c:pt idx="49">
                  <c:v>0.47499999999999998</c:v>
                </c:pt>
                <c:pt idx="50">
                  <c:v>0.47199999999999998</c:v>
                </c:pt>
                <c:pt idx="51">
                  <c:v>0.46200000000000002</c:v>
                </c:pt>
                <c:pt idx="52">
                  <c:v>0.46</c:v>
                </c:pt>
                <c:pt idx="53">
                  <c:v>0.45400000000000001</c:v>
                </c:pt>
                <c:pt idx="54">
                  <c:v>0.439</c:v>
                </c:pt>
                <c:pt idx="55">
                  <c:v>0.439</c:v>
                </c:pt>
                <c:pt idx="56">
                  <c:v>0.433</c:v>
                </c:pt>
                <c:pt idx="57">
                  <c:v>0.434</c:v>
                </c:pt>
                <c:pt idx="58">
                  <c:v>0.42</c:v>
                </c:pt>
                <c:pt idx="59">
                  <c:v>0.41499999999999998</c:v>
                </c:pt>
                <c:pt idx="60">
                  <c:v>0.40100000000000002</c:v>
                </c:pt>
                <c:pt idx="61">
                  <c:v>0.39300000000000002</c:v>
                </c:pt>
                <c:pt idx="62">
                  <c:v>0.39</c:v>
                </c:pt>
                <c:pt idx="63">
                  <c:v>0.38</c:v>
                </c:pt>
                <c:pt idx="64">
                  <c:v>0.379</c:v>
                </c:pt>
                <c:pt idx="65">
                  <c:v>0.37</c:v>
                </c:pt>
                <c:pt idx="66">
                  <c:v>0.36199999999999999</c:v>
                </c:pt>
                <c:pt idx="67">
                  <c:v>0.36099999999999999</c:v>
                </c:pt>
                <c:pt idx="68">
                  <c:v>0.35199999999999998</c:v>
                </c:pt>
                <c:pt idx="69">
                  <c:v>0.35</c:v>
                </c:pt>
                <c:pt idx="70">
                  <c:v>0.34599999999999997</c:v>
                </c:pt>
                <c:pt idx="71">
                  <c:v>0.34699999999999998</c:v>
                </c:pt>
                <c:pt idx="72">
                  <c:v>0.34100000000000003</c:v>
                </c:pt>
                <c:pt idx="73">
                  <c:v>0.33900000000000002</c:v>
                </c:pt>
                <c:pt idx="74">
                  <c:v>0.33200000000000002</c:v>
                </c:pt>
                <c:pt idx="75">
                  <c:v>0.33100000000000002</c:v>
                </c:pt>
                <c:pt idx="76">
                  <c:v>0.318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23-40FD-94CE-806E6702BC77}"/>
            </c:ext>
          </c:extLst>
        </c:ser>
        <c:ser>
          <c:idx val="1"/>
          <c:order val="1"/>
          <c:tx>
            <c:strRef>
              <c:f>'Survival Extrapolation'!$U$20:$V$20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Extrapolation'!$V$26:$V$370</c:f>
              <c:numCache>
                <c:formatCode>General</c:formatCode>
                <c:ptCount val="345"/>
                <c:pt idx="0">
                  <c:v>1</c:v>
                </c:pt>
                <c:pt idx="1">
                  <c:v>0.97531935967688421</c:v>
                </c:pt>
                <c:pt idx="2">
                  <c:v>0.95124785336052753</c:v>
                </c:pt>
                <c:pt idx="3">
                  <c:v>0.92777044723360036</c:v>
                </c:pt>
                <c:pt idx="4">
                  <c:v>0.90487247852301167</c:v>
                </c:pt>
                <c:pt idx="5">
                  <c:v>0.88253964634229887</c:v>
                </c:pt>
                <c:pt idx="6">
                  <c:v>0.86075800276003478</c:v>
                </c:pt>
                <c:pt idx="7">
                  <c:v>0.83951394408867097</c:v>
                </c:pt>
                <c:pt idx="8">
                  <c:v>0.81879420238837819</c:v>
                </c:pt>
                <c:pt idx="9">
                  <c:v>0.79858583718057807</c:v>
                </c:pt>
                <c:pt idx="10">
                  <c:v>0.77887622736599005</c:v>
                </c:pt>
                <c:pt idx="11">
                  <c:v>0.75965306334214466</c:v>
                </c:pt>
                <c:pt idx="12">
                  <c:v>0.74090433931544408</c:v>
                </c:pt>
                <c:pt idx="13">
                  <c:v>0.72261834580296391</c:v>
                </c:pt>
                <c:pt idx="14">
                  <c:v>0.70478366231931611</c:v>
                </c:pt>
                <c:pt idx="15">
                  <c:v>0.68738915024400482</c:v>
                </c:pt>
                <c:pt idx="16">
                  <c:v>0.67042394586482035</c:v>
                </c:pt>
                <c:pt idx="17">
                  <c:v>0.65387745359292671</c:v>
                </c:pt>
                <c:pt idx="18">
                  <c:v>0.63773933934540483</c:v>
                </c:pt>
                <c:pt idx="19">
                  <c:v>0.62199952409111947</c:v>
                </c:pt>
                <c:pt idx="20">
                  <c:v>0.60664817755587741</c:v>
                </c:pt>
                <c:pt idx="21">
                  <c:v>0.59167571208294711</c:v>
                </c:pt>
                <c:pt idx="22">
                  <c:v>0.57707277664510448</c:v>
                </c:pt>
                <c:pt idx="23">
                  <c:v>0.56283025100446493</c:v>
                </c:pt>
                <c:pt idx="24">
                  <c:v>0.54893924001645478</c:v>
                </c:pt>
                <c:pt idx="25">
                  <c:v>0.5353910680743641</c:v>
                </c:pt>
                <c:pt idx="26">
                  <c:v>0.52217727369101197</c:v>
                </c:pt>
                <c:pt idx="27">
                  <c:v>0.50928960421413894</c:v>
                </c:pt>
                <c:pt idx="28">
                  <c:v>0.49672001067222782</c:v>
                </c:pt>
                <c:pt idx="29">
                  <c:v>0.48446064274753231</c:v>
                </c:pt>
                <c:pt idx="30">
                  <c:v>0.47250384387317501</c:v>
                </c:pt>
                <c:pt idx="31">
                  <c:v>0.46084214645125154</c:v>
                </c:pt>
                <c:pt idx="32">
                  <c:v>0.44946826718895555</c:v>
                </c:pt>
                <c:pt idx="33">
                  <c:v>0.43837510254981088</c:v>
                </c:pt>
                <c:pt idx="34">
                  <c:v>0.42755572431716998</c:v>
                </c:pt>
                <c:pt idx="35">
                  <c:v>0.41700337526720871</c:v>
                </c:pt>
                <c:pt idx="36">
                  <c:v>0.40671146494871341</c:v>
                </c:pt>
                <c:pt idx="37">
                  <c:v>0.39667356556702671</c:v>
                </c:pt>
                <c:pt idx="38">
                  <c:v>0.3868834079695791</c:v>
                </c:pt>
                <c:pt idx="39">
                  <c:v>0.37733487773050067</c:v>
                </c:pt>
                <c:pt idx="40">
                  <c:v>0.36802201133186729</c:v>
                </c:pt>
                <c:pt idx="41">
                  <c:v>0.35893899243919586</c:v>
                </c:pt>
                <c:pt idx="42">
                  <c:v>0.35008014826886252</c:v>
                </c:pt>
                <c:pt idx="43">
                  <c:v>0.34143994604517569</c:v>
                </c:pt>
                <c:pt idx="44">
                  <c:v>0.33301298954489067</c:v>
                </c:pt>
                <c:pt idx="45">
                  <c:v>0.32479401572700767</c:v>
                </c:pt>
                <c:pt idx="46">
                  <c:v>0.31677789144574897</c:v>
                </c:pt>
                <c:pt idx="47">
                  <c:v>0.30895961024466145</c:v>
                </c:pt>
                <c:pt idx="48">
                  <c:v>0.3013342892298429</c:v>
                </c:pt>
                <c:pt idx="49">
                  <c:v>0.29389716602033944</c:v>
                </c:pt>
                <c:pt idx="50">
                  <c:v>0.28664359577380844</c:v>
                </c:pt>
                <c:pt idx="51">
                  <c:v>0.27956904828559048</c:v>
                </c:pt>
                <c:pt idx="52">
                  <c:v>0.27266910515937803</c:v>
                </c:pt>
                <c:pt idx="53">
                  <c:v>0.2659394570477136</c:v>
                </c:pt>
                <c:pt idx="54">
                  <c:v>0.25937590096059432</c:v>
                </c:pt>
                <c:pt idx="55">
                  <c:v>0.25297433764050176</c:v>
                </c:pt>
                <c:pt idx="56">
                  <c:v>0.24673076900221813</c:v>
                </c:pt>
                <c:pt idx="57">
                  <c:v>0.24064129563582862</c:v>
                </c:pt>
                <c:pt idx="58">
                  <c:v>0.23470211437135213</c:v>
                </c:pt>
                <c:pt idx="59">
                  <c:v>0.22890951590347799</c:v>
                </c:pt>
                <c:pt idx="60">
                  <c:v>0.22325988247492573</c:v>
                </c:pt>
                <c:pt idx="61">
                  <c:v>0.21774968561698099</c:v>
                </c:pt>
                <c:pt idx="62">
                  <c:v>0.21237548394579675</c:v>
                </c:pt>
                <c:pt idx="63">
                  <c:v>0.20713392101308289</c:v>
                </c:pt>
                <c:pt idx="64">
                  <c:v>0.20202172320984235</c:v>
                </c:pt>
                <c:pt idx="65">
                  <c:v>0.19703569772184418</c:v>
                </c:pt>
                <c:pt idx="66">
                  <c:v>0.1921727305355572</c:v>
                </c:pt>
                <c:pt idx="67">
                  <c:v>0.18742978449329806</c:v>
                </c:pt>
                <c:pt idx="68">
                  <c:v>0.18280389739637987</c:v>
                </c:pt>
                <c:pt idx="69">
                  <c:v>0.17829218015507606</c:v>
                </c:pt>
                <c:pt idx="70">
                  <c:v>0.1738918149842445</c:v>
                </c:pt>
                <c:pt idx="71">
                  <c:v>0.16960005364348452</c:v>
                </c:pt>
                <c:pt idx="72">
                  <c:v>0.16541421572072854</c:v>
                </c:pt>
                <c:pt idx="73">
                  <c:v>0.16133168695819497</c:v>
                </c:pt>
                <c:pt idx="74">
                  <c:v>0.15734991761965825</c:v>
                </c:pt>
                <c:pt idx="75">
                  <c:v>0.15346642089801557</c:v>
                </c:pt>
                <c:pt idx="76">
                  <c:v>0.14967877136215577</c:v>
                </c:pt>
                <c:pt idx="77">
                  <c:v>0.14598460344216052</c:v>
                </c:pt>
                <c:pt idx="78">
                  <c:v>0.14238160995189186</c:v>
                </c:pt>
                <c:pt idx="79">
                  <c:v>0.13886754064804308</c:v>
                </c:pt>
                <c:pt idx="80">
                  <c:v>0.13544020082475305</c:v>
                </c:pt>
                <c:pt idx="81">
                  <c:v>0.13209744994290679</c:v>
                </c:pt>
                <c:pt idx="82">
                  <c:v>0.12883720029326512</c:v>
                </c:pt>
                <c:pt idx="83">
                  <c:v>0.12565741569258981</c:v>
                </c:pt>
                <c:pt idx="84">
                  <c:v>0.12255611021194876</c:v>
                </c:pt>
                <c:pt idx="85">
                  <c:v>0.11953134693640752</c:v>
                </c:pt>
                <c:pt idx="86">
                  <c:v>0.11658123675533248</c:v>
                </c:pt>
                <c:pt idx="87">
                  <c:v>0.11370393718255012</c:v>
                </c:pt>
                <c:pt idx="88">
                  <c:v>0.11089765120562546</c:v>
                </c:pt>
                <c:pt idx="89">
                  <c:v>0.10816062616354108</c:v>
                </c:pt>
                <c:pt idx="90">
                  <c:v>0.10549115265207569</c:v>
                </c:pt>
                <c:pt idx="91">
                  <c:v>0.10288756345619891</c:v>
                </c:pt>
                <c:pt idx="92">
                  <c:v>0.10034823250881472</c:v>
                </c:pt>
                <c:pt idx="93">
                  <c:v>9.7871573875204274E-2</c:v>
                </c:pt>
                <c:pt idx="94">
                  <c:v>9.5456040762533112E-2</c:v>
                </c:pt>
                <c:pt idx="95">
                  <c:v>9.3100124553804356E-2</c:v>
                </c:pt>
                <c:pt idx="96">
                  <c:v>9.0802353865654634E-2</c:v>
                </c:pt>
                <c:pt idx="97">
                  <c:v>8.8561293629404125E-2</c:v>
                </c:pt>
                <c:pt idx="98">
                  <c:v>8.6375544194786963E-2</c:v>
                </c:pt>
                <c:pt idx="99">
                  <c:v>8.4243740455802046E-2</c:v>
                </c:pt>
                <c:pt idx="100">
                  <c:v>8.2164550998138478E-2</c:v>
                </c:pt>
                <c:pt idx="101">
                  <c:v>8.0136677267643119E-2</c:v>
                </c:pt>
                <c:pt idx="102">
                  <c:v>7.815885275931081E-2</c:v>
                </c:pt>
                <c:pt idx="103">
                  <c:v>7.6229842226290909E-2</c:v>
                </c:pt>
                <c:pt idx="104">
                  <c:v>7.4348440908415955E-2</c:v>
                </c:pt>
                <c:pt idx="105">
                  <c:v>7.2513473779770923E-2</c:v>
                </c:pt>
                <c:pt idx="106">
                  <c:v>7.0723794814832708E-2</c:v>
                </c:pt>
                <c:pt idx="107">
                  <c:v>6.8978286272721984E-2</c:v>
                </c:pt>
                <c:pt idx="108">
                  <c:v>6.7275857999120017E-2</c:v>
                </c:pt>
                <c:pt idx="109">
                  <c:v>6.5615446745414738E-2</c:v>
                </c:pt>
                <c:pt idx="110">
                  <c:v>6.3996015504650602E-2</c:v>
                </c:pt>
                <c:pt idx="111">
                  <c:v>6.2416552863867776E-2</c:v>
                </c:pt>
                <c:pt idx="112">
                  <c:v>6.087607237242592E-2</c:v>
                </c:pt>
                <c:pt idx="113">
                  <c:v>5.9373611925918113E-2</c:v>
                </c:pt>
                <c:pt idx="114">
                  <c:v>5.7908233165290271E-2</c:v>
                </c:pt>
                <c:pt idx="115">
                  <c:v>5.647902089079062E-2</c:v>
                </c:pt>
                <c:pt idx="116">
                  <c:v>5.5085082490383248E-2</c:v>
                </c:pt>
                <c:pt idx="117">
                  <c:v>5.3725547382268944E-2</c:v>
                </c:pt>
                <c:pt idx="118">
                  <c:v>5.2399566471164651E-2</c:v>
                </c:pt>
                <c:pt idx="119">
                  <c:v>5.1106311618002637E-2</c:v>
                </c:pt>
                <c:pt idx="120">
                  <c:v>4.9844975122717648E-2</c:v>
                </c:pt>
                <c:pt idx="121">
                  <c:v>4.8614769219799202E-2</c:v>
                </c:pt>
                <c:pt idx="122">
                  <c:v>4.7414925586294059E-2</c:v>
                </c:pt>
                <c:pt idx="123">
                  <c:v>4.6244694861951437E-2</c:v>
                </c:pt>
                <c:pt idx="124">
                  <c:v>4.5103346181211375E-2</c:v>
                </c:pt>
                <c:pt idx="125">
                  <c:v>4.3990166716743918E-2</c:v>
                </c:pt>
                <c:pt idx="126">
                  <c:v>4.2904461234254065E-2</c:v>
                </c:pt>
                <c:pt idx="127">
                  <c:v>4.1845551658274381E-2</c:v>
                </c:pt>
                <c:pt idx="128">
                  <c:v>4.0812776648674151E-2</c:v>
                </c:pt>
                <c:pt idx="129">
                  <c:v>3.980549118762057E-2</c:v>
                </c:pt>
                <c:pt idx="130">
                  <c:v>3.882306617673395E-2</c:v>
                </c:pt>
                <c:pt idx="131">
                  <c:v>3.786488804418546E-2</c:v>
                </c:pt>
                <c:pt idx="132">
                  <c:v>3.6930358361491875E-2</c:v>
                </c:pt>
                <c:pt idx="133">
                  <c:v>3.6018893469768123E-2</c:v>
                </c:pt>
                <c:pt idx="134">
                  <c:v>3.5129924115204152E-2</c:v>
                </c:pt>
                <c:pt idx="135">
                  <c:v>3.4262895093538449E-2</c:v>
                </c:pt>
                <c:pt idx="136">
                  <c:v>3.3417264903306182E-2</c:v>
                </c:pt>
                <c:pt idx="137">
                  <c:v>3.2592505407645404E-2</c:v>
                </c:pt>
                <c:pt idx="138">
                  <c:v>3.1788101504450099E-2</c:v>
                </c:pt>
                <c:pt idx="139">
                  <c:v>3.1003550804664073E-2</c:v>
                </c:pt>
                <c:pt idx="140">
                  <c:v>3.0238363318514715E-2</c:v>
                </c:pt>
                <c:pt idx="141">
                  <c:v>2.9492061149490743E-2</c:v>
                </c:pt>
                <c:pt idx="142">
                  <c:v>2.8764178195872826E-2</c:v>
                </c:pt>
                <c:pt idx="143">
                  <c:v>2.8054259859630483E-2</c:v>
                </c:pt>
                <c:pt idx="144">
                  <c:v>2.7361862762503717E-2</c:v>
                </c:pt>
                <c:pt idx="145">
                  <c:v>2.6686554469091909E-2</c:v>
                </c:pt>
                <c:pt idx="146">
                  <c:v>2.6027913216777016E-2</c:v>
                </c:pt>
                <c:pt idx="147">
                  <c:v>2.5385527652312473E-2</c:v>
                </c:pt>
                <c:pt idx="148">
                  <c:v>2.475899657491324E-2</c:v>
                </c:pt>
                <c:pt idx="149">
                  <c:v>2.4147928685686552E-2</c:v>
                </c:pt>
                <c:pt idx="150">
                  <c:v>2.3551942343246871E-2</c:v>
                </c:pt>
                <c:pt idx="151">
                  <c:v>2.2970665325362436E-2</c:v>
                </c:pt>
                <c:pt idx="152">
                  <c:v>2.2403734596484499E-2</c:v>
                </c:pt>
                <c:pt idx="153">
                  <c:v>2.1850796081014121E-2</c:v>
                </c:pt>
                <c:pt idx="154">
                  <c:v>2.1311504442164866E-2</c:v>
                </c:pt>
                <c:pt idx="155">
                  <c:v>2.078552286628331E-2</c:v>
                </c:pt>
                <c:pt idx="156">
                  <c:v>2.0272522852492675E-2</c:v>
                </c:pt>
                <c:pt idx="157">
                  <c:v>1.977218400752816E-2</c:v>
                </c:pt>
                <c:pt idx="158">
                  <c:v>1.9284193845635896E-2</c:v>
                </c:pt>
                <c:pt idx="159">
                  <c:v>1.8808247593410512E-2</c:v>
                </c:pt>
                <c:pt idx="160">
                  <c:v>1.8344047999449442E-2</c:v>
                </c:pt>
                <c:pt idx="161">
                  <c:v>1.7891305148705058E-2</c:v>
                </c:pt>
                <c:pt idx="162">
                  <c:v>1.744973628141876E-2</c:v>
                </c:pt>
                <c:pt idx="163">
                  <c:v>1.7019065616523842E-2</c:v>
                </c:pt>
                <c:pt idx="164">
                  <c:v>1.659902417940691E-2</c:v>
                </c:pt>
                <c:pt idx="165">
                  <c:v>1.6189349633920266E-2</c:v>
                </c:pt>
                <c:pt idx="166">
                  <c:v>1.5789786118540317E-2</c:v>
                </c:pt>
                <c:pt idx="167">
                  <c:v>1.5400084086569696E-2</c:v>
                </c:pt>
                <c:pt idx="168">
                  <c:v>1.5020000150283331E-2</c:v>
                </c:pt>
                <c:pt idx="169">
                  <c:v>1.4649296928921043E-2</c:v>
                </c:pt>
                <c:pt idx="170">
                  <c:v>1.428774290043182E-2</c:v>
                </c:pt>
                <c:pt idx="171">
                  <c:v>1.3935112256877111E-2</c:v>
                </c:pt>
                <c:pt idx="172">
                  <c:v>1.3591184763402885E-2</c:v>
                </c:pt>
                <c:pt idx="173">
                  <c:v>1.3255745620692328E-2</c:v>
                </c:pt>
                <c:pt idx="174">
                  <c:v>1.2928585330813305E-2</c:v>
                </c:pt>
                <c:pt idx="175">
                  <c:v>1.2609499566376791E-2</c:v>
                </c:pt>
                <c:pt idx="176">
                  <c:v>1.2298289042924562E-2</c:v>
                </c:pt>
                <c:pt idx="177">
                  <c:v>1.1994759394466425E-2</c:v>
                </c:pt>
                <c:pt idx="178">
                  <c:v>1.1698721052089286E-2</c:v>
                </c:pt>
                <c:pt idx="179">
                  <c:v>1.1409989125562209E-2</c:v>
                </c:pt>
                <c:pt idx="180">
                  <c:v>1.1128383287863535E-2</c:v>
                </c:pt>
                <c:pt idx="181">
                  <c:v>1.0853727662558004E-2</c:v>
                </c:pt>
                <c:pt idx="182">
                  <c:v>1.0585850713953357E-2</c:v>
                </c:pt>
                <c:pt idx="183">
                  <c:v>1.0324585139968076E-2</c:v>
                </c:pt>
                <c:pt idx="184">
                  <c:v>1.0069767767643139E-2</c:v>
                </c:pt>
                <c:pt idx="185">
                  <c:v>9.8212394512326353E-3</c:v>
                </c:pt>
                <c:pt idx="186">
                  <c:v>9.5788449728095668E-3</c:v>
                </c:pt>
                <c:pt idx="187">
                  <c:v>9.3424329453247693E-3</c:v>
                </c:pt>
                <c:pt idx="188">
                  <c:v>9.1118557180583822E-3</c:v>
                </c:pt>
                <c:pt idx="189">
                  <c:v>8.8869692844048571E-3</c:v>
                </c:pt>
                <c:pt idx="190">
                  <c:v>8.6676331919338847E-3</c:v>
                </c:pt>
                <c:pt idx="191">
                  <c:v>8.4537104546710644E-3</c:v>
                </c:pt>
                <c:pt idx="192">
                  <c:v>8.2450674675435646E-3</c:v>
                </c:pt>
                <c:pt idx="193">
                  <c:v>8.0415739229372993E-3</c:v>
                </c:pt>
                <c:pt idx="194">
                  <c:v>7.843102729313536E-3</c:v>
                </c:pt>
                <c:pt idx="195">
                  <c:v>7.6495299318341016E-3</c:v>
                </c:pt>
                <c:pt idx="196">
                  <c:v>7.4607346349455962E-3</c:v>
                </c:pt>
                <c:pt idx="197">
                  <c:v>7.2765989268742922E-3</c:v>
                </c:pt>
                <c:pt idx="198">
                  <c:v>7.0970078059845376E-3</c:v>
                </c:pt>
                <c:pt idx="199">
                  <c:v>6.921849108954688E-3</c:v>
                </c:pt>
                <c:pt idx="200">
                  <c:v>6.7510134407256983E-3</c:v>
                </c:pt>
                <c:pt idx="201">
                  <c:v>6.5843941061786279E-3</c:v>
                </c:pt>
                <c:pt idx="202">
                  <c:v>6.42188704349839E-3</c:v>
                </c:pt>
                <c:pt idx="203">
                  <c:v>6.2633907591821292E-3</c:v>
                </c:pt>
                <c:pt idx="204">
                  <c:v>6.1088062646516283E-3</c:v>
                </c:pt>
                <c:pt idx="205">
                  <c:v>5.9580370144301648E-3</c:v>
                </c:pt>
                <c:pt idx="206">
                  <c:v>5.8109888458452033E-3</c:v>
                </c:pt>
                <c:pt idx="207">
                  <c:v>5.6675699202192609E-3</c:v>
                </c:pt>
                <c:pt idx="208">
                  <c:v>5.5276906655122192E-3</c:v>
                </c:pt>
                <c:pt idx="209">
                  <c:v>5.3912637203792678E-3</c:v>
                </c:pt>
                <c:pt idx="210">
                  <c:v>5.2582038796095245E-3</c:v>
                </c:pt>
                <c:pt idx="211">
                  <c:v>5.12842804091127E-3</c:v>
                </c:pt>
                <c:pt idx="212">
                  <c:v>5.0018551530105577E-3</c:v>
                </c:pt>
                <c:pt idx="213">
                  <c:v>4.8784061650307816E-3</c:v>
                </c:pt>
                <c:pt idx="214">
                  <c:v>4.7580039771215861E-3</c:v>
                </c:pt>
                <c:pt idx="215">
                  <c:v>4.6405733923062945E-3</c:v>
                </c:pt>
                <c:pt idx="216">
                  <c:v>4.526041069517762E-3</c:v>
                </c:pt>
                <c:pt idx="217">
                  <c:v>4.4143354777933432E-3</c:v>
                </c:pt>
                <c:pt idx="218">
                  <c:v>4.3053868516003567E-3</c:v>
                </c:pt>
                <c:pt idx="219">
                  <c:v>4.1991271472641371E-3</c:v>
                </c:pt>
                <c:pt idx="220">
                  <c:v>4.0954900004714799E-3</c:v>
                </c:pt>
                <c:pt idx="221">
                  <c:v>3.9944106848229261E-3</c:v>
                </c:pt>
                <c:pt idx="222">
                  <c:v>3.8958260714080008E-3</c:v>
                </c:pt>
                <c:pt idx="223">
                  <c:v>3.7996745893781629E-3</c:v>
                </c:pt>
                <c:pt idx="224">
                  <c:v>3.7058961874928379E-3</c:v>
                </c:pt>
                <c:pt idx="225">
                  <c:v>3.6144322966145215E-3</c:v>
                </c:pt>
                <c:pt idx="226">
                  <c:v>3.5252257931295251E-3</c:v>
                </c:pt>
                <c:pt idx="227">
                  <c:v>3.4382209632715251E-3</c:v>
                </c:pt>
                <c:pt idx="228">
                  <c:v>3.3533634683256238E-3</c:v>
                </c:pt>
                <c:pt idx="229">
                  <c:v>3.2706003106912035E-3</c:v>
                </c:pt>
                <c:pt idx="230">
                  <c:v>3.1898798007823632E-3</c:v>
                </c:pt>
                <c:pt idx="231">
                  <c:v>3.1111515247452788E-3</c:v>
                </c:pt>
                <c:pt idx="232">
                  <c:v>3.0343663129723275E-3</c:v>
                </c:pt>
                <c:pt idx="233">
                  <c:v>2.9594762093932787E-3</c:v>
                </c:pt>
                <c:pt idx="234">
                  <c:v>2.8864344415244253E-3</c:v>
                </c:pt>
                <c:pt idx="235">
                  <c:v>2.8151953912569075E-3</c:v>
                </c:pt>
                <c:pt idx="236">
                  <c:v>2.7457145663660025E-3</c:v>
                </c:pt>
                <c:pt idx="237">
                  <c:v>2.6779485727235837E-3</c:v>
                </c:pt>
                <c:pt idx="238">
                  <c:v>2.6118550871963918E-3</c:v>
                </c:pt>
                <c:pt idx="239">
                  <c:v>2.5473928312131975E-3</c:v>
                </c:pt>
                <c:pt idx="240">
                  <c:v>2.484521544984341E-3</c:v>
                </c:pt>
                <c:pt idx="241">
                  <c:v>2.4232019623575507E-3</c:v>
                </c:pt>
                <c:pt idx="242">
                  <c:v>2.3633957862943355E-3</c:v>
                </c:pt>
                <c:pt idx="243">
                  <c:v>2.3050656649516378E-3</c:v>
                </c:pt>
                <c:pt idx="244">
                  <c:v>2.2481751683538029E-3</c:v>
                </c:pt>
                <c:pt idx="245">
                  <c:v>2.1926887656403024E-3</c:v>
                </c:pt>
                <c:pt idx="246">
                  <c:v>2.1385718028749975E-3</c:v>
                </c:pt>
                <c:pt idx="247">
                  <c:v>2.0857904814030825E-3</c:v>
                </c:pt>
                <c:pt idx="248">
                  <c:v>2.0343118367421946E-3</c:v>
                </c:pt>
                <c:pt idx="249">
                  <c:v>1.9841037179945038E-3</c:v>
                </c:pt>
                <c:pt idx="250">
                  <c:v>1.9351347677669247E-3</c:v>
                </c:pt>
                <c:pt idx="251">
                  <c:v>1.8873744025869131E-3</c:v>
                </c:pt>
                <c:pt idx="252">
                  <c:v>1.8407927938016101E-3</c:v>
                </c:pt>
                <c:pt idx="253">
                  <c:v>1.7953608489484092E-3</c:v>
                </c:pt>
                <c:pt idx="254">
                  <c:v>1.7510501935853098E-3</c:v>
                </c:pt>
                <c:pt idx="255">
                  <c:v>1.7078331535697086E-3</c:v>
                </c:pt>
                <c:pt idx="256">
                  <c:v>1.6656827377745621E-3</c:v>
                </c:pt>
                <c:pt idx="257">
                  <c:v>1.6245726212311255E-3</c:v>
                </c:pt>
                <c:pt idx="258">
                  <c:v>1.5844771286877386E-3</c:v>
                </c:pt>
                <c:pt idx="259">
                  <c:v>1.5453712185743934E-3</c:v>
                </c:pt>
                <c:pt idx="260">
                  <c:v>1.5072304673630636E-3</c:v>
                </c:pt>
                <c:pt idx="261">
                  <c:v>1.4700310543140343E-3</c:v>
                </c:pt>
                <c:pt idx="262">
                  <c:v>1.4337497465986991E-3</c:v>
                </c:pt>
                <c:pt idx="263">
                  <c:v>1.3983638847895382E-3</c:v>
                </c:pt>
                <c:pt idx="264">
                  <c:v>1.3638513687082127E-3</c:v>
                </c:pt>
                <c:pt idx="265">
                  <c:v>1.3301906436229362E-3</c:v>
                </c:pt>
                <c:pt idx="266">
                  <c:v>1.2973606867865048E-3</c:v>
                </c:pt>
                <c:pt idx="267">
                  <c:v>1.2653409943065765E-3</c:v>
                </c:pt>
                <c:pt idx="268">
                  <c:v>1.2341115683400024E-3</c:v>
                </c:pt>
                <c:pt idx="269">
                  <c:v>1.2036529046032065E-3</c:v>
                </c:pt>
                <c:pt idx="270">
                  <c:v>1.1739459801908211E-3</c:v>
                </c:pt>
                <c:pt idx="271">
                  <c:v>1.1449722416949639E-3</c:v>
                </c:pt>
                <c:pt idx="272">
                  <c:v>1.116713593617739E-3</c:v>
                </c:pt>
                <c:pt idx="273">
                  <c:v>1.0891523870697256E-3</c:v>
                </c:pt>
                <c:pt idx="274">
                  <c:v>1.0622714087473947E-3</c:v>
                </c:pt>
                <c:pt idx="275">
                  <c:v>1.0360538701825709E-3</c:v>
                </c:pt>
                <c:pt idx="276">
                  <c:v>1.0104833972572227E-3</c:v>
                </c:pt>
                <c:pt idx="277">
                  <c:v>9.8554401997703726E-4</c:v>
                </c:pt>
                <c:pt idx="278">
                  <c:v>9.6122016249738636E-4</c:v>
                </c:pt>
                <c:pt idx="279">
                  <c:v>9.3749663339546152E-4</c:v>
                </c:pt>
                <c:pt idx="280">
                  <c:v>9.1435861618249618E-4</c:v>
                </c:pt>
                <c:pt idx="281">
                  <c:v>8.9179166005015414E-4</c:v>
                </c:pt>
                <c:pt idx="282">
                  <c:v>8.6978167084530121E-4</c:v>
                </c:pt>
                <c:pt idx="283">
                  <c:v>8.4831490226752976E-4</c:v>
                </c:pt>
                <c:pt idx="284">
                  <c:v>8.273779472839258E-4</c:v>
                </c:pt>
                <c:pt idx="285">
                  <c:v>8.0695772975573335E-4</c:v>
                </c:pt>
                <c:pt idx="286">
                  <c:v>7.8704149627167408E-4</c:v>
                </c:pt>
                <c:pt idx="287">
                  <c:v>7.6761680818282605E-4</c:v>
                </c:pt>
                <c:pt idx="288">
                  <c:v>7.4867153383408763E-4</c:v>
                </c:pt>
                <c:pt idx="289">
                  <c:v>7.3019384098737313E-4</c:v>
                </c:pt>
                <c:pt idx="290">
                  <c:v>7.1217218943180939E-4</c:v>
                </c:pt>
                <c:pt idx="291">
                  <c:v>6.9459532377631706E-4</c:v>
                </c:pt>
                <c:pt idx="292">
                  <c:v>6.7745226642007561E-4</c:v>
                </c:pt>
                <c:pt idx="293">
                  <c:v>6.6073231069648224E-4</c:v>
                </c:pt>
                <c:pt idx="294">
                  <c:v>6.4442501418632118E-4</c:v>
                </c:pt>
                <c:pt idx="295">
                  <c:v>6.2852019219596978E-4</c:v>
                </c:pt>
                <c:pt idx="296">
                  <c:v>6.1300791139656547E-4</c:v>
                </c:pt>
                <c:pt idx="297">
                  <c:v>5.9787848362016251E-4</c:v>
                </c:pt>
                <c:pt idx="298">
                  <c:v>5.8312245980900342E-4</c:v>
                </c:pt>
                <c:pt idx="299">
                  <c:v>5.6873062411412685E-4</c:v>
                </c:pt>
                <c:pt idx="300">
                  <c:v>5.5469398813962501E-4</c:v>
                </c:pt>
                <c:pt idx="301">
                  <c:v>5.4100378532895624E-4</c:v>
                </c:pt>
                <c:pt idx="302">
                  <c:v>5.2765146548980812E-4</c:v>
                </c:pt>
                <c:pt idx="303">
                  <c:v>5.1462868945408935E-4</c:v>
                </c:pt>
                <c:pt idx="304">
                  <c:v>5.0192732386971652E-4</c:v>
                </c:pt>
                <c:pt idx="305">
                  <c:v>4.8953943612094404E-4</c:v>
                </c:pt>
                <c:pt idx="306">
                  <c:v>4.7745728937406207E-4</c:v>
                </c:pt>
                <c:pt idx="307">
                  <c:v>4.6567333774537106E-4</c:v>
                </c:pt>
                <c:pt idx="308">
                  <c:v>4.5418022158841276E-4</c:v>
                </c:pt>
                <c:pt idx="309">
                  <c:v>4.4297076289751615E-4</c:v>
                </c:pt>
                <c:pt idx="310">
                  <c:v>4.320379608247864E-4</c:v>
                </c:pt>
                <c:pt idx="311">
                  <c:v>4.2137498730773743E-4</c:v>
                </c:pt>
                <c:pt idx="312">
                  <c:v>4.1097518280483773E-4</c:v>
                </c:pt>
                <c:pt idx="313">
                  <c:v>4.0083205213630477E-4</c:v>
                </c:pt>
                <c:pt idx="314">
                  <c:v>3.9093926042755228E-4</c:v>
                </c:pt>
                <c:pt idx="315">
                  <c:v>3.8129062915275496E-4</c:v>
                </c:pt>
                <c:pt idx="316">
                  <c:v>3.7188013227606136E-4</c:v>
                </c:pt>
                <c:pt idx="317">
                  <c:v>3.6270189248804315E-4</c:v>
                </c:pt>
                <c:pt idx="318">
                  <c:v>3.5375017753503236E-4</c:v>
                </c:pt>
                <c:pt idx="319">
                  <c:v>3.4501939663905191E-4</c:v>
                </c:pt>
                <c:pt idx="320">
                  <c:v>3.3650409700610503E-4</c:v>
                </c:pt>
                <c:pt idx="321">
                  <c:v>3.2819896042064224E-4</c:v>
                </c:pt>
                <c:pt idx="322">
                  <c:v>3.2009879992408015E-4</c:v>
                </c:pt>
                <c:pt idx="323">
                  <c:v>3.1219855657529266E-4</c:v>
                </c:pt>
                <c:pt idx="324">
                  <c:v>3.0449329629106224E-4</c:v>
                </c:pt>
                <c:pt idx="325">
                  <c:v>2.9697820676450237E-4</c:v>
                </c:pt>
                <c:pt idx="326">
                  <c:v>2.8964859445954402E-4</c:v>
                </c:pt>
                <c:pt idx="327">
                  <c:v>2.8249988167959177E-4</c:v>
                </c:pt>
                <c:pt idx="328">
                  <c:v>2.7552760370853528E-4</c:v>
                </c:pt>
                <c:pt idx="329">
                  <c:v>2.6872740602231469E-4</c:v>
                </c:pt>
                <c:pt idx="330">
                  <c:v>2.6209504156931429E-4</c:v>
                </c:pt>
                <c:pt idx="331">
                  <c:v>2.5562636811786975E-4</c:v>
                </c:pt>
                <c:pt idx="332">
                  <c:v>2.4931734566924842E-4</c:v>
                </c:pt>
                <c:pt idx="333">
                  <c:v>2.4316403393447158E-4</c:v>
                </c:pt>
                <c:pt idx="334">
                  <c:v>2.3716258987341719E-4</c:v>
                </c:pt>
                <c:pt idx="335">
                  <c:v>2.3130926529465256E-4</c:v>
                </c:pt>
                <c:pt idx="336">
                  <c:v>2.2560040451451128E-4</c:v>
                </c:pt>
                <c:pt idx="337">
                  <c:v>2.2003244207393903E-4</c:v>
                </c:pt>
                <c:pt idx="338">
                  <c:v>2.1460190051169554E-4</c:v>
                </c:pt>
                <c:pt idx="339">
                  <c:v>2.0930538819250911E-4</c:v>
                </c:pt>
                <c:pt idx="340">
                  <c:v>2.0413959718883987E-4</c:v>
                </c:pt>
                <c:pt idx="341">
                  <c:v>1.9910130121491621E-4</c:v>
                </c:pt>
                <c:pt idx="342">
                  <c:v>1.941873536117667E-4</c:v>
                </c:pt>
                <c:pt idx="343">
                  <c:v>1.8939468538197682E-4</c:v>
                </c:pt>
                <c:pt idx="344">
                  <c:v>1.8472030327295477E-4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23-40FD-94CE-806E6702BC77}"/>
            </c:ext>
          </c:extLst>
        </c:ser>
        <c:ser>
          <c:idx val="2"/>
          <c:order val="2"/>
          <c:tx>
            <c:strRef>
              <c:f>'Survival Extrapolation'!$W$20:$X$20</c:f>
              <c:strCache>
                <c:ptCount val="1"/>
                <c:pt idx="0">
                  <c:v>Weibull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Extrapolation'!$X$26:$X$370</c:f>
              <c:numCache>
                <c:formatCode>General</c:formatCode>
                <c:ptCount val="345"/>
                <c:pt idx="0">
                  <c:v>1</c:v>
                </c:pt>
                <c:pt idx="1">
                  <c:v>0.94450795571099744</c:v>
                </c:pt>
                <c:pt idx="2">
                  <c:v>0.9072680609722853</c:v>
                </c:pt>
                <c:pt idx="3">
                  <c:v>0.87551112881564974</c:v>
                </c:pt>
                <c:pt idx="4">
                  <c:v>0.84714226519078306</c:v>
                </c:pt>
                <c:pt idx="5">
                  <c:v>0.82122394967789547</c:v>
                </c:pt>
                <c:pt idx="6">
                  <c:v>0.79722246478913084</c:v>
                </c:pt>
                <c:pt idx="7">
                  <c:v>0.77479281956380419</c:v>
                </c:pt>
                <c:pt idx="8">
                  <c:v>0.75369346261267101</c:v>
                </c:pt>
                <c:pt idx="9">
                  <c:v>0.73374566917523898</c:v>
                </c:pt>
                <c:pt idx="10">
                  <c:v>0.71481173703915535</c:v>
                </c:pt>
                <c:pt idx="11">
                  <c:v>0.69678223409490236</c:v>
                </c:pt>
                <c:pt idx="12">
                  <c:v>0.67956804275844451</c:v>
                </c:pt>
                <c:pt idx="13">
                  <c:v>0.66309513972681267</c:v>
                </c:pt>
                <c:pt idx="14">
                  <c:v>0.64730102829607727</c:v>
                </c:pt>
                <c:pt idx="15">
                  <c:v>0.63213221695969846</c:v>
                </c:pt>
                <c:pt idx="16">
                  <c:v>0.61754238663628402</c:v>
                </c:pt>
                <c:pt idx="17">
                  <c:v>0.60349102619102335</c:v>
                </c:pt>
                <c:pt idx="18">
                  <c:v>0.58994239543567661</c:v>
                </c:pt>
                <c:pt idx="19">
                  <c:v>0.57686472273521561</c:v>
                </c:pt>
                <c:pt idx="20">
                  <c:v>0.56422957427321274</c:v>
                </c:pt>
                <c:pt idx="21">
                  <c:v>0.55201135127687884</c:v>
                </c:pt>
                <c:pt idx="22">
                  <c:v>0.54018688421684791</c:v>
                </c:pt>
                <c:pt idx="23">
                  <c:v>0.52873510159411174</c:v>
                </c:pt>
                <c:pt idx="24">
                  <c:v>0.51763675686296018</c:v>
                </c:pt>
                <c:pt idx="25">
                  <c:v>0.50687420121570159</c:v>
                </c:pt>
                <c:pt idx="26">
                  <c:v>0.49643119294415772</c:v>
                </c:pt>
                <c:pt idx="27">
                  <c:v>0.48629273626540231</c:v>
                </c:pt>
                <c:pt idx="28">
                  <c:v>0.47644494410044386</c:v>
                </c:pt>
                <c:pt idx="29">
                  <c:v>0.4668749204900407</c:v>
                </c:pt>
                <c:pt idx="30">
                  <c:v>0.45757065923502016</c:v>
                </c:pt>
                <c:pt idx="31">
                  <c:v>0.44852095603830577</c:v>
                </c:pt>
                <c:pt idx="32">
                  <c:v>0.4397153319580917</c:v>
                </c:pt>
                <c:pt idx="33">
                  <c:v>0.4311439663961083</c:v>
                </c:pt>
                <c:pt idx="34">
                  <c:v>0.42279763817057203</c:v>
                </c:pt>
                <c:pt idx="35">
                  <c:v>0.41466767348134326</c:v>
                </c:pt>
                <c:pt idx="36">
                  <c:v>0.40674589978067127</c:v>
                </c:pt>
                <c:pt idx="37">
                  <c:v>0.39902460472837636</c:v>
                </c:pt>
                <c:pt idx="38">
                  <c:v>0.39149649954422472</c:v>
                </c:pt>
                <c:pt idx="39">
                  <c:v>0.38415468617929382</c:v>
                </c:pt>
                <c:pt idx="40">
                  <c:v>0.37699262781745579</c:v>
                </c:pt>
                <c:pt idx="41">
                  <c:v>0.37000412229169821</c:v>
                </c:pt>
                <c:pt idx="42">
                  <c:v>0.3631832780609478</c:v>
                </c:pt>
                <c:pt idx="43">
                  <c:v>0.35652449244379675</c:v>
                </c:pt>
                <c:pt idx="44">
                  <c:v>0.35002243184795773</c:v>
                </c:pt>
                <c:pt idx="45">
                  <c:v>0.34367201376992579</c:v>
                </c:pt>
                <c:pt idx="46">
                  <c:v>0.33746839036940135</c:v>
                </c:pt>
                <c:pt idx="47">
                  <c:v>0.33140693344851507</c:v>
                </c:pt>
                <c:pt idx="48">
                  <c:v>0.32548322068757185</c:v>
                </c:pt>
                <c:pt idx="49">
                  <c:v>0.31969302300753849</c:v>
                </c:pt>
                <c:pt idx="50">
                  <c:v>0.31403229294535745</c:v>
                </c:pt>
                <c:pt idx="51">
                  <c:v>0.30849715394180077</c:v>
                </c:pt>
                <c:pt idx="52">
                  <c:v>0.30308389045334067</c:v>
                </c:pt>
                <c:pt idx="53">
                  <c:v>0.29778893880968427</c:v>
                </c:pt>
                <c:pt idx="54">
                  <c:v>0.29260887874745573</c:v>
                </c:pt>
                <c:pt idx="55">
                  <c:v>0.28754042555819076</c:v>
                </c:pt>
                <c:pt idx="56">
                  <c:v>0.28258042279552015</c:v>
                </c:pt>
                <c:pt idx="57">
                  <c:v>0.27772583549228635</c:v>
                </c:pt>
                <c:pt idx="58">
                  <c:v>0.27297374384349204</c:v>
                </c:pt>
                <c:pt idx="59">
                  <c:v>0.26832133731550545</c:v>
                </c:pt>
                <c:pt idx="60">
                  <c:v>0.26376590914594378</c:v>
                </c:pt>
                <c:pt idx="61">
                  <c:v>0.25930485120218527</c:v>
                </c:pt>
                <c:pt idx="62">
                  <c:v>0.25493564916958394</c:v>
                </c:pt>
                <c:pt idx="63">
                  <c:v>0.25065587804323802</c:v>
                </c:pt>
                <c:pt idx="64">
                  <c:v>0.24646319789962676</c:v>
                </c:pt>
                <c:pt idx="65">
                  <c:v>0.24235534992663021</c:v>
                </c:pt>
                <c:pt idx="66">
                  <c:v>0.2383301526924104</c:v>
                </c:pt>
                <c:pt idx="67">
                  <c:v>0.23438549863538408</c:v>
                </c:pt>
                <c:pt idx="68">
                  <c:v>0.23051935075909533</c:v>
                </c:pt>
                <c:pt idx="69">
                  <c:v>0.22672973951720313</c:v>
                </c:pt>
                <c:pt idx="70">
                  <c:v>0.22301475987507466</c:v>
                </c:pt>
                <c:pt idx="71">
                  <c:v>0.21937256853561238</c:v>
                </c:pt>
                <c:pt idx="72">
                  <c:v>0.21580138131798107</c:v>
                </c:pt>
                <c:pt idx="73">
                  <c:v>0.21229947067882707</c:v>
                </c:pt>
                <c:pt idx="74">
                  <c:v>0.20886516336643124</c:v>
                </c:pt>
                <c:pt idx="75">
                  <c:v>0.20549683819899611</c:v>
                </c:pt>
                <c:pt idx="76">
                  <c:v>0.20219292395896576</c:v>
                </c:pt>
                <c:pt idx="77">
                  <c:v>0.19895189739590396</c:v>
                </c:pt>
                <c:pt idx="78">
                  <c:v>0.19577228133103167</c:v>
                </c:pt>
                <c:pt idx="79">
                  <c:v>0.19265264285704686</c:v>
                </c:pt>
                <c:pt idx="80">
                  <c:v>0.18959159162732564</c:v>
                </c:pt>
                <c:pt idx="81">
                  <c:v>0.18658777822904027</c:v>
                </c:pt>
                <c:pt idx="82">
                  <c:v>0.18363989263512714</c:v>
                </c:pt>
                <c:pt idx="83">
                  <c:v>0.18074666273040219</c:v>
                </c:pt>
                <c:pt idx="84">
                  <c:v>0.17790685290745578</c:v>
                </c:pt>
                <c:pt idx="85">
                  <c:v>0.17511926272826581</c:v>
                </c:pt>
                <c:pt idx="86">
                  <c:v>0.17238272564774862</c:v>
                </c:pt>
                <c:pt idx="87">
                  <c:v>0.16969610779572741</c:v>
                </c:pt>
                <c:pt idx="88">
                  <c:v>0.1670583068140353</c:v>
                </c:pt>
                <c:pt idx="89">
                  <c:v>0.16446825074569116</c:v>
                </c:pt>
                <c:pt idx="90">
                  <c:v>0.16192489697328685</c:v>
                </c:pt>
                <c:pt idx="91">
                  <c:v>0.15942723120391436</c:v>
                </c:pt>
                <c:pt idx="92">
                  <c:v>0.1569742664981317</c:v>
                </c:pt>
                <c:pt idx="93">
                  <c:v>0.15456504234062812</c:v>
                </c:pt>
                <c:pt idx="94">
                  <c:v>0.15219862375039631</c:v>
                </c:pt>
                <c:pt idx="95">
                  <c:v>0.14987410042835642</c:v>
                </c:pt>
                <c:pt idx="96">
                  <c:v>0.14759058594050467</c:v>
                </c:pt>
                <c:pt idx="97">
                  <c:v>0.14534721693477728</c:v>
                </c:pt>
                <c:pt idx="98">
                  <c:v>0.14314315238992847</c:v>
                </c:pt>
                <c:pt idx="99">
                  <c:v>0.14097757289482635</c:v>
                </c:pt>
                <c:pt idx="100">
                  <c:v>0.13884967995666203</c:v>
                </c:pt>
                <c:pt idx="101">
                  <c:v>0.13675869533665899</c:v>
                </c:pt>
                <c:pt idx="102">
                  <c:v>0.13470386041194854</c:v>
                </c:pt>
                <c:pt idx="103">
                  <c:v>0.13268443556235671</c:v>
                </c:pt>
                <c:pt idx="104">
                  <c:v>0.13069969958091868</c:v>
                </c:pt>
                <c:pt idx="105">
                  <c:v>0.12874894910700305</c:v>
                </c:pt>
                <c:pt idx="106">
                  <c:v>0.12683149808099159</c:v>
                </c:pt>
                <c:pt idx="107">
                  <c:v>0.12494667721951838</c:v>
                </c:pt>
                <c:pt idx="108">
                  <c:v>0.12309383351032643</c:v>
                </c:pt>
                <c:pt idx="109">
                  <c:v>0.12127232972585211</c:v>
                </c:pt>
                <c:pt idx="110">
                  <c:v>0.11948154395469417</c:v>
                </c:pt>
                <c:pt idx="111">
                  <c:v>0.11772086915017081</c:v>
                </c:pt>
                <c:pt idx="112">
                  <c:v>0.11598971269520882</c:v>
                </c:pt>
                <c:pt idx="113">
                  <c:v>0.11428749598285004</c:v>
                </c:pt>
                <c:pt idx="114">
                  <c:v>0.11261365401169583</c:v>
                </c:pt>
                <c:pt idx="115">
                  <c:v>0.11096763499564687</c:v>
                </c:pt>
                <c:pt idx="116">
                  <c:v>0.10934889998732657</c:v>
                </c:pt>
                <c:pt idx="117">
                  <c:v>0.10775692251461023</c:v>
                </c:pt>
                <c:pt idx="118">
                  <c:v>0.10619118822970669</c:v>
                </c:pt>
                <c:pt idx="119">
                  <c:v>0.10465119457027242</c:v>
                </c:pt>
                <c:pt idx="120">
                  <c:v>0.10313645043205735</c:v>
                </c:pt>
                <c:pt idx="121">
                  <c:v>0.10164647585261206</c:v>
                </c:pt>
                <c:pt idx="122">
                  <c:v>0.1001808017056047</c:v>
                </c:pt>
                <c:pt idx="123">
                  <c:v>9.8738969405320051E-2</c:v>
                </c:pt>
                <c:pt idx="124">
                  <c:v>9.7320530620931531E-2</c:v>
                </c:pt>
                <c:pt idx="125">
                  <c:v>9.59250470001594E-2</c:v>
                </c:pt>
                <c:pt idx="126">
                  <c:v>9.4552089901943234E-2</c:v>
                </c:pt>
                <c:pt idx="127">
                  <c:v>9.3201240137775768E-2</c:v>
                </c:pt>
                <c:pt idx="128">
                  <c:v>9.1872087721361934E-2</c:v>
                </c:pt>
                <c:pt idx="129">
                  <c:v>9.0564231626281619E-2</c:v>
                </c:pt>
                <c:pt idx="130">
                  <c:v>8.9277279551348981E-2</c:v>
                </c:pt>
                <c:pt idx="131">
                  <c:v>8.8010847693375985E-2</c:v>
                </c:pt>
                <c:pt idx="132">
                  <c:v>8.6764560527060428E-2</c:v>
                </c:pt>
                <c:pt idx="133">
                  <c:v>8.5538050591730794E-2</c:v>
                </c:pt>
                <c:pt idx="134">
                  <c:v>8.4330958284693683E-2</c:v>
                </c:pt>
                <c:pt idx="135">
                  <c:v>8.3142931660937988E-2</c:v>
                </c:pt>
                <c:pt idx="136">
                  <c:v>8.1973626238963579E-2</c:v>
                </c:pt>
                <c:pt idx="137">
                  <c:v>8.0822704812510915E-2</c:v>
                </c:pt>
                <c:pt idx="138">
                  <c:v>7.9689837267976626E-2</c:v>
                </c:pt>
                <c:pt idx="139">
                  <c:v>7.8574700407312098E-2</c:v>
                </c:pt>
                <c:pt idx="140">
                  <c:v>7.7476977776207032E-2</c:v>
                </c:pt>
                <c:pt idx="141">
                  <c:v>7.6396359497372363E-2</c:v>
                </c:pt>
                <c:pt idx="142">
                  <c:v>7.5332542108740561E-2</c:v>
                </c:pt>
                <c:pt idx="143">
                  <c:v>7.4285228406411705E-2</c:v>
                </c:pt>
                <c:pt idx="144">
                  <c:v>7.3254127292180213E-2</c:v>
                </c:pt>
                <c:pt idx="145">
                  <c:v>7.2238953625483507E-2</c:v>
                </c:pt>
                <c:pt idx="146">
                  <c:v>7.1239428079619221E-2</c:v>
                </c:pt>
                <c:pt idx="147">
                  <c:v>7.0255277002087169E-2</c:v>
                </c:pt>
                <c:pt idx="148">
                  <c:v>6.9286232278913631E-2</c:v>
                </c:pt>
                <c:pt idx="149">
                  <c:v>6.8332031202825036E-2</c:v>
                </c:pt>
                <c:pt idx="150">
                  <c:v>6.7392416345140788E-2</c:v>
                </c:pt>
                <c:pt idx="151">
                  <c:v>6.6467135431261648E-2</c:v>
                </c:pt>
                <c:pt idx="152">
                  <c:v>6.5555941219633942E-2</c:v>
                </c:pt>
                <c:pt idx="153">
                  <c:v>6.4658591384075259E-2</c:v>
                </c:pt>
                <c:pt idx="154">
                  <c:v>6.3774848399351186E-2</c:v>
                </c:pt>
                <c:pt idx="155">
                  <c:v>6.2904479429897117E-2</c:v>
                </c:pt>
                <c:pt idx="156">
                  <c:v>6.204725622158317E-2</c:v>
                </c:pt>
                <c:pt idx="157">
                  <c:v>6.1202954996424024E-2</c:v>
                </c:pt>
                <c:pt idx="158">
                  <c:v>6.0371356350139578E-2</c:v>
                </c:pt>
                <c:pt idx="159">
                  <c:v>5.9552245152475064E-2</c:v>
                </c:pt>
                <c:pt idx="160">
                  <c:v>5.874541045019329E-2</c:v>
                </c:pt>
                <c:pt idx="161">
                  <c:v>5.7950645372655374E-2</c:v>
                </c:pt>
                <c:pt idx="162">
                  <c:v>5.7167747039907485E-2</c:v>
                </c:pt>
                <c:pt idx="163">
                  <c:v>5.6396516473196871E-2</c:v>
                </c:pt>
                <c:pt idx="164">
                  <c:v>5.5636758507840944E-2</c:v>
                </c:pt>
                <c:pt idx="165">
                  <c:v>5.4888281708376764E-2</c:v>
                </c:pt>
                <c:pt idx="166">
                  <c:v>5.4150898285921525E-2</c:v>
                </c:pt>
                <c:pt idx="167">
                  <c:v>5.3424424017675998E-2</c:v>
                </c:pt>
                <c:pt idx="168">
                  <c:v>5.2708678168506051E-2</c:v>
                </c:pt>
                <c:pt idx="169">
                  <c:v>5.2003483414539288E-2</c:v>
                </c:pt>
                <c:pt idx="170">
                  <c:v>5.1308665768716441E-2</c:v>
                </c:pt>
                <c:pt idx="171">
                  <c:v>5.0624054508238946E-2</c:v>
                </c:pt>
                <c:pt idx="172">
                  <c:v>4.9949482103856128E-2</c:v>
                </c:pt>
                <c:pt idx="173">
                  <c:v>4.9284784150937559E-2</c:v>
                </c:pt>
                <c:pt idx="174">
                  <c:v>4.8629799302278197E-2</c:v>
                </c:pt>
                <c:pt idx="175">
                  <c:v>4.7984369202585177E-2</c:v>
                </c:pt>
                <c:pt idx="176">
                  <c:v>4.7348338424597299E-2</c:v>
                </c:pt>
                <c:pt idx="177">
                  <c:v>4.6721554406789753E-2</c:v>
                </c:pt>
                <c:pt idx="178">
                  <c:v>4.6103867392618486E-2</c:v>
                </c:pt>
                <c:pt idx="179">
                  <c:v>4.5495130371259601E-2</c:v>
                </c:pt>
                <c:pt idx="180">
                  <c:v>4.4895199019800915E-2</c:v>
                </c:pt>
                <c:pt idx="181">
                  <c:v>4.4303931646844839E-2</c:v>
                </c:pt>
                <c:pt idx="182">
                  <c:v>4.3721189137481804E-2</c:v>
                </c:pt>
                <c:pt idx="183">
                  <c:v>4.3146834899596156E-2</c:v>
                </c:pt>
                <c:pt idx="184">
                  <c:v>4.2580734811466681E-2</c:v>
                </c:pt>
                <c:pt idx="185">
                  <c:v>4.2022757170625667E-2</c:v>
                </c:pt>
                <c:pt idx="186">
                  <c:v>4.1472772643941488E-2</c:v>
                </c:pt>
                <c:pt idx="187">
                  <c:v>4.093065421889059E-2</c:v>
                </c:pt>
                <c:pt idx="188">
                  <c:v>4.0396277155986267E-2</c:v>
                </c:pt>
                <c:pt idx="189">
                  <c:v>3.9869518942332385E-2</c:v>
                </c:pt>
                <c:pt idx="190">
                  <c:v>3.9350259246271072E-2</c:v>
                </c:pt>
                <c:pt idx="191">
                  <c:v>3.8838379873094762E-2</c:v>
                </c:pt>
                <c:pt idx="192">
                  <c:v>3.8333764721793631E-2</c:v>
                </c:pt>
                <c:pt idx="193">
                  <c:v>3.7836299742810497E-2</c:v>
                </c:pt>
                <c:pt idx="194">
                  <c:v>3.7345872896776086E-2</c:v>
                </c:pt>
                <c:pt idx="195">
                  <c:v>3.6862374114198203E-2</c:v>
                </c:pt>
                <c:pt idx="196">
                  <c:v>3.6385695256079736E-2</c:v>
                </c:pt>
                <c:pt idx="197">
                  <c:v>3.5915730075440438E-2</c:v>
                </c:pt>
                <c:pt idx="198">
                  <c:v>3.5452374179718867E-2</c:v>
                </c:pt>
                <c:pt idx="199">
                  <c:v>3.4995524994030983E-2</c:v>
                </c:pt>
                <c:pt idx="200">
                  <c:v>3.4545081725263251E-2</c:v>
                </c:pt>
                <c:pt idx="201">
                  <c:v>3.4100945326978313E-2</c:v>
                </c:pt>
                <c:pt idx="202">
                  <c:v>3.3663018465111785E-2</c:v>
                </c:pt>
                <c:pt idx="203">
                  <c:v>3.3231205484440307E-2</c:v>
                </c:pt>
                <c:pt idx="204">
                  <c:v>3.2805412375800251E-2</c:v>
                </c:pt>
                <c:pt idx="205">
                  <c:v>3.2385546744038138E-2</c:v>
                </c:pt>
                <c:pt idx="206">
                  <c:v>3.1971517776674022E-2</c:v>
                </c:pt>
                <c:pt idx="207">
                  <c:v>3.1563236213259432E-2</c:v>
                </c:pt>
                <c:pt idx="208">
                  <c:v>3.1160614315412588E-2</c:v>
                </c:pt>
                <c:pt idx="209">
                  <c:v>3.0763565837513076E-2</c:v>
                </c:pt>
                <c:pt idx="210">
                  <c:v>3.0372005998040116E-2</c:v>
                </c:pt>
                <c:pt idx="211">
                  <c:v>2.9985851451537752E-2</c:v>
                </c:pt>
                <c:pt idx="212">
                  <c:v>2.9605020261191307E-2</c:v>
                </c:pt>
                <c:pt idx="213">
                  <c:v>2.9229431872000007E-2</c:v>
                </c:pt>
                <c:pt idx="214">
                  <c:v>2.8859007084530892E-2</c:v>
                </c:pt>
                <c:pt idx="215">
                  <c:v>2.8493668029239382E-2</c:v>
                </c:pt>
                <c:pt idx="216">
                  <c:v>2.8133338141343087E-2</c:v>
                </c:pt>
                <c:pt idx="217">
                  <c:v>2.7777942136234517E-2</c:v>
                </c:pt>
                <c:pt idx="218">
                  <c:v>2.7427405985420018E-2</c:v>
                </c:pt>
                <c:pt idx="219">
                  <c:v>2.7081656892972039E-2</c:v>
                </c:pt>
                <c:pt idx="220">
                  <c:v>2.674062327248174E-2</c:v>
                </c:pt>
                <c:pt idx="221">
                  <c:v>2.6404234724500777E-2</c:v>
                </c:pt>
                <c:pt idx="222">
                  <c:v>2.6072422014459234E-2</c:v>
                </c:pt>
                <c:pt idx="223">
                  <c:v>2.5745117051049236E-2</c:v>
                </c:pt>
                <c:pt idx="224">
                  <c:v>2.5422252865062642E-2</c:v>
                </c:pt>
                <c:pt idx="225">
                  <c:v>2.5103763588671987E-2</c:v>
                </c:pt>
                <c:pt idx="226">
                  <c:v>2.4789584435143966E-2</c:v>
                </c:pt>
                <c:pt idx="227">
                  <c:v>2.4479651678975721E-2</c:v>
                </c:pt>
                <c:pt idx="228">
                  <c:v>2.4173902636443166E-2</c:v>
                </c:pt>
                <c:pt idx="229">
                  <c:v>2.3872275646552289E-2</c:v>
                </c:pt>
                <c:pt idx="230">
                  <c:v>2.3574710052383572E-2</c:v>
                </c:pt>
                <c:pt idx="231">
                  <c:v>2.3281146182820317E-2</c:v>
                </c:pt>
                <c:pt idx="232">
                  <c:v>2.299152533465243E-2</c:v>
                </c:pt>
                <c:pt idx="233">
                  <c:v>2.2705789755045846E-2</c:v>
                </c:pt>
                <c:pt idx="234">
                  <c:v>2.2423882624370516E-2</c:v>
                </c:pt>
                <c:pt idx="235">
                  <c:v>2.2145748039377328E-2</c:v>
                </c:pt>
                <c:pt idx="236">
                  <c:v>2.1871330996716818E-2</c:v>
                </c:pt>
                <c:pt idx="237">
                  <c:v>2.160057737679142E-2</c:v>
                </c:pt>
                <c:pt idx="238">
                  <c:v>2.133343392793367E-2</c:v>
                </c:pt>
                <c:pt idx="239">
                  <c:v>2.1069848250903023E-2</c:v>
                </c:pt>
                <c:pt idx="240">
                  <c:v>2.0809768783693828E-2</c:v>
                </c:pt>
                <c:pt idx="241">
                  <c:v>2.0553144786647604E-2</c:v>
                </c:pt>
                <c:pt idx="242">
                  <c:v>2.0299926327862653E-2</c:v>
                </c:pt>
                <c:pt idx="243">
                  <c:v>2.0050064268894247E-2</c:v>
                </c:pt>
                <c:pt idx="244">
                  <c:v>1.9803510250738825E-2</c:v>
                </c:pt>
                <c:pt idx="245">
                  <c:v>1.9560216680096151E-2</c:v>
                </c:pt>
                <c:pt idx="246">
                  <c:v>1.9320136715902624E-2</c:v>
                </c:pt>
                <c:pt idx="247">
                  <c:v>1.9083224256130387E-2</c:v>
                </c:pt>
                <c:pt idx="248">
                  <c:v>1.8849433924845688E-2</c:v>
                </c:pt>
                <c:pt idx="249">
                  <c:v>1.8618721059521275E-2</c:v>
                </c:pt>
                <c:pt idx="250">
                  <c:v>1.8391041698596764E-2</c:v>
                </c:pt>
                <c:pt idx="251">
                  <c:v>1.8166352569281983E-2</c:v>
                </c:pt>
                <c:pt idx="252">
                  <c:v>1.7944611075597475E-2</c:v>
                </c:pt>
                <c:pt idx="253">
                  <c:v>1.772577528664724E-2</c:v>
                </c:pt>
                <c:pt idx="254">
                  <c:v>1.7509803925118774E-2</c:v>
                </c:pt>
                <c:pt idx="255">
                  <c:v>1.7296656356005049E-2</c:v>
                </c:pt>
                <c:pt idx="256">
                  <c:v>1.708629257554397E-2</c:v>
                </c:pt>
                <c:pt idx="257">
                  <c:v>1.6878673200370432E-2</c:v>
                </c:pt>
                <c:pt idx="258">
                  <c:v>1.6673759456876488E-2</c:v>
                </c:pt>
                <c:pt idx="259">
                  <c:v>1.6471513170774957E-2</c:v>
                </c:pt>
                <c:pt idx="260">
                  <c:v>1.6271896756862355E-2</c:v>
                </c:pt>
                <c:pt idx="261">
                  <c:v>1.6074873208976721E-2</c:v>
                </c:pt>
                <c:pt idx="262">
                  <c:v>1.5880406090146199E-2</c:v>
                </c:pt>
                <c:pt idx="263">
                  <c:v>1.5688459522924251E-2</c:v>
                </c:pt>
                <c:pt idx="264">
                  <c:v>1.5498998179907844E-2</c:v>
                </c:pt>
                <c:pt idx="265">
                  <c:v>1.531198727443419E-2</c:v>
                </c:pt>
                <c:pt idx="266">
                  <c:v>1.5127392551452798E-2</c:v>
                </c:pt>
                <c:pt idx="267">
                  <c:v>1.494518027856884E-2</c:v>
                </c:pt>
                <c:pt idx="268">
                  <c:v>1.4765317237254374E-2</c:v>
                </c:pt>
                <c:pt idx="269">
                  <c:v>1.4587770714223722E-2</c:v>
                </c:pt>
                <c:pt idx="270">
                  <c:v>1.4412508492969813E-2</c:v>
                </c:pt>
                <c:pt idx="271">
                  <c:v>1.4239498845457962E-2</c:v>
                </c:pt>
                <c:pt idx="272">
                  <c:v>1.4068710523973968E-2</c:v>
                </c:pt>
                <c:pt idx="273">
                  <c:v>1.3900112753122956E-2</c:v>
                </c:pt>
                <c:pt idx="274">
                  <c:v>1.3733675221976441E-2</c:v>
                </c:pt>
                <c:pt idx="275">
                  <c:v>1.3569368076364045E-2</c:v>
                </c:pt>
                <c:pt idx="276">
                  <c:v>1.3407161911307029E-2</c:v>
                </c:pt>
                <c:pt idx="277">
                  <c:v>1.3247027763590989E-2</c:v>
                </c:pt>
                <c:pt idx="278">
                  <c:v>1.3088937104474395E-2</c:v>
                </c:pt>
                <c:pt idx="279">
                  <c:v>1.293286183253059E-2</c:v>
                </c:pt>
                <c:pt idx="280">
                  <c:v>1.2778774266620371E-2</c:v>
                </c:pt>
                <c:pt idx="281">
                  <c:v>1.2626647138992475E-2</c:v>
                </c:pt>
                <c:pt idx="282">
                  <c:v>1.2476453588509498E-2</c:v>
                </c:pt>
                <c:pt idx="283">
                  <c:v>1.2328167153996514E-2</c:v>
                </c:pt>
                <c:pt idx="284">
                  <c:v>1.2181761767710101E-2</c:v>
                </c:pt>
                <c:pt idx="285">
                  <c:v>1.203721174892524E-2</c:v>
                </c:pt>
                <c:pt idx="286">
                  <c:v>1.1894491797637864E-2</c:v>
                </c:pt>
                <c:pt idx="287">
                  <c:v>1.175357698838044E-2</c:v>
                </c:pt>
                <c:pt idx="288">
                  <c:v>1.1614442764148724E-2</c:v>
                </c:pt>
                <c:pt idx="289">
                  <c:v>1.1477064930437073E-2</c:v>
                </c:pt>
                <c:pt idx="290">
                  <c:v>1.1341419649380529E-2</c:v>
                </c:pt>
                <c:pt idx="291">
                  <c:v>1.1207483434001263E-2</c:v>
                </c:pt>
                <c:pt idx="292">
                  <c:v>1.107523314255739E-2</c:v>
                </c:pt>
                <c:pt idx="293">
                  <c:v>1.0944645972992276E-2</c:v>
                </c:pt>
                <c:pt idx="294">
                  <c:v>1.0815699457482172E-2</c:v>
                </c:pt>
                <c:pt idx="295">
                  <c:v>1.0688371457080308E-2</c:v>
                </c:pt>
                <c:pt idx="296">
                  <c:v>1.0562640156455652E-2</c:v>
                </c:pt>
                <c:pt idx="297">
                  <c:v>1.0438484058724197E-2</c:v>
                </c:pt>
                <c:pt idx="298">
                  <c:v>1.0315881980371365E-2</c:v>
                </c:pt>
                <c:pt idx="299">
                  <c:v>1.0194813046263492E-2</c:v>
                </c:pt>
                <c:pt idx="300">
                  <c:v>1.007525668474654E-2</c:v>
                </c:pt>
                <c:pt idx="301">
                  <c:v>9.9571926228308339E-3</c:v>
                </c:pt>
                <c:pt idx="302">
                  <c:v>9.8406008814595682E-3</c:v>
                </c:pt>
                <c:pt idx="303">
                  <c:v>9.7254617708598511E-3</c:v>
                </c:pt>
                <c:pt idx="304">
                  <c:v>9.611755885974663E-3</c:v>
                </c:pt>
                <c:pt idx="305">
                  <c:v>9.4994641019738868E-3</c:v>
                </c:pt>
                <c:pt idx="306">
                  <c:v>9.388567569843324E-3</c:v>
                </c:pt>
                <c:pt idx="307">
                  <c:v>9.2790477120498344E-3</c:v>
                </c:pt>
                <c:pt idx="308">
                  <c:v>9.1708862182813683E-3</c:v>
                </c:pt>
                <c:pt idx="309">
                  <c:v>9.0640650412603056E-3</c:v>
                </c:pt>
                <c:pt idx="310">
                  <c:v>8.9585663926288368E-3</c:v>
                </c:pt>
                <c:pt idx="311">
                  <c:v>8.854372738904992E-3</c:v>
                </c:pt>
                <c:pt idx="312">
                  <c:v>8.7514667975079324E-3</c:v>
                </c:pt>
                <c:pt idx="313">
                  <c:v>8.6498315328511193E-3</c:v>
                </c:pt>
                <c:pt idx="314">
                  <c:v>8.5494501525023633E-3</c:v>
                </c:pt>
                <c:pt idx="315">
                  <c:v>8.4503061034091487E-3</c:v>
                </c:pt>
                <c:pt idx="316">
                  <c:v>8.3523830681882273E-3</c:v>
                </c:pt>
                <c:pt idx="317">
                  <c:v>8.2556649614782089E-3</c:v>
                </c:pt>
                <c:pt idx="318">
                  <c:v>8.1601359263540132E-3</c:v>
                </c:pt>
                <c:pt idx="319">
                  <c:v>8.0657803308018996E-3</c:v>
                </c:pt>
                <c:pt idx="320">
                  <c:v>7.972582764254119E-3</c:v>
                </c:pt>
                <c:pt idx="321">
                  <c:v>7.880528034181945E-3</c:v>
                </c:pt>
                <c:pt idx="322">
                  <c:v>7.7896011627460529E-3</c:v>
                </c:pt>
                <c:pt idx="323">
                  <c:v>7.6997873835032852E-3</c:v>
                </c:pt>
                <c:pt idx="324">
                  <c:v>7.6110721381684263E-3</c:v>
                </c:pt>
                <c:pt idx="325">
                  <c:v>7.5234410734304705E-3</c:v>
                </c:pt>
                <c:pt idx="326">
                  <c:v>7.436880037821946E-3</c:v>
                </c:pt>
                <c:pt idx="327">
                  <c:v>7.3513750786404963E-3</c:v>
                </c:pt>
                <c:pt idx="328">
                  <c:v>7.2669124389218307E-3</c:v>
                </c:pt>
                <c:pt idx="329">
                  <c:v>7.1834785544629244E-3</c:v>
                </c:pt>
                <c:pt idx="330">
                  <c:v>7.101060050894727E-3</c:v>
                </c:pt>
                <c:pt idx="331">
                  <c:v>7.0196437408033647E-3</c:v>
                </c:pt>
                <c:pt idx="332">
                  <c:v>6.9392166208989588E-3</c:v>
                </c:pt>
                <c:pt idx="333">
                  <c:v>6.859765869231268E-3</c:v>
                </c:pt>
                <c:pt idx="334">
                  <c:v>6.7812788424512493E-3</c:v>
                </c:pt>
                <c:pt idx="335">
                  <c:v>6.7037430731176715E-3</c:v>
                </c:pt>
                <c:pt idx="336">
                  <c:v>6.6271462670481054E-3</c:v>
                </c:pt>
                <c:pt idx="337">
                  <c:v>6.5514763007132855E-3</c:v>
                </c:pt>
                <c:pt idx="338">
                  <c:v>6.4767212186742406E-3</c:v>
                </c:pt>
                <c:pt idx="339">
                  <c:v>6.4028692310613856E-3</c:v>
                </c:pt>
                <c:pt idx="340">
                  <c:v>6.3299087110947226E-3</c:v>
                </c:pt>
                <c:pt idx="341">
                  <c:v>6.2578281926445115E-3</c:v>
                </c:pt>
                <c:pt idx="342">
                  <c:v>6.1866163678317102E-3</c:v>
                </c:pt>
                <c:pt idx="343">
                  <c:v>6.1162620846673598E-3</c:v>
                </c:pt>
                <c:pt idx="344">
                  <c:v>6.0467543447303542E-3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23-40FD-94CE-806E6702BC77}"/>
            </c:ext>
          </c:extLst>
        </c:ser>
        <c:ser>
          <c:idx val="3"/>
          <c:order val="3"/>
          <c:tx>
            <c:strRef>
              <c:f>'Survival Extrapolation'!$Y$20:$Z$20</c:f>
              <c:strCache>
                <c:ptCount val="1"/>
                <c:pt idx="0">
                  <c:v>LogNormal</c:v>
                </c:pt>
              </c:strCache>
            </c:strRef>
          </c:tx>
          <c:spPr>
            <a:ln w="1905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Extrapolation'!$Z$26:$Z$370</c:f>
              <c:numCache>
                <c:formatCode>General</c:formatCode>
                <c:ptCount val="345"/>
                <c:pt idx="0">
                  <c:v>1</c:v>
                </c:pt>
                <c:pt idx="1">
                  <c:v>0.97905698946860908</c:v>
                </c:pt>
                <c:pt idx="2">
                  <c:v>0.94314133461885608</c:v>
                </c:pt>
                <c:pt idx="3">
                  <c:v>0.90603809559689241</c:v>
                </c:pt>
                <c:pt idx="4">
                  <c:v>0.87049954488659698</c:v>
                </c:pt>
                <c:pt idx="5">
                  <c:v>0.83718130425322013</c:v>
                </c:pt>
                <c:pt idx="6">
                  <c:v>0.80615066287857173</c:v>
                </c:pt>
                <c:pt idx="7">
                  <c:v>0.77728805537862167</c:v>
                </c:pt>
                <c:pt idx="8">
                  <c:v>0.75041876308738131</c:v>
                </c:pt>
                <c:pt idx="9">
                  <c:v>0.72536054491886504</c:v>
                </c:pt>
                <c:pt idx="10">
                  <c:v>0.70194111644042256</c:v>
                </c:pt>
                <c:pt idx="11">
                  <c:v>0.68000389705465225</c:v>
                </c:pt>
                <c:pt idx="12">
                  <c:v>0.65940902586736738</c:v>
                </c:pt>
                <c:pt idx="13">
                  <c:v>0.64003250007632095</c:v>
                </c:pt>
                <c:pt idx="14">
                  <c:v>0.62176464818356814</c:v>
                </c:pt>
                <c:pt idx="15">
                  <c:v>0.6045084592619836</c:v>
                </c:pt>
                <c:pt idx="16">
                  <c:v>0.58817798622468753</c:v>
                </c:pt>
                <c:pt idx="17">
                  <c:v>0.57269690490632985</c:v>
                </c:pt>
                <c:pt idx="18">
                  <c:v>0.55799724961987995</c:v>
                </c:pt>
                <c:pt idx="19">
                  <c:v>0.54401831926733335</c:v>
                </c:pt>
                <c:pt idx="20">
                  <c:v>0.530705737623139</c:v>
                </c:pt>
                <c:pt idx="21">
                  <c:v>0.51801064843129452</c:v>
                </c:pt>
                <c:pt idx="22">
                  <c:v>0.50588902633466493</c:v>
                </c:pt>
                <c:pt idx="23">
                  <c:v>0.49430108640594561</c:v>
                </c:pt>
                <c:pt idx="24">
                  <c:v>0.4832107772303067</c:v>
                </c:pt>
                <c:pt idx="25">
                  <c:v>0.47258534466597224</c:v>
                </c:pt>
                <c:pt idx="26">
                  <c:v>0.46239495539701969</c:v>
                </c:pt>
                <c:pt idx="27">
                  <c:v>0.45261237113048647</c:v>
                </c:pt>
                <c:pt idx="28">
                  <c:v>0.44321266577258212</c:v>
                </c:pt>
                <c:pt idx="29">
                  <c:v>0.43417297916658226</c:v>
                </c:pt>
                <c:pt idx="30">
                  <c:v>0.42547230201686559</c:v>
                </c:pt>
                <c:pt idx="31">
                  <c:v>0.41709128748998947</c:v>
                </c:pt>
                <c:pt idx="32">
                  <c:v>0.40901208570294523</c:v>
                </c:pt>
                <c:pt idx="33">
                  <c:v>0.40121819790568114</c:v>
                </c:pt>
                <c:pt idx="34">
                  <c:v>0.39369434766083478</c:v>
                </c:pt>
                <c:pt idx="35">
                  <c:v>0.38642636673614283</c:v>
                </c:pt>
                <c:pt idx="36">
                  <c:v>0.37940109376887998</c:v>
                </c:pt>
                <c:pt idx="37">
                  <c:v>0.37260628404902441</c:v>
                </c:pt>
                <c:pt idx="38">
                  <c:v>0.36603052900856015</c:v>
                </c:pt>
                <c:pt idx="39">
                  <c:v>0.35966318420651966</c:v>
                </c:pt>
                <c:pt idx="40">
                  <c:v>0.35349430476967658</c:v>
                </c:pt>
                <c:pt idx="41">
                  <c:v>0.34751458739265395</c:v>
                </c:pt>
                <c:pt idx="42">
                  <c:v>0.34171531812306122</c:v>
                </c:pt>
                <c:pt idx="43">
                  <c:v>0.33608832526077614</c:v>
                </c:pt>
                <c:pt idx="44">
                  <c:v>0.33062593678864916</c:v>
                </c:pt>
                <c:pt idx="45">
                  <c:v>0.32532094182720162</c:v>
                </c:pt>
                <c:pt idx="46">
                  <c:v>0.32016655567037522</c:v>
                </c:pt>
                <c:pt idx="47">
                  <c:v>0.31515638801475465</c:v>
                </c:pt>
                <c:pt idx="48">
                  <c:v>0.31028441404234708</c:v>
                </c:pt>
                <c:pt idx="49">
                  <c:v>0.30554494805813359</c:v>
                </c:pt>
                <c:pt idx="50">
                  <c:v>0.30093261941918703</c:v>
                </c:pt>
                <c:pt idx="51">
                  <c:v>0.29644235052300716</c:v>
                </c:pt>
                <c:pt idx="52">
                  <c:v>0.29206933664954038</c:v>
                </c:pt>
                <c:pt idx="53">
                  <c:v>0.28780902747470616</c:v>
                </c:pt>
                <c:pt idx="54">
                  <c:v>0.28365711009365491</c:v>
                </c:pt>
                <c:pt idx="55">
                  <c:v>0.27960949340981456</c:v>
                </c:pt>
                <c:pt idx="56">
                  <c:v>0.27566229376142837</c:v>
                </c:pt>
                <c:pt idx="57">
                  <c:v>0.27181182167102569</c:v>
                </c:pt>
                <c:pt idx="58">
                  <c:v>0.26805456961536012</c:v>
                </c:pt>
                <c:pt idx="59">
                  <c:v>0.26438720072401245</c:v>
                </c:pt>
                <c:pt idx="60">
                  <c:v>0.26080653832428069</c:v>
                </c:pt>
                <c:pt idx="61">
                  <c:v>0.2573095562583092</c:v>
                </c:pt>
                <c:pt idx="62">
                  <c:v>0.25389336990581635</c:v>
                </c:pt>
                <c:pt idx="63">
                  <c:v>0.25055522785232753</c:v>
                </c:pt>
                <c:pt idx="64">
                  <c:v>0.2472925041486782</c:v>
                </c:pt>
                <c:pt idx="65">
                  <c:v>0.2441026911127413</c:v>
                </c:pt>
                <c:pt idx="66">
                  <c:v>0.24098339262899171</c:v>
                </c:pt>
                <c:pt idx="67">
                  <c:v>0.2379323179056555</c:v>
                </c:pt>
                <c:pt idx="68">
                  <c:v>0.23494727565292262</c:v>
                </c:pt>
                <c:pt idx="69">
                  <c:v>0.23202616864902403</c:v>
                </c:pt>
                <c:pt idx="70">
                  <c:v>0.22916698866396323</c:v>
                </c:pt>
                <c:pt idx="71">
                  <c:v>0.2263678117133856</c:v>
                </c:pt>
                <c:pt idx="72">
                  <c:v>0.22362679361748428</c:v>
                </c:pt>
                <c:pt idx="73">
                  <c:v>0.2209421658420242</c:v>
                </c:pt>
                <c:pt idx="74">
                  <c:v>0.21831223160052882</c:v>
                </c:pt>
                <c:pt idx="75">
                  <c:v>0.21573536219846301</c:v>
                </c:pt>
                <c:pt idx="76">
                  <c:v>0.21320999360183801</c:v>
                </c:pt>
                <c:pt idx="77">
                  <c:v>0.21073462321414183</c:v>
                </c:pt>
                <c:pt idx="78">
                  <c:v>0.20830780684679928</c:v>
                </c:pt>
                <c:pt idx="79">
                  <c:v>0.20592815586958135</c:v>
                </c:pt>
                <c:pt idx="80">
                  <c:v>0.2035943345284652</c:v>
                </c:pt>
                <c:pt idx="81">
                  <c:v>0.20130505741944171</c:v>
                </c:pt>
                <c:pt idx="82">
                  <c:v>0.1990590871076694</c:v>
                </c:pt>
                <c:pt idx="83">
                  <c:v>0.19685523188219767</c:v>
                </c:pt>
                <c:pt idx="84">
                  <c:v>0.19469234363723631</c:v>
                </c:pt>
                <c:pt idx="85">
                  <c:v>0.19256931587163051</c:v>
                </c:pt>
                <c:pt idx="86">
                  <c:v>0.19048508179883483</c:v>
                </c:pt>
                <c:pt idx="87">
                  <c:v>0.1884386125602473</c:v>
                </c:pt>
                <c:pt idx="88">
                  <c:v>0.18642891553530039</c:v>
                </c:pt>
                <c:pt idx="89">
                  <c:v>0.18445503274217945</c:v>
                </c:pt>
                <c:pt idx="90">
                  <c:v>0.18251603932348937</c:v>
                </c:pt>
                <c:pt idx="91">
                  <c:v>0.18061104211159507</c:v>
                </c:pt>
                <c:pt idx="92">
                  <c:v>0.1787391782687342</c:v>
                </c:pt>
                <c:pt idx="93">
                  <c:v>0.17689961399735044</c:v>
                </c:pt>
                <c:pt idx="94">
                  <c:v>0.17509154331640442</c:v>
                </c:pt>
                <c:pt idx="95">
                  <c:v>0.17331418689972089</c:v>
                </c:pt>
                <c:pt idx="96">
                  <c:v>0.17156679097269556</c:v>
                </c:pt>
                <c:pt idx="97">
                  <c:v>0.16984862626393349</c:v>
                </c:pt>
                <c:pt idx="98">
                  <c:v>0.16815898700862442</c:v>
                </c:pt>
                <c:pt idx="99">
                  <c:v>0.16649719000067009</c:v>
                </c:pt>
                <c:pt idx="100">
                  <c:v>0.16486257369077661</c:v>
                </c:pt>
                <c:pt idx="101">
                  <c:v>0.16325449732790864</c:v>
                </c:pt>
                <c:pt idx="102">
                  <c:v>0.16167234014166643</c:v>
                </c:pt>
                <c:pt idx="103">
                  <c:v>0.16011550056330826</c:v>
                </c:pt>
                <c:pt idx="104">
                  <c:v>0.15858339548328559</c:v>
                </c:pt>
                <c:pt idx="105">
                  <c:v>0.15707545954328628</c:v>
                </c:pt>
                <c:pt idx="106">
                  <c:v>0.15559114446091693</c:v>
                </c:pt>
                <c:pt idx="107">
                  <c:v>0.15412991838526391</c:v>
                </c:pt>
                <c:pt idx="108">
                  <c:v>0.15269126528168331</c:v>
                </c:pt>
                <c:pt idx="109">
                  <c:v>0.15127468434427249</c:v>
                </c:pt>
                <c:pt idx="110">
                  <c:v>0.14987968943456542</c:v>
                </c:pt>
                <c:pt idx="111">
                  <c:v>0.14850580854508955</c:v>
                </c:pt>
                <c:pt idx="112">
                  <c:v>0.14715258328649028</c:v>
                </c:pt>
                <c:pt idx="113">
                  <c:v>0.14581956839702215</c:v>
                </c:pt>
                <c:pt idx="114">
                  <c:v>0.14450633127326062</c:v>
                </c:pt>
                <c:pt idx="115">
                  <c:v>0.14321245152096518</c:v>
                </c:pt>
                <c:pt idx="116">
                  <c:v>0.14193752052508368</c:v>
                </c:pt>
                <c:pt idx="117">
                  <c:v>0.14068114103794271</c:v>
                </c:pt>
                <c:pt idx="118">
                  <c:v>0.13944292678472892</c:v>
                </c:pt>
                <c:pt idx="119">
                  <c:v>0.13822250208540998</c:v>
                </c:pt>
                <c:pt idx="120">
                  <c:v>0.13701950149229791</c:v>
                </c:pt>
                <c:pt idx="121">
                  <c:v>0.13583356944249858</c:v>
                </c:pt>
                <c:pt idx="122">
                  <c:v>0.13466435992453196</c:v>
                </c:pt>
                <c:pt idx="123">
                  <c:v>0.13351153615844991</c:v>
                </c:pt>
                <c:pt idx="124">
                  <c:v>0.13237477028881317</c:v>
                </c:pt>
                <c:pt idx="125">
                  <c:v>0.13125374308992377</c:v>
                </c:pt>
                <c:pt idx="126">
                  <c:v>0.13014814368274208</c:v>
                </c:pt>
                <c:pt idx="127">
                  <c:v>0.12905766926294682</c:v>
                </c:pt>
                <c:pt idx="128">
                  <c:v>0.12798202483962717</c:v>
                </c:pt>
                <c:pt idx="129">
                  <c:v>0.1269209229841215</c:v>
                </c:pt>
                <c:pt idx="130">
                  <c:v>0.12587408358854191</c:v>
                </c:pt>
                <c:pt idx="131">
                  <c:v>0.12484123363354993</c:v>
                </c:pt>
                <c:pt idx="132">
                  <c:v>0.12382210696496809</c:v>
                </c:pt>
                <c:pt idx="133">
                  <c:v>0.12281644407883674</c:v>
                </c:pt>
                <c:pt idx="134">
                  <c:v>0.1218239919145423</c:v>
                </c:pt>
                <c:pt idx="135">
                  <c:v>0.12084450365566279</c:v>
                </c:pt>
                <c:pt idx="136">
                  <c:v>0.11987773853819739</c:v>
                </c:pt>
                <c:pt idx="137">
                  <c:v>0.11892346166585588</c:v>
                </c:pt>
                <c:pt idx="138">
                  <c:v>0.1179814438321094</c:v>
                </c:pt>
                <c:pt idx="139">
                  <c:v>0.11705146134871136</c:v>
                </c:pt>
                <c:pt idx="140">
                  <c:v>0.11613329588041299</c:v>
                </c:pt>
                <c:pt idx="141">
                  <c:v>0.1152267342856157</c:v>
                </c:pt>
                <c:pt idx="142">
                  <c:v>0.11433156846270809</c:v>
                </c:pt>
                <c:pt idx="143">
                  <c:v>0.11344759520185321</c:v>
                </c:pt>
                <c:pt idx="144">
                  <c:v>0.11257461604199881</c:v>
                </c:pt>
                <c:pt idx="145">
                  <c:v>0.11171243713289869</c:v>
                </c:pt>
                <c:pt idx="146">
                  <c:v>0.11086086910193582</c:v>
                </c:pt>
                <c:pt idx="147">
                  <c:v>0.11001972692555773</c:v>
                </c:pt>
                <c:pt idx="148">
                  <c:v>0.10918882980513256</c:v>
                </c:pt>
                <c:pt idx="149">
                  <c:v>0.10836800104705246</c:v>
                </c:pt>
                <c:pt idx="150">
                  <c:v>0.10755706794691311</c:v>
                </c:pt>
                <c:pt idx="151">
                  <c:v>0.10675586167760742</c:v>
                </c:pt>
                <c:pt idx="152">
                  <c:v>0.10596421718117965</c:v>
                </c:pt>
                <c:pt idx="153">
                  <c:v>0.105181973064294</c:v>
                </c:pt>
                <c:pt idx="154">
                  <c:v>0.10440897149717365</c:v>
                </c:pt>
                <c:pt idx="155">
                  <c:v>0.10364505811587832</c:v>
                </c:pt>
                <c:pt idx="156">
                  <c:v>0.10289008192779181</c:v>
                </c:pt>
                <c:pt idx="157">
                  <c:v>0.10214389522019451</c:v>
                </c:pt>
                <c:pt idx="158">
                  <c:v>0.10140635347180593</c:v>
                </c:pt>
                <c:pt idx="159">
                  <c:v>0.10067731526718326</c:v>
                </c:pt>
                <c:pt idx="160">
                  <c:v>9.9956642213868463E-2</c:v>
                </c:pt>
                <c:pt idx="161">
                  <c:v>9.9244198862181832E-2</c:v>
                </c:pt>
                <c:pt idx="162">
                  <c:v>9.8539852627563596E-2</c:v>
                </c:pt>
                <c:pt idx="163">
                  <c:v>9.7843473715366391E-2</c:v>
                </c:pt>
                <c:pt idx="164">
                  <c:v>9.715493504801398E-2</c:v>
                </c:pt>
                <c:pt idx="165">
                  <c:v>9.647411219443347E-2</c:v>
                </c:pt>
                <c:pt idx="166">
                  <c:v>9.5800883301681683E-2</c:v>
                </c:pt>
                <c:pt idx="167">
                  <c:v>9.5135129028686594E-2</c:v>
                </c:pt>
                <c:pt idx="168">
                  <c:v>9.4476732482024484E-2</c:v>
                </c:pt>
                <c:pt idx="169">
                  <c:v>9.382557915366363E-2</c:v>
                </c:pt>
                <c:pt idx="170">
                  <c:v>9.3181556860602033E-2</c:v>
                </c:pt>
                <c:pt idx="171">
                  <c:v>9.2544555686331798E-2</c:v>
                </c:pt>
                <c:pt idx="172">
                  <c:v>9.1914467924068211E-2</c:v>
                </c:pt>
                <c:pt idx="173">
                  <c:v>9.1291188021677572E-2</c:v>
                </c:pt>
                <c:pt idx="174">
                  <c:v>9.0674612528250043E-2</c:v>
                </c:pt>
                <c:pt idx="175">
                  <c:v>9.0064640042253008E-2</c:v>
                </c:pt>
                <c:pt idx="176">
                  <c:v>8.9461171161218989E-2</c:v>
                </c:pt>
                <c:pt idx="177">
                  <c:v>8.8864108432906708E-2</c:v>
                </c:pt>
                <c:pt idx="178">
                  <c:v>8.8273356307891571E-2</c:v>
                </c:pt>
                <c:pt idx="179">
                  <c:v>8.7688821093533709E-2</c:v>
                </c:pt>
                <c:pt idx="180">
                  <c:v>8.7110410909277292E-2</c:v>
                </c:pt>
                <c:pt idx="181">
                  <c:v>8.6538035643236588E-2</c:v>
                </c:pt>
                <c:pt idx="182">
                  <c:v>8.5971606910025922E-2</c:v>
                </c:pt>
                <c:pt idx="183">
                  <c:v>8.5411038009791218E-2</c:v>
                </c:pt>
                <c:pt idx="184">
                  <c:v>8.4856243888404292E-2</c:v>
                </c:pt>
                <c:pt idx="185">
                  <c:v>8.4307141098780125E-2</c:v>
                </c:pt>
                <c:pt idx="186">
                  <c:v>8.3763647763281601E-2</c:v>
                </c:pt>
                <c:pt idx="187">
                  <c:v>8.3225683537175077E-2</c:v>
                </c:pt>
                <c:pt idx="188">
                  <c:v>8.2693169573103242E-2</c:v>
                </c:pt>
                <c:pt idx="189">
                  <c:v>8.2166028486541753E-2</c:v>
                </c:pt>
                <c:pt idx="190">
                  <c:v>8.1644184322208324E-2</c:v>
                </c:pt>
                <c:pt idx="191">
                  <c:v>8.1127562521393637E-2</c:v>
                </c:pt>
                <c:pt idx="192">
                  <c:v>8.0616089890183984E-2</c:v>
                </c:pt>
                <c:pt idx="193">
                  <c:v>8.0109694568548995E-2</c:v>
                </c:pt>
                <c:pt idx="194">
                  <c:v>7.9608306000264362E-2</c:v>
                </c:pt>
                <c:pt idx="195">
                  <c:v>7.9111854903646361E-2</c:v>
                </c:pt>
                <c:pt idx="196">
                  <c:v>7.8620273243069527E-2</c:v>
                </c:pt>
                <c:pt idx="197">
                  <c:v>7.8133494201246156E-2</c:v>
                </c:pt>
                <c:pt idx="198">
                  <c:v>7.7651452152241451E-2</c:v>
                </c:pt>
                <c:pt idx="199">
                  <c:v>7.7174082635202979E-2</c:v>
                </c:pt>
                <c:pt idx="200">
                  <c:v>7.6701322328781796E-2</c:v>
                </c:pt>
                <c:pt idx="201">
                  <c:v>7.6233109026224377E-2</c:v>
                </c:pt>
                <c:pt idx="202">
                  <c:v>7.5769381611114905E-2</c:v>
                </c:pt>
                <c:pt idx="203">
                  <c:v>7.5310080033747506E-2</c:v>
                </c:pt>
                <c:pt idx="204">
                  <c:v>7.4855145288110325E-2</c:v>
                </c:pt>
                <c:pt idx="205">
                  <c:v>7.4404519389462798E-2</c:v>
                </c:pt>
                <c:pt idx="206">
                  <c:v>7.3958145352487126E-2</c:v>
                </c:pt>
                <c:pt idx="207">
                  <c:v>7.3515967169998975E-2</c:v>
                </c:pt>
                <c:pt idx="208">
                  <c:v>7.3077929792198071E-2</c:v>
                </c:pt>
                <c:pt idx="209">
                  <c:v>7.264397910644671E-2</c:v>
                </c:pt>
                <c:pt idx="210">
                  <c:v>7.2214061917555084E-2</c:v>
                </c:pt>
                <c:pt idx="211">
                  <c:v>7.1788125928563984E-2</c:v>
                </c:pt>
                <c:pt idx="212">
                  <c:v>7.1366119722006904E-2</c:v>
                </c:pt>
                <c:pt idx="213">
                  <c:v>7.0947992741638766E-2</c:v>
                </c:pt>
                <c:pt idx="214">
                  <c:v>7.0533695274618058E-2</c:v>
                </c:pt>
                <c:pt idx="215">
                  <c:v>7.0123178434128297E-2</c:v>
                </c:pt>
                <c:pt idx="216">
                  <c:v>6.9716394142427585E-2</c:v>
                </c:pt>
                <c:pt idx="217">
                  <c:v>6.9313295114312279E-2</c:v>
                </c:pt>
                <c:pt idx="218">
                  <c:v>6.8913834840985011E-2</c:v>
                </c:pt>
                <c:pt idx="219">
                  <c:v>6.8517967574313055E-2</c:v>
                </c:pt>
                <c:pt idx="220">
                  <c:v>6.8125648311469389E-2</c:v>
                </c:pt>
                <c:pt idx="221">
                  <c:v>6.7736832779942135E-2</c:v>
                </c:pt>
                <c:pt idx="222">
                  <c:v>6.7351477422904038E-2</c:v>
                </c:pt>
                <c:pt idx="223">
                  <c:v>6.6969539384932442E-2</c:v>
                </c:pt>
                <c:pt idx="224">
                  <c:v>6.6590976498067889E-2</c:v>
                </c:pt>
                <c:pt idx="225">
                  <c:v>6.6215747268204117E-2</c:v>
                </c:pt>
                <c:pt idx="226">
                  <c:v>6.5843810861799246E-2</c:v>
                </c:pt>
                <c:pt idx="227">
                  <c:v>6.5475127092899266E-2</c:v>
                </c:pt>
                <c:pt idx="228">
                  <c:v>6.5109656410465844E-2</c:v>
                </c:pt>
                <c:pt idx="229">
                  <c:v>6.4747359885999445E-2</c:v>
                </c:pt>
                <c:pt idx="230">
                  <c:v>6.438819920145078E-2</c:v>
                </c:pt>
                <c:pt idx="231">
                  <c:v>6.4032136637411807E-2</c:v>
                </c:pt>
                <c:pt idx="232">
                  <c:v>6.367913506157874E-2</c:v>
                </c:pt>
                <c:pt idx="233">
                  <c:v>6.3329157917480949E-2</c:v>
                </c:pt>
                <c:pt idx="234">
                  <c:v>6.298216921346711E-2</c:v>
                </c:pt>
                <c:pt idx="235">
                  <c:v>6.2638133511943472E-2</c:v>
                </c:pt>
                <c:pt idx="236">
                  <c:v>6.2297015918854948E-2</c:v>
                </c:pt>
                <c:pt idx="237">
                  <c:v>6.1958782073406216E-2</c:v>
                </c:pt>
                <c:pt idx="238">
                  <c:v>6.1623398138012764E-2</c:v>
                </c:pt>
                <c:pt idx="239">
                  <c:v>6.1290830788479078E-2</c:v>
                </c:pt>
                <c:pt idx="240">
                  <c:v>6.096104720439588E-2</c:v>
                </c:pt>
                <c:pt idx="241">
                  <c:v>6.0634015059750968E-2</c:v>
                </c:pt>
                <c:pt idx="242">
                  <c:v>6.0309702513749786E-2</c:v>
                </c:pt>
                <c:pt idx="243">
                  <c:v>5.9988078201838491E-2</c:v>
                </c:pt>
                <c:pt idx="244">
                  <c:v>5.966911122692431E-2</c:v>
                </c:pt>
                <c:pt idx="245">
                  <c:v>5.9352771150790296E-2</c:v>
                </c:pt>
                <c:pt idx="246">
                  <c:v>5.903902798569638E-2</c:v>
                </c:pt>
                <c:pt idx="247">
                  <c:v>5.8727852186164275E-2</c:v>
                </c:pt>
                <c:pt idx="248">
                  <c:v>5.8419214640941686E-2</c:v>
                </c:pt>
                <c:pt idx="249">
                  <c:v>5.8113086665138591E-2</c:v>
                </c:pt>
                <c:pt idx="250">
                  <c:v>5.7809439992535072E-2</c:v>
                </c:pt>
                <c:pt idx="251">
                  <c:v>5.7508246768052995E-2</c:v>
                </c:pt>
                <c:pt idx="252">
                  <c:v>5.7209479540390684E-2</c:v>
                </c:pt>
                <c:pt idx="253">
                  <c:v>5.6913111254812465E-2</c:v>
                </c:pt>
                <c:pt idx="254">
                  <c:v>5.6619115246093643E-2</c:v>
                </c:pt>
                <c:pt idx="255">
                  <c:v>5.6327465231613805E-2</c:v>
                </c:pt>
                <c:pt idx="256">
                  <c:v>5.6038135304596337E-2</c:v>
                </c:pt>
                <c:pt idx="257">
                  <c:v>5.575109992749061E-2</c:v>
                </c:pt>
                <c:pt idx="258">
                  <c:v>5.5466333925492051E-2</c:v>
                </c:pt>
                <c:pt idx="259">
                  <c:v>5.5183812480198324E-2</c:v>
                </c:pt>
                <c:pt idx="260">
                  <c:v>5.4903511123397308E-2</c:v>
                </c:pt>
                <c:pt idx="261">
                  <c:v>5.4625405730984511E-2</c:v>
                </c:pt>
                <c:pt idx="262">
                  <c:v>5.4349472517005726E-2</c:v>
                </c:pt>
                <c:pt idx="263">
                  <c:v>5.4075688027822033E-2</c:v>
                </c:pt>
                <c:pt idx="264">
                  <c:v>5.3804029136396481E-2</c:v>
                </c:pt>
                <c:pt idx="265">
                  <c:v>5.3534473036695673E-2</c:v>
                </c:pt>
                <c:pt idx="266">
                  <c:v>5.3266997238206604E-2</c:v>
                </c:pt>
                <c:pt idx="267">
                  <c:v>5.3001579560565393E-2</c:v>
                </c:pt>
                <c:pt idx="268">
                  <c:v>5.2738198128293612E-2</c:v>
                </c:pt>
                <c:pt idx="269">
                  <c:v>5.2476831365641963E-2</c:v>
                </c:pt>
                <c:pt idx="270">
                  <c:v>5.2217457991537763E-2</c:v>
                </c:pt>
                <c:pt idx="271">
                  <c:v>5.1960057014633243E-2</c:v>
                </c:pt>
                <c:pt idx="272">
                  <c:v>5.1704607728452978E-2</c:v>
                </c:pt>
                <c:pt idx="273">
                  <c:v>5.1451089706638586E-2</c:v>
                </c:pt>
                <c:pt idx="274">
                  <c:v>5.1199482798287232E-2</c:v>
                </c:pt>
                <c:pt idx="275">
                  <c:v>5.094976712338295E-2</c:v>
                </c:pt>
                <c:pt idx="276">
                  <c:v>5.0701923068318E-2</c:v>
                </c:pt>
                <c:pt idx="277">
                  <c:v>5.0455931281501609E-2</c:v>
                </c:pt>
                <c:pt idx="278">
                  <c:v>5.0211772669056742E-2</c:v>
                </c:pt>
                <c:pt idx="279">
                  <c:v>4.9969428390598591E-2</c:v>
                </c:pt>
                <c:pt idx="280">
                  <c:v>4.9728879855096775E-2</c:v>
                </c:pt>
                <c:pt idx="281">
                  <c:v>4.9490108716818138E-2</c:v>
                </c:pt>
                <c:pt idx="282">
                  <c:v>4.9253096871346824E-2</c:v>
                </c:pt>
                <c:pt idx="283">
                  <c:v>4.9017826451682289E-2</c:v>
                </c:pt>
                <c:pt idx="284">
                  <c:v>4.8784279824411914E-2</c:v>
                </c:pt>
                <c:pt idx="285">
                  <c:v>4.8552439585957119E-2</c:v>
                </c:pt>
                <c:pt idx="286">
                  <c:v>4.8322288558891091E-2</c:v>
                </c:pt>
                <c:pt idx="287">
                  <c:v>4.809380978832678E-2</c:v>
                </c:pt>
                <c:pt idx="288">
                  <c:v>4.7866986538373735E-2</c:v>
                </c:pt>
                <c:pt idx="289">
                  <c:v>4.7641802288661661E-2</c:v>
                </c:pt>
                <c:pt idx="290">
                  <c:v>4.7418240730929706E-2</c:v>
                </c:pt>
                <c:pt idx="291">
                  <c:v>4.7196285765680357E-2</c:v>
                </c:pt>
                <c:pt idx="292">
                  <c:v>4.6975921498895179E-2</c:v>
                </c:pt>
                <c:pt idx="293">
                  <c:v>4.675713223881317E-2</c:v>
                </c:pt>
                <c:pt idx="294">
                  <c:v>4.6539902492768515E-2</c:v>
                </c:pt>
                <c:pt idx="295">
                  <c:v>4.6324216964086506E-2</c:v>
                </c:pt>
                <c:pt idx="296">
                  <c:v>4.6110060549038989E-2</c:v>
                </c:pt>
                <c:pt idx="297">
                  <c:v>4.5897418333853413E-2</c:v>
                </c:pt>
                <c:pt idx="298">
                  <c:v>4.5686275591779513E-2</c:v>
                </c:pt>
                <c:pt idx="299">
                  <c:v>4.5476617780207618E-2</c:v>
                </c:pt>
                <c:pt idx="300">
                  <c:v>4.5268430537841908E-2</c:v>
                </c:pt>
                <c:pt idx="301">
                  <c:v>4.5061699681923306E-2</c:v>
                </c:pt>
                <c:pt idx="302">
                  <c:v>4.4856411205504321E-2</c:v>
                </c:pt>
                <c:pt idx="303">
                  <c:v>4.4652551274772634E-2</c:v>
                </c:pt>
                <c:pt idx="304">
                  <c:v>4.4450106226422981E-2</c:v>
                </c:pt>
                <c:pt idx="305">
                  <c:v>4.4249062565077546E-2</c:v>
                </c:pt>
                <c:pt idx="306">
                  <c:v>4.4049406960751436E-2</c:v>
                </c:pt>
                <c:pt idx="307">
                  <c:v>4.3851126246363892E-2</c:v>
                </c:pt>
                <c:pt idx="308">
                  <c:v>4.3654207415295021E-2</c:v>
                </c:pt>
                <c:pt idx="309">
                  <c:v>4.3458637618984719E-2</c:v>
                </c:pt>
                <c:pt idx="310">
                  <c:v>4.3264404164575332E-2</c:v>
                </c:pt>
                <c:pt idx="311">
                  <c:v>4.3071494512595287E-2</c:v>
                </c:pt>
                <c:pt idx="312">
                  <c:v>4.2879896274684248E-2</c:v>
                </c:pt>
                <c:pt idx="313">
                  <c:v>4.2689597211358121E-2</c:v>
                </c:pt>
                <c:pt idx="314">
                  <c:v>4.2500585229813703E-2</c:v>
                </c:pt>
                <c:pt idx="315">
                  <c:v>4.231284838177074E-2</c:v>
                </c:pt>
                <c:pt idx="316">
                  <c:v>4.2126374861353511E-2</c:v>
                </c:pt>
                <c:pt idx="317">
                  <c:v>4.194115300300727E-2</c:v>
                </c:pt>
                <c:pt idx="318">
                  <c:v>4.1757171279452221E-2</c:v>
                </c:pt>
                <c:pt idx="319">
                  <c:v>4.1574418299672899E-2</c:v>
                </c:pt>
                <c:pt idx="320">
                  <c:v>4.1392882806941533E-2</c:v>
                </c:pt>
                <c:pt idx="321">
                  <c:v>4.1212553676876151E-2</c:v>
                </c:pt>
                <c:pt idx="322">
                  <c:v>4.1033419915531777E-2</c:v>
                </c:pt>
                <c:pt idx="323">
                  <c:v>4.0855470657524262E-2</c:v>
                </c:pt>
                <c:pt idx="324">
                  <c:v>4.0678695164186429E-2</c:v>
                </c:pt>
                <c:pt idx="325">
                  <c:v>4.0503082821755299E-2</c:v>
                </c:pt>
                <c:pt idx="326">
                  <c:v>4.0328623139590514E-2</c:v>
                </c:pt>
                <c:pt idx="327">
                  <c:v>4.0155305748422521E-2</c:v>
                </c:pt>
                <c:pt idx="328">
                  <c:v>3.9983120398630501E-2</c:v>
                </c:pt>
                <c:pt idx="329">
                  <c:v>3.9812056958549613E-2</c:v>
                </c:pt>
                <c:pt idx="330">
                  <c:v>3.9642105412806217E-2</c:v>
                </c:pt>
                <c:pt idx="331">
                  <c:v>3.9473255860681178E-2</c:v>
                </c:pt>
                <c:pt idx="332">
                  <c:v>3.9305498514500936E-2</c:v>
                </c:pt>
                <c:pt idx="333">
                  <c:v>3.9138823698054437E-2</c:v>
                </c:pt>
                <c:pt idx="334">
                  <c:v>3.8973221845037487E-2</c:v>
                </c:pt>
                <c:pt idx="335">
                  <c:v>3.880868349752209E-2</c:v>
                </c:pt>
                <c:pt idx="336">
                  <c:v>3.8645199304451427E-2</c:v>
                </c:pt>
                <c:pt idx="337">
                  <c:v>3.8482760020159268E-2</c:v>
                </c:pt>
                <c:pt idx="338">
                  <c:v>3.8321356502914905E-2</c:v>
                </c:pt>
                <c:pt idx="339">
                  <c:v>3.8160979713489973E-2</c:v>
                </c:pt>
                <c:pt idx="340">
                  <c:v>3.8001620713750905E-2</c:v>
                </c:pt>
                <c:pt idx="341">
                  <c:v>3.7843270665272266E-2</c:v>
                </c:pt>
                <c:pt idx="342">
                  <c:v>3.7685920827974728E-2</c:v>
                </c:pt>
                <c:pt idx="343">
                  <c:v>3.7529562558783036E-2</c:v>
                </c:pt>
                <c:pt idx="344">
                  <c:v>3.7374187310307394E-2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23-40FD-94CE-806E6702BC77}"/>
            </c:ext>
          </c:extLst>
        </c:ser>
        <c:ser>
          <c:idx val="4"/>
          <c:order val="4"/>
          <c:tx>
            <c:strRef>
              <c:f>'Survival Extrapolation'!$AA$20:$AB$20</c:f>
              <c:strCache>
                <c:ptCount val="1"/>
                <c:pt idx="0">
                  <c:v>LogLogistic</c:v>
                </c:pt>
              </c:strCache>
            </c:strRef>
          </c:tx>
          <c:spPr>
            <a:ln w="19050" cap="rnd">
              <a:solidFill>
                <a:srgbClr val="F3F743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Extrapolation'!$AB$26:$AB$370</c:f>
              <c:numCache>
                <c:formatCode>General</c:formatCode>
                <c:ptCount val="345"/>
                <c:pt idx="0">
                  <c:v>1</c:v>
                </c:pt>
                <c:pt idx="1">
                  <c:v>0.9627221764966124</c:v>
                </c:pt>
                <c:pt idx="2">
                  <c:v>0.92498848671902922</c:v>
                </c:pt>
                <c:pt idx="3">
                  <c:v>0.88891637265349288</c:v>
                </c:pt>
                <c:pt idx="4">
                  <c:v>0.85481956834506834</c:v>
                </c:pt>
                <c:pt idx="5">
                  <c:v>0.82272725786153533</c:v>
                </c:pt>
                <c:pt idx="6">
                  <c:v>0.79257104564411518</c:v>
                </c:pt>
                <c:pt idx="7">
                  <c:v>0.76424492393164012</c:v>
                </c:pt>
                <c:pt idx="8">
                  <c:v>0.73762997672209396</c:v>
                </c:pt>
                <c:pt idx="9">
                  <c:v>0.71260576384029573</c:v>
                </c:pt>
                <c:pt idx="10">
                  <c:v>0.68905578185644301</c:v>
                </c:pt>
                <c:pt idx="11">
                  <c:v>0.66687002537862594</c:v>
                </c:pt>
                <c:pt idx="12">
                  <c:v>0.64594604658063137</c:v>
                </c:pt>
                <c:pt idx="13">
                  <c:v>0.62618921510455361</c:v>
                </c:pt>
                <c:pt idx="14">
                  <c:v>0.60751255159102069</c:v>
                </c:pt>
                <c:pt idx="15">
                  <c:v>0.58983634091041282</c:v>
                </c:pt>
                <c:pt idx="16">
                  <c:v>0.5730876414915933</c:v>
                </c:pt>
                <c:pt idx="17">
                  <c:v>0.55719975708416936</c:v>
                </c:pt>
                <c:pt idx="18">
                  <c:v>0.54211170852347923</c:v>
                </c:pt>
                <c:pt idx="19">
                  <c:v>0.5277677262059296</c:v>
                </c:pt>
                <c:pt idx="20">
                  <c:v>0.51411677398521061</c:v>
                </c:pt>
                <c:pt idx="21">
                  <c:v>0.50111210925598315</c:v>
                </c:pt>
                <c:pt idx="22">
                  <c:v>0.48871088048355033</c:v>
                </c:pt>
                <c:pt idx="23">
                  <c:v>0.47687376141162224</c:v>
                </c:pt>
                <c:pt idx="24">
                  <c:v>0.46556462006111671</c:v>
                </c:pt>
                <c:pt idx="25">
                  <c:v>0.45475022006956251</c:v>
                </c:pt>
                <c:pt idx="26">
                  <c:v>0.44439995169553209</c:v>
                </c:pt>
                <c:pt idx="27">
                  <c:v>0.43448558978978646</c:v>
                </c:pt>
                <c:pt idx="28">
                  <c:v>0.42498107612935526</c:v>
                </c:pt>
                <c:pt idx="29">
                  <c:v>0.41586232366922732</c:v>
                </c:pt>
                <c:pt idx="30">
                  <c:v>0.40710704045545698</c:v>
                </c:pt>
                <c:pt idx="31">
                  <c:v>0.39869457114283713</c:v>
                </c:pt>
                <c:pt idx="32">
                  <c:v>0.39060575425757632</c:v>
                </c:pt>
                <c:pt idx="33">
                  <c:v>0.38282279353356546</c:v>
                </c:pt>
                <c:pt idx="34">
                  <c:v>0.3753291418260708</c:v>
                </c:pt>
                <c:pt idx="35">
                  <c:v>0.36810939626735878</c:v>
                </c:pt>
                <c:pt idx="36">
                  <c:v>0.3611492034744555</c:v>
                </c:pt>
                <c:pt idx="37">
                  <c:v>0.35443517375033246</c:v>
                </c:pt>
                <c:pt idx="38">
                  <c:v>0.34795480333711165</c:v>
                </c:pt>
                <c:pt idx="39">
                  <c:v>0.34169640388442662</c:v>
                </c:pt>
                <c:pt idx="40">
                  <c:v>0.33564903838898935</c:v>
                </c:pt>
                <c:pt idx="41">
                  <c:v>0.32980246294383142</c:v>
                </c:pt>
                <c:pt idx="42">
                  <c:v>0.32414707370870155</c:v>
                </c:pt>
                <c:pt idx="43">
                  <c:v>0.31867385857773489</c:v>
                </c:pt>
                <c:pt idx="44">
                  <c:v>0.31337435307770045</c:v>
                </c:pt>
                <c:pt idx="45">
                  <c:v>0.30824060008073939</c:v>
                </c:pt>
                <c:pt idx="46">
                  <c:v>0.30326511296028874</c:v>
                </c:pt>
                <c:pt idx="47">
                  <c:v>0.29844084185853131</c:v>
                </c:pt>
                <c:pt idx="48">
                  <c:v>0.29376114276882992</c:v>
                </c:pt>
                <c:pt idx="49">
                  <c:v>0.28921974916772863</c:v>
                </c:pt>
                <c:pt idx="50">
                  <c:v>0.28481074595871042</c:v>
                </c:pt>
                <c:pt idx="51">
                  <c:v>0.28052854551440881</c:v>
                </c:pt>
                <c:pt idx="52">
                  <c:v>0.27636786562574372</c:v>
                </c:pt>
                <c:pt idx="53">
                  <c:v>0.27232370918581872</c:v>
                </c:pt>
                <c:pt idx="54">
                  <c:v>0.26839134545365262</c:v>
                </c:pt>
                <c:pt idx="55">
                  <c:v>0.26456629275817989</c:v>
                </c:pt>
                <c:pt idx="56">
                  <c:v>0.26084430251665525</c:v>
                </c:pt>
                <c:pt idx="57">
                  <c:v>0.25722134445383082</c:v>
                </c:pt>
                <c:pt idx="58">
                  <c:v>0.25369359291921145</c:v>
                </c:pt>
                <c:pt idx="59">
                  <c:v>0.25025741420947351</c:v>
                </c:pt>
                <c:pt idx="60">
                  <c:v>0.24690935481190301</c:v>
                </c:pt>
                <c:pt idx="61">
                  <c:v>0.2436461304925609</c:v>
                </c:pt>
                <c:pt idx="62">
                  <c:v>0.24046461615994102</c:v>
                </c:pt>
                <c:pt idx="63">
                  <c:v>0.23736183644122344</c:v>
                </c:pt>
                <c:pt idx="64">
                  <c:v>0.23433495691392486</c:v>
                </c:pt>
                <c:pt idx="65">
                  <c:v>0.23138127594088342</c:v>
                </c:pt>
                <c:pt idx="66">
                  <c:v>0.22849821706114079</c:v>
                </c:pt>
                <c:pt idx="67">
                  <c:v>0.22568332189345683</c:v>
                </c:pt>
                <c:pt idx="68">
                  <c:v>0.22293424351296479</c:v>
                </c:pt>
                <c:pt idx="69">
                  <c:v>0.22024874026488156</c:v>
                </c:pt>
                <c:pt idx="70">
                  <c:v>0.2176246699822702</c:v>
                </c:pt>
                <c:pt idx="71">
                  <c:v>0.21505998457764844</c:v>
                </c:pt>
                <c:pt idx="72">
                  <c:v>0.21255272498076566</c:v>
                </c:pt>
                <c:pt idx="73">
                  <c:v>0.21010101639717249</c:v>
                </c:pt>
                <c:pt idx="74">
                  <c:v>0.20770306386429235</c:v>
                </c:pt>
                <c:pt idx="75">
                  <c:v>0.20535714808360273</c:v>
                </c:pt>
                <c:pt idx="76">
                  <c:v>0.20306162150926305</c:v>
                </c:pt>
                <c:pt idx="77">
                  <c:v>0.20081490467509533</c:v>
                </c:pt>
                <c:pt idx="78">
                  <c:v>0.19861548274326057</c:v>
                </c:pt>
                <c:pt idx="79">
                  <c:v>0.19646190225928198</c:v>
                </c:pt>
                <c:pt idx="80">
                  <c:v>0.19435276809925797</c:v>
                </c:pt>
                <c:pt idx="81">
                  <c:v>0.19228674059620379</c:v>
                </c:pt>
                <c:pt idx="82">
                  <c:v>0.19026253283345501</c:v>
                </c:pt>
                <c:pt idx="83">
                  <c:v>0.18827890809398312</c:v>
                </c:pt>
                <c:pt idx="84">
                  <c:v>0.18633467745530977</c:v>
                </c:pt>
                <c:pt idx="85">
                  <c:v>0.18442869752047297</c:v>
                </c:pt>
                <c:pt idx="86">
                  <c:v>0.18255986827620518</c:v>
                </c:pt>
                <c:pt idx="87">
                  <c:v>0.18072713107012797</c:v>
                </c:pt>
                <c:pt idx="88">
                  <c:v>0.17892946669936288</c:v>
                </c:pt>
                <c:pt idx="89">
                  <c:v>0.17716589360350571</c:v>
                </c:pt>
                <c:pt idx="90">
                  <c:v>0.17543546615541308</c:v>
                </c:pt>
                <c:pt idx="91">
                  <c:v>0.17373727304371364</c:v>
                </c:pt>
                <c:pt idx="92">
                  <c:v>0.17207043574138403</c:v>
                </c:pt>
                <c:pt idx="93">
                  <c:v>0.17043410705512252</c:v>
                </c:pt>
                <c:pt idx="94">
                  <c:v>0.16882746975061652</c:v>
                </c:pt>
                <c:pt idx="95">
                  <c:v>0.16724973524913614</c:v>
                </c:pt>
                <c:pt idx="96">
                  <c:v>0.16570014239119579</c:v>
                </c:pt>
                <c:pt idx="97">
                  <c:v>0.1641779562633123</c:v>
                </c:pt>
                <c:pt idx="98">
                  <c:v>0.16268246708415357</c:v>
                </c:pt>
                <c:pt idx="99">
                  <c:v>0.16121298914661641</c:v>
                </c:pt>
                <c:pt idx="100">
                  <c:v>0.159768859812602</c:v>
                </c:pt>
                <c:pt idx="101">
                  <c:v>0.15834943855746456</c:v>
                </c:pt>
                <c:pt idx="102">
                  <c:v>0.15695410606130863</c:v>
                </c:pt>
                <c:pt idx="103">
                  <c:v>0.15558226334448838</c:v>
                </c:pt>
                <c:pt idx="104">
                  <c:v>0.15423333094483294</c:v>
                </c:pt>
                <c:pt idx="105">
                  <c:v>0.15290674813427813</c:v>
                </c:pt>
                <c:pt idx="106">
                  <c:v>0.15160197217272936</c:v>
                </c:pt>
                <c:pt idx="107">
                  <c:v>0.15031847759711811</c:v>
                </c:pt>
                <c:pt idx="108">
                  <c:v>0.1490557555437379</c:v>
                </c:pt>
                <c:pt idx="109">
                  <c:v>0.14781331310206547</c:v>
                </c:pt>
                <c:pt idx="110">
                  <c:v>0.14659067269838064</c:v>
                </c:pt>
                <c:pt idx="111">
                  <c:v>0.14538737150760087</c:v>
                </c:pt>
                <c:pt idx="112">
                  <c:v>0.14420296089184209</c:v>
                </c:pt>
                <c:pt idx="113">
                  <c:v>0.14303700586430515</c:v>
                </c:pt>
                <c:pt idx="114">
                  <c:v>0.14188908457717089</c:v>
                </c:pt>
                <c:pt idx="115">
                  <c:v>0.14075878783226459</c:v>
                </c:pt>
                <c:pt idx="116">
                  <c:v>0.13964571861332095</c:v>
                </c:pt>
                <c:pt idx="117">
                  <c:v>0.13854949163875169</c:v>
                </c:pt>
                <c:pt idx="118">
                  <c:v>0.13746973293387751</c:v>
                </c:pt>
                <c:pt idx="119">
                  <c:v>0.13640607942164837</c:v>
                </c:pt>
                <c:pt idx="120">
                  <c:v>0.13535817853092971</c:v>
                </c:pt>
                <c:pt idx="121">
                  <c:v>0.1343256878214851</c:v>
                </c:pt>
                <c:pt idx="122">
                  <c:v>0.1333082746248338</c:v>
                </c:pt>
                <c:pt idx="123">
                  <c:v>0.13230561570020838</c:v>
                </c:pt>
                <c:pt idx="124">
                  <c:v>0.13131739690487906</c:v>
                </c:pt>
                <c:pt idx="125">
                  <c:v>0.13034331287815315</c:v>
                </c:pt>
                <c:pt idx="126">
                  <c:v>0.12938306673839411</c:v>
                </c:pt>
                <c:pt idx="127">
                  <c:v>0.12843636979244177</c:v>
                </c:pt>
                <c:pt idx="128">
                  <c:v>0.12750294125684727</c:v>
                </c:pt>
                <c:pt idx="129">
                  <c:v>0.12658250799036838</c:v>
                </c:pt>
                <c:pt idx="130">
                  <c:v>0.12567480423720007</c:v>
                </c:pt>
                <c:pt idx="131">
                  <c:v>0.12477957138044286</c:v>
                </c:pt>
                <c:pt idx="132">
                  <c:v>0.12389655770533774</c:v>
                </c:pt>
                <c:pt idx="133">
                  <c:v>0.12302551817182064</c:v>
                </c:pt>
                <c:pt idx="134">
                  <c:v>0.1221662141959729</c:v>
                </c:pt>
                <c:pt idx="135">
                  <c:v>0.12131841343996629</c:v>
                </c:pt>
                <c:pt idx="136">
                  <c:v>0.12048188961012059</c:v>
                </c:pt>
                <c:pt idx="137">
                  <c:v>0.11965642226271207</c:v>
                </c:pt>
                <c:pt idx="138">
                  <c:v>0.11884179661718997</c:v>
                </c:pt>
                <c:pt idx="139">
                  <c:v>0.11803780337647286</c:v>
                </c:pt>
                <c:pt idx="140">
                  <c:v>0.11724423855401682</c:v>
                </c:pt>
                <c:pt idx="141">
                  <c:v>0.11646090330735903</c:v>
                </c:pt>
                <c:pt idx="142">
                  <c:v>0.11568760377785765</c:v>
                </c:pt>
                <c:pt idx="143">
                  <c:v>0.11492415093636077</c:v>
                </c:pt>
                <c:pt idx="144">
                  <c:v>0.11417036043455152</c:v>
                </c:pt>
                <c:pt idx="145">
                  <c:v>0.11342605246172778</c:v>
                </c:pt>
                <c:pt idx="146">
                  <c:v>0.1126910516067867</c:v>
                </c:pt>
                <c:pt idx="147">
                  <c:v>0.11196518672519616</c:v>
                </c:pt>
                <c:pt idx="148">
                  <c:v>0.11124829081074396</c:v>
                </c:pt>
                <c:pt idx="149">
                  <c:v>0.1105402008718671</c:v>
                </c:pt>
                <c:pt idx="150">
                  <c:v>0.10984075781237165</c:v>
                </c:pt>
                <c:pt idx="151">
                  <c:v>0.10914980631636362</c:v>
                </c:pt>
                <c:pt idx="152">
                  <c:v>0.10846719473721812</c:v>
                </c:pt>
                <c:pt idx="153">
                  <c:v>0.10779277499042356</c:v>
                </c:pt>
                <c:pt idx="154">
                  <c:v>0.10712640245014458</c:v>
                </c:pt>
                <c:pt idx="155">
                  <c:v>0.10646793584935409</c:v>
                </c:pt>
                <c:pt idx="156">
                  <c:v>0.10581723718339235</c:v>
                </c:pt>
                <c:pt idx="157">
                  <c:v>0.10517417161681678</c:v>
                </c:pt>
                <c:pt idx="158">
                  <c:v>0.10453860739341339</c:v>
                </c:pt>
                <c:pt idx="159">
                  <c:v>0.1039104157492446</c:v>
                </c:pt>
                <c:pt idx="160">
                  <c:v>0.10328947082861603</c:v>
                </c:pt>
                <c:pt idx="161">
                  <c:v>0.10267564960284831</c:v>
                </c:pt>
                <c:pt idx="162">
                  <c:v>0.10206883179174579</c:v>
                </c:pt>
                <c:pt idx="163">
                  <c:v>0.10146889978765876</c:v>
                </c:pt>
                <c:pt idx="164">
                  <c:v>0.10087573858203959</c:v>
                </c:pt>
                <c:pt idx="165">
                  <c:v>0.10028923569439882</c:v>
                </c:pt>
                <c:pt idx="166">
                  <c:v>9.9709281103569886E-2</c:v>
                </c:pt>
                <c:pt idx="167">
                  <c:v>9.9135767181195683E-2</c:v>
                </c:pt>
                <c:pt idx="168">
                  <c:v>9.85685886273545E-2</c:v>
                </c:pt>
                <c:pt idx="169">
                  <c:v>9.8007642408244749E-2</c:v>
                </c:pt>
                <c:pt idx="170">
                  <c:v>9.7452827695853408E-2</c:v>
                </c:pt>
                <c:pt idx="171">
                  <c:v>9.6904045809534115E-2</c:v>
                </c:pt>
                <c:pt idx="172">
                  <c:v>9.6361200159425522E-2</c:v>
                </c:pt>
                <c:pt idx="173">
                  <c:v>9.5824196191643063E-2</c:v>
                </c:pt>
                <c:pt idx="174">
                  <c:v>9.5292941335178891E-2</c:v>
                </c:pt>
                <c:pt idx="175">
                  <c:v>9.4767344950449403E-2</c:v>
                </c:pt>
                <c:pt idx="176">
                  <c:v>9.4247318279430614E-2</c:v>
                </c:pt>
                <c:pt idx="177">
                  <c:v>9.3732774397324914E-2</c:v>
                </c:pt>
                <c:pt idx="178">
                  <c:v>9.3223628165704508E-2</c:v>
                </c:pt>
                <c:pt idx="179">
                  <c:v>9.2719796187079567E-2</c:v>
                </c:pt>
                <c:pt idx="180">
                  <c:v>9.222119676084102E-2</c:v>
                </c:pt>
                <c:pt idx="181">
                  <c:v>9.1727749840529477E-2</c:v>
                </c:pt>
                <c:pt idx="182">
                  <c:v>9.1239376992384671E-2</c:v>
                </c:pt>
                <c:pt idx="183">
                  <c:v>9.0756001355129859E-2</c:v>
                </c:pt>
                <c:pt idx="184">
                  <c:v>9.027754760095065E-2</c:v>
                </c:pt>
                <c:pt idx="185">
                  <c:v>8.9803941897624459E-2</c:v>
                </c:pt>
                <c:pt idx="186">
                  <c:v>8.9335111871764183E-2</c:v>
                </c:pt>
                <c:pt idx="187">
                  <c:v>8.8870986573135399E-2</c:v>
                </c:pt>
                <c:pt idx="188">
                  <c:v>8.8411496440013226E-2</c:v>
                </c:pt>
                <c:pt idx="189">
                  <c:v>8.795657326554196E-2</c:v>
                </c:pt>
                <c:pt idx="190">
                  <c:v>8.75061501650648E-2</c:v>
                </c:pt>
                <c:pt idx="191">
                  <c:v>8.706016154439139E-2</c:v>
                </c:pt>
                <c:pt idx="192">
                  <c:v>8.6618543068971141E-2</c:v>
                </c:pt>
                <c:pt idx="193">
                  <c:v>8.6181231633943173E-2</c:v>
                </c:pt>
                <c:pt idx="194">
                  <c:v>8.5748165335033863E-2</c:v>
                </c:pt>
                <c:pt idx="195">
                  <c:v>8.5319283440274105E-2</c:v>
                </c:pt>
                <c:pt idx="196">
                  <c:v>8.4894526362509437E-2</c:v>
                </c:pt>
                <c:pt idx="197">
                  <c:v>8.4473835632677491E-2</c:v>
                </c:pt>
                <c:pt idx="198">
                  <c:v>8.4057153873828033E-2</c:v>
                </c:pt>
                <c:pt idx="199">
                  <c:v>8.3644424775861342E-2</c:v>
                </c:pt>
                <c:pt idx="200">
                  <c:v>8.3235593070962302E-2</c:v>
                </c:pt>
                <c:pt idx="201">
                  <c:v>8.2830604509707986E-2</c:v>
                </c:pt>
                <c:pt idx="202">
                  <c:v>8.2429405837826708E-2</c:v>
                </c:pt>
                <c:pt idx="203">
                  <c:v>8.2031944773589258E-2</c:v>
                </c:pt>
                <c:pt idx="204">
                  <c:v>8.1638169985810694E-2</c:v>
                </c:pt>
                <c:pt idx="205">
                  <c:v>8.1248031072445562E-2</c:v>
                </c:pt>
                <c:pt idx="206">
                  <c:v>8.0861478539756046E-2</c:v>
                </c:pt>
                <c:pt idx="207">
                  <c:v>8.0478463782036797E-2</c:v>
                </c:pt>
                <c:pt idx="208">
                  <c:v>8.0098939061878358E-2</c:v>
                </c:pt>
                <c:pt idx="209">
                  <c:v>7.9722857490952773E-2</c:v>
                </c:pt>
                <c:pt idx="210">
                  <c:v>7.9350173011305827E-2</c:v>
                </c:pt>
                <c:pt idx="211">
                  <c:v>7.8980840377139788E-2</c:v>
                </c:pt>
                <c:pt idx="212">
                  <c:v>7.8614815137072094E-2</c:v>
                </c:pt>
                <c:pt idx="213">
                  <c:v>7.8252053616855513E-2</c:v>
                </c:pt>
                <c:pt idx="214">
                  <c:v>7.7892512902546063E-2</c:v>
                </c:pt>
                <c:pt idx="215">
                  <c:v>7.7536150824105005E-2</c:v>
                </c:pt>
                <c:pt idx="216">
                  <c:v>7.7182925939421582E-2</c:v>
                </c:pt>
                <c:pt idx="217">
                  <c:v>7.6832797518745291E-2</c:v>
                </c:pt>
                <c:pt idx="218">
                  <c:v>7.648572552951384E-2</c:v>
                </c:pt>
                <c:pt idx="219">
                  <c:v>7.6141670621566196E-2</c:v>
                </c:pt>
                <c:pt idx="220">
                  <c:v>7.5800594112729658E-2</c:v>
                </c:pt>
                <c:pt idx="221">
                  <c:v>7.546245797476854E-2</c:v>
                </c:pt>
                <c:pt idx="222">
                  <c:v>7.512722481968577E-2</c:v>
                </c:pt>
                <c:pt idx="223">
                  <c:v>7.4794857886365834E-2</c:v>
                </c:pt>
                <c:pt idx="224">
                  <c:v>7.4465321027549547E-2</c:v>
                </c:pt>
                <c:pt idx="225">
                  <c:v>7.4138578697131571E-2</c:v>
                </c:pt>
                <c:pt idx="226">
                  <c:v>7.3814595937770705E-2</c:v>
                </c:pt>
                <c:pt idx="227">
                  <c:v>7.3493338368804478E-2</c:v>
                </c:pt>
                <c:pt idx="228">
                  <c:v>7.3174772174459182E-2</c:v>
                </c:pt>
                <c:pt idx="229">
                  <c:v>7.2858864092347181E-2</c:v>
                </c:pt>
                <c:pt idx="230">
                  <c:v>7.2545581402243015E-2</c:v>
                </c:pt>
                <c:pt idx="231">
                  <c:v>7.2234891915130897E-2</c:v>
                </c:pt>
                <c:pt idx="232">
                  <c:v>7.1926763962515752E-2</c:v>
                </c:pt>
                <c:pt idx="233">
                  <c:v>7.1621166385990379E-2</c:v>
                </c:pt>
                <c:pt idx="234">
                  <c:v>7.1318068527051998E-2</c:v>
                </c:pt>
                <c:pt idx="235">
                  <c:v>7.1017440217160679E-2</c:v>
                </c:pt>
                <c:pt idx="236">
                  <c:v>7.0719251768033481E-2</c:v>
                </c:pt>
                <c:pt idx="237">
                  <c:v>7.0423473962167721E-2</c:v>
                </c:pt>
                <c:pt idx="238">
                  <c:v>7.013007804358698E-2</c:v>
                </c:pt>
                <c:pt idx="239">
                  <c:v>6.983903570880394E-2</c:v>
                </c:pt>
                <c:pt idx="240">
                  <c:v>6.9550319097993848E-2</c:v>
                </c:pt>
                <c:pt idx="241">
                  <c:v>6.9263900786373303E-2</c:v>
                </c:pt>
                <c:pt idx="242">
                  <c:v>6.8979753775778765E-2</c:v>
                </c:pt>
                <c:pt idx="243">
                  <c:v>6.8697851486438921E-2</c:v>
                </c:pt>
                <c:pt idx="244">
                  <c:v>6.8418167748936748E-2</c:v>
                </c:pt>
                <c:pt idx="245">
                  <c:v>6.814067679635484E-2</c:v>
                </c:pt>
                <c:pt idx="246">
                  <c:v>6.7865353256600647E-2</c:v>
                </c:pt>
                <c:pt idx="247">
                  <c:v>6.7592172144905496E-2</c:v>
                </c:pt>
                <c:pt idx="248">
                  <c:v>6.7321108856493839E-2</c:v>
                </c:pt>
                <c:pt idx="249">
                  <c:v>6.7052139159417656E-2</c:v>
                </c:pt>
                <c:pt idx="250">
                  <c:v>6.6785239187551929E-2</c:v>
                </c:pt>
                <c:pt idx="251">
                  <c:v>6.6520385433746887E-2</c:v>
                </c:pt>
                <c:pt idx="252">
                  <c:v>6.625755474313319E-2</c:v>
                </c:pt>
                <c:pt idx="253">
                  <c:v>6.5996724306575813E-2</c:v>
                </c:pt>
                <c:pt idx="254">
                  <c:v>6.5737871654272848E-2</c:v>
                </c:pt>
                <c:pt idx="255">
                  <c:v>6.548097464949558E-2</c:v>
                </c:pt>
                <c:pt idx="256">
                  <c:v>6.5226011482466401E-2</c:v>
                </c:pt>
                <c:pt idx="257">
                  <c:v>6.4972960664370555E-2</c:v>
                </c:pt>
                <c:pt idx="258">
                  <c:v>6.4721801021498729E-2</c:v>
                </c:pt>
                <c:pt idx="259">
                  <c:v>6.4472511689517106E-2</c:v>
                </c:pt>
                <c:pt idx="260">
                  <c:v>6.42250721078617E-2</c:v>
                </c:pt>
                <c:pt idx="261">
                  <c:v>6.3979462014253349E-2</c:v>
                </c:pt>
                <c:pt idx="262">
                  <c:v>6.373566143933139E-2</c:v>
                </c:pt>
                <c:pt idx="263">
                  <c:v>6.3493650701401741E-2</c:v>
                </c:pt>
                <c:pt idx="264">
                  <c:v>6.325341040129788E-2</c:v>
                </c:pt>
                <c:pt idx="265">
                  <c:v>6.3014921417350794E-2</c:v>
                </c:pt>
                <c:pt idx="266">
                  <c:v>6.2778164900465699E-2</c:v>
                </c:pt>
                <c:pt idx="267">
                  <c:v>6.2543122269303364E-2</c:v>
                </c:pt>
                <c:pt idx="268">
                  <c:v>6.2309775205562364E-2</c:v>
                </c:pt>
                <c:pt idx="269">
                  <c:v>6.2078105649360886E-2</c:v>
                </c:pt>
                <c:pt idx="270">
                  <c:v>6.1848095794714897E-2</c:v>
                </c:pt>
                <c:pt idx="271">
                  <c:v>6.1619728085110889E-2</c:v>
                </c:pt>
                <c:pt idx="272">
                  <c:v>6.1392985209170477E-2</c:v>
                </c:pt>
                <c:pt idx="273">
                  <c:v>6.116785009640488E-2</c:v>
                </c:pt>
                <c:pt idx="274">
                  <c:v>6.0944305913057127E-2</c:v>
                </c:pt>
                <c:pt idx="275">
                  <c:v>6.0722336058029742E-2</c:v>
                </c:pt>
                <c:pt idx="276">
                  <c:v>6.050192415889593E-2</c:v>
                </c:pt>
                <c:pt idx="277">
                  <c:v>6.0283054067992475E-2</c:v>
                </c:pt>
                <c:pt idx="278">
                  <c:v>6.0065709858591984E-2</c:v>
                </c:pt>
                <c:pt idx="279">
                  <c:v>5.9849875821152941E-2</c:v>
                </c:pt>
                <c:pt idx="280">
                  <c:v>5.9635536459645921E-2</c:v>
                </c:pt>
                <c:pt idx="281">
                  <c:v>5.9422676487953387E-2</c:v>
                </c:pt>
                <c:pt idx="282">
                  <c:v>5.9211280826342312E-2</c:v>
                </c:pt>
                <c:pt idx="283">
                  <c:v>5.9001334598007327E-2</c:v>
                </c:pt>
                <c:pt idx="284">
                  <c:v>5.8792823125682812E-2</c:v>
                </c:pt>
                <c:pt idx="285">
                  <c:v>5.8585731928322601E-2</c:v>
                </c:pt>
                <c:pt idx="286">
                  <c:v>5.8380046717845406E-2</c:v>
                </c:pt>
                <c:pt idx="287">
                  <c:v>5.8175753395944878E-2</c:v>
                </c:pt>
                <c:pt idx="288">
                  <c:v>5.7972838050962115E-2</c:v>
                </c:pt>
                <c:pt idx="289">
                  <c:v>5.7771286954820138E-2</c:v>
                </c:pt>
                <c:pt idx="290">
                  <c:v>5.7571086560018012E-2</c:v>
                </c:pt>
                <c:pt idx="291">
                  <c:v>5.737222349668377E-2</c:v>
                </c:pt>
                <c:pt idx="292">
                  <c:v>5.7174684569684914E-2</c:v>
                </c:pt>
                <c:pt idx="293">
                  <c:v>5.6978456755794639E-2</c:v>
                </c:pt>
                <c:pt idx="294">
                  <c:v>5.6783527200913002E-2</c:v>
                </c:pt>
                <c:pt idx="295">
                  <c:v>5.6589883217341826E-2</c:v>
                </c:pt>
                <c:pt idx="296">
                  <c:v>5.6397512281111666E-2</c:v>
                </c:pt>
                <c:pt idx="297">
                  <c:v>5.6206402029360163E-2</c:v>
                </c:pt>
                <c:pt idx="298">
                  <c:v>5.6016540257760566E-2</c:v>
                </c:pt>
                <c:pt idx="299">
                  <c:v>5.5827914917998829E-2</c:v>
                </c:pt>
                <c:pt idx="300">
                  <c:v>5.5640514115299085E-2</c:v>
                </c:pt>
                <c:pt idx="301">
                  <c:v>5.5454326105995551E-2</c:v>
                </c:pt>
                <c:pt idx="302">
                  <c:v>5.5269339295150446E-2</c:v>
                </c:pt>
                <c:pt idx="303">
                  <c:v>5.5085542234216481E-2</c:v>
                </c:pt>
                <c:pt idx="304">
                  <c:v>5.4902923618743486E-2</c:v>
                </c:pt>
                <c:pt idx="305">
                  <c:v>5.4721472286127601E-2</c:v>
                </c:pt>
                <c:pt idx="306">
                  <c:v>5.4541177213402466E-2</c:v>
                </c:pt>
                <c:pt idx="307">
                  <c:v>5.4362027515071569E-2</c:v>
                </c:pt>
                <c:pt idx="308">
                  <c:v>5.4184012440980672E-2</c:v>
                </c:pt>
                <c:pt idx="309">
                  <c:v>5.400712137422934E-2</c:v>
                </c:pt>
                <c:pt idx="310">
                  <c:v>5.383134382912115E-2</c:v>
                </c:pt>
                <c:pt idx="311">
                  <c:v>5.3656669449151533E-2</c:v>
                </c:pt>
                <c:pt idx="312">
                  <c:v>5.348308800503198E-2</c:v>
                </c:pt>
                <c:pt idx="313">
                  <c:v>5.3310589392750983E-2</c:v>
                </c:pt>
                <c:pt idx="314">
                  <c:v>5.3139163631669657E-2</c:v>
                </c:pt>
                <c:pt idx="315">
                  <c:v>5.2968800862652161E-2</c:v>
                </c:pt>
                <c:pt idx="316">
                  <c:v>5.2799491346229868E-2</c:v>
                </c:pt>
                <c:pt idx="317">
                  <c:v>5.263122546079866E-2</c:v>
                </c:pt>
                <c:pt idx="318">
                  <c:v>5.2463993700848477E-2</c:v>
                </c:pt>
                <c:pt idx="319">
                  <c:v>5.2297786675224896E-2</c:v>
                </c:pt>
                <c:pt idx="320">
                  <c:v>5.2132595105421224E-2</c:v>
                </c:pt>
                <c:pt idx="321">
                  <c:v>5.1968409823901766E-2</c:v>
                </c:pt>
                <c:pt idx="322">
                  <c:v>5.1805221772454169E-2</c:v>
                </c:pt>
                <c:pt idx="323">
                  <c:v>5.1643022000571324E-2</c:v>
                </c:pt>
                <c:pt idx="324">
                  <c:v>5.14818016638618E-2</c:v>
                </c:pt>
                <c:pt idx="325">
                  <c:v>5.1321552022488212E-2</c:v>
                </c:pt>
                <c:pt idx="326">
                  <c:v>5.116226443963303E-2</c:v>
                </c:pt>
                <c:pt idx="327">
                  <c:v>5.1003930379991132E-2</c:v>
                </c:pt>
                <c:pt idx="328">
                  <c:v>5.0846541408288988E-2</c:v>
                </c:pt>
                <c:pt idx="329">
                  <c:v>5.0690089187829163E-2</c:v>
                </c:pt>
                <c:pt idx="330">
                  <c:v>5.0534565479060552E-2</c:v>
                </c:pt>
                <c:pt idx="331">
                  <c:v>5.0379962138173008E-2</c:v>
                </c:pt>
                <c:pt idx="332">
                  <c:v>5.0226271115716377E-2</c:v>
                </c:pt>
                <c:pt idx="333">
                  <c:v>5.0073484455243358E-2</c:v>
                </c:pt>
                <c:pt idx="334">
                  <c:v>4.9921594291975402E-2</c:v>
                </c:pt>
                <c:pt idx="335">
                  <c:v>4.9770592851491817E-2</c:v>
                </c:pt>
                <c:pt idx="336">
                  <c:v>4.9620472448440915E-2</c:v>
                </c:pt>
                <c:pt idx="337">
                  <c:v>4.9471225485273204E-2</c:v>
                </c:pt>
                <c:pt idx="338">
                  <c:v>4.9322844450996245E-2</c:v>
                </c:pt>
                <c:pt idx="339">
                  <c:v>4.9175321919950221E-2</c:v>
                </c:pt>
                <c:pt idx="340">
                  <c:v>4.9028650550604555E-2</c:v>
                </c:pt>
                <c:pt idx="341">
                  <c:v>4.8882823084374472E-2</c:v>
                </c:pt>
                <c:pt idx="342">
                  <c:v>4.8737832344457659E-2</c:v>
                </c:pt>
                <c:pt idx="343">
                  <c:v>4.8593671234690231E-2</c:v>
                </c:pt>
                <c:pt idx="344">
                  <c:v>4.8450332738421815E-2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423-40FD-94CE-806E6702BC77}"/>
            </c:ext>
          </c:extLst>
        </c:ser>
        <c:ser>
          <c:idx val="5"/>
          <c:order val="5"/>
          <c:tx>
            <c:strRef>
              <c:f>'Survival Extrapolation'!$AC$20:$AD$20</c:f>
              <c:strCache>
                <c:ptCount val="1"/>
                <c:pt idx="0">
                  <c:v>Gamma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Extrapolation'!$AD$26:$AD$370</c:f>
              <c:numCache>
                <c:formatCode>General</c:formatCode>
                <c:ptCount val="345"/>
                <c:pt idx="0">
                  <c:v>1</c:v>
                </c:pt>
                <c:pt idx="1">
                  <c:v>0.94982191438543573</c:v>
                </c:pt>
                <c:pt idx="2">
                  <c:v>0.91607095392796012</c:v>
                </c:pt>
                <c:pt idx="3">
                  <c:v>0.88694281776690886</c:v>
                </c:pt>
                <c:pt idx="4">
                  <c:v>0.86062016515594819</c:v>
                </c:pt>
                <c:pt idx="5">
                  <c:v>0.83631096379460312</c:v>
                </c:pt>
                <c:pt idx="6">
                  <c:v>0.81357318743521512</c:v>
                </c:pt>
                <c:pt idx="7">
                  <c:v>0.79212557818210327</c:v>
                </c:pt>
                <c:pt idx="8">
                  <c:v>0.77177369004847174</c:v>
                </c:pt>
                <c:pt idx="9">
                  <c:v>0.75237511266268764</c:v>
                </c:pt>
                <c:pt idx="10">
                  <c:v>0.73382101100312314</c:v>
                </c:pt>
                <c:pt idx="11">
                  <c:v>0.71602544013823954</c:v>
                </c:pt>
                <c:pt idx="12">
                  <c:v>0.69891874316341784</c:v>
                </c:pt>
                <c:pt idx="13">
                  <c:v>0.68244325796037253</c:v>
                </c:pt>
                <c:pt idx="14">
                  <c:v>0.66655040782375341</c:v>
                </c:pt>
                <c:pt idx="15">
                  <c:v>0.651198661697175</c:v>
                </c:pt>
                <c:pt idx="16">
                  <c:v>0.6363520626854573</c:v>
                </c:pt>
                <c:pt idx="17">
                  <c:v>0.62197914038817381</c:v>
                </c:pt>
                <c:pt idx="18">
                  <c:v>0.60805208989145809</c:v>
                </c:pt>
                <c:pt idx="19">
                  <c:v>0.59454614059937905</c:v>
                </c:pt>
                <c:pt idx="20">
                  <c:v>0.58143906313246374</c:v>
                </c:pt>
                <c:pt idx="21">
                  <c:v>0.56871077854879037</c:v>
                </c:pt>
                <c:pt idx="22">
                  <c:v>0.55634304467692619</c:v>
                </c:pt>
                <c:pt idx="23">
                  <c:v>0.54431920143841783</c:v>
                </c:pt>
                <c:pt idx="24">
                  <c:v>0.53262396190917716</c:v>
                </c:pt>
                <c:pt idx="25">
                  <c:v>0.52124323928110416</c:v>
                </c:pt>
                <c:pt idx="26">
                  <c:v>0.51016400231630399</c:v>
                </c:pt>
                <c:pt idx="27">
                  <c:v>0.49937415364534588</c:v>
                </c:pt>
                <c:pt idx="28">
                  <c:v>0.4888624265521222</c:v>
                </c:pt>
                <c:pt idx="29">
                  <c:v>0.4786182968478202</c:v>
                </c:pt>
                <c:pt idx="30">
                  <c:v>0.46863190715885428</c:v>
                </c:pt>
                <c:pt idx="31">
                  <c:v>0.45889400150313753</c:v>
                </c:pt>
                <c:pt idx="32">
                  <c:v>0.44939586845142609</c:v>
                </c:pt>
                <c:pt idx="33">
                  <c:v>0.44012929149816582</c:v>
                </c:pt>
                <c:pt idx="34">
                  <c:v>0.43108650552276984</c:v>
                </c:pt>
                <c:pt idx="35">
                  <c:v>0.42226015842468434</c:v>
                </c:pt>
                <c:pt idx="36">
                  <c:v>0.41364327717658533</c:v>
                </c:pt>
                <c:pt idx="37">
                  <c:v>0.40522923766901497</c:v>
                </c:pt>
                <c:pt idx="38">
                  <c:v>0.39701173782375887</c:v>
                </c:pt>
                <c:pt idx="39">
                  <c:v>0.38898477353768746</c:v>
                </c:pt>
                <c:pt idx="40">
                  <c:v>0.38114261708770525</c:v>
                </c:pt>
                <c:pt idx="41">
                  <c:v>0.3734797976840567</c:v>
                </c:pt>
                <c:pt idx="42">
                  <c:v>0.36599108390596047</c:v>
                </c:pt>
                <c:pt idx="43">
                  <c:v>0.35867146779233194</c:v>
                </c:pt>
                <c:pt idx="44">
                  <c:v>0.35151615039267736</c:v>
                </c:pt>
                <c:pt idx="45">
                  <c:v>0.34452052861033911</c:v>
                </c:pt>
                <c:pt idx="46">
                  <c:v>0.33768018319305115</c:v>
                </c:pt>
                <c:pt idx="47">
                  <c:v>0.33099086774502062</c:v>
                </c:pt>
                <c:pt idx="48">
                  <c:v>0.32444849865108605</c:v>
                </c:pt>
                <c:pt idx="49">
                  <c:v>0.31804914581739863</c:v>
                </c:pt>
                <c:pt idx="50">
                  <c:v>0.31178902414496279</c:v>
                </c:pt>
                <c:pt idx="51">
                  <c:v>0.305664485662557</c:v>
                </c:pt>
                <c:pt idx="52">
                  <c:v>0.29967201225431905</c:v>
                </c:pt>
                <c:pt idx="53">
                  <c:v>0.29380820892485704</c:v>
                </c:pt>
                <c:pt idx="54">
                  <c:v>0.28806979755127804</c:v>
                </c:pt>
                <c:pt idx="55">
                  <c:v>0.28245361107723466</c:v>
                </c:pt>
                <c:pt idx="56">
                  <c:v>0.27695658810902546</c:v>
                </c:pt>
                <c:pt idx="57">
                  <c:v>0.27157576787811766</c:v>
                </c:pt>
                <c:pt idx="58">
                  <c:v>0.26630828553824171</c:v>
                </c:pt>
                <c:pt idx="59">
                  <c:v>0.26115136776853154</c:v>
                </c:pt>
                <c:pt idx="60">
                  <c:v>0.25610232865710136</c:v>
                </c:pt>
                <c:pt idx="61">
                  <c:v>0.25115856584203411</c:v>
                </c:pt>
                <c:pt idx="62">
                  <c:v>0.24631755688902457</c:v>
                </c:pt>
                <c:pt idx="63">
                  <c:v>0.24157685588694822</c:v>
                </c:pt>
                <c:pt idx="64">
                  <c:v>0.23693409024440337</c:v>
                </c:pt>
                <c:pt idx="65">
                  <c:v>0.23238695767188278</c:v>
                </c:pt>
                <c:pt idx="66">
                  <c:v>0.22793322333563037</c:v>
                </c:pt>
                <c:pt idx="67">
                  <c:v>0.2235707171705279</c:v>
                </c:pt>
                <c:pt idx="68">
                  <c:v>0.21929733134047114</c:v>
                </c:pt>
                <c:pt idx="69">
                  <c:v>0.21511101783571518</c:v>
                </c:pt>
                <c:pt idx="70">
                  <c:v>0.21100978619759225</c:v>
                </c:pt>
                <c:pt idx="71">
                  <c:v>0.20699170136180722</c:v>
                </c:pt>
                <c:pt idx="72">
                  <c:v>0.20305488161226615</c:v>
                </c:pt>
                <c:pt idx="73">
                  <c:v>0.1991974966380603</c:v>
                </c:pt>
                <c:pt idx="74">
                  <c:v>0.19541776568681546</c:v>
                </c:pt>
                <c:pt idx="75">
                  <c:v>0.19171395580818706</c:v>
                </c:pt>
                <c:pt idx="76">
                  <c:v>0.18808438018174278</c:v>
                </c:pt>
                <c:pt idx="77">
                  <c:v>0.18452739652395656</c:v>
                </c:pt>
                <c:pt idx="78">
                  <c:v>0.18104140556941117</c:v>
                </c:pt>
                <c:pt idx="79">
                  <c:v>0.1776248496217111</c:v>
                </c:pt>
                <c:pt idx="80">
                  <c:v>0.17427621116991143</c:v>
                </c:pt>
                <c:pt idx="81">
                  <c:v>0.17099401156660599</c:v>
                </c:pt>
                <c:pt idx="82">
                  <c:v>0.16777680976407872</c:v>
                </c:pt>
                <c:pt idx="83">
                  <c:v>0.16462320110519091</c:v>
                </c:pt>
                <c:pt idx="84">
                  <c:v>0.16153181616590628</c:v>
                </c:pt>
                <c:pt idx="85">
                  <c:v>0.15850131964658176</c:v>
                </c:pt>
                <c:pt idx="86">
                  <c:v>0.15553040930932993</c:v>
                </c:pt>
                <c:pt idx="87">
                  <c:v>0.15261781495897364</c:v>
                </c:pt>
                <c:pt idx="88">
                  <c:v>0.14976229746524072</c:v>
                </c:pt>
                <c:pt idx="89">
                  <c:v>0.14696264782404478</c:v>
                </c:pt>
                <c:pt idx="90">
                  <c:v>0.14421768625579823</c:v>
                </c:pt>
                <c:pt idx="91">
                  <c:v>0.14152626133887036</c:v>
                </c:pt>
                <c:pt idx="92">
                  <c:v>0.13888724917639839</c:v>
                </c:pt>
                <c:pt idx="93">
                  <c:v>0.13629955259479143</c:v>
                </c:pt>
                <c:pt idx="94">
                  <c:v>0.13376210037235436</c:v>
                </c:pt>
                <c:pt idx="95">
                  <c:v>0.13127384649656992</c:v>
                </c:pt>
                <c:pt idx="96">
                  <c:v>0.12883376944865454</c:v>
                </c:pt>
                <c:pt idx="97">
                  <c:v>0.12644087151409011</c:v>
                </c:pt>
                <c:pt idx="98">
                  <c:v>0.12409417811791668</c:v>
                </c:pt>
                <c:pt idx="99">
                  <c:v>0.12179273718363359</c:v>
                </c:pt>
                <c:pt idx="100">
                  <c:v>0.11953561851462757</c:v>
                </c:pt>
                <c:pt idx="101">
                  <c:v>0.11732191319710639</c:v>
                </c:pt>
                <c:pt idx="102">
                  <c:v>0.11515073302357792</c:v>
                </c:pt>
                <c:pt idx="103">
                  <c:v>0.11302120993596465</c:v>
                </c:pt>
                <c:pt idx="104">
                  <c:v>0.11093249548749429</c:v>
                </c:pt>
                <c:pt idx="105">
                  <c:v>0.10888376032255387</c:v>
                </c:pt>
                <c:pt idx="106">
                  <c:v>0.10687419367374473</c:v>
                </c:pt>
                <c:pt idx="107">
                  <c:v>0.10490300287540411</c:v>
                </c:pt>
                <c:pt idx="108">
                  <c:v>0.10296941289290906</c:v>
                </c:pt>
                <c:pt idx="109">
                  <c:v>0.10107266586711228</c:v>
                </c:pt>
                <c:pt idx="110">
                  <c:v>9.9212020673283607E-2</c:v>
                </c:pt>
                <c:pt idx="111">
                  <c:v>9.7386752493979767E-2</c:v>
                </c:pt>
                <c:pt idx="112">
                  <c:v>9.5596152405276302E-2</c:v>
                </c:pt>
                <c:pt idx="113">
                  <c:v>9.3839526975838305E-2</c:v>
                </c:pt>
                <c:pt idx="114">
                  <c:v>9.2116197878321371E-2</c:v>
                </c:pt>
                <c:pt idx="115">
                  <c:v>9.0425501512628514E-2</c:v>
                </c:pt>
                <c:pt idx="116">
                  <c:v>8.8766788640567085E-2</c:v>
                </c:pt>
                <c:pt idx="117">
                  <c:v>8.7139424031465462E-2</c:v>
                </c:pt>
                <c:pt idx="118">
                  <c:v>8.554278611834909E-2</c:v>
                </c:pt>
                <c:pt idx="119">
                  <c:v>8.3976266664267385E-2</c:v>
                </c:pt>
                <c:pt idx="120">
                  <c:v>8.2439270438410484E-2</c:v>
                </c:pt>
                <c:pt idx="121">
                  <c:v>8.0931214901644455E-2</c:v>
                </c:pt>
                <c:pt idx="122">
                  <c:v>7.9451529901135243E-2</c:v>
                </c:pt>
                <c:pt idx="123">
                  <c:v>7.7999657373726272E-2</c:v>
                </c:pt>
                <c:pt idx="124">
                  <c:v>7.6575051057762522E-2</c:v>
                </c:pt>
                <c:pt idx="125">
                  <c:v>7.5177176213061303E-2</c:v>
                </c:pt>
                <c:pt idx="126">
                  <c:v>7.3805509348745968E-2</c:v>
                </c:pt>
                <c:pt idx="127">
                  <c:v>7.2459537958670772E-2</c:v>
                </c:pt>
                <c:pt idx="128">
                  <c:v>7.1138760264173095E-2</c:v>
                </c:pt>
                <c:pt idx="129">
                  <c:v>6.9842684963906776E-2</c:v>
                </c:pt>
                <c:pt idx="130">
                  <c:v>6.8570830990516307E-2</c:v>
                </c:pt>
                <c:pt idx="131">
                  <c:v>6.732272727392119E-2</c:v>
                </c:pt>
                <c:pt idx="132">
                  <c:v>6.6097912510994172E-2</c:v>
                </c:pt>
                <c:pt idx="133">
                  <c:v>6.4895934941419875E-2</c:v>
                </c:pt>
                <c:pt idx="134">
                  <c:v>6.3716352129533194E-2</c:v>
                </c:pt>
                <c:pt idx="135">
                  <c:v>6.2558730751943292E-2</c:v>
                </c:pt>
                <c:pt idx="136">
                  <c:v>6.1422646390757896E-2</c:v>
                </c:pt>
                <c:pt idx="137">
                  <c:v>6.0307683332226913E-2</c:v>
                </c:pt>
                <c:pt idx="138">
                  <c:v>5.9213434370638085E-2</c:v>
                </c:pt>
                <c:pt idx="139">
                  <c:v>5.8139500617292672E-2</c:v>
                </c:pt>
                <c:pt idx="140">
                  <c:v>5.7085491314411207E-2</c:v>
                </c:pt>
                <c:pt idx="141">
                  <c:v>5.6051023653809873E-2</c:v>
                </c:pt>
                <c:pt idx="142">
                  <c:v>5.503572260020273E-2</c:v>
                </c:pt>
                <c:pt idx="143">
                  <c:v>5.403922071899081E-2</c:v>
                </c:pt>
                <c:pt idx="144">
                  <c:v>5.3061158008399278E-2</c:v>
                </c:pt>
                <c:pt idx="145">
                  <c:v>5.2101181735833224E-2</c:v>
                </c:pt>
                <c:pt idx="146">
                  <c:v>5.1158946278324624E-2</c:v>
                </c:pt>
                <c:pt idx="147">
                  <c:v>5.0234112966951683E-2</c:v>
                </c:pt>
                <c:pt idx="148">
                  <c:v>4.9326349935110092E-2</c:v>
                </c:pt>
                <c:pt idx="149">
                  <c:v>4.8435331970525297E-2</c:v>
                </c:pt>
                <c:pt idx="150">
                  <c:v>4.7560740370897303E-2</c:v>
                </c:pt>
                <c:pt idx="151">
                  <c:v>4.6702262803070549E-2</c:v>
                </c:pt>
                <c:pt idx="152">
                  <c:v>4.5859593165631374E-2</c:v>
                </c:pt>
                <c:pt idx="153">
                  <c:v>4.5032431454829602E-2</c:v>
                </c:pt>
                <c:pt idx="154">
                  <c:v>4.4220483633737206E-2</c:v>
                </c:pt>
                <c:pt idx="155">
                  <c:v>4.3423461504544347E-2</c:v>
                </c:pt>
                <c:pt idx="156">
                  <c:v>4.2641082583913636E-2</c:v>
                </c:pt>
                <c:pt idx="157">
                  <c:v>4.1873069981298139E-2</c:v>
                </c:pt>
                <c:pt idx="158">
                  <c:v>4.1119152280150506E-2</c:v>
                </c:pt>
                <c:pt idx="159">
                  <c:v>4.0379063421934092E-2</c:v>
                </c:pt>
                <c:pt idx="160">
                  <c:v>3.9652542592867324E-2</c:v>
                </c:pt>
                <c:pt idx="161">
                  <c:v>3.8939334113321511E-2</c:v>
                </c:pt>
                <c:pt idx="162">
                  <c:v>3.8239187329803359E-2</c:v>
                </c:pt>
                <c:pt idx="163">
                  <c:v>3.7551856509448811E-2</c:v>
                </c:pt>
                <c:pt idx="164">
                  <c:v>3.6877100736966817E-2</c:v>
                </c:pt>
                <c:pt idx="165">
                  <c:v>3.6214683813960979E-2</c:v>
                </c:pt>
                <c:pt idx="166">
                  <c:v>3.5564374160570456E-2</c:v>
                </c:pt>
                <c:pt idx="167">
                  <c:v>3.4925944719367941E-2</c:v>
                </c:pt>
                <c:pt idx="168">
                  <c:v>3.4299172861454341E-2</c:v>
                </c:pt>
                <c:pt idx="169">
                  <c:v>3.3683840294693179E-2</c:v>
                </c:pt>
                <c:pt idx="170">
                  <c:v>3.3079732974030551E-2</c:v>
                </c:pt>
                <c:pt idx="171">
                  <c:v>3.2486641013844575E-2</c:v>
                </c:pt>
                <c:pt idx="172">
                  <c:v>3.190435860227292E-2</c:v>
                </c:pt>
                <c:pt idx="173">
                  <c:v>3.1332683917468018E-2</c:v>
                </c:pt>
                <c:pt idx="174">
                  <c:v>3.0771419045730664E-2</c:v>
                </c:pt>
                <c:pt idx="175">
                  <c:v>3.0220369901473365E-2</c:v>
                </c:pt>
                <c:pt idx="176">
                  <c:v>2.9679346148969055E-2</c:v>
                </c:pt>
                <c:pt idx="177">
                  <c:v>2.9148161125837624E-2</c:v>
                </c:pt>
                <c:pt idx="178">
                  <c:v>2.8626631768229327E-2</c:v>
                </c:pt>
                <c:pt idx="179">
                  <c:v>2.8114578537661639E-2</c:v>
                </c:pt>
                <c:pt idx="180">
                  <c:v>2.7611825349467045E-2</c:v>
                </c:pt>
                <c:pt idx="181">
                  <c:v>2.7118199502814688E-2</c:v>
                </c:pt>
                <c:pt idx="182">
                  <c:v>2.6633531612264894E-2</c:v>
                </c:pt>
                <c:pt idx="183">
                  <c:v>2.6157655540819946E-2</c:v>
                </c:pt>
                <c:pt idx="184">
                  <c:v>2.5690408334434145E-2</c:v>
                </c:pt>
                <c:pt idx="185">
                  <c:v>2.5231630157947937E-2</c:v>
                </c:pt>
                <c:pt idx="186">
                  <c:v>2.4781164232411168E-2</c:v>
                </c:pt>
                <c:pt idx="187">
                  <c:v>2.4338856773762352E-2</c:v>
                </c:pt>
                <c:pt idx="188">
                  <c:v>2.3904556932830889E-2</c:v>
                </c:pt>
                <c:pt idx="189">
                  <c:v>2.3478116736631471E-2</c:v>
                </c:pt>
                <c:pt idx="190">
                  <c:v>2.3059391030917142E-2</c:v>
                </c:pt>
                <c:pt idx="191">
                  <c:v>2.2648237423965933E-2</c:v>
                </c:pt>
                <c:pt idx="192">
                  <c:v>2.2244516231565648E-2</c:v>
                </c:pt>
                <c:pt idx="193">
                  <c:v>2.1848090423174371E-2</c:v>
                </c:pt>
                <c:pt idx="194">
                  <c:v>2.1458825569224738E-2</c:v>
                </c:pt>
                <c:pt idx="195">
                  <c:v>2.1076589789546851E-2</c:v>
                </c:pt>
                <c:pt idx="196">
                  <c:v>2.0701253702884781E-2</c:v>
                </c:pt>
                <c:pt idx="197">
                  <c:v>2.033269037747798E-2</c:v>
                </c:pt>
                <c:pt idx="198">
                  <c:v>1.9970775282686648E-2</c:v>
                </c:pt>
                <c:pt idx="199">
                  <c:v>1.9615386241633948E-2</c:v>
                </c:pt>
                <c:pt idx="200">
                  <c:v>1.9266403384842867E-2</c:v>
                </c:pt>
                <c:pt idx="201">
                  <c:v>1.8923709104844644E-2</c:v>
                </c:pt>
                <c:pt idx="202">
                  <c:v>1.8587188011737199E-2</c:v>
                </c:pt>
                <c:pt idx="203">
                  <c:v>1.825672688966995E-2</c:v>
                </c:pt>
                <c:pt idx="204">
                  <c:v>1.7932214654235556E-2</c:v>
                </c:pt>
                <c:pt idx="205">
                  <c:v>1.7613542310748409E-2</c:v>
                </c:pt>
                <c:pt idx="206">
                  <c:v>1.7300602913386975E-2</c:v>
                </c:pt>
                <c:pt idx="207">
                  <c:v>1.6993291525184251E-2</c:v>
                </c:pt>
                <c:pt idx="208">
                  <c:v>1.6691505178844102E-2</c:v>
                </c:pt>
                <c:pt idx="209">
                  <c:v>1.6395142838366517E-2</c:v>
                </c:pt>
                <c:pt idx="210">
                  <c:v>1.6104105361463228E-2</c:v>
                </c:pt>
                <c:pt idx="211">
                  <c:v>1.5818295462746379E-2</c:v>
                </c:pt>
                <c:pt idx="212">
                  <c:v>1.5537617677672255E-2</c:v>
                </c:pt>
                <c:pt idx="213">
                  <c:v>1.5261978327224091E-2</c:v>
                </c:pt>
                <c:pt idx="214">
                  <c:v>1.4991285483317407E-2</c:v>
                </c:pt>
                <c:pt idx="215">
                  <c:v>1.4725448934911012E-2</c:v>
                </c:pt>
                <c:pt idx="216">
                  <c:v>1.4464380154809664E-2</c:v>
                </c:pt>
                <c:pt idx="217">
                  <c:v>1.4207992267141756E-2</c:v>
                </c:pt>
                <c:pt idx="218">
                  <c:v>1.3956200015498688E-2</c:v>
                </c:pt>
                <c:pt idx="219">
                  <c:v>1.370891973171906E-2</c:v>
                </c:pt>
                <c:pt idx="220">
                  <c:v>1.3466069305306694E-2</c:v>
                </c:pt>
                <c:pt idx="221">
                  <c:v>1.3227568153466374E-2</c:v>
                </c:pt>
                <c:pt idx="222">
                  <c:v>1.2993337191744669E-2</c:v>
                </c:pt>
                <c:pt idx="223">
                  <c:v>1.2763298805262169E-2</c:v>
                </c:pt>
                <c:pt idx="224">
                  <c:v>1.2537376820526136E-2</c:v>
                </c:pt>
                <c:pt idx="225">
                  <c:v>1.2315496477808718E-2</c:v>
                </c:pt>
                <c:pt idx="226">
                  <c:v>1.209758440407982E-2</c:v>
                </c:pt>
                <c:pt idx="227">
                  <c:v>1.1883568586482207E-2</c:v>
                </c:pt>
                <c:pt idx="228">
                  <c:v>1.1673378346338636E-2</c:v>
                </c:pt>
                <c:pt idx="229">
                  <c:v>1.1466944313677008E-2</c:v>
                </c:pt>
                <c:pt idx="230">
                  <c:v>1.1264198402264891E-2</c:v>
                </c:pt>
                <c:pt idx="231">
                  <c:v>1.1065073785141544E-2</c:v>
                </c:pt>
                <c:pt idx="232">
                  <c:v>1.0869504870636648E-2</c:v>
                </c:pt>
                <c:pt idx="233">
                  <c:v>1.0677427278866225E-2</c:v>
                </c:pt>
                <c:pt idx="234">
                  <c:v>1.0488777818694617E-2</c:v>
                </c:pt>
                <c:pt idx="235">
                  <c:v>1.0303494465154106E-2</c:v>
                </c:pt>
                <c:pt idx="236">
                  <c:v>1.0121516337310066E-2</c:v>
                </c:pt>
                <c:pt idx="237">
                  <c:v>9.9427836765659805E-3</c:v>
                </c:pt>
                <c:pt idx="238">
                  <c:v>9.7672378253955694E-3</c:v>
                </c:pt>
                <c:pt idx="239">
                  <c:v>9.5948212064942417E-3</c:v>
                </c:pt>
                <c:pt idx="240">
                  <c:v>9.4254773023427774E-3</c:v>
                </c:pt>
                <c:pt idx="241">
                  <c:v>9.2591506351713537E-3</c:v>
                </c:pt>
                <c:pt idx="242">
                  <c:v>9.0957867473192566E-3</c:v>
                </c:pt>
                <c:pt idx="243">
                  <c:v>8.93533218197895E-3</c:v>
                </c:pt>
                <c:pt idx="244">
                  <c:v>8.7777344643178434E-3</c:v>
                </c:pt>
                <c:pt idx="245">
                  <c:v>8.6229420829704306E-3</c:v>
                </c:pt>
                <c:pt idx="246">
                  <c:v>8.4709044718922488E-3</c:v>
                </c:pt>
                <c:pt idx="247">
                  <c:v>8.3215719925684439E-3</c:v>
                </c:pt>
                <c:pt idx="248">
                  <c:v>8.1748959165697244E-3</c:v>
                </c:pt>
                <c:pt idx="249">
                  <c:v>8.0308284084484871E-3</c:v>
                </c:pt>
                <c:pt idx="250">
                  <c:v>7.8893225089682328E-3</c:v>
                </c:pt>
                <c:pt idx="251">
                  <c:v>7.7503321186589424E-3</c:v>
                </c:pt>
                <c:pt idx="252">
                  <c:v>7.613811981692753E-3</c:v>
                </c:pt>
                <c:pt idx="253">
                  <c:v>7.4797176700724943E-3</c:v>
                </c:pt>
                <c:pt idx="254">
                  <c:v>7.3480055681265366E-3</c:v>
                </c:pt>
                <c:pt idx="255">
                  <c:v>7.2186328573048408E-3</c:v>
                </c:pt>
                <c:pt idx="256">
                  <c:v>7.0915575012686638E-3</c:v>
                </c:pt>
                <c:pt idx="257">
                  <c:v>6.9667382312691428E-3</c:v>
                </c:pt>
                <c:pt idx="258">
                  <c:v>6.8441345318083213E-3</c:v>
                </c:pt>
                <c:pt idx="259">
                  <c:v>6.7237066265768419E-3</c:v>
                </c:pt>
                <c:pt idx="260">
                  <c:v>6.605415464662423E-3</c:v>
                </c:pt>
                <c:pt idx="261">
                  <c:v>6.4892227070252329E-3</c:v>
                </c:pt>
                <c:pt idx="262">
                  <c:v>6.3750907132322787E-3</c:v>
                </c:pt>
                <c:pt idx="263">
                  <c:v>6.2629825284475915E-3</c:v>
                </c:pt>
                <c:pt idx="264">
                  <c:v>6.1528618706724325E-3</c:v>
                </c:pt>
                <c:pt idx="265">
                  <c:v>6.0446931182300823E-3</c:v>
                </c:pt>
                <c:pt idx="266">
                  <c:v>5.9384412974908818E-3</c:v>
                </c:pt>
                <c:pt idx="267">
                  <c:v>5.8340720708323079E-3</c:v>
                </c:pt>
                <c:pt idx="268">
                  <c:v>5.7315517248298642E-3</c:v>
                </c:pt>
                <c:pt idx="269">
                  <c:v>5.6308471586736797E-3</c:v>
                </c:pt>
                <c:pt idx="270">
                  <c:v>5.5319258728063758E-3</c:v>
                </c:pt>
                <c:pt idx="271">
                  <c:v>5.4347559577780924E-3</c:v>
                </c:pt>
                <c:pt idx="272">
                  <c:v>5.3393060833137884E-3</c:v>
                </c:pt>
                <c:pt idx="273">
                  <c:v>5.245545487589709E-3</c:v>
                </c:pt>
                <c:pt idx="274">
                  <c:v>5.1534439667137999E-3</c:v>
                </c:pt>
                <c:pt idx="275">
                  <c:v>5.0629718644054078E-3</c:v>
                </c:pt>
                <c:pt idx="276">
                  <c:v>4.9741000618730435E-3</c:v>
                </c:pt>
                <c:pt idx="277">
                  <c:v>4.8867999678827712E-3</c:v>
                </c:pt>
                <c:pt idx="278">
                  <c:v>4.801043509016556E-3</c:v>
                </c:pt>
                <c:pt idx="279">
                  <c:v>4.7168031201143545E-3</c:v>
                </c:pt>
                <c:pt idx="280">
                  <c:v>4.6340517348981702E-3</c:v>
                </c:pt>
                <c:pt idx="281">
                  <c:v>4.5527627767734113E-3</c:v>
                </c:pt>
                <c:pt idx="282">
                  <c:v>4.4729101498044432E-3</c:v>
                </c:pt>
                <c:pt idx="283">
                  <c:v>4.3944682298605597E-3</c:v>
                </c:pt>
                <c:pt idx="284">
                  <c:v>4.3174118559303754E-3</c:v>
                </c:pt>
                <c:pt idx="285">
                  <c:v>4.241716321598421E-3</c:v>
                </c:pt>
                <c:pt idx="286">
                  <c:v>4.1673573666848318E-3</c:v>
                </c:pt>
                <c:pt idx="287">
                  <c:v>4.0943111690406875E-3</c:v>
                </c:pt>
                <c:pt idx="288">
                  <c:v>4.022554336499562E-3</c:v>
                </c:pt>
                <c:pt idx="289">
                  <c:v>3.9520638989796186E-3</c:v>
                </c:pt>
                <c:pt idx="290">
                  <c:v>3.8828173007351419E-3</c:v>
                </c:pt>
                <c:pt idx="291">
                  <c:v>3.8147923927531746E-3</c:v>
                </c:pt>
                <c:pt idx="292">
                  <c:v>3.7479674252933748E-3</c:v>
                </c:pt>
                <c:pt idx="293">
                  <c:v>3.6823210405680928E-3</c:v>
                </c:pt>
                <c:pt idx="294">
                  <c:v>3.6178322655600059E-3</c:v>
                </c:pt>
                <c:pt idx="295">
                  <c:v>3.554480504973867E-3</c:v>
                </c:pt>
                <c:pt idx="296">
                  <c:v>3.4922455343208147E-3</c:v>
                </c:pt>
                <c:pt idx="297">
                  <c:v>3.4311074931323571E-3</c:v>
                </c:pt>
                <c:pt idx="298">
                  <c:v>3.3710468783012537E-3</c:v>
                </c:pt>
                <c:pt idx="299">
                  <c:v>3.3120445375471874E-3</c:v>
                </c:pt>
                <c:pt idx="300">
                  <c:v>3.2540816630042269E-3</c:v>
                </c:pt>
                <c:pt idx="301">
                  <c:v>3.1971397849284156E-3</c:v>
                </c:pt>
                <c:pt idx="302">
                  <c:v>3.1412007655229335E-3</c:v>
                </c:pt>
                <c:pt idx="303">
                  <c:v>3.0862467928784998E-3</c:v>
                </c:pt>
                <c:pt idx="304">
                  <c:v>3.0322603750265742E-3</c:v>
                </c:pt>
                <c:pt idx="305">
                  <c:v>2.9792243341042468E-3</c:v>
                </c:pt>
                <c:pt idx="306">
                  <c:v>2.9271218006259314E-3</c:v>
                </c:pt>
                <c:pt idx="307">
                  <c:v>2.8759362078645268E-3</c:v>
                </c:pt>
                <c:pt idx="308">
                  <c:v>2.8256512863348293E-3</c:v>
                </c:pt>
                <c:pt idx="309">
                  <c:v>2.776251058380419E-3</c:v>
                </c:pt>
                <c:pt idx="310">
                  <c:v>2.7277198328614638E-3</c:v>
                </c:pt>
                <c:pt idx="311">
                  <c:v>2.6800421999407797E-3</c:v>
                </c:pt>
                <c:pt idx="312">
                  <c:v>2.6332030259667016E-3</c:v>
                </c:pt>
                <c:pt idx="313">
                  <c:v>2.5871874484515445E-3</c:v>
                </c:pt>
                <c:pt idx="314">
                  <c:v>2.5419808711419911E-3</c:v>
                </c:pt>
                <c:pt idx="315">
                  <c:v>2.4975689591828498E-3</c:v>
                </c:pt>
                <c:pt idx="316">
                  <c:v>2.4539376343675201E-3</c:v>
                </c:pt>
                <c:pt idx="317">
                  <c:v>2.411073070480052E-3</c:v>
                </c:pt>
                <c:pt idx="318">
                  <c:v>2.3689616887199172E-3</c:v>
                </c:pt>
                <c:pt idx="319">
                  <c:v>2.327590153213821E-3</c:v>
                </c:pt>
                <c:pt idx="320">
                  <c:v>2.2869453666094497E-3</c:v>
                </c:pt>
                <c:pt idx="321">
                  <c:v>2.2470144657511515E-3</c:v>
                </c:pt>
                <c:pt idx="322">
                  <c:v>2.207784817434888E-3</c:v>
                </c:pt>
                <c:pt idx="323">
                  <c:v>2.1692440142421221E-3</c:v>
                </c:pt>
                <c:pt idx="324">
                  <c:v>2.1313798704504228E-3</c:v>
                </c:pt>
                <c:pt idx="325">
                  <c:v>2.0941804180195644E-3</c:v>
                </c:pt>
                <c:pt idx="326">
                  <c:v>2.0576339026512347E-3</c:v>
                </c:pt>
                <c:pt idx="327">
                  <c:v>2.0217287799220163E-3</c:v>
                </c:pt>
                <c:pt idx="328">
                  <c:v>1.9864537114870906E-3</c:v>
                </c:pt>
                <c:pt idx="329">
                  <c:v>1.9517975613538852E-3</c:v>
                </c:pt>
                <c:pt idx="330">
                  <c:v>1.9177493922246658E-3</c:v>
                </c:pt>
                <c:pt idx="331">
                  <c:v>1.8842984619056313E-3</c:v>
                </c:pt>
                <c:pt idx="332">
                  <c:v>1.8514342197832878E-3</c:v>
                </c:pt>
                <c:pt idx="333">
                  <c:v>1.8191463033643274E-3</c:v>
                </c:pt>
                <c:pt idx="334">
                  <c:v>1.7874245348793449E-3</c:v>
                </c:pt>
                <c:pt idx="335">
                  <c:v>1.7562589179497268E-3</c:v>
                </c:pt>
                <c:pt idx="336">
                  <c:v>1.7256396343144909E-3</c:v>
                </c:pt>
                <c:pt idx="337">
                  <c:v>1.6955570406183007E-3</c:v>
                </c:pt>
                <c:pt idx="338">
                  <c:v>1.6660016652574328E-3</c:v>
                </c:pt>
                <c:pt idx="339">
                  <c:v>1.6369642052844746E-3</c:v>
                </c:pt>
                <c:pt idx="340">
                  <c:v>1.6084355233683123E-3</c:v>
                </c:pt>
                <c:pt idx="341">
                  <c:v>1.5804066448120713E-3</c:v>
                </c:pt>
                <c:pt idx="342">
                  <c:v>1.5528687546229047E-3</c:v>
                </c:pt>
                <c:pt idx="343">
                  <c:v>1.5258131946376263E-3</c:v>
                </c:pt>
                <c:pt idx="344">
                  <c:v>1.4992314606996349E-3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423-40FD-94CE-806E6702BC77}"/>
            </c:ext>
          </c:extLst>
        </c:ser>
        <c:ser>
          <c:idx val="6"/>
          <c:order val="6"/>
          <c:tx>
            <c:strRef>
              <c:f>'Survival Extrapolation'!$AE$20:$AF$20</c:f>
              <c:strCache>
                <c:ptCount val="1"/>
                <c:pt idx="0">
                  <c:v>Gompertz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Extrapolation'!$AF$26:$AF$370</c:f>
              <c:numCache>
                <c:formatCode>General</c:formatCode>
                <c:ptCount val="345"/>
                <c:pt idx="0">
                  <c:v>1</c:v>
                </c:pt>
                <c:pt idx="1">
                  <c:v>0.95108542400097373</c:v>
                </c:pt>
                <c:pt idx="2">
                  <c:v>0.90636623456687859</c:v>
                </c:pt>
                <c:pt idx="3">
                  <c:v>0.86540270862813085</c:v>
                </c:pt>
                <c:pt idx="4">
                  <c:v>0.82780902761525021</c:v>
                </c:pt>
                <c:pt idx="5">
                  <c:v>0.79324581081731615</c:v>
                </c:pt>
                <c:pt idx="6">
                  <c:v>0.7614137909875538</c:v>
                </c:pt>
                <c:pt idx="7">
                  <c:v>0.73204844218248211</c:v>
                </c:pt>
                <c:pt idx="8">
                  <c:v>0.7049154038044918</c:v>
                </c:pt>
                <c:pt idx="9">
                  <c:v>0.67980657232354513</c:v>
                </c:pt>
                <c:pt idx="10">
                  <c:v>0.65653675448874182</c:v>
                </c:pt>
                <c:pt idx="11">
                  <c:v>0.63494079403409132</c:v>
                </c:pt>
                <c:pt idx="12">
                  <c:v>0.61487109874859003</c:v>
                </c:pt>
                <c:pt idx="13">
                  <c:v>0.59619550696381629</c:v>
                </c:pt>
                <c:pt idx="14">
                  <c:v>0.57879544252613668</c:v>
                </c:pt>
                <c:pt idx="15">
                  <c:v>0.56256431557505204</c:v>
                </c:pt>
                <c:pt idx="16">
                  <c:v>0.54740613327235088</c:v>
                </c:pt>
                <c:pt idx="17">
                  <c:v>0.53323429028216107</c:v>
                </c:pt>
                <c:pt idx="18">
                  <c:v>0.5199705135020114</c:v>
                </c:pt>
                <c:pt idx="19">
                  <c:v>0.5075439394612089</c:v>
                </c:pt>
                <c:pt idx="20">
                  <c:v>0.49589030607421852</c:v>
                </c:pt>
                <c:pt idx="21">
                  <c:v>0.48495124317624194</c:v>
                </c:pt>
                <c:pt idx="22">
                  <c:v>0.47467364856789102</c:v>
                </c:pt>
                <c:pt idx="23">
                  <c:v>0.46500913823090062</c:v>
                </c:pt>
                <c:pt idx="24">
                  <c:v>0.45591356100884833</c:v>
                </c:pt>
                <c:pt idx="25">
                  <c:v>0.44734656942638878</c:v>
                </c:pt>
                <c:pt idx="26">
                  <c:v>0.43927123948923658</c:v>
                </c:pt>
                <c:pt idx="27">
                  <c:v>0.43165373329938755</c:v>
                </c:pt>
                <c:pt idx="28">
                  <c:v>0.42446299916429975</c:v>
                </c:pt>
                <c:pt idx="29">
                  <c:v>0.41767050459852001</c:v>
                </c:pt>
                <c:pt idx="30">
                  <c:v>0.41124999823114899</c:v>
                </c:pt>
                <c:pt idx="31">
                  <c:v>0.40517729715889794</c:v>
                </c:pt>
                <c:pt idx="32">
                  <c:v>0.3994300967359305</c:v>
                </c:pt>
                <c:pt idx="33">
                  <c:v>0.39398780017960894</c:v>
                </c:pt>
                <c:pt idx="34">
                  <c:v>0.38883136570522792</c:v>
                </c:pt>
                <c:pt idx="35">
                  <c:v>0.38394316919085314</c:v>
                </c:pt>
                <c:pt idx="36">
                  <c:v>0.37930688062224527</c:v>
                </c:pt>
                <c:pt idx="37">
                  <c:v>0.37490735278325232</c:v>
                </c:pt>
                <c:pt idx="38">
                  <c:v>0.37073052084380048</c:v>
                </c:pt>
                <c:pt idx="39">
                  <c:v>0.36676331165980391</c:v>
                </c:pt>
                <c:pt idx="40">
                  <c:v>0.36299356174039782</c:v>
                </c:pt>
                <c:pt idx="41">
                  <c:v>0.35940994296082684</c:v>
                </c:pt>
                <c:pt idx="42">
                  <c:v>0.3560018952065947</c:v>
                </c:pt>
                <c:pt idx="43">
                  <c:v>0.35275956522824164</c:v>
                </c:pt>
                <c:pt idx="44">
                  <c:v>0.34967375106819143</c:v>
                </c:pt>
                <c:pt idx="45">
                  <c:v>0.34673585149305702</c:v>
                </c:pt>
                <c:pt idx="46">
                  <c:v>0.34393781992796413</c:v>
                </c:pt>
                <c:pt idx="47">
                  <c:v>0.3412721224449855</c:v>
                </c:pt>
                <c:pt idx="48">
                  <c:v>0.33873169940667702</c:v>
                </c:pt>
                <c:pt idx="49">
                  <c:v>0.33630993040881074</c:v>
                </c:pt>
                <c:pt idx="50">
                  <c:v>0.33400060220446293</c:v>
                </c:pt>
                <c:pt idx="51">
                  <c:v>0.33179787932524962</c:v>
                </c:pt>
                <c:pt idx="52">
                  <c:v>0.32969627714528787</c:v>
                </c:pt>
                <c:pt idx="53">
                  <c:v>0.32769063715984725</c:v>
                </c:pt>
                <c:pt idx="54">
                  <c:v>0.32577610427407805</c:v>
                </c:pt>
                <c:pt idx="55">
                  <c:v>0.32394810591801076</c:v>
                </c:pt>
                <c:pt idx="56">
                  <c:v>0.32220233282252736</c:v>
                </c:pt>
                <c:pt idx="57">
                  <c:v>0.32053472130749355</c:v>
                </c:pt>
                <c:pt idx="58">
                  <c:v>0.31894143694793475</c:v>
                </c:pt>
                <c:pt idx="59">
                  <c:v>0.31741885949726034</c:v>
                </c:pt>
                <c:pt idx="60">
                  <c:v>0.31596356895826566</c:v>
                </c:pt>
                <c:pt idx="61">
                  <c:v>0.31457233270312679</c:v>
                </c:pt>
                <c:pt idx="62">
                  <c:v>0.31324209355300092</c:v>
                </c:pt>
                <c:pt idx="63">
                  <c:v>0.3119699587362631</c:v>
                </c:pt>
                <c:pt idx="64">
                  <c:v>0.31075318965196952</c:v>
                </c:pt>
                <c:pt idx="65">
                  <c:v>0.309589192371928</c:v>
                </c:pt>
                <c:pt idx="66">
                  <c:v>0.30847550882086106</c:v>
                </c:pt>
                <c:pt idx="67">
                  <c:v>0.30740980857964306</c:v>
                </c:pt>
                <c:pt idx="68">
                  <c:v>0.30638988126154793</c:v>
                </c:pt>
                <c:pt idx="69">
                  <c:v>0.30541362941590433</c:v>
                </c:pt>
                <c:pt idx="70">
                  <c:v>0.30447906191759616</c:v>
                </c:pt>
                <c:pt idx="71">
                  <c:v>0.30358428780447799</c:v>
                </c:pt>
                <c:pt idx="72">
                  <c:v>0.3027275105280805</c:v>
                </c:pt>
                <c:pt idx="73">
                  <c:v>0.3019070225859552</c:v>
                </c:pt>
                <c:pt idx="74">
                  <c:v>0.30112120050671265</c:v>
                </c:pt>
                <c:pt idx="75">
                  <c:v>0.30036850016125843</c:v>
                </c:pt>
                <c:pt idx="76">
                  <c:v>0.29964745237595164</c:v>
                </c:pt>
                <c:pt idx="77">
                  <c:v>0.29895665882543287</c:v>
                </c:pt>
                <c:pt idx="78">
                  <c:v>0.29829478818470057</c:v>
                </c:pt>
                <c:pt idx="79">
                  <c:v>0.29766057252168687</c:v>
                </c:pt>
                <c:pt idx="80">
                  <c:v>0.29705280391310213</c:v>
                </c:pt>
                <c:pt idx="81">
                  <c:v>0.29647033126770284</c:v>
                </c:pt>
                <c:pt idx="82">
                  <c:v>0.29591205734240161</c:v>
                </c:pt>
                <c:pt idx="83">
                  <c:v>0.29537693593778713</c:v>
                </c:pt>
                <c:pt idx="84">
                  <c:v>0.29486396926067787</c:v>
                </c:pt>
                <c:pt idx="85">
                  <c:v>0.29437220544229203</c:v>
                </c:pt>
                <c:pt idx="86">
                  <c:v>0.29390073620149826</c:v>
                </c:pt>
                <c:pt idx="87">
                  <c:v>0.29344869464341317</c:v>
                </c:pt>
                <c:pt idx="88">
                  <c:v>0.29301525318435284</c:v>
                </c:pt>
                <c:pt idx="89">
                  <c:v>0.29259962159481773</c:v>
                </c:pt>
                <c:pt idx="90">
                  <c:v>0.29220104515281164</c:v>
                </c:pt>
                <c:pt idx="91">
                  <c:v>0.29181880290036316</c:v>
                </c:pt>
                <c:pt idx="92">
                  <c:v>0.29145220599664112</c:v>
                </c:pt>
                <c:pt idx="93">
                  <c:v>0.29110059616153466</c:v>
                </c:pt>
                <c:pt idx="94">
                  <c:v>0.29076334420400884</c:v>
                </c:pt>
                <c:pt idx="95">
                  <c:v>0.29043984862995625</c:v>
                </c:pt>
                <c:pt idx="96">
                  <c:v>0.29012953432463329</c:v>
                </c:pt>
                <c:pt idx="97">
                  <c:v>0.28983185130512051</c:v>
                </c:pt>
                <c:pt idx="98">
                  <c:v>0.28954627353855866</c:v>
                </c:pt>
                <c:pt idx="99">
                  <c:v>0.28927229782220876</c:v>
                </c:pt>
                <c:pt idx="100">
                  <c:v>0.28900944272165197</c:v>
                </c:pt>
                <c:pt idx="101">
                  <c:v>0.28875724756369803</c:v>
                </c:pt>
                <c:pt idx="102">
                  <c:v>0.28851527148079881</c:v>
                </c:pt>
                <c:pt idx="103">
                  <c:v>0.2882830925039791</c:v>
                </c:pt>
                <c:pt idx="104">
                  <c:v>0.28806030670149335</c:v>
                </c:pt>
                <c:pt idx="105">
                  <c:v>0.28784652736060073</c:v>
                </c:pt>
                <c:pt idx="106">
                  <c:v>0.28764138421001934</c:v>
                </c:pt>
                <c:pt idx="107">
                  <c:v>0.28744452268077875</c:v>
                </c:pt>
                <c:pt idx="108">
                  <c:v>0.28725560320333526</c:v>
                </c:pt>
                <c:pt idx="109">
                  <c:v>0.28707430053894861</c:v>
                </c:pt>
                <c:pt idx="110">
                  <c:v>0.28690030314344711</c:v>
                </c:pt>
                <c:pt idx="111">
                  <c:v>0.28673331256162132</c:v>
                </c:pt>
                <c:pt idx="112">
                  <c:v>0.28657304285059892</c:v>
                </c:pt>
                <c:pt idx="113">
                  <c:v>0.28641922003065023</c:v>
                </c:pt>
                <c:pt idx="114">
                  <c:v>0.28627158156197219</c:v>
                </c:pt>
                <c:pt idx="115">
                  <c:v>0.28612987584608174</c:v>
                </c:pt>
                <c:pt idx="116">
                  <c:v>0.28599386175053615</c:v>
                </c:pt>
                <c:pt idx="117">
                  <c:v>0.28586330815576794</c:v>
                </c:pt>
                <c:pt idx="118">
                  <c:v>0.28573799352289936</c:v>
                </c:pt>
                <c:pt idx="119">
                  <c:v>0.28561770548146209</c:v>
                </c:pt>
                <c:pt idx="120">
                  <c:v>0.2855022404360143</c:v>
                </c:pt>
                <c:pt idx="121">
                  <c:v>0.28539140319070155</c:v>
                </c:pt>
                <c:pt idx="122">
                  <c:v>0.28528500659086387</c:v>
                </c:pt>
                <c:pt idx="123">
                  <c:v>0.28518287118084196</c:v>
                </c:pt>
                <c:pt idx="124">
                  <c:v>0.28508482487718273</c:v>
                </c:pt>
                <c:pt idx="125">
                  <c:v>0.28499070265648757</c:v>
                </c:pt>
                <c:pt idx="126">
                  <c:v>0.28490034625719041</c:v>
                </c:pt>
                <c:pt idx="127">
                  <c:v>0.28481360389458976</c:v>
                </c:pt>
                <c:pt idx="128">
                  <c:v>0.2847303299884969</c:v>
                </c:pt>
                <c:pt idx="129">
                  <c:v>0.28465038490289551</c:v>
                </c:pt>
                <c:pt idx="130">
                  <c:v>0.28457363469704089</c:v>
                </c:pt>
                <c:pt idx="131">
                  <c:v>0.28449995088745805</c:v>
                </c:pt>
                <c:pt idx="132">
                  <c:v>0.28442921022032452</c:v>
                </c:pt>
                <c:pt idx="133">
                  <c:v>0.28436129445375136</c:v>
                </c:pt>
                <c:pt idx="134">
                  <c:v>0.28429609014950297</c:v>
                </c:pt>
                <c:pt idx="135">
                  <c:v>0.28423348847371621</c:v>
                </c:pt>
                <c:pt idx="136">
                  <c:v>0.28417338500620493</c:v>
                </c:pt>
                <c:pt idx="137">
                  <c:v>0.28411567955795591</c:v>
                </c:pt>
                <c:pt idx="138">
                  <c:v>0.2840602759964414</c:v>
                </c:pt>
                <c:pt idx="139">
                  <c:v>0.28400708207839387</c:v>
                </c:pt>
                <c:pt idx="140">
                  <c:v>0.28395600928970494</c:v>
                </c:pt>
                <c:pt idx="141">
                  <c:v>0.28390697269212584</c:v>
                </c:pt>
                <c:pt idx="142">
                  <c:v>0.28385989077646723</c:v>
                </c:pt>
                <c:pt idx="143">
                  <c:v>0.28381468532200577</c:v>
                </c:pt>
                <c:pt idx="144">
                  <c:v>0.28377128126182127</c:v>
                </c:pt>
                <c:pt idx="145">
                  <c:v>0.28372960655380275</c:v>
                </c:pt>
                <c:pt idx="146">
                  <c:v>0.283689592057072</c:v>
                </c:pt>
                <c:pt idx="147">
                  <c:v>0.28365117141358626</c:v>
                </c:pt>
                <c:pt idx="148">
                  <c:v>0.28361428093469387</c:v>
                </c:pt>
                <c:pt idx="149">
                  <c:v>0.28357885949242545</c:v>
                </c:pt>
                <c:pt idx="150">
                  <c:v>0.28354484841531474</c:v>
                </c:pt>
                <c:pt idx="151">
                  <c:v>0.28351219138855266</c:v>
                </c:pt>
                <c:pt idx="152">
                  <c:v>0.28348083435828719</c:v>
                </c:pt>
                <c:pt idx="153">
                  <c:v>0.28345072543988964</c:v>
                </c:pt>
                <c:pt idx="154">
                  <c:v>0.28342181483001733</c:v>
                </c:pt>
                <c:pt idx="155">
                  <c:v>0.28339405472230939</c:v>
                </c:pt>
                <c:pt idx="156">
                  <c:v>0.28336739922656129</c:v>
                </c:pt>
                <c:pt idx="157">
                  <c:v>0.28334180429122779</c:v>
                </c:pt>
                <c:pt idx="158">
                  <c:v>0.28331722762911488</c:v>
                </c:pt>
                <c:pt idx="159">
                  <c:v>0.28329362864612417</c:v>
                </c:pt>
                <c:pt idx="160">
                  <c:v>0.28327096837292048</c:v>
                </c:pt>
                <c:pt idx="161">
                  <c:v>0.28324920939939963</c:v>
                </c:pt>
                <c:pt idx="162">
                  <c:v>0.28322831581183855</c:v>
                </c:pt>
                <c:pt idx="163">
                  <c:v>0.283208253132614</c:v>
                </c:pt>
                <c:pt idx="164">
                  <c:v>0.28318898826238348</c:v>
                </c:pt>
                <c:pt idx="165">
                  <c:v>0.28317048942462397</c:v>
                </c:pt>
                <c:pt idx="166">
                  <c:v>0.28315272611243081</c:v>
                </c:pt>
                <c:pt idx="167">
                  <c:v>0.283135669037482</c:v>
                </c:pt>
                <c:pt idx="168">
                  <c:v>0.28311929008107839</c:v>
                </c:pt>
                <c:pt idx="169">
                  <c:v>0.28310356224717231</c:v>
                </c:pt>
                <c:pt idx="170">
                  <c:v>0.28308845961730372</c:v>
                </c:pt>
                <c:pt idx="171">
                  <c:v>0.28307395730736312</c:v>
                </c:pt>
                <c:pt idx="172">
                  <c:v>0.28306003142610758</c:v>
                </c:pt>
                <c:pt idx="173">
                  <c:v>0.28304665903535586</c:v>
                </c:pt>
                <c:pt idx="174">
                  <c:v>0.28303381811179407</c:v>
                </c:pt>
                <c:pt idx="175">
                  <c:v>0.28302148751032591</c:v>
                </c:pt>
                <c:pt idx="176">
                  <c:v>0.28300964692890374</c:v>
                </c:pt>
                <c:pt idx="177">
                  <c:v>0.28299827687477863</c:v>
                </c:pt>
                <c:pt idx="178">
                  <c:v>0.28298735863211361</c:v>
                </c:pt>
                <c:pt idx="179">
                  <c:v>0.28297687423090129</c:v>
                </c:pt>
                <c:pt idx="180">
                  <c:v>0.28296680641713551</c:v>
                </c:pt>
                <c:pt idx="181">
                  <c:v>0.28295713862418337</c:v>
                </c:pt>
                <c:pt idx="182">
                  <c:v>0.28294785494530955</c:v>
                </c:pt>
                <c:pt idx="183">
                  <c:v>0.28293894010730675</c:v>
                </c:pt>
                <c:pt idx="184">
                  <c:v>0.28293037944518568</c:v>
                </c:pt>
                <c:pt idx="185">
                  <c:v>0.28292215887788258</c:v>
                </c:pt>
                <c:pt idx="186">
                  <c:v>0.2829142648849427</c:v>
                </c:pt>
                <c:pt idx="187">
                  <c:v>0.2829066844841393</c:v>
                </c:pt>
                <c:pt idx="188">
                  <c:v>0.28289940520999191</c:v>
                </c:pt>
                <c:pt idx="189">
                  <c:v>0.28289241509314561</c:v>
                </c:pt>
                <c:pt idx="190">
                  <c:v>0.28288570264057739</c:v>
                </c:pt>
                <c:pt idx="191">
                  <c:v>0.28287925681659587</c:v>
                </c:pt>
                <c:pt idx="192">
                  <c:v>0.28287306702460252</c:v>
                </c:pt>
                <c:pt idx="193">
                  <c:v>0.28286712308958339</c:v>
                </c:pt>
                <c:pt idx="194">
                  <c:v>0.28286141524130154</c:v>
                </c:pt>
                <c:pt idx="195">
                  <c:v>0.28285593409816318</c:v>
                </c:pt>
                <c:pt idx="196">
                  <c:v>0.28285067065172759</c:v>
                </c:pt>
                <c:pt idx="197">
                  <c:v>0.28284561625183885</c:v>
                </c:pt>
                <c:pt idx="198">
                  <c:v>0.28284076259235064</c:v>
                </c:pt>
                <c:pt idx="199">
                  <c:v>0.28283610169742196</c:v>
                </c:pt>
                <c:pt idx="200">
                  <c:v>0.28283162590836142</c:v>
                </c:pt>
                <c:pt idx="201">
                  <c:v>0.2828273278709959</c:v>
                </c:pt>
                <c:pt idx="202">
                  <c:v>0.28282320052354482</c:v>
                </c:pt>
                <c:pt idx="203">
                  <c:v>0.28281923708497841</c:v>
                </c:pt>
                <c:pt idx="204">
                  <c:v>0.28281543104384022</c:v>
                </c:pt>
                <c:pt idx="205">
                  <c:v>0.28281177614751685</c:v>
                </c:pt>
                <c:pt idx="206">
                  <c:v>0.28280826639193479</c:v>
                </c:pt>
                <c:pt idx="207">
                  <c:v>0.28280489601166953</c:v>
                </c:pt>
                <c:pt idx="208">
                  <c:v>0.28280165947044827</c:v>
                </c:pt>
                <c:pt idx="209">
                  <c:v>0.28279855145203198</c:v>
                </c:pt>
                <c:pt idx="210">
                  <c:v>0.28279556685146057</c:v>
                </c:pt>
                <c:pt idx="211">
                  <c:v>0.2827927007666482</c:v>
                </c:pt>
                <c:pt idx="212">
                  <c:v>0.28278994849031208</c:v>
                </c:pt>
                <c:pt idx="213">
                  <c:v>0.28278730550222431</c:v>
                </c:pt>
                <c:pt idx="214">
                  <c:v>0.28278476746177184</c:v>
                </c:pt>
                <c:pt idx="215">
                  <c:v>0.28278233020081306</c:v>
                </c:pt>
                <c:pt idx="216">
                  <c:v>0.28277998971681872</c:v>
                </c:pt>
                <c:pt idx="217">
                  <c:v>0.28277774216628665</c:v>
                </c:pt>
                <c:pt idx="218">
                  <c:v>0.28277558385841817</c:v>
                </c:pt>
                <c:pt idx="219">
                  <c:v>0.28277351124904654</c:v>
                </c:pt>
                <c:pt idx="220">
                  <c:v>0.28277152093480745</c:v>
                </c:pt>
                <c:pt idx="221">
                  <c:v>0.28276960964754111</c:v>
                </c:pt>
                <c:pt idx="222">
                  <c:v>0.28276777424891741</c:v>
                </c:pt>
                <c:pt idx="223">
                  <c:v>0.28276601172527538</c:v>
                </c:pt>
                <c:pt idx="224">
                  <c:v>0.28276431918266726</c:v>
                </c:pt>
                <c:pt idx="225">
                  <c:v>0.28276269384210068</c:v>
                </c:pt>
                <c:pt idx="226">
                  <c:v>0.28276113303496936</c:v>
                </c:pt>
                <c:pt idx="227">
                  <c:v>0.2827596341986664</c:v>
                </c:pt>
                <c:pt idx="228">
                  <c:v>0.28275819487237125</c:v>
                </c:pt>
                <c:pt idx="229">
                  <c:v>0.28275681269300523</c:v>
                </c:pt>
                <c:pt idx="230">
                  <c:v>0.28275548539134687</c:v>
                </c:pt>
                <c:pt idx="231">
                  <c:v>0.28275421078830287</c:v>
                </c:pt>
                <c:pt idx="232">
                  <c:v>0.28275298679132654</c:v>
                </c:pt>
                <c:pt idx="233">
                  <c:v>0.28275181139097905</c:v>
                </c:pt>
                <c:pt idx="234">
                  <c:v>0.28275068265762732</c:v>
                </c:pt>
                <c:pt idx="235">
                  <c:v>0.28274959873827327</c:v>
                </c:pt>
                <c:pt idx="236">
                  <c:v>0.28274855785350911</c:v>
                </c:pt>
                <c:pt idx="237">
                  <c:v>0.2827475582945938</c:v>
                </c:pt>
                <c:pt idx="238">
                  <c:v>0.28274659842064553</c:v>
                </c:pt>
                <c:pt idx="239">
                  <c:v>0.2827456766559458</c:v>
                </c:pt>
                <c:pt idx="240">
                  <c:v>0.28274479148735121</c:v>
                </c:pt>
                <c:pt idx="241">
                  <c:v>0.2827439414618072</c:v>
                </c:pt>
                <c:pt idx="242">
                  <c:v>0.28274312518396166</c:v>
                </c:pt>
                <c:pt idx="243">
                  <c:v>0.28274234131387216</c:v>
                </c:pt>
                <c:pt idx="244">
                  <c:v>0.28274158856480575</c:v>
                </c:pt>
                <c:pt idx="245">
                  <c:v>0.28274086570112517</c:v>
                </c:pt>
                <c:pt idx="246">
                  <c:v>0.28274017153625891</c:v>
                </c:pt>
                <c:pt idx="247">
                  <c:v>0.28273950493075312</c:v>
                </c:pt>
                <c:pt idx="248">
                  <c:v>0.28273886479039978</c:v>
                </c:pt>
                <c:pt idx="249">
                  <c:v>0.28273825006443959</c:v>
                </c:pt>
                <c:pt idx="250">
                  <c:v>0.28273765974383652</c:v>
                </c:pt>
                <c:pt idx="251">
                  <c:v>0.28273709285962079</c:v>
                </c:pt>
                <c:pt idx="252">
                  <c:v>0.28273654848129737</c:v>
                </c:pt>
                <c:pt idx="253">
                  <c:v>0.28273602571531803</c:v>
                </c:pt>
                <c:pt idx="254">
                  <c:v>0.28273552370361449</c:v>
                </c:pt>
                <c:pt idx="255">
                  <c:v>0.28273504162218871</c:v>
                </c:pt>
                <c:pt idx="256">
                  <c:v>0.28273457867976032</c:v>
                </c:pt>
                <c:pt idx="257">
                  <c:v>0.28273413411646708</c:v>
                </c:pt>
                <c:pt idx="258">
                  <c:v>0.28273370720261742</c:v>
                </c:pt>
                <c:pt idx="259">
                  <c:v>0.28273329723749208</c:v>
                </c:pt>
                <c:pt idx="260">
                  <c:v>0.28273290354819414</c:v>
                </c:pt>
                <c:pt idx="261">
                  <c:v>0.28273252548854322</c:v>
                </c:pt>
                <c:pt idx="262">
                  <c:v>0.28273216243801563</c:v>
                </c:pt>
                <c:pt idx="263">
                  <c:v>0.28273181380072476</c:v>
                </c:pt>
                <c:pt idx="264">
                  <c:v>0.28273147900444334</c:v>
                </c:pt>
                <c:pt idx="265">
                  <c:v>0.28273115749966338</c:v>
                </c:pt>
                <c:pt idx="266">
                  <c:v>0.28273084875869459</c:v>
                </c:pt>
                <c:pt idx="267">
                  <c:v>0.28273055227479765</c:v>
                </c:pt>
                <c:pt idx="268">
                  <c:v>0.28273026756135261</c:v>
                </c:pt>
                <c:pt idx="269">
                  <c:v>0.2827299941510597</c:v>
                </c:pt>
                <c:pt idx="270">
                  <c:v>0.28272973159517234</c:v>
                </c:pt>
                <c:pt idx="271">
                  <c:v>0.2827294794627605</c:v>
                </c:pt>
                <c:pt idx="272">
                  <c:v>0.28272923734000316</c:v>
                </c:pt>
                <c:pt idx="273">
                  <c:v>0.28272900482950902</c:v>
                </c:pt>
                <c:pt idx="274">
                  <c:v>0.2827287815496643</c:v>
                </c:pt>
                <c:pt idx="275">
                  <c:v>0.2827285671340059</c:v>
                </c:pt>
                <c:pt idx="276">
                  <c:v>0.2827283612306204</c:v>
                </c:pt>
                <c:pt idx="277">
                  <c:v>0.28272816350156571</c:v>
                </c:pt>
                <c:pt idx="278">
                  <c:v>0.282727973622317</c:v>
                </c:pt>
                <c:pt idx="279">
                  <c:v>0.28272779128123338</c:v>
                </c:pt>
                <c:pt idx="280">
                  <c:v>0.28272761617904679</c:v>
                </c:pt>
                <c:pt idx="281">
                  <c:v>0.28272744802837052</c:v>
                </c:pt>
                <c:pt idx="282">
                  <c:v>0.2827272865532276</c:v>
                </c:pt>
                <c:pt idx="283">
                  <c:v>0.28272713148859774</c:v>
                </c:pt>
                <c:pt idx="284">
                  <c:v>0.28272698257998219</c:v>
                </c:pt>
                <c:pt idx="285">
                  <c:v>0.28272683958298617</c:v>
                </c:pt>
                <c:pt idx="286">
                  <c:v>0.28272670226291768</c:v>
                </c:pt>
                <c:pt idx="287">
                  <c:v>0.28272657039440213</c:v>
                </c:pt>
                <c:pt idx="288">
                  <c:v>0.28272644376101269</c:v>
                </c:pt>
                <c:pt idx="289">
                  <c:v>0.28272632215491489</c:v>
                </c:pt>
                <c:pt idx="290">
                  <c:v>0.28272620537652515</c:v>
                </c:pt>
                <c:pt idx="291">
                  <c:v>0.28272609323418385</c:v>
                </c:pt>
                <c:pt idx="292">
                  <c:v>0.28272598554384021</c:v>
                </c:pt>
                <c:pt idx="293">
                  <c:v>0.28272588212875055</c:v>
                </c:pt>
                <c:pt idx="294">
                  <c:v>0.28272578281918775</c:v>
                </c:pt>
                <c:pt idx="295">
                  <c:v>0.28272568745216325</c:v>
                </c:pt>
                <c:pt idx="296">
                  <c:v>0.28272559587115892</c:v>
                </c:pt>
                <c:pt idx="297">
                  <c:v>0.28272550792587076</c:v>
                </c:pt>
                <c:pt idx="298">
                  <c:v>0.28272542347196167</c:v>
                </c:pt>
                <c:pt idx="299">
                  <c:v>0.28272534237082486</c:v>
                </c:pt>
                <c:pt idx="300">
                  <c:v>0.28272526448935636</c:v>
                </c:pt>
                <c:pt idx="301">
                  <c:v>0.2827251896997362</c:v>
                </c:pt>
                <c:pt idx="302">
                  <c:v>0.28272511787921917</c:v>
                </c:pt>
                <c:pt idx="303">
                  <c:v>0.28272504890993289</c:v>
                </c:pt>
                <c:pt idx="304">
                  <c:v>0.28272498267868468</c:v>
                </c:pt>
                <c:pt idx="305">
                  <c:v>0.28272491907677538</c:v>
                </c:pt>
                <c:pt idx="306">
                  <c:v>0.28272485799982139</c:v>
                </c:pt>
                <c:pt idx="307">
                  <c:v>0.2827247993475831</c:v>
                </c:pt>
                <c:pt idx="308">
                  <c:v>0.28272474302380041</c:v>
                </c:pt>
                <c:pt idx="309">
                  <c:v>0.28272468893603464</c:v>
                </c:pt>
                <c:pt idx="310">
                  <c:v>0.28272463699551703</c:v>
                </c:pt>
                <c:pt idx="311">
                  <c:v>0.28272458711700288</c:v>
                </c:pt>
                <c:pt idx="312">
                  <c:v>0.28272453921863172</c:v>
                </c:pt>
                <c:pt idx="313">
                  <c:v>0.28272449322179288</c:v>
                </c:pt>
                <c:pt idx="314">
                  <c:v>0.28272444905099664</c:v>
                </c:pt>
                <c:pt idx="315">
                  <c:v>0.28272440663374998</c:v>
                </c:pt>
                <c:pt idx="316">
                  <c:v>0.28272436590043809</c:v>
                </c:pt>
                <c:pt idx="317">
                  <c:v>0.28272432678420956</c:v>
                </c:pt>
                <c:pt idx="318">
                  <c:v>0.28272428922086729</c:v>
                </c:pt>
                <c:pt idx="319">
                  <c:v>0.28272425314876248</c:v>
                </c:pt>
                <c:pt idx="320">
                  <c:v>0.282724218508694</c:v>
                </c:pt>
                <c:pt idx="321">
                  <c:v>0.28272418524381082</c:v>
                </c:pt>
                <c:pt idx="322">
                  <c:v>0.28272415329951905</c:v>
                </c:pt>
                <c:pt idx="323">
                  <c:v>0.28272412262339186</c:v>
                </c:pt>
                <c:pt idx="324">
                  <c:v>0.28272409316508407</c:v>
                </c:pt>
                <c:pt idx="325">
                  <c:v>0.28272406487624896</c:v>
                </c:pt>
                <c:pt idx="326">
                  <c:v>0.28272403771045934</c:v>
                </c:pt>
                <c:pt idx="327">
                  <c:v>0.28272401162313093</c:v>
                </c:pt>
                <c:pt idx="328">
                  <c:v>0.28272398657144965</c:v>
                </c:pt>
                <c:pt idx="329">
                  <c:v>0.28272396251430093</c:v>
                </c:pt>
                <c:pt idx="330">
                  <c:v>0.28272393941220253</c:v>
                </c:pt>
                <c:pt idx="331">
                  <c:v>0.28272391722723961</c:v>
                </c:pt>
                <c:pt idx="332">
                  <c:v>0.28272389592300251</c:v>
                </c:pt>
                <c:pt idx="333">
                  <c:v>0.2827238754645271</c:v>
                </c:pt>
                <c:pt idx="334">
                  <c:v>0.28272385581823722</c:v>
                </c:pt>
                <c:pt idx="335">
                  <c:v>0.28272383695188963</c:v>
                </c:pt>
                <c:pt idx="336">
                  <c:v>0.28272381883452125</c:v>
                </c:pt>
                <c:pt idx="337">
                  <c:v>0.28272380143639808</c:v>
                </c:pt>
                <c:pt idx="338">
                  <c:v>0.28272378472896664</c:v>
                </c:pt>
                <c:pt idx="339">
                  <c:v>0.28272376868480703</c:v>
                </c:pt>
                <c:pt idx="340">
                  <c:v>0.28272375327758781</c:v>
                </c:pt>
                <c:pt idx="341">
                  <c:v>0.28272373848202287</c:v>
                </c:pt>
                <c:pt idx="342">
                  <c:v>0.28272372427383013</c:v>
                </c:pt>
                <c:pt idx="343">
                  <c:v>0.28272371062969115</c:v>
                </c:pt>
                <c:pt idx="344">
                  <c:v>0.2827236975272136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23-40FD-94CE-806E6702BC77}"/>
            </c:ext>
          </c:extLst>
        </c:ser>
        <c:ser>
          <c:idx val="7"/>
          <c:order val="7"/>
          <c:tx>
            <c:strRef>
              <c:f>'Survival Extrapolation'!$AG$20:$AH$20</c:f>
              <c:strCache>
                <c:ptCount val="1"/>
                <c:pt idx="0">
                  <c:v>GenGamma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'Survival Extrapolation'!$T$26:$T$370</c:f>
              <c:numCache>
                <c:formatCode>General</c:formatCode>
                <c:ptCount val="3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</c:numCache>
            </c:numRef>
          </c:xVal>
          <c:yVal>
            <c:numRef>
              <c:f>'Survival Extrapolation'!$AI$26:$AI$370</c:f>
              <c:numCache>
                <c:formatCode>General</c:formatCode>
                <c:ptCount val="345"/>
                <c:pt idx="0">
                  <c:v>1</c:v>
                </c:pt>
                <c:pt idx="1">
                  <c:v>0.99941297136691376</c:v>
                </c:pt>
                <c:pt idx="2">
                  <c:v>0.97502320303125201</c:v>
                </c:pt>
                <c:pt idx="3">
                  <c:v>0.92318641951012514</c:v>
                </c:pt>
                <c:pt idx="4">
                  <c:v>0.86775688288637443</c:v>
                </c:pt>
                <c:pt idx="5">
                  <c:v>0.81726914756061741</c:v>
                </c:pt>
                <c:pt idx="6">
                  <c:v>0.77313281948968315</c:v>
                </c:pt>
                <c:pt idx="7">
                  <c:v>0.73483195660976852</c:v>
                </c:pt>
                <c:pt idx="8">
                  <c:v>0.70147805655127127</c:v>
                </c:pt>
                <c:pt idx="9">
                  <c:v>0.67222723897719217</c:v>
                </c:pt>
                <c:pt idx="10">
                  <c:v>0.64637144876854047</c:v>
                </c:pt>
                <c:pt idx="11">
                  <c:v>0.62333870267721458</c:v>
                </c:pt>
                <c:pt idx="12">
                  <c:v>0.60267147799071596</c:v>
                </c:pt>
                <c:pt idx="13">
                  <c:v>0.58400335763230271</c:v>
                </c:pt>
                <c:pt idx="14">
                  <c:v>0.56703914157140956</c:v>
                </c:pt>
                <c:pt idx="15">
                  <c:v>0.55153912319070297</c:v>
                </c:pt>
                <c:pt idx="16">
                  <c:v>0.53730698763996809</c:v>
                </c:pt>
                <c:pt idx="17">
                  <c:v>0.52418057189198752</c:v>
                </c:pt>
                <c:pt idx="18">
                  <c:v>0.5120248053349612</c:v>
                </c:pt>
                <c:pt idx="19">
                  <c:v>0.50072629028080695</c:v>
                </c:pt>
                <c:pt idx="20">
                  <c:v>0.49018911279253008</c:v>
                </c:pt>
                <c:pt idx="21">
                  <c:v>0.48033157918369657</c:v>
                </c:pt>
                <c:pt idx="22">
                  <c:v>0.47108365288925919</c:v>
                </c:pt>
                <c:pt idx="23">
                  <c:v>0.46238492496058764</c:v>
                </c:pt>
                <c:pt idx="24">
                  <c:v>0.45418299425519765</c:v>
                </c:pt>
                <c:pt idx="25">
                  <c:v>0.44643216465680735</c:v>
                </c:pt>
                <c:pt idx="26">
                  <c:v>0.4390923895522027</c:v>
                </c:pt>
                <c:pt idx="27">
                  <c:v>0.43212841063476937</c:v>
                </c:pt>
                <c:pt idx="28">
                  <c:v>0.42550905057590038</c:v>
                </c:pt>
                <c:pt idx="29">
                  <c:v>0.41920662840388062</c:v>
                </c:pt>
                <c:pt idx="30">
                  <c:v>0.41319647341291799</c:v>
                </c:pt>
                <c:pt idx="31">
                  <c:v>0.40745651870780591</c:v>
                </c:pt>
                <c:pt idx="32">
                  <c:v>0.40196695951540062</c:v>
                </c:pt>
                <c:pt idx="33">
                  <c:v>0.39670996448378609</c:v>
                </c:pt>
                <c:pt idx="34">
                  <c:v>0.39166943057778719</c:v>
                </c:pt>
                <c:pt idx="35">
                  <c:v>0.38683077403729882</c:v>
                </c:pt>
                <c:pt idx="36">
                  <c:v>0.38218075131969592</c:v>
                </c:pt>
                <c:pt idx="37">
                  <c:v>0.37770730509396888</c:v>
                </c:pt>
                <c:pt idx="38">
                  <c:v>0.373399431262949</c:v>
                </c:pt>
                <c:pt idx="39">
                  <c:v>0.36924706371448757</c:v>
                </c:pt>
                <c:pt idx="40">
                  <c:v>0.36524097408327921</c:v>
                </c:pt>
                <c:pt idx="41">
                  <c:v>0.36137268427308467</c:v>
                </c:pt>
                <c:pt idx="42">
                  <c:v>0.35763438986827745</c:v>
                </c:pt>
                <c:pt idx="43">
                  <c:v>0.35401889287221355</c:v>
                </c:pt>
                <c:pt idx="44">
                  <c:v>0.35051954246231726</c:v>
                </c:pt>
                <c:pt idx="45">
                  <c:v>0.34713018265902279</c:v>
                </c:pt>
                <c:pt idx="46">
                  <c:v>0.34384510597673001</c:v>
                </c:pt>
                <c:pt idx="47">
                  <c:v>0.34065901226656015</c:v>
                </c:pt>
                <c:pt idx="48">
                  <c:v>0.33756697207847958</c:v>
                </c:pt>
                <c:pt idx="49">
                  <c:v>0.33456439396869692</c:v>
                </c:pt>
                <c:pt idx="50">
                  <c:v>0.33164699526059888</c:v>
                </c:pt>
                <c:pt idx="51">
                  <c:v>0.32881077583676721</c:v>
                </c:pt>
                <c:pt idx="52">
                  <c:v>0.32605199459804274</c:v>
                </c:pt>
                <c:pt idx="53">
                  <c:v>0.32336714827505436</c:v>
                </c:pt>
                <c:pt idx="54">
                  <c:v>0.32075295231962714</c:v>
                </c:pt>
                <c:pt idx="55">
                  <c:v>0.31820632363923518</c:v>
                </c:pt>
                <c:pt idx="56">
                  <c:v>0.31572436496821371</c:v>
                </c:pt>
                <c:pt idx="57">
                  <c:v>0.31330435069559592</c:v>
                </c:pt>
                <c:pt idx="58">
                  <c:v>0.31094371399191817</c:v>
                </c:pt>
                <c:pt idx="59">
                  <c:v>0.30864003509667731</c:v>
                </c:pt>
                <c:pt idx="60">
                  <c:v>0.30639103064483253</c:v>
                </c:pt>
                <c:pt idx="61">
                  <c:v>0.30419454392519413</c:v>
                </c:pt>
                <c:pt idx="62">
                  <c:v>0.30204853597609171</c:v>
                </c:pt>
                <c:pt idx="63">
                  <c:v>0.29995107743461036</c:v>
                </c:pt>
                <c:pt idx="64">
                  <c:v>0.29790034106519253</c:v>
                </c:pt>
                <c:pt idx="65">
                  <c:v>0.29589459490169845</c:v>
                </c:pt>
                <c:pt idx="66">
                  <c:v>0.29393219594428982</c:v>
                </c:pt>
                <c:pt idx="67">
                  <c:v>0.2920115843588616</c:v>
                </c:pt>
                <c:pt idx="68">
                  <c:v>0.29013127813235096</c:v>
                </c:pt>
                <c:pt idx="69">
                  <c:v>0.2882898681421866</c:v>
                </c:pt>
                <c:pt idx="70">
                  <c:v>0.28648601360247</c:v>
                </c:pt>
                <c:pt idx="71">
                  <c:v>0.28471843785334799</c:v>
                </c:pt>
                <c:pt idx="72">
                  <c:v>0.28298592446341259</c:v>
                </c:pt>
                <c:pt idx="73">
                  <c:v>0.28128731361799325</c:v>
                </c:pt>
                <c:pt idx="74">
                  <c:v>0.27962149876888287</c:v>
                </c:pt>
                <c:pt idx="75">
                  <c:v>0.27798742352341815</c:v>
                </c:pt>
                <c:pt idx="76">
                  <c:v>0.27638407875295917</c:v>
                </c:pt>
                <c:pt idx="77">
                  <c:v>0.27481049990271295</c:v>
                </c:pt>
                <c:pt idx="78">
                  <c:v>0.27326576448653056</c:v>
                </c:pt>
                <c:pt idx="79">
                  <c:v>0.27174898975183104</c:v>
                </c:pt>
                <c:pt idx="80">
                  <c:v>0.27025933050115952</c:v>
                </c:pt>
                <c:pt idx="81">
                  <c:v>0.26879597705810654</c:v>
                </c:pt>
                <c:pt idx="82">
                  <c:v>0.26735815336641716</c:v>
                </c:pt>
                <c:pt idx="83">
                  <c:v>0.26594511521209618</c:v>
                </c:pt>
                <c:pt idx="84">
                  <c:v>0.26455614855921111</c:v>
                </c:pt>
                <c:pt idx="85">
                  <c:v>0.26319056799089507</c:v>
                </c:pt>
                <c:pt idx="86">
                  <c:v>0.261847715247778</c:v>
                </c:pt>
                <c:pt idx="87">
                  <c:v>0.26052695785672192</c:v>
                </c:pt>
                <c:pt idx="88">
                  <c:v>0.25922768784334471</c:v>
                </c:pt>
                <c:pt idx="89">
                  <c:v>0.25794932052233754</c:v>
                </c:pt>
                <c:pt idx="90">
                  <c:v>0.25669129336008278</c:v>
                </c:pt>
                <c:pt idx="91">
                  <c:v>0.25545306490451514</c:v>
                </c:pt>
                <c:pt idx="92">
                  <c:v>0.25423411377757726</c:v>
                </c:pt>
                <c:pt idx="93">
                  <c:v>0.25303393772598243</c:v>
                </c:pt>
                <c:pt idx="94">
                  <c:v>0.25185205272633909</c:v>
                </c:pt>
                <c:pt idx="95">
                  <c:v>0.25068799214099136</c:v>
                </c:pt>
                <c:pt idx="96">
                  <c:v>0.24954130592121182</c:v>
                </c:pt>
                <c:pt idx="97">
                  <c:v>0.24841155985463775</c:v>
                </c:pt>
                <c:pt idx="98">
                  <c:v>0.24729833485407238</c:v>
                </c:pt>
                <c:pt idx="99">
                  <c:v>0.24620122628499208</c:v>
                </c:pt>
                <c:pt idx="100">
                  <c:v>0.24511984332928891</c:v>
                </c:pt>
                <c:pt idx="101">
                  <c:v>0.24405380838296581</c:v>
                </c:pt>
                <c:pt idx="102">
                  <c:v>0.24300275648565775</c:v>
                </c:pt>
                <c:pt idx="103">
                  <c:v>0.24196633478001367</c:v>
                </c:pt>
                <c:pt idx="104">
                  <c:v>0.24094420199910324</c:v>
                </c:pt>
                <c:pt idx="105">
                  <c:v>0.23993602798014968</c:v>
                </c:pt>
                <c:pt idx="106">
                  <c:v>0.23894149320300312</c:v>
                </c:pt>
                <c:pt idx="107">
                  <c:v>0.23796028835187885</c:v>
                </c:pt>
                <c:pt idx="108">
                  <c:v>0.23699211389898625</c:v>
                </c:pt>
                <c:pt idx="109">
                  <c:v>0.23603667970876771</c:v>
                </c:pt>
                <c:pt idx="110">
                  <c:v>0.23509370466154875</c:v>
                </c:pt>
                <c:pt idx="111">
                  <c:v>0.23416291629548888</c:v>
                </c:pt>
                <c:pt idx="112">
                  <c:v>0.23324405046578103</c:v>
                </c:pt>
                <c:pt idx="113">
                  <c:v>0.23233685102013521</c:v>
                </c:pt>
                <c:pt idx="114">
                  <c:v>0.23144106948962503</c:v>
                </c:pt>
                <c:pt idx="115">
                  <c:v>0.23055646479405134</c:v>
                </c:pt>
                <c:pt idx="116">
                  <c:v>0.22968280296101759</c:v>
                </c:pt>
                <c:pt idx="117">
                  <c:v>0.22881985685797182</c:v>
                </c:pt>
                <c:pt idx="118">
                  <c:v>0.22796740593651466</c:v>
                </c:pt>
                <c:pt idx="119">
                  <c:v>0.22712523598830786</c:v>
                </c:pt>
                <c:pt idx="120">
                  <c:v>0.22629313891197431</c:v>
                </c:pt>
                <c:pt idx="121">
                  <c:v>0.2254709124904036</c:v>
                </c:pt>
                <c:pt idx="122">
                  <c:v>0.22465836017791796</c:v>
                </c:pt>
                <c:pt idx="123">
                  <c:v>0.22385529089679035</c:v>
                </c:pt>
                <c:pt idx="124">
                  <c:v>0.22306151884262651</c:v>
                </c:pt>
                <c:pt idx="125">
                  <c:v>0.22227686329816385</c:v>
                </c:pt>
                <c:pt idx="126">
                  <c:v>0.22150114845505442</c:v>
                </c:pt>
                <c:pt idx="127">
                  <c:v>0.22073420324323456</c:v>
                </c:pt>
                <c:pt idx="128">
                  <c:v>0.21997586116749918</c:v>
                </c:pt>
                <c:pt idx="129">
                  <c:v>0.21922596015092533</c:v>
                </c:pt>
                <c:pt idx="130">
                  <c:v>0.2184843423848058</c:v>
                </c:pt>
                <c:pt idx="131">
                  <c:v>0.21775085418477769</c:v>
                </c:pt>
                <c:pt idx="132">
                  <c:v>0.21702534585284441</c:v>
                </c:pt>
                <c:pt idx="133">
                  <c:v>0.21630767154500666</c:v>
                </c:pt>
                <c:pt idx="134">
                  <c:v>0.21559768914423577</c:v>
                </c:pt>
                <c:pt idx="135">
                  <c:v>0.21489526013853583</c:v>
                </c:pt>
                <c:pt idx="136">
                  <c:v>0.21420024950385641</c:v>
                </c:pt>
                <c:pt idx="137">
                  <c:v>0.21351252559162592</c:v>
                </c:pt>
                <c:pt idx="138">
                  <c:v>0.21283196002069543</c:v>
                </c:pt>
                <c:pt idx="139">
                  <c:v>0.21215842757348646</c:v>
                </c:pt>
                <c:pt idx="140">
                  <c:v>0.21149180609615376</c:v>
                </c:pt>
                <c:pt idx="141">
                  <c:v>0.21083197640257689</c:v>
                </c:pt>
                <c:pt idx="142">
                  <c:v>0.21017882218201175</c:v>
                </c:pt>
                <c:pt idx="143">
                  <c:v>0.20953222991023576</c:v>
                </c:pt>
                <c:pt idx="144">
                  <c:v>0.20889208876403254</c:v>
                </c:pt>
                <c:pt idx="145">
                  <c:v>0.20825829053886782</c:v>
                </c:pt>
                <c:pt idx="146">
                  <c:v>0.20763072956961764</c:v>
                </c:pt>
                <c:pt idx="147">
                  <c:v>0.20700930265421472</c:v>
                </c:pt>
                <c:pt idx="148">
                  <c:v>0.206393908980087</c:v>
                </c:pt>
                <c:pt idx="149">
                  <c:v>0.2057844500532694</c:v>
                </c:pt>
                <c:pt idx="150">
                  <c:v>0.20518082963007345</c:v>
                </c:pt>
                <c:pt idx="151">
                  <c:v>0.20458295365120616</c:v>
                </c:pt>
                <c:pt idx="152">
                  <c:v>0.20399073017823666</c:v>
                </c:pt>
                <c:pt idx="153">
                  <c:v>0.2034040693323089</c:v>
                </c:pt>
                <c:pt idx="154">
                  <c:v>0.20282288323501202</c:v>
                </c:pt>
                <c:pt idx="155">
                  <c:v>0.20224708595131366</c:v>
                </c:pt>
                <c:pt idx="156">
                  <c:v>0.20167659343447575</c:v>
                </c:pt>
                <c:pt idx="157">
                  <c:v>0.20111132347286928</c:v>
                </c:pt>
                <c:pt idx="158">
                  <c:v>0.20055119563861271</c:v>
                </c:pt>
                <c:pt idx="159">
                  <c:v>0.19999613123795965</c:v>
                </c:pt>
                <c:pt idx="160">
                  <c:v>0.19944605326336537</c:v>
                </c:pt>
                <c:pt idx="161">
                  <c:v>0.19890088634716649</c:v>
                </c:pt>
                <c:pt idx="162">
                  <c:v>0.19836055671680958</c:v>
                </c:pt>
                <c:pt idx="163">
                  <c:v>0.19782499215156546</c:v>
                </c:pt>
                <c:pt idx="164">
                  <c:v>0.19729412194067744</c:v>
                </c:pt>
                <c:pt idx="165">
                  <c:v>0.19676787684287883</c:v>
                </c:pt>
                <c:pt idx="166">
                  <c:v>0.19624618904723454</c:v>
                </c:pt>
                <c:pt idx="167">
                  <c:v>0.1957289921352528</c:v>
                </c:pt>
                <c:pt idx="168">
                  <c:v>0.19521622104421721</c:v>
                </c:pt>
                <c:pt idx="169">
                  <c:v>0.19470781203169626</c:v>
                </c:pt>
                <c:pt idx="170">
                  <c:v>0.1942037026411822</c:v>
                </c:pt>
                <c:pt idx="171">
                  <c:v>0.19370383166882021</c:v>
                </c:pt>
                <c:pt idx="172">
                  <c:v>0.19320813913118462</c:v>
                </c:pt>
                <c:pt idx="173">
                  <c:v>0.19271656623406538</c:v>
                </c:pt>
                <c:pt idx="174">
                  <c:v>0.19222905534222579</c:v>
                </c:pt>
                <c:pt idx="175">
                  <c:v>0.19174554995009732</c:v>
                </c:pt>
                <c:pt idx="176">
                  <c:v>0.19126599465337671</c:v>
                </c:pt>
                <c:pt idx="177">
                  <c:v>0.19079033512149229</c:v>
                </c:pt>
                <c:pt idx="178">
                  <c:v>0.1903185180709096</c:v>
                </c:pt>
                <c:pt idx="179">
                  <c:v>0.18985049123924472</c:v>
                </c:pt>
                <c:pt idx="180">
                  <c:v>0.18938620336015596</c:v>
                </c:pt>
                <c:pt idx="181">
                  <c:v>0.18892560413899057</c:v>
                </c:pt>
                <c:pt idx="182">
                  <c:v>0.18846864422915316</c:v>
                </c:pt>
                <c:pt idx="183">
                  <c:v>0.18801527520917669</c:v>
                </c:pt>
                <c:pt idx="184">
                  <c:v>0.1875654495604677</c:v>
                </c:pt>
                <c:pt idx="185">
                  <c:v>0.18711912064570407</c:v>
                </c:pt>
                <c:pt idx="186">
                  <c:v>0.1866762426878627</c:v>
                </c:pt>
                <c:pt idx="187">
                  <c:v>0.1862367707498549</c:v>
                </c:pt>
                <c:pt idx="188">
                  <c:v>0.18580066071474835</c:v>
                </c:pt>
                <c:pt idx="189">
                  <c:v>0.18536786926655807</c:v>
                </c:pt>
                <c:pt idx="190">
                  <c:v>0.184938353871584</c:v>
                </c:pt>
                <c:pt idx="191">
                  <c:v>0.18451207276027923</c:v>
                </c:pt>
                <c:pt idx="192">
                  <c:v>0.18408898490962999</c:v>
                </c:pt>
                <c:pt idx="193">
                  <c:v>0.18366905002603065</c:v>
                </c:pt>
                <c:pt idx="194">
                  <c:v>0.18325222852863768</c:v>
                </c:pt>
                <c:pt idx="195">
                  <c:v>0.18283848153318563</c:v>
                </c:pt>
                <c:pt idx="196">
                  <c:v>0.18242777083625264</c:v>
                </c:pt>
                <c:pt idx="197">
                  <c:v>0.18202005889995657</c:v>
                </c:pt>
                <c:pt idx="198">
                  <c:v>0.18161530883707333</c:v>
                </c:pt>
                <c:pt idx="199">
                  <c:v>0.18121348439655732</c:v>
                </c:pt>
                <c:pt idx="200">
                  <c:v>0.18081454994945811</c:v>
                </c:pt>
                <c:pt idx="201">
                  <c:v>0.18041847047521387</c:v>
                </c:pt>
                <c:pt idx="202">
                  <c:v>0.18002521154831533</c:v>
                </c:pt>
                <c:pt idx="203">
                  <c:v>0.17963473932532459</c:v>
                </c:pt>
                <c:pt idx="204">
                  <c:v>0.1792470205322392</c:v>
                </c:pt>
                <c:pt idx="205">
                  <c:v>0.17886202245219165</c:v>
                </c:pt>
                <c:pt idx="206">
                  <c:v>0.17847971291347142</c:v>
                </c:pt>
                <c:pt idx="207">
                  <c:v>0.17810006027786154</c:v>
                </c:pt>
                <c:pt idx="208">
                  <c:v>0.17772303342927909</c:v>
                </c:pt>
                <c:pt idx="209">
                  <c:v>0.17734860176271114</c:v>
                </c:pt>
                <c:pt idx="210">
                  <c:v>0.17697673517343548</c:v>
                </c:pt>
                <c:pt idx="211">
                  <c:v>0.17660740404651987</c:v>
                </c:pt>
                <c:pt idx="212">
                  <c:v>0.17624057924658784</c:v>
                </c:pt>
                <c:pt idx="213">
                  <c:v>0.17587623210784786</c:v>
                </c:pt>
                <c:pt idx="214">
                  <c:v>0.17551433442437314</c:v>
                </c:pt>
                <c:pt idx="215">
                  <c:v>0.17515485844062767</c:v>
                </c:pt>
                <c:pt idx="216">
                  <c:v>0.17479777684222975</c:v>
                </c:pt>
                <c:pt idx="217">
                  <c:v>0.1744430627469474</c:v>
                </c:pt>
                <c:pt idx="218">
                  <c:v>0.1740906896959166</c:v>
                </c:pt>
                <c:pt idx="219">
                  <c:v>0.17374063164507766</c:v>
                </c:pt>
                <c:pt idx="220">
                  <c:v>0.17339286295682366</c:v>
                </c:pt>
                <c:pt idx="221">
                  <c:v>0.17304735839185212</c:v>
                </c:pt>
                <c:pt idx="222">
                  <c:v>0.17270409310121701</c:v>
                </c:pt>
                <c:pt idx="223">
                  <c:v>0.17236304261857494</c:v>
                </c:pt>
                <c:pt idx="224">
                  <c:v>0.17202418285261703</c:v>
                </c:pt>
                <c:pt idx="225">
                  <c:v>0.17168749007968498</c:v>
                </c:pt>
                <c:pt idx="226">
                  <c:v>0.17135294093656372</c:v>
                </c:pt>
                <c:pt idx="227">
                  <c:v>0.17102051241344735</c:v>
                </c:pt>
                <c:pt idx="228">
                  <c:v>0.17069018184707077</c:v>
                </c:pt>
                <c:pt idx="229">
                  <c:v>0.17036192691400526</c:v>
                </c:pt>
                <c:pt idx="230">
                  <c:v>0.17003572562411251</c:v>
                </c:pt>
                <c:pt idx="231">
                  <c:v>0.16971155631415155</c:v>
                </c:pt>
                <c:pt idx="232">
                  <c:v>0.16938939764153554</c:v>
                </c:pt>
                <c:pt idx="233">
                  <c:v>0.16906922857823459</c:v>
                </c:pt>
                <c:pt idx="234">
                  <c:v>0.16875102840481868</c:v>
                </c:pt>
                <c:pt idx="235">
                  <c:v>0.16843477670463997</c:v>
                </c:pt>
                <c:pt idx="236">
                  <c:v>0.16812045335814649</c:v>
                </c:pt>
                <c:pt idx="237">
                  <c:v>0.16780803853732945</c:v>
                </c:pt>
                <c:pt idx="238">
                  <c:v>0.16749751270029309</c:v>
                </c:pt>
                <c:pt idx="239">
                  <c:v>0.16718885658595126</c:v>
                </c:pt>
                <c:pt idx="240">
                  <c:v>0.16688205120884228</c:v>
                </c:pt>
                <c:pt idx="241">
                  <c:v>0.16657707785406056</c:v>
                </c:pt>
                <c:pt idx="242">
                  <c:v>0.16627391807230321</c:v>
                </c:pt>
                <c:pt idx="243">
                  <c:v>0.16597255367502525</c:v>
                </c:pt>
                <c:pt idx="244">
                  <c:v>0.16567296672970439</c:v>
                </c:pt>
                <c:pt idx="245">
                  <c:v>0.16537513955520969</c:v>
                </c:pt>
                <c:pt idx="246">
                  <c:v>0.16507905471727341</c:v>
                </c:pt>
                <c:pt idx="247">
                  <c:v>0.1647846950240604</c:v>
                </c:pt>
                <c:pt idx="248">
                  <c:v>0.16449204352183752</c:v>
                </c:pt>
                <c:pt idx="249">
                  <c:v>0.16420108349073465</c:v>
                </c:pt>
                <c:pt idx="250">
                  <c:v>0.16391179844059883</c:v>
                </c:pt>
                <c:pt idx="251">
                  <c:v>0.16362417210693825</c:v>
                </c:pt>
                <c:pt idx="252">
                  <c:v>0.16333818844695422</c:v>
                </c:pt>
                <c:pt idx="253">
                  <c:v>0.16305383163565618</c:v>
                </c:pt>
                <c:pt idx="254">
                  <c:v>0.16277108606206245</c:v>
                </c:pt>
                <c:pt idx="255">
                  <c:v>0.16248993632547928</c:v>
                </c:pt>
                <c:pt idx="256">
                  <c:v>0.1622103672318608</c:v>
                </c:pt>
                <c:pt idx="257">
                  <c:v>0.16193236379024487</c:v>
                </c:pt>
                <c:pt idx="258">
                  <c:v>0.16165591120926442</c:v>
                </c:pt>
                <c:pt idx="259">
                  <c:v>0.16138099489373128</c:v>
                </c:pt>
                <c:pt idx="260">
                  <c:v>0.16110760044129199</c:v>
                </c:pt>
                <c:pt idx="261">
                  <c:v>0.16083571363915267</c:v>
                </c:pt>
                <c:pt idx="262">
                  <c:v>0.1605653204608728</c:v>
                </c:pt>
                <c:pt idx="263">
                  <c:v>0.16029640706322304</c:v>
                </c:pt>
                <c:pt idx="264">
                  <c:v>0.16002895978311021</c:v>
                </c:pt>
                <c:pt idx="265">
                  <c:v>0.15976296513456387</c:v>
                </c:pt>
                <c:pt idx="266">
                  <c:v>0.15949840980578436</c:v>
                </c:pt>
                <c:pt idx="267">
                  <c:v>0.15923528065625117</c:v>
                </c:pt>
                <c:pt idx="268">
                  <c:v>0.15897356471389024</c:v>
                </c:pt>
                <c:pt idx="269">
                  <c:v>0.15871324917229795</c:v>
                </c:pt>
                <c:pt idx="270">
                  <c:v>0.15845432138802068</c:v>
                </c:pt>
                <c:pt idx="271">
                  <c:v>0.15819676887789003</c:v>
                </c:pt>
                <c:pt idx="272">
                  <c:v>0.15794057931640981</c:v>
                </c:pt>
                <c:pt idx="273">
                  <c:v>0.15768574053319614</c:v>
                </c:pt>
                <c:pt idx="274">
                  <c:v>0.15743224051046742</c:v>
                </c:pt>
                <c:pt idx="275">
                  <c:v>0.1571800673805849</c:v>
                </c:pt>
                <c:pt idx="276">
                  <c:v>0.15692920942364041</c:v>
                </c:pt>
                <c:pt idx="277">
                  <c:v>0.15667965506509191</c:v>
                </c:pt>
                <c:pt idx="278">
                  <c:v>0.15643139287344626</c:v>
                </c:pt>
                <c:pt idx="279">
                  <c:v>0.15618441155798485</c:v>
                </c:pt>
                <c:pt idx="280">
                  <c:v>0.15593869996653562</c:v>
                </c:pt>
                <c:pt idx="281">
                  <c:v>0.15569424708328683</c:v>
                </c:pt>
                <c:pt idx="282">
                  <c:v>0.15545104202664309</c:v>
                </c:pt>
                <c:pt idx="283">
                  <c:v>0.15520907404712289</c:v>
                </c:pt>
                <c:pt idx="284">
                  <c:v>0.15496833252529604</c:v>
                </c:pt>
                <c:pt idx="285">
                  <c:v>0.1547288069697606</c:v>
                </c:pt>
                <c:pt idx="286">
                  <c:v>0.15449048701515802</c:v>
                </c:pt>
                <c:pt idx="287">
                  <c:v>0.15425336242022628</c:v>
                </c:pt>
                <c:pt idx="288">
                  <c:v>0.15401742306588911</c:v>
                </c:pt>
                <c:pt idx="289">
                  <c:v>0.15378265895338122</c:v>
                </c:pt>
                <c:pt idx="290">
                  <c:v>0.15354906020240958</c:v>
                </c:pt>
                <c:pt idx="291">
                  <c:v>0.15331661704934765</c:v>
                </c:pt>
                <c:pt idx="292">
                  <c:v>0.15308531984546447</c:v>
                </c:pt>
                <c:pt idx="293">
                  <c:v>0.15285515905518496</c:v>
                </c:pt>
                <c:pt idx="294">
                  <c:v>0.15262612525438435</c:v>
                </c:pt>
                <c:pt idx="295">
                  <c:v>0.15239820912871255</c:v>
                </c:pt>
                <c:pt idx="296">
                  <c:v>0.15217140147194999</c:v>
                </c:pt>
                <c:pt idx="297">
                  <c:v>0.15194569318439258</c:v>
                </c:pt>
                <c:pt idx="298">
                  <c:v>0.15172107527126807</c:v>
                </c:pt>
                <c:pt idx="299">
                  <c:v>0.15149753884117836</c:v>
                </c:pt>
                <c:pt idx="300">
                  <c:v>0.15127507510457314</c:v>
                </c:pt>
                <c:pt idx="301">
                  <c:v>0.15105367537224806</c:v>
                </c:pt>
                <c:pt idx="302">
                  <c:v>0.15083333105387214</c:v>
                </c:pt>
                <c:pt idx="303">
                  <c:v>0.15061403365654116</c:v>
                </c:pt>
                <c:pt idx="304">
                  <c:v>0.15039577478335528</c:v>
                </c:pt>
                <c:pt idx="305">
                  <c:v>0.15017854613202444</c:v>
                </c:pt>
                <c:pt idx="306">
                  <c:v>0.14996233949349688</c:v>
                </c:pt>
                <c:pt idx="307">
                  <c:v>0.14974714675061199</c:v>
                </c:pt>
                <c:pt idx="308">
                  <c:v>0.14953295987677792</c:v>
                </c:pt>
                <c:pt idx="309">
                  <c:v>0.1493197709346713</c:v>
                </c:pt>
                <c:pt idx="310">
                  <c:v>0.14910757207496089</c:v>
                </c:pt>
                <c:pt idx="311">
                  <c:v>0.14889635553505223</c:v>
                </c:pt>
                <c:pt idx="312">
                  <c:v>0.14868611363785458</c:v>
                </c:pt>
                <c:pt idx="313">
                  <c:v>0.14847683879057089</c:v>
                </c:pt>
                <c:pt idx="314">
                  <c:v>0.1482685234835055</c:v>
                </c:pt>
                <c:pt idx="315">
                  <c:v>0.1480611602888961</c:v>
                </c:pt>
                <c:pt idx="316">
                  <c:v>0.1478547418597615</c:v>
                </c:pt>
                <c:pt idx="317">
                  <c:v>0.14764926092877403</c:v>
                </c:pt>
                <c:pt idx="318">
                  <c:v>0.14744471030714687</c:v>
                </c:pt>
                <c:pt idx="319">
                  <c:v>0.14724108288354315</c:v>
                </c:pt>
                <c:pt idx="320">
                  <c:v>0.14703837162300204</c:v>
                </c:pt>
                <c:pt idx="321">
                  <c:v>0.14683656956588384</c:v>
                </c:pt>
                <c:pt idx="322">
                  <c:v>0.14663566982683235</c:v>
                </c:pt>
                <c:pt idx="323">
                  <c:v>0.1464356655937552</c:v>
                </c:pt>
                <c:pt idx="324">
                  <c:v>0.14623655012682102</c:v>
                </c:pt>
                <c:pt idx="325">
                  <c:v>0.14603831675747259</c:v>
                </c:pt>
                <c:pt idx="326">
                  <c:v>0.14584095888745818</c:v>
                </c:pt>
                <c:pt idx="327">
                  <c:v>0.14564446998787756</c:v>
                </c:pt>
                <c:pt idx="328">
                  <c:v>0.14544884359824428</c:v>
                </c:pt>
                <c:pt idx="329">
                  <c:v>0.14525407332556348</c:v>
                </c:pt>
                <c:pt idx="330">
                  <c:v>0.14506015284342463</c:v>
                </c:pt>
                <c:pt idx="331">
                  <c:v>0.14486707589110925</c:v>
                </c:pt>
                <c:pt idx="332">
                  <c:v>0.14467483627271396</c:v>
                </c:pt>
                <c:pt idx="333">
                  <c:v>0.14448342785628662</c:v>
                </c:pt>
                <c:pt idx="334">
                  <c:v>0.14429284457297706</c:v>
                </c:pt>
                <c:pt idx="335">
                  <c:v>0.14410308041620207</c:v>
                </c:pt>
                <c:pt idx="336">
                  <c:v>0.14391412944082294</c:v>
                </c:pt>
                <c:pt idx="337">
                  <c:v>0.14372598576233742</c:v>
                </c:pt>
                <c:pt idx="338">
                  <c:v>0.14353864355608326</c:v>
                </c:pt>
                <c:pt idx="339">
                  <c:v>0.14335209705645574</c:v>
                </c:pt>
                <c:pt idx="340">
                  <c:v>0.14316634055613731</c:v>
                </c:pt>
                <c:pt idx="341">
                  <c:v>0.14298136840533909</c:v>
                </c:pt>
                <c:pt idx="342">
                  <c:v>0.14279717501105521</c:v>
                </c:pt>
                <c:pt idx="343">
                  <c:v>0.14261375483632796</c:v>
                </c:pt>
                <c:pt idx="344">
                  <c:v>0.14243110239952536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423-40FD-94CE-806E6702B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378856"/>
        <c:axId val="695377544"/>
      </c:scatterChart>
      <c:valAx>
        <c:axId val="695378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7544"/>
        <c:crosses val="autoZero"/>
        <c:crossBetween val="midCat"/>
      </c:valAx>
      <c:valAx>
        <c:axId val="6953775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chemeClr val="tx1"/>
                    </a:solidFill>
                  </a:rPr>
                  <a:t>Probability of</a:t>
                </a:r>
                <a:r>
                  <a:rPr lang="en-US" sz="1200" b="1" baseline="0">
                    <a:solidFill>
                      <a:schemeClr val="tx1"/>
                    </a:solidFill>
                  </a:rPr>
                  <a:t> Survival</a:t>
                </a:r>
                <a:endParaRPr 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8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916150950888607"/>
          <c:y val="0.38731729925840302"/>
          <c:w val="0.10083855471238433"/>
          <c:h val="0.27126262196570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3.png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39</xdr:row>
      <xdr:rowOff>142875</xdr:rowOff>
    </xdr:from>
    <xdr:ext cx="161925" cy="18097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269800" y="3694275"/>
          <a:ext cx="152400" cy="171450"/>
        </a:xfrm>
        <a:prstGeom prst="rect">
          <a:avLst/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6</xdr:col>
      <xdr:colOff>571500</xdr:colOff>
      <xdr:row>26</xdr:row>
      <xdr:rowOff>0</xdr:rowOff>
    </xdr:from>
    <xdr:ext cx="247650" cy="22860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226938" y="3670463"/>
          <a:ext cx="238125" cy="219075"/>
        </a:xfrm>
        <a:prstGeom prst="ellipse">
          <a:avLst/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15</xdr:col>
      <xdr:colOff>523875</xdr:colOff>
      <xdr:row>25</xdr:row>
      <xdr:rowOff>152400</xdr:rowOff>
    </xdr:from>
    <xdr:ext cx="1323975" cy="285750"/>
    <xdr:sp macro="" textlink="">
      <xdr:nvSpPr>
        <xdr:cNvPr id="73" name="Shape 5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4688775" y="3641888"/>
          <a:ext cx="1314450" cy="276225"/>
        </a:xfrm>
        <a:prstGeom prst="roundRect">
          <a:avLst>
            <a:gd name="adj" fmla="val 16667"/>
          </a:avLst>
        </a:prstGeom>
        <a:solidFill>
          <a:schemeClr val="accent1"/>
        </a:solidFill>
        <a:ln w="12700" cap="flat" cmpd="sng">
          <a:solidFill>
            <a:srgbClr val="7E609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100"/>
            <a:buFont typeface="Cambria"/>
            <a:buNone/>
          </a:pPr>
          <a:r>
            <a:rPr lang="en-US" sz="1100" b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No CMV Disease</a:t>
          </a:r>
          <a:endParaRPr sz="1100" b="1">
            <a:solidFill>
              <a:schemeClr val="lt1"/>
            </a:solidFill>
            <a:latin typeface="Cambria"/>
            <a:ea typeface="Cambria"/>
            <a:cs typeface="Cambria"/>
            <a:sym typeface="Cambria"/>
          </a:endParaRPr>
        </a:p>
      </xdr:txBody>
    </xdr:sp>
    <xdr:clientData fLocksWithSheet="0"/>
  </xdr:oneCellAnchor>
  <xdr:oneCellAnchor>
    <xdr:from>
      <xdr:col>22</xdr:col>
      <xdr:colOff>371475</xdr:colOff>
      <xdr:row>49</xdr:row>
      <xdr:rowOff>114300</xdr:rowOff>
    </xdr:from>
    <xdr:ext cx="209550" cy="257175"/>
    <xdr:sp macro="" textlink="">
      <xdr:nvSpPr>
        <xdr:cNvPr id="145" name="Shape 87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-5400000">
          <a:off x="5222175" y="3679988"/>
          <a:ext cx="247650" cy="200025"/>
        </a:xfrm>
        <a:prstGeom prst="triangle">
          <a:avLst>
            <a:gd name="adj" fmla="val 50000"/>
          </a:avLst>
        </a:prstGeom>
        <a:solidFill>
          <a:schemeClr val="dk1"/>
        </a:solidFill>
        <a:ln w="12700" cap="flat" cmpd="sng">
          <a:solidFill>
            <a:schemeClr val="dk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23</xdr:col>
      <xdr:colOff>571500</xdr:colOff>
      <xdr:row>5</xdr:row>
      <xdr:rowOff>19050</xdr:rowOff>
    </xdr:from>
    <xdr:ext cx="4276725" cy="1676400"/>
    <xdr:sp macro="" textlink="">
      <xdr:nvSpPr>
        <xdr:cNvPr id="189" name="Shape 130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 txBox="1"/>
      </xdr:nvSpPr>
      <xdr:spPr>
        <a:xfrm>
          <a:off x="3212400" y="2946563"/>
          <a:ext cx="4267200" cy="1666875"/>
        </a:xfrm>
        <a:prstGeom prst="rect">
          <a:avLst/>
        </a:prstGeom>
        <a:solidFill>
          <a:schemeClr val="lt1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Primary Objective: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Determine the cost-effectiveness of prophylaxis versus no prophylaxis for allogeneic post-hematopoietic stem cell transplant patients up to 10 years post-transplant for cytomegalovirus (CMV) viremia in the United States.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 b="0">
            <a:latin typeface="Cambria"/>
            <a:ea typeface="Cambria"/>
            <a:cs typeface="Cambria"/>
            <a:sym typeface="Cambria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Perspective: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 Third party payer </a:t>
          </a:r>
          <a:endParaRPr sz="1400" b="1">
            <a:latin typeface="Cambria"/>
            <a:ea typeface="Cambria"/>
            <a:cs typeface="Cambria"/>
            <a:sym typeface="Cambria"/>
          </a:endParaRPr>
        </a:p>
      </xdr:txBody>
    </xdr:sp>
    <xdr:clientData fLocksWithSheet="0"/>
  </xdr:oneCellAnchor>
  <xdr:oneCellAnchor>
    <xdr:from>
      <xdr:col>24</xdr:col>
      <xdr:colOff>19050</xdr:colOff>
      <xdr:row>18</xdr:row>
      <xdr:rowOff>38100</xdr:rowOff>
    </xdr:from>
    <xdr:ext cx="4248150" cy="6381750"/>
    <xdr:sp macro="" textlink="">
      <xdr:nvSpPr>
        <xdr:cNvPr id="190" name="Shape 13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 txBox="1"/>
      </xdr:nvSpPr>
      <xdr:spPr>
        <a:xfrm>
          <a:off x="3226688" y="593888"/>
          <a:ext cx="4238625" cy="6372225"/>
        </a:xfrm>
        <a:prstGeom prst="rect">
          <a:avLst/>
        </a:prstGeom>
        <a:solidFill>
          <a:schemeClr val="lt1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CMV Viremia: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The isolation of CMV virus or detection of viral proteins or nucleic acid in any body fluid or tissue specimen.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aseline="300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Pre-Emptive Therapy: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An approach in which patients are monitored for early replication (ie, viremia by PCR) and antiviral drug is administered only when CMV replication is detected to prevent its progression to higher-grade viremia and disease.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 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Patients with PET are at increased risk of experiencing acute kidney injury (AKI) and neutropenia. 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800"/>
            <a:buFont typeface="Arial"/>
            <a:buNone/>
          </a:pPr>
          <a:endParaRPr sz="1800" b="1">
            <a:latin typeface="Cambria"/>
            <a:ea typeface="Cambria"/>
            <a:cs typeface="Cambria"/>
            <a:sym typeface="Cambria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CMV End-Organ Disease ("CMV Disease"): 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Clinical symptoms and/or signs of end organ disease (e.g., pneumonia) combined with CMV documented in histopathology tissue samples, rapid culture, virus isolation in tissue, immunohistochemistry, or DNA hybridization techniques.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</a:t>
          </a:r>
          <a:endParaRPr sz="1400"/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 baseline="300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marR="0" lvl="0" indent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400"/>
            <a:buFont typeface="Cambria"/>
            <a:buNone/>
          </a:pPr>
          <a:r>
            <a:rPr lang="en-US" sz="1400" b="1" i="0" u="none" strike="noStrike" cap="none">
              <a:solidFill>
                <a:srgbClr val="000000"/>
              </a:solidFill>
              <a:latin typeface="Cambria"/>
              <a:ea typeface="Cambria"/>
              <a:cs typeface="Cambria"/>
              <a:sym typeface="Cambria"/>
            </a:rPr>
            <a:t>Graft-versus-Host-Disease ("GVHD"):</a:t>
          </a:r>
          <a:r>
            <a:rPr lang="en-US" sz="1400" b="0" i="0" u="none" strike="noStrike" cap="none">
              <a:solidFill>
                <a:srgbClr val="000000"/>
              </a:solidFill>
              <a:latin typeface="Cambria"/>
              <a:ea typeface="Cambria"/>
              <a:cs typeface="Cambria"/>
              <a:sym typeface="Cambria"/>
            </a:rPr>
            <a:t> A condition that might occur after an allogeneic transplant. Donated bone marrow or peripheral blood stem cells view the recipient's body as foreign, attacking the body.</a:t>
          </a:r>
          <a:r>
            <a:rPr lang="en-US" sz="1100" baseline="30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3</a:t>
          </a:r>
          <a:endParaRPr sz="14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 b="1">
            <a:latin typeface="Cambria"/>
            <a:ea typeface="Cambria"/>
            <a:cs typeface="Cambria"/>
            <a:sym typeface="Cambria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Cambria"/>
            <a:buNone/>
          </a:pPr>
          <a:r>
            <a:rPr lang="en-US" sz="1400" b="1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Complications:</a:t>
          </a:r>
          <a:r>
            <a:rPr lang="en-US" sz="1400" b="0">
              <a:solidFill>
                <a:schemeClr val="dk1"/>
              </a:solidFill>
              <a:latin typeface="Cambria"/>
              <a:ea typeface="Cambria"/>
              <a:cs typeface="Cambria"/>
              <a:sym typeface="Cambria"/>
            </a:rPr>
            <a:t> As defined in the model, complications consist of experiencing either GVHD, an opportunistic infection, or  a re-hospitalization due to CMV disease. </a:t>
          </a:r>
          <a:endParaRPr sz="1400" b="1">
            <a:latin typeface="Cambria"/>
            <a:ea typeface="Cambria"/>
            <a:cs typeface="Cambria"/>
            <a:sym typeface="Cambria"/>
          </a:endParaRPr>
        </a:p>
      </xdr:txBody>
    </xdr:sp>
    <xdr:clientData fLocksWithSheet="0"/>
  </xdr:oneCellAnchor>
  <xdr:oneCellAnchor>
    <xdr:from>
      <xdr:col>32</xdr:col>
      <xdr:colOff>76199</xdr:colOff>
      <xdr:row>5</xdr:row>
      <xdr:rowOff>28575</xdr:rowOff>
    </xdr:from>
    <xdr:ext cx="6513909" cy="2162175"/>
    <xdr:sp macro="" textlink="">
      <xdr:nvSpPr>
        <xdr:cNvPr id="194" name="Shape 135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>
          <a:off x="19167871" y="1808559"/>
          <a:ext cx="6513909" cy="2162175"/>
        </a:xfrm>
        <a:prstGeom prst="rect">
          <a:avLst/>
        </a:prstGeom>
        <a:noFill/>
        <a:ln w="12700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180975</xdr:colOff>
      <xdr:row>0</xdr:row>
      <xdr:rowOff>95250</xdr:rowOff>
    </xdr:from>
    <xdr:ext cx="1085850" cy="1085850"/>
    <xdr:pic>
      <xdr:nvPicPr>
        <xdr:cNvPr id="228" name="image1.png" descr="University of California, San Diego - Wikipedia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257175</xdr:colOff>
      <xdr:row>5</xdr:row>
      <xdr:rowOff>66675</xdr:rowOff>
    </xdr:from>
    <xdr:ext cx="14249400" cy="11563350"/>
    <xdr:pic>
      <xdr:nvPicPr>
        <xdr:cNvPr id="229" name="image5.png">
          <a:extLst>
            <a:ext uri="{FF2B5EF4-FFF2-40B4-BE49-F238E27FC236}">
              <a16:creationId xmlns:a16="http://schemas.microsoft.com/office/drawing/2014/main" id="{9765AD1C-0556-442E-A25C-DD55F9C7015C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7175" y="1847850"/>
          <a:ext cx="14249400" cy="11563350"/>
        </a:xfrm>
        <a:prstGeom prst="rect">
          <a:avLst/>
        </a:prstGeom>
        <a:noFill/>
      </xdr:spPr>
    </xdr:pic>
    <xdr:clientData fLocksWithSheet="0"/>
  </xdr:oneCellAnchor>
  <xdr:twoCellAnchor>
    <xdr:from>
      <xdr:col>2</xdr:col>
      <xdr:colOff>400050</xdr:colOff>
      <xdr:row>1</xdr:row>
      <xdr:rowOff>85725</xdr:rowOff>
    </xdr:from>
    <xdr:to>
      <xdr:col>24</xdr:col>
      <xdr:colOff>581025</xdr:colOff>
      <xdr:row>2</xdr:row>
      <xdr:rowOff>171450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8C399FF5-51E7-4147-83FD-3B70749E46BF}"/>
            </a:ext>
          </a:extLst>
        </xdr:cNvPr>
        <xdr:cNvGrpSpPr/>
      </xdr:nvGrpSpPr>
      <xdr:grpSpPr>
        <a:xfrm>
          <a:off x="1610285" y="265019"/>
          <a:ext cx="13493564" cy="702049"/>
          <a:chOff x="1533525" y="266700"/>
          <a:chExt cx="13592175" cy="704850"/>
        </a:xfrm>
      </xdr:grpSpPr>
      <xdr:sp macro="[0]!Shape201_Click" textlink="">
        <xdr:nvSpPr>
          <xdr:cNvPr id="12" name="Shape 201">
            <a:extLst>
              <a:ext uri="{FF2B5EF4-FFF2-40B4-BE49-F238E27FC236}">
                <a16:creationId xmlns:a16="http://schemas.microsoft.com/office/drawing/2014/main" id="{CDB1FB1F-D170-266A-B0DE-DFC290593387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13" name="Shape 202">
            <a:extLst>
              <a:ext uri="{FF2B5EF4-FFF2-40B4-BE49-F238E27FC236}">
                <a16:creationId xmlns:a16="http://schemas.microsoft.com/office/drawing/2014/main" id="{8D8F3134-2360-98CA-78BD-A9BD98B85F02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14" name="Shape 203">
            <a:extLst>
              <a:ext uri="{FF2B5EF4-FFF2-40B4-BE49-F238E27FC236}">
                <a16:creationId xmlns:a16="http://schemas.microsoft.com/office/drawing/2014/main" id="{D5D73F22-665F-8595-A3FD-17A03EF7D212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5" name="Shape 204">
            <a:extLst>
              <a:ext uri="{FF2B5EF4-FFF2-40B4-BE49-F238E27FC236}">
                <a16:creationId xmlns:a16="http://schemas.microsoft.com/office/drawing/2014/main" id="{75CE97EE-05E5-313B-24E2-3FEB87B5044C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6" name="Shape 205">
            <a:extLst>
              <a:ext uri="{FF2B5EF4-FFF2-40B4-BE49-F238E27FC236}">
                <a16:creationId xmlns:a16="http://schemas.microsoft.com/office/drawing/2014/main" id="{DB961440-636D-342F-7722-E0AA95F9E342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7" name="Shape 206">
            <a:extLst>
              <a:ext uri="{FF2B5EF4-FFF2-40B4-BE49-F238E27FC236}">
                <a16:creationId xmlns:a16="http://schemas.microsoft.com/office/drawing/2014/main" id="{36EA4E51-52B1-0FF3-38E7-0D8D0CDA778F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8" name="Shape 207">
            <a:extLst>
              <a:ext uri="{FF2B5EF4-FFF2-40B4-BE49-F238E27FC236}">
                <a16:creationId xmlns:a16="http://schemas.microsoft.com/office/drawing/2014/main" id="{E8749455-DD05-3E6F-38E4-0AD88ACF720B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9" name="Shape 208">
            <a:extLst>
              <a:ext uri="{FF2B5EF4-FFF2-40B4-BE49-F238E27FC236}">
                <a16:creationId xmlns:a16="http://schemas.microsoft.com/office/drawing/2014/main" id="{287F7B53-9A49-30DD-A075-A4E2014E2313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oneCellAnchor>
    <xdr:from>
      <xdr:col>32</xdr:col>
      <xdr:colOff>85725</xdr:colOff>
      <xdr:row>20</xdr:row>
      <xdr:rowOff>73818</xdr:rowOff>
    </xdr:from>
    <xdr:ext cx="3545682" cy="694135"/>
    <xdr:sp macro="" textlink="">
      <xdr:nvSpPr>
        <xdr:cNvPr id="2" name="Shape 135">
          <a:extLst>
            <a:ext uri="{FF2B5EF4-FFF2-40B4-BE49-F238E27FC236}">
              <a16:creationId xmlns:a16="http://schemas.microsoft.com/office/drawing/2014/main" id="{2D68A22D-32C9-41FB-92BE-A5483F7AA90C}"/>
            </a:ext>
          </a:extLst>
        </xdr:cNvPr>
        <xdr:cNvSpPr/>
      </xdr:nvSpPr>
      <xdr:spPr>
        <a:xfrm>
          <a:off x="19177397" y="4300537"/>
          <a:ext cx="3545682" cy="694135"/>
        </a:xfrm>
        <a:prstGeom prst="rect">
          <a:avLst/>
        </a:prstGeom>
        <a:noFill/>
        <a:ln w="12700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200025</xdr:colOff>
      <xdr:row>23</xdr:row>
      <xdr:rowOff>76200</xdr:rowOff>
    </xdr:from>
    <xdr:ext cx="4657725" cy="1295400"/>
    <xdr:sp macro="" textlink="">
      <xdr:nvSpPr>
        <xdr:cNvPr id="156" name="Shape 156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3021900" y="3137063"/>
          <a:ext cx="4648200" cy="128587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190500</xdr:colOff>
      <xdr:row>6</xdr:row>
      <xdr:rowOff>76200</xdr:rowOff>
    </xdr:from>
    <xdr:ext cx="4657725" cy="1438275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3021900" y="3065625"/>
          <a:ext cx="4648200" cy="14287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209550</xdr:colOff>
      <xdr:row>8</xdr:row>
      <xdr:rowOff>57150</xdr:rowOff>
    </xdr:from>
    <xdr:ext cx="3086100" cy="70485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3807713" y="3432338"/>
          <a:ext cx="3076575" cy="6953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457200</xdr:colOff>
      <xdr:row>7</xdr:row>
      <xdr:rowOff>142875</xdr:rowOff>
    </xdr:from>
    <xdr:ext cx="1047750" cy="238125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 txBox="1"/>
      </xdr:nvSpPr>
      <xdr:spPr>
        <a:xfrm>
          <a:off x="4826888" y="3665700"/>
          <a:ext cx="1038225" cy="2286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Valganciclovir</a:t>
          </a:r>
          <a:endParaRPr sz="1400"/>
        </a:p>
      </xdr:txBody>
    </xdr:sp>
    <xdr:clientData fLocksWithSheet="0"/>
  </xdr:oneCellAnchor>
  <xdr:oneCellAnchor>
    <xdr:from>
      <xdr:col>9</xdr:col>
      <xdr:colOff>209550</xdr:colOff>
      <xdr:row>12</xdr:row>
      <xdr:rowOff>85725</xdr:rowOff>
    </xdr:from>
    <xdr:ext cx="3086100" cy="123825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3807713" y="3165638"/>
          <a:ext cx="3076575" cy="12287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457200</xdr:colOff>
      <xdr:row>12</xdr:row>
      <xdr:rowOff>47625</xdr:rowOff>
    </xdr:from>
    <xdr:ext cx="942975" cy="161925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 txBox="1"/>
      </xdr:nvSpPr>
      <xdr:spPr>
        <a:xfrm>
          <a:off x="4879275" y="3703800"/>
          <a:ext cx="933450" cy="1524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Ganciclovir</a:t>
          </a:r>
          <a:endParaRPr sz="1400"/>
        </a:p>
      </xdr:txBody>
    </xdr:sp>
    <xdr:clientData fLocksWithSheet="0"/>
  </xdr:oneCellAnchor>
  <xdr:oneCellAnchor>
    <xdr:from>
      <xdr:col>9</xdr:col>
      <xdr:colOff>209550</xdr:colOff>
      <xdr:row>20</xdr:row>
      <xdr:rowOff>47625</xdr:rowOff>
    </xdr:from>
    <xdr:ext cx="3086100" cy="108585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3807713" y="3241838"/>
          <a:ext cx="3076575" cy="10763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533400</xdr:colOff>
      <xdr:row>20</xdr:row>
      <xdr:rowOff>0</xdr:rowOff>
    </xdr:from>
    <xdr:ext cx="942975" cy="19050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 txBox="1"/>
      </xdr:nvSpPr>
      <xdr:spPr>
        <a:xfrm>
          <a:off x="4879275" y="3689513"/>
          <a:ext cx="933450" cy="1809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Foscarnet</a:t>
          </a:r>
          <a:endParaRPr sz="1400"/>
        </a:p>
      </xdr:txBody>
    </xdr:sp>
    <xdr:clientData fLocksWithSheet="0"/>
  </xdr:oneCellAnchor>
  <xdr:oneCellAnchor>
    <xdr:from>
      <xdr:col>9</xdr:col>
      <xdr:colOff>104775</xdr:colOff>
      <xdr:row>6</xdr:row>
      <xdr:rowOff>95250</xdr:rowOff>
    </xdr:from>
    <xdr:ext cx="6477000" cy="3619500"/>
    <xdr:sp macro="" textlink="">
      <xdr:nvSpPr>
        <xdr:cNvPr id="164" name="Shape 164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2112263" y="1975013"/>
          <a:ext cx="6467475" cy="360997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304800</xdr:colOff>
      <xdr:row>5</xdr:row>
      <xdr:rowOff>95250</xdr:rowOff>
    </xdr:from>
    <xdr:ext cx="1828800" cy="428625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4436363" y="3570450"/>
          <a:ext cx="1819275" cy="41910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PET Costs</a:t>
          </a:r>
          <a:endParaRPr sz="1400"/>
        </a:p>
      </xdr:txBody>
    </xdr:sp>
    <xdr:clientData fLocksWithSheet="0"/>
  </xdr:oneCellAnchor>
  <xdr:oneCellAnchor>
    <xdr:from>
      <xdr:col>1</xdr:col>
      <xdr:colOff>314325</xdr:colOff>
      <xdr:row>5</xdr:row>
      <xdr:rowOff>142875</xdr:rowOff>
    </xdr:from>
    <xdr:ext cx="1314450" cy="38100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4693538" y="3594263"/>
          <a:ext cx="1304925" cy="371475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Letermovir</a:t>
          </a:r>
          <a:endParaRPr sz="1400"/>
        </a:p>
      </xdr:txBody>
    </xdr:sp>
    <xdr:clientData fLocksWithSheet="0"/>
  </xdr:oneCellAnchor>
  <xdr:oneCellAnchor>
    <xdr:from>
      <xdr:col>18</xdr:col>
      <xdr:colOff>19050</xdr:colOff>
      <xdr:row>21</xdr:row>
      <xdr:rowOff>152400</xdr:rowOff>
    </xdr:from>
    <xdr:ext cx="2905125" cy="55245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3898200" y="3508538"/>
          <a:ext cx="2895600" cy="5429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18</xdr:col>
      <xdr:colOff>152400</xdr:colOff>
      <xdr:row>21</xdr:row>
      <xdr:rowOff>66675</xdr:rowOff>
    </xdr:from>
    <xdr:ext cx="2028825" cy="228600"/>
    <xdr:sp macro="" textlink="">
      <xdr:nvSpPr>
        <xdr:cNvPr id="168" name="Shape 168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 txBox="1"/>
      </xdr:nvSpPr>
      <xdr:spPr>
        <a:xfrm>
          <a:off x="4336350" y="3670463"/>
          <a:ext cx="2019300" cy="2190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PET-Related Adverse Events </a:t>
          </a:r>
          <a:endParaRPr sz="1400"/>
        </a:p>
      </xdr:txBody>
    </xdr:sp>
    <xdr:clientData fLocksWithSheet="0"/>
  </xdr:oneCellAnchor>
  <xdr:oneCellAnchor>
    <xdr:from>
      <xdr:col>1</xdr:col>
      <xdr:colOff>323850</xdr:colOff>
      <xdr:row>15</xdr:row>
      <xdr:rowOff>19050</xdr:rowOff>
    </xdr:from>
    <xdr:ext cx="1381125" cy="38100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4660200" y="3594263"/>
          <a:ext cx="1371600" cy="371475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CMV-Related</a:t>
          </a:r>
          <a:endParaRPr sz="1400"/>
        </a:p>
      </xdr:txBody>
    </xdr:sp>
    <xdr:clientData fLocksWithSheet="0"/>
  </xdr:oneCellAnchor>
  <xdr:oneCellAnchor>
    <xdr:from>
      <xdr:col>1</xdr:col>
      <xdr:colOff>200025</xdr:colOff>
      <xdr:row>15</xdr:row>
      <xdr:rowOff>95250</xdr:rowOff>
    </xdr:from>
    <xdr:ext cx="4657725" cy="1038225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3021900" y="3265650"/>
          <a:ext cx="4648200" cy="102870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323850</xdr:colOff>
      <xdr:row>22</xdr:row>
      <xdr:rowOff>104775</xdr:rowOff>
    </xdr:from>
    <xdr:ext cx="1971675" cy="371475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4364925" y="3599025"/>
          <a:ext cx="1962150" cy="36195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Long-Term Costs, Yearly </a:t>
          </a:r>
          <a:endParaRPr sz="1400"/>
        </a:p>
      </xdr:txBody>
    </xdr:sp>
    <xdr:clientData fLocksWithSheet="0"/>
  </xdr:oneCellAnchor>
  <xdr:oneCellAnchor>
    <xdr:from>
      <xdr:col>1</xdr:col>
      <xdr:colOff>190500</xdr:colOff>
      <xdr:row>32</xdr:row>
      <xdr:rowOff>28576</xdr:rowOff>
    </xdr:from>
    <xdr:ext cx="4657725" cy="1771650"/>
    <xdr:sp macro="" textlink="">
      <xdr:nvSpPr>
        <xdr:cNvPr id="172" name="Shape 172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276225" y="6372226"/>
          <a:ext cx="4657725" cy="17716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285750</xdr:colOff>
      <xdr:row>31</xdr:row>
      <xdr:rowOff>47625</xdr:rowOff>
    </xdr:from>
    <xdr:ext cx="1447800" cy="38100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4626863" y="3594263"/>
          <a:ext cx="1438275" cy="371475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Other Costs</a:t>
          </a:r>
          <a:endParaRPr sz="1400"/>
        </a:p>
      </xdr:txBody>
    </xdr:sp>
    <xdr:clientData fLocksWithSheet="0"/>
  </xdr:oneCellAnchor>
  <xdr:oneCellAnchor>
    <xdr:from>
      <xdr:col>1</xdr:col>
      <xdr:colOff>266700</xdr:colOff>
      <xdr:row>34</xdr:row>
      <xdr:rowOff>28575</xdr:rowOff>
    </xdr:from>
    <xdr:ext cx="3448050" cy="485775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3626738" y="3541875"/>
          <a:ext cx="3438525" cy="4762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</xdr:col>
      <xdr:colOff>104775</xdr:colOff>
      <xdr:row>33</xdr:row>
      <xdr:rowOff>123825</xdr:rowOff>
    </xdr:from>
    <xdr:ext cx="1743075" cy="200025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 txBox="1"/>
      </xdr:nvSpPr>
      <xdr:spPr>
        <a:xfrm>
          <a:off x="4479225" y="3684750"/>
          <a:ext cx="173355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Graft-Versus-Host-Disease</a:t>
          </a:r>
          <a:endParaRPr sz="1400"/>
        </a:p>
      </xdr:txBody>
    </xdr:sp>
    <xdr:clientData fLocksWithSheet="0"/>
  </xdr:oneCellAnchor>
  <xdr:oneCellAnchor>
    <xdr:from>
      <xdr:col>1</xdr:col>
      <xdr:colOff>285750</xdr:colOff>
      <xdr:row>42</xdr:row>
      <xdr:rowOff>133350</xdr:rowOff>
    </xdr:from>
    <xdr:ext cx="3429000" cy="581025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3636263" y="3494250"/>
          <a:ext cx="3419475" cy="57150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2</xdr:col>
      <xdr:colOff>66675</xdr:colOff>
      <xdr:row>42</xdr:row>
      <xdr:rowOff>47625</xdr:rowOff>
    </xdr:from>
    <xdr:ext cx="1190625" cy="200025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4755450" y="3684750"/>
          <a:ext cx="1181100" cy="190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Outpatient Visits</a:t>
          </a:r>
          <a:endParaRPr sz="1400"/>
        </a:p>
      </xdr:txBody>
    </xdr:sp>
    <xdr:clientData fLocksWithSheet="0"/>
  </xdr:oneCellAnchor>
  <xdr:oneCellAnchor>
    <xdr:from>
      <xdr:col>9</xdr:col>
      <xdr:colOff>209550</xdr:colOff>
      <xdr:row>31</xdr:row>
      <xdr:rowOff>47625</xdr:rowOff>
    </xdr:from>
    <xdr:ext cx="3067050" cy="904875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3817238" y="3332325"/>
          <a:ext cx="3057525" cy="895350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466725</xdr:colOff>
      <xdr:row>30</xdr:row>
      <xdr:rowOff>104775</xdr:rowOff>
    </xdr:from>
    <xdr:ext cx="1047750" cy="228600"/>
    <xdr:sp macro="" textlink="">
      <xdr:nvSpPr>
        <xdr:cNvPr id="179" name="Shape 179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4826888" y="3670463"/>
          <a:ext cx="1038225" cy="2190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304C5B"/>
            </a:buClr>
            <a:buSzPts val="1100"/>
            <a:buFont typeface="Cambria"/>
            <a:buNone/>
          </a:pPr>
          <a:r>
            <a:rPr lang="en-US" sz="1100" i="1">
              <a:solidFill>
                <a:srgbClr val="304C5B"/>
              </a:solidFill>
              <a:latin typeface="Cambria"/>
              <a:ea typeface="Cambria"/>
              <a:cs typeface="Cambria"/>
              <a:sym typeface="Cambria"/>
            </a:rPr>
            <a:t>Neutropenia</a:t>
          </a:r>
          <a:endParaRPr sz="1400"/>
        </a:p>
      </xdr:txBody>
    </xdr:sp>
    <xdr:clientData fLocksWithSheet="0"/>
  </xdr:oneCellAnchor>
  <xdr:oneCellAnchor>
    <xdr:from>
      <xdr:col>9</xdr:col>
      <xdr:colOff>142875</xdr:colOff>
      <xdr:row>29</xdr:row>
      <xdr:rowOff>19050</xdr:rowOff>
    </xdr:from>
    <xdr:ext cx="6486525" cy="139065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2107500" y="3089438"/>
          <a:ext cx="6477000" cy="138112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9</xdr:col>
      <xdr:colOff>419100</xdr:colOff>
      <xdr:row>28</xdr:row>
      <xdr:rowOff>47625</xdr:rowOff>
    </xdr:from>
    <xdr:ext cx="1914525" cy="409575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4393500" y="3579975"/>
          <a:ext cx="1905000" cy="40005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PET Complication Rates</a:t>
          </a:r>
          <a:endParaRPr sz="1400"/>
        </a:p>
      </xdr:txBody>
    </xdr:sp>
    <xdr:clientData fLocksWithSheet="0"/>
  </xdr:oneCellAnchor>
  <xdr:oneCellAnchor>
    <xdr:from>
      <xdr:col>1</xdr:col>
      <xdr:colOff>190500</xdr:colOff>
      <xdr:row>49</xdr:row>
      <xdr:rowOff>47625</xdr:rowOff>
    </xdr:from>
    <xdr:ext cx="4657725" cy="144780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>
          <a:off x="3021900" y="3060863"/>
          <a:ext cx="4648200" cy="1438275"/>
        </a:xfrm>
        <a:prstGeom prst="rect">
          <a:avLst/>
        </a:prstGeom>
        <a:noFill/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1</xdr:col>
      <xdr:colOff>323850</xdr:colOff>
      <xdr:row>48</xdr:row>
      <xdr:rowOff>95250</xdr:rowOff>
    </xdr:from>
    <xdr:ext cx="1971675" cy="295275"/>
    <xdr:sp macro="" textlink="">
      <xdr:nvSpPr>
        <xdr:cNvPr id="183" name="Shape 183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>
          <a:off x="4364925" y="3637125"/>
          <a:ext cx="1962150" cy="285750"/>
        </a:xfrm>
        <a:prstGeom prst="rect">
          <a:avLst/>
        </a:prstGeom>
        <a:solidFill>
          <a:srgbClr val="497388"/>
        </a:solidFill>
        <a:ln w="12700" cap="flat" cmpd="sng">
          <a:solidFill>
            <a:srgbClr val="497388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200"/>
            <a:buFont typeface="Cambria"/>
            <a:buNone/>
          </a:pPr>
          <a:r>
            <a:rPr lang="en-US" sz="1200" b="1" i="1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Other Complication Rates</a:t>
          </a:r>
          <a:endParaRPr sz="1400"/>
        </a:p>
      </xdr:txBody>
    </xdr:sp>
    <xdr:clientData fLocksWithSheet="0"/>
  </xdr:oneCellAnchor>
  <xdr:oneCellAnchor>
    <xdr:from>
      <xdr:col>1</xdr:col>
      <xdr:colOff>85725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3</xdr:col>
      <xdr:colOff>775138</xdr:colOff>
      <xdr:row>1</xdr:row>
      <xdr:rowOff>72259</xdr:rowOff>
    </xdr:from>
    <xdr:to>
      <xdr:col>27</xdr:col>
      <xdr:colOff>184917</xdr:colOff>
      <xdr:row>2</xdr:row>
      <xdr:rowOff>159626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228CE93A-FB0E-47DD-957B-88DF77AEC68C}"/>
            </a:ext>
          </a:extLst>
        </xdr:cNvPr>
        <xdr:cNvGrpSpPr/>
      </xdr:nvGrpSpPr>
      <xdr:grpSpPr>
        <a:xfrm>
          <a:off x="1447491" y="251553"/>
          <a:ext cx="13529191" cy="703691"/>
          <a:chOff x="1533525" y="266700"/>
          <a:chExt cx="13592175" cy="704850"/>
        </a:xfrm>
      </xdr:grpSpPr>
      <xdr:sp macro="" textlink="">
        <xdr:nvSpPr>
          <xdr:cNvPr id="32" name="Shape 201">
            <a:extLst>
              <a:ext uri="{FF2B5EF4-FFF2-40B4-BE49-F238E27FC236}">
                <a16:creationId xmlns:a16="http://schemas.microsoft.com/office/drawing/2014/main" id="{FF2D1E8B-E9A8-FFC9-D36A-CDFB43EC5C24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33" name="Shape 202">
            <a:extLst>
              <a:ext uri="{FF2B5EF4-FFF2-40B4-BE49-F238E27FC236}">
                <a16:creationId xmlns:a16="http://schemas.microsoft.com/office/drawing/2014/main" id="{B8C117E1-6C7A-7576-D250-FE511E2EEBF6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34" name="Shape 203">
            <a:extLst>
              <a:ext uri="{FF2B5EF4-FFF2-40B4-BE49-F238E27FC236}">
                <a16:creationId xmlns:a16="http://schemas.microsoft.com/office/drawing/2014/main" id="{0ABC1EAF-75AB-E298-351E-A1430785DDAC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35" name="Shape 204">
            <a:extLst>
              <a:ext uri="{FF2B5EF4-FFF2-40B4-BE49-F238E27FC236}">
                <a16:creationId xmlns:a16="http://schemas.microsoft.com/office/drawing/2014/main" id="{3AB150CE-051C-FD22-C7C4-1AEBEBE34303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36" name="Shape 205">
            <a:extLst>
              <a:ext uri="{FF2B5EF4-FFF2-40B4-BE49-F238E27FC236}">
                <a16:creationId xmlns:a16="http://schemas.microsoft.com/office/drawing/2014/main" id="{7285F7D1-854E-7362-9A92-BA0821668657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37" name="Shape 206">
            <a:extLst>
              <a:ext uri="{FF2B5EF4-FFF2-40B4-BE49-F238E27FC236}">
                <a16:creationId xmlns:a16="http://schemas.microsoft.com/office/drawing/2014/main" id="{4157A402-3802-8982-B018-DE958365CE4D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38" name="Shape 207">
            <a:extLst>
              <a:ext uri="{FF2B5EF4-FFF2-40B4-BE49-F238E27FC236}">
                <a16:creationId xmlns:a16="http://schemas.microsoft.com/office/drawing/2014/main" id="{080A1610-1233-35B5-DE82-FCCA9B8153F6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39" name="Shape 208">
            <a:extLst>
              <a:ext uri="{FF2B5EF4-FFF2-40B4-BE49-F238E27FC236}">
                <a16:creationId xmlns:a16="http://schemas.microsoft.com/office/drawing/2014/main" id="{67B1A62F-8995-E63E-2218-38F38D77490C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26</xdr:col>
      <xdr:colOff>314325</xdr:colOff>
      <xdr:row>5</xdr:row>
      <xdr:rowOff>9525</xdr:rowOff>
    </xdr:from>
    <xdr:to>
      <xdr:col>52</xdr:col>
      <xdr:colOff>0</xdr:colOff>
      <xdr:row>25</xdr:row>
      <xdr:rowOff>66675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3F5F716-E0B5-2F24-1401-C75E56FFF66D}"/>
            </a:ext>
          </a:extLst>
        </xdr:cNvPr>
        <xdr:cNvSpPr/>
      </xdr:nvSpPr>
      <xdr:spPr>
        <a:xfrm>
          <a:off x="14544675" y="1590675"/>
          <a:ext cx="15497175" cy="3552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</xdr:colOff>
      <xdr:row>0</xdr:row>
      <xdr:rowOff>76200</xdr:rowOff>
    </xdr:from>
    <xdr:ext cx="1076325" cy="1104900"/>
    <xdr:pic>
      <xdr:nvPicPr>
        <xdr:cNvPr id="4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49002</xdr:colOff>
      <xdr:row>6</xdr:row>
      <xdr:rowOff>81370</xdr:rowOff>
    </xdr:from>
    <xdr:ext cx="1381125" cy="541419"/>
    <xdr:sp macro="[0]!MC_Simulation" textlink="">
      <xdr:nvSpPr>
        <xdr:cNvPr id="14" name="Shape 200">
          <a:extLst>
            <a:ext uri="{FF2B5EF4-FFF2-40B4-BE49-F238E27FC236}">
              <a16:creationId xmlns:a16="http://schemas.microsoft.com/office/drawing/2014/main" id="{7461D6DD-DAE7-4AAD-9249-B67868A3D039}"/>
            </a:ext>
          </a:extLst>
        </xdr:cNvPr>
        <xdr:cNvSpPr/>
      </xdr:nvSpPr>
      <xdr:spPr>
        <a:xfrm>
          <a:off x="49002" y="1905774"/>
          <a:ext cx="1381125" cy="541419"/>
        </a:xfrm>
        <a:prstGeom prst="rect">
          <a:avLst/>
        </a:prstGeom>
        <a:solidFill>
          <a:schemeClr val="accent4"/>
        </a:solidFill>
        <a:ln w="1905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600"/>
            <a:buFont typeface="Cambria"/>
            <a:buNone/>
          </a:pPr>
          <a:r>
            <a:rPr lang="en-US" sz="1200">
              <a:solidFill>
                <a:schemeClr val="lt1"/>
              </a:solidFill>
              <a:latin typeface="Cambria"/>
              <a:ea typeface="Cambria"/>
              <a:cs typeface="Cambria"/>
              <a:sym typeface="Cambria"/>
            </a:rPr>
            <a:t>Run PSA</a:t>
          </a:r>
        </a:p>
      </xdr:txBody>
    </xdr:sp>
    <xdr:clientData fLocksWithSheet="0"/>
  </xdr:oneCellAnchor>
  <xdr:twoCellAnchor>
    <xdr:from>
      <xdr:col>1</xdr:col>
      <xdr:colOff>300405</xdr:colOff>
      <xdr:row>6</xdr:row>
      <xdr:rowOff>80596</xdr:rowOff>
    </xdr:from>
    <xdr:to>
      <xdr:col>2</xdr:col>
      <xdr:colOff>571501</xdr:colOff>
      <xdr:row>9</xdr:row>
      <xdr:rowOff>43961</xdr:rowOff>
    </xdr:to>
    <xdr:sp macro="[0]!CEAcurve" textlink="">
      <xdr:nvSpPr>
        <xdr:cNvPr id="5" name="Rectangle 4">
          <a:extLst>
            <a:ext uri="{FF2B5EF4-FFF2-40B4-BE49-F238E27FC236}">
              <a16:creationId xmlns:a16="http://schemas.microsoft.com/office/drawing/2014/main" id="{13B54448-713A-48D7-9992-2A6BA6B1B044}"/>
            </a:ext>
          </a:extLst>
        </xdr:cNvPr>
        <xdr:cNvSpPr/>
      </xdr:nvSpPr>
      <xdr:spPr>
        <a:xfrm>
          <a:off x="1494693" y="1905000"/>
          <a:ext cx="1260231" cy="534865"/>
        </a:xfrm>
        <a:prstGeom prst="rect">
          <a:avLst/>
        </a:prstGeom>
        <a:solidFill>
          <a:schemeClr val="accent4"/>
        </a:solidFill>
        <a:ln w="1905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600"/>
            <a:buFont typeface="Cambria"/>
            <a:buNone/>
          </a:pPr>
          <a:r>
            <a:rPr lang="en-US" sz="1100">
              <a:solidFill>
                <a:schemeClr val="lt1"/>
              </a:solidFill>
              <a:latin typeface="Cambria"/>
              <a:ea typeface="Cambria"/>
              <a:cs typeface="Cambria"/>
            </a:rPr>
            <a:t>Generate CEA Curve</a:t>
          </a:r>
        </a:p>
      </xdr:txBody>
    </xdr:sp>
    <xdr:clientData fLocksWithSheet="0"/>
  </xdr:twoCellAnchor>
  <xdr:twoCellAnchor>
    <xdr:from>
      <xdr:col>1</xdr:col>
      <xdr:colOff>285748</xdr:colOff>
      <xdr:row>1</xdr:row>
      <xdr:rowOff>73270</xdr:rowOff>
    </xdr:from>
    <xdr:to>
      <xdr:col>19</xdr:col>
      <xdr:colOff>110634</xdr:colOff>
      <xdr:row>2</xdr:row>
      <xdr:rowOff>155331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EBAA555-F5AB-4550-A15F-D071390B0235}"/>
            </a:ext>
          </a:extLst>
        </xdr:cNvPr>
        <xdr:cNvGrpSpPr/>
      </xdr:nvGrpSpPr>
      <xdr:grpSpPr>
        <a:xfrm>
          <a:off x="1476373" y="254245"/>
          <a:ext cx="13607561" cy="701186"/>
          <a:chOff x="1533525" y="266700"/>
          <a:chExt cx="13592175" cy="704850"/>
        </a:xfrm>
      </xdr:grpSpPr>
      <xdr:sp macro="" textlink="">
        <xdr:nvSpPr>
          <xdr:cNvPr id="7" name="Shape 201">
            <a:extLst>
              <a:ext uri="{FF2B5EF4-FFF2-40B4-BE49-F238E27FC236}">
                <a16:creationId xmlns:a16="http://schemas.microsoft.com/office/drawing/2014/main" id="{ACE7CF17-6F73-2FA9-E717-2DFA5688F262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8" name="Shape 202">
            <a:extLst>
              <a:ext uri="{FF2B5EF4-FFF2-40B4-BE49-F238E27FC236}">
                <a16:creationId xmlns:a16="http://schemas.microsoft.com/office/drawing/2014/main" id="{6021F716-D9EF-ABA3-639A-E1EFB6AEFCF5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9" name="Shape 203">
            <a:extLst>
              <a:ext uri="{FF2B5EF4-FFF2-40B4-BE49-F238E27FC236}">
                <a16:creationId xmlns:a16="http://schemas.microsoft.com/office/drawing/2014/main" id="{AA9FF39E-712A-B6E6-C66B-C79B48D67322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0" name="Shape 204">
            <a:extLst>
              <a:ext uri="{FF2B5EF4-FFF2-40B4-BE49-F238E27FC236}">
                <a16:creationId xmlns:a16="http://schemas.microsoft.com/office/drawing/2014/main" id="{0903AD13-766E-BDF7-6C90-268108115C92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1" name="Shape 205">
            <a:extLst>
              <a:ext uri="{FF2B5EF4-FFF2-40B4-BE49-F238E27FC236}">
                <a16:creationId xmlns:a16="http://schemas.microsoft.com/office/drawing/2014/main" id="{4A2A6840-6E14-2AFD-0EBD-EA8C5C7D3493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2" name="Shape 206">
            <a:extLst>
              <a:ext uri="{FF2B5EF4-FFF2-40B4-BE49-F238E27FC236}">
                <a16:creationId xmlns:a16="http://schemas.microsoft.com/office/drawing/2014/main" id="{C7BF0D2F-EFF4-E77F-149F-376ABB219A6B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3" name="Shape 207">
            <a:extLst>
              <a:ext uri="{FF2B5EF4-FFF2-40B4-BE49-F238E27FC236}">
                <a16:creationId xmlns:a16="http://schemas.microsoft.com/office/drawing/2014/main" id="{EFF1D6F7-E484-50F7-C8DC-58400A930E16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5" name="Shape 208">
            <a:extLst>
              <a:ext uri="{FF2B5EF4-FFF2-40B4-BE49-F238E27FC236}">
                <a16:creationId xmlns:a16="http://schemas.microsoft.com/office/drawing/2014/main" id="{67881668-8981-DC71-2D8C-693DAE0966E9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1</xdr:row>
      <xdr:rowOff>114300</xdr:rowOff>
    </xdr:from>
    <xdr:to>
      <xdr:col>17</xdr:col>
      <xdr:colOff>1219200</xdr:colOff>
      <xdr:row>2</xdr:row>
      <xdr:rowOff>200025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D0F56C1-9486-1179-FB99-413B58371384}"/>
            </a:ext>
          </a:extLst>
        </xdr:cNvPr>
        <xdr:cNvGrpSpPr/>
      </xdr:nvGrpSpPr>
      <xdr:grpSpPr>
        <a:xfrm>
          <a:off x="1628775" y="295275"/>
          <a:ext cx="13592175" cy="704850"/>
          <a:chOff x="1533525" y="266700"/>
          <a:chExt cx="13592175" cy="704850"/>
        </a:xfrm>
      </xdr:grpSpPr>
      <xdr:sp macro="" textlink="">
        <xdr:nvSpPr>
          <xdr:cNvPr id="201" name="Shape 201">
            <a:extLst>
              <a:ext uri="{FF2B5EF4-FFF2-40B4-BE49-F238E27FC236}">
                <a16:creationId xmlns:a16="http://schemas.microsoft.com/office/drawing/2014/main" id="{00000000-0008-0000-0300-0000C9000000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202" name="Shape 202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203" name="Shape 203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204" name="Shape 204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5" name="Shape 205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6" name="Shape 206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7" name="Shape 207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rgbClr val="304C5B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08" name="Shape 208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oneCellAnchor>
    <xdr:from>
      <xdr:col>0</xdr:col>
      <xdr:colOff>57150</xdr:colOff>
      <xdr:row>0</xdr:row>
      <xdr:rowOff>104775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19</xdr:col>
      <xdr:colOff>76200</xdr:colOff>
      <xdr:row>6</xdr:row>
      <xdr:rowOff>28575</xdr:rowOff>
    </xdr:from>
    <xdr:ext cx="6543675" cy="5600700"/>
    <xdr:pic>
      <xdr:nvPicPr>
        <xdr:cNvPr id="3" name="image5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40</xdr:col>
      <xdr:colOff>110713</xdr:colOff>
      <xdr:row>20</xdr:row>
      <xdr:rowOff>154998</xdr:rowOff>
    </xdr:from>
    <xdr:to>
      <xdr:col>53</xdr:col>
      <xdr:colOff>29483</xdr:colOff>
      <xdr:row>53</xdr:row>
      <xdr:rowOff>85936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77B0CC8-E97E-4A94-8CB7-8DF0B411B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13444</xdr:colOff>
      <xdr:row>21</xdr:row>
      <xdr:rowOff>1849</xdr:rowOff>
    </xdr:from>
    <xdr:to>
      <xdr:col>39</xdr:col>
      <xdr:colOff>18805</xdr:colOff>
      <xdr:row>53</xdr:row>
      <xdr:rowOff>115444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6A993E97-3A3F-E0CE-2AC8-FF5DB41F5B02}"/>
            </a:ext>
          </a:extLst>
        </xdr:cNvPr>
        <xdr:cNvGrpSpPr/>
      </xdr:nvGrpSpPr>
      <xdr:grpSpPr>
        <a:xfrm>
          <a:off x="17910919" y="4754824"/>
          <a:ext cx="9978036" cy="5904795"/>
          <a:chOff x="18124689" y="4994124"/>
          <a:chExt cx="9967391" cy="58493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C3FD4AC-7D26-41C6-88EA-31231DD4DD26}"/>
              </a:ext>
            </a:extLst>
          </xdr:cNvPr>
          <xdr:cNvGraphicFramePr/>
        </xdr:nvGraphicFramePr>
        <xdr:xfrm>
          <a:off x="18124689" y="4994124"/>
          <a:ext cx="9967391" cy="5849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25ECF9F7-582B-4253-BD82-83760BBA982D}"/>
              </a:ext>
            </a:extLst>
          </xdr:cNvPr>
          <xdr:cNvSpPr/>
        </xdr:nvSpPr>
        <xdr:spPr>
          <a:xfrm>
            <a:off x="20792516" y="6403627"/>
            <a:ext cx="1077438" cy="385802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Dead</a:t>
            </a: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58AA996A-7E0A-49E7-BFAD-0C154868DCDE}"/>
              </a:ext>
            </a:extLst>
          </xdr:cNvPr>
          <xdr:cNvSpPr/>
        </xdr:nvSpPr>
        <xdr:spPr>
          <a:xfrm>
            <a:off x="19479180" y="8355885"/>
            <a:ext cx="1060120" cy="385803"/>
          </a:xfrm>
          <a:prstGeom prst="rect">
            <a:avLst/>
          </a:prstGeom>
          <a:solidFill>
            <a:sysClr val="window" lastClr="FFFFFF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Alive</a:t>
            </a:r>
          </a:p>
        </xdr:txBody>
      </xdr:sp>
    </xdr:grpSp>
    <xdr:clientData/>
  </xdr:twoCellAnchor>
  <xdr:twoCellAnchor>
    <xdr:from>
      <xdr:col>43</xdr:col>
      <xdr:colOff>158952</xdr:colOff>
      <xdr:row>27</xdr:row>
      <xdr:rowOff>180109</xdr:rowOff>
    </xdr:from>
    <xdr:to>
      <xdr:col>45</xdr:col>
      <xdr:colOff>12860</xdr:colOff>
      <xdr:row>30</xdr:row>
      <xdr:rowOff>26348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AF54F40-5441-48CE-A883-7ACA8307D6EE}"/>
            </a:ext>
          </a:extLst>
        </xdr:cNvPr>
        <xdr:cNvSpPr/>
      </xdr:nvSpPr>
      <xdr:spPr>
        <a:xfrm>
          <a:off x="30514713" y="6044196"/>
          <a:ext cx="1079734" cy="392891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Dead</a:t>
          </a:r>
        </a:p>
      </xdr:txBody>
    </xdr:sp>
    <xdr:clientData/>
  </xdr:twoCellAnchor>
  <xdr:twoCellAnchor>
    <xdr:from>
      <xdr:col>42</xdr:col>
      <xdr:colOff>140772</xdr:colOff>
      <xdr:row>39</xdr:row>
      <xdr:rowOff>147576</xdr:rowOff>
    </xdr:from>
    <xdr:to>
      <xdr:col>43</xdr:col>
      <xdr:colOff>594756</xdr:colOff>
      <xdr:row>41</xdr:row>
      <xdr:rowOff>174791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FFB6BE4D-B4AA-46E3-8D0A-891BE1E94B12}"/>
            </a:ext>
          </a:extLst>
        </xdr:cNvPr>
        <xdr:cNvSpPr/>
      </xdr:nvSpPr>
      <xdr:spPr>
        <a:xfrm>
          <a:off x="29839722" y="8158101"/>
          <a:ext cx="1063584" cy="389165"/>
        </a:xfrm>
        <a:prstGeom prst="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Alive</a:t>
          </a:r>
        </a:p>
      </xdr:txBody>
    </xdr:sp>
    <xdr:clientData/>
  </xdr:twoCellAnchor>
  <xdr:twoCellAnchor>
    <xdr:from>
      <xdr:col>3</xdr:col>
      <xdr:colOff>38100</xdr:colOff>
      <xdr:row>1</xdr:row>
      <xdr:rowOff>114300</xdr:rowOff>
    </xdr:from>
    <xdr:to>
      <xdr:col>22</xdr:col>
      <xdr:colOff>952500</xdr:colOff>
      <xdr:row>2</xdr:row>
      <xdr:rowOff>200025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9D947BCC-3787-4B69-BDE4-386A723AF7DB}"/>
            </a:ext>
          </a:extLst>
        </xdr:cNvPr>
        <xdr:cNvGrpSpPr/>
      </xdr:nvGrpSpPr>
      <xdr:grpSpPr>
        <a:xfrm>
          <a:off x="1419225" y="295275"/>
          <a:ext cx="13592175" cy="704850"/>
          <a:chOff x="1533525" y="266700"/>
          <a:chExt cx="13592175" cy="704850"/>
        </a:xfrm>
      </xdr:grpSpPr>
      <xdr:sp macro="" textlink="">
        <xdr:nvSpPr>
          <xdr:cNvPr id="22" name="Shape 201">
            <a:extLst>
              <a:ext uri="{FF2B5EF4-FFF2-40B4-BE49-F238E27FC236}">
                <a16:creationId xmlns:a16="http://schemas.microsoft.com/office/drawing/2014/main" id="{2AA79448-B92D-A541-D29C-EA2EB294BE7A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23" name="Shape 202">
            <a:extLst>
              <a:ext uri="{FF2B5EF4-FFF2-40B4-BE49-F238E27FC236}">
                <a16:creationId xmlns:a16="http://schemas.microsoft.com/office/drawing/2014/main" id="{419CD2C2-59E3-7B71-D2EC-04A3985C51A3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24" name="Shape 203">
            <a:extLst>
              <a:ext uri="{FF2B5EF4-FFF2-40B4-BE49-F238E27FC236}">
                <a16:creationId xmlns:a16="http://schemas.microsoft.com/office/drawing/2014/main" id="{67BD4AA1-2840-D67C-F1BD-61F874A2A75B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25" name="Shape 204">
            <a:extLst>
              <a:ext uri="{FF2B5EF4-FFF2-40B4-BE49-F238E27FC236}">
                <a16:creationId xmlns:a16="http://schemas.microsoft.com/office/drawing/2014/main" id="{8AE4A432-7711-781A-7D37-D4627DB31E3C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6" name="Shape 205">
            <a:extLst>
              <a:ext uri="{FF2B5EF4-FFF2-40B4-BE49-F238E27FC236}">
                <a16:creationId xmlns:a16="http://schemas.microsoft.com/office/drawing/2014/main" id="{C7922BBA-017A-CC9D-17CD-85C79F3B0462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7" name="Shape 206">
            <a:extLst>
              <a:ext uri="{FF2B5EF4-FFF2-40B4-BE49-F238E27FC236}">
                <a16:creationId xmlns:a16="http://schemas.microsoft.com/office/drawing/2014/main" id="{83F68D4B-E0B0-938A-BB69-BCA9B0EE64B0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8" name="Shape 207">
            <a:extLst>
              <a:ext uri="{FF2B5EF4-FFF2-40B4-BE49-F238E27FC236}">
                <a16:creationId xmlns:a16="http://schemas.microsoft.com/office/drawing/2014/main" id="{36557C67-6FBB-6B50-28F8-7D6DB7C5B524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9" name="Shape 208">
            <a:extLst>
              <a:ext uri="{FF2B5EF4-FFF2-40B4-BE49-F238E27FC236}">
                <a16:creationId xmlns:a16="http://schemas.microsoft.com/office/drawing/2014/main" id="{F98B8E4B-2AB1-B62D-A95A-38E819DDEEB0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66675</xdr:rowOff>
    </xdr:from>
    <xdr:ext cx="1066800" cy="1085850"/>
    <xdr:pic>
      <xdr:nvPicPr>
        <xdr:cNvPr id="3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5</xdr:col>
      <xdr:colOff>466724</xdr:colOff>
      <xdr:row>82</xdr:row>
      <xdr:rowOff>133349</xdr:rowOff>
    </xdr:from>
    <xdr:to>
      <xdr:col>15</xdr:col>
      <xdr:colOff>609599</xdr:colOff>
      <xdr:row>109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A36448-7287-4BFF-8199-04E6C52E25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1060174</xdr:colOff>
      <xdr:row>1</xdr:row>
      <xdr:rowOff>74544</xdr:rowOff>
    </xdr:from>
    <xdr:to>
      <xdr:col>22</xdr:col>
      <xdr:colOff>41827</xdr:colOff>
      <xdr:row>2</xdr:row>
      <xdr:rowOff>158198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EEB7DC4-75EF-49D5-9FB9-B42CEBD0448D}"/>
            </a:ext>
          </a:extLst>
        </xdr:cNvPr>
        <xdr:cNvGrpSpPr/>
      </xdr:nvGrpSpPr>
      <xdr:grpSpPr>
        <a:xfrm>
          <a:off x="1673087" y="256761"/>
          <a:ext cx="13592175" cy="704850"/>
          <a:chOff x="1533525" y="266700"/>
          <a:chExt cx="13592175" cy="704850"/>
        </a:xfrm>
      </xdr:grpSpPr>
      <xdr:sp macro="" textlink="">
        <xdr:nvSpPr>
          <xdr:cNvPr id="20" name="Shape 201">
            <a:extLst>
              <a:ext uri="{FF2B5EF4-FFF2-40B4-BE49-F238E27FC236}">
                <a16:creationId xmlns:a16="http://schemas.microsoft.com/office/drawing/2014/main" id="{A2B062E6-1208-9163-E3F8-469A1C742083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21" name="Shape 202">
            <a:extLst>
              <a:ext uri="{FF2B5EF4-FFF2-40B4-BE49-F238E27FC236}">
                <a16:creationId xmlns:a16="http://schemas.microsoft.com/office/drawing/2014/main" id="{EC9FF0D8-6657-278C-F068-C16DA6AED7E5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22" name="Shape 203">
            <a:extLst>
              <a:ext uri="{FF2B5EF4-FFF2-40B4-BE49-F238E27FC236}">
                <a16:creationId xmlns:a16="http://schemas.microsoft.com/office/drawing/2014/main" id="{343DB8DC-5462-6D3F-D526-B26C2A1486B6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23" name="Shape 204">
            <a:extLst>
              <a:ext uri="{FF2B5EF4-FFF2-40B4-BE49-F238E27FC236}">
                <a16:creationId xmlns:a16="http://schemas.microsoft.com/office/drawing/2014/main" id="{96FA7C8B-A959-4F99-AA57-94019842C7DC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4" name="Shape 205">
            <a:extLst>
              <a:ext uri="{FF2B5EF4-FFF2-40B4-BE49-F238E27FC236}">
                <a16:creationId xmlns:a16="http://schemas.microsoft.com/office/drawing/2014/main" id="{D332587F-B47E-8EF5-10E1-A007FEB267A2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5" name="Shape 206">
            <a:extLst>
              <a:ext uri="{FF2B5EF4-FFF2-40B4-BE49-F238E27FC236}">
                <a16:creationId xmlns:a16="http://schemas.microsoft.com/office/drawing/2014/main" id="{51D7D903-7F0E-43B1-14AB-F289C9835C96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6" name="Shape 207">
            <a:extLst>
              <a:ext uri="{FF2B5EF4-FFF2-40B4-BE49-F238E27FC236}">
                <a16:creationId xmlns:a16="http://schemas.microsoft.com/office/drawing/2014/main" id="{A38342F6-4AEC-8371-83E5-1E4F1FFD1B4F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7" name="Shape 208">
            <a:extLst>
              <a:ext uri="{FF2B5EF4-FFF2-40B4-BE49-F238E27FC236}">
                <a16:creationId xmlns:a16="http://schemas.microsoft.com/office/drawing/2014/main" id="{2130B513-0DF9-6687-45BF-AD08A1B1D413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  <xdr:twoCellAnchor>
    <xdr:from>
      <xdr:col>11</xdr:col>
      <xdr:colOff>293074</xdr:colOff>
      <xdr:row>6</xdr:row>
      <xdr:rowOff>21024</xdr:rowOff>
    </xdr:from>
    <xdr:to>
      <xdr:col>25</xdr:col>
      <xdr:colOff>119778</xdr:colOff>
      <xdr:row>38</xdr:row>
      <xdr:rowOff>6370</xdr:rowOff>
    </xdr:to>
    <xdr:graphicFrame macro="">
      <xdr:nvGraphicFramePr>
        <xdr:cNvPr id="28" name="Chart 3">
          <a:extLst>
            <a:ext uri="{FF2B5EF4-FFF2-40B4-BE49-F238E27FC236}">
              <a16:creationId xmlns:a16="http://schemas.microsoft.com/office/drawing/2014/main" id="{21DF56BF-222C-411C-A485-0F18C154E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256760</xdr:colOff>
      <xdr:row>0</xdr:row>
      <xdr:rowOff>142116</xdr:rowOff>
    </xdr:from>
    <xdr:to>
      <xdr:col>17</xdr:col>
      <xdr:colOff>472108</xdr:colOff>
      <xdr:row>25</xdr:row>
      <xdr:rowOff>99393</xdr:rowOff>
    </xdr:to>
    <xdr:graphicFrame macro="">
      <xdr:nvGraphicFramePr>
        <xdr:cNvPr id="792552713" name="Chart 3">
          <a:extLst>
            <a:ext uri="{FF2B5EF4-FFF2-40B4-BE49-F238E27FC236}">
              <a16:creationId xmlns:a16="http://schemas.microsoft.com/office/drawing/2014/main" id="{00000000-0008-0000-0700-000009653D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49</xdr:col>
      <xdr:colOff>136070</xdr:colOff>
      <xdr:row>7</xdr:row>
      <xdr:rowOff>9771</xdr:rowOff>
    </xdr:from>
    <xdr:ext cx="14505215" cy="8630764"/>
    <xdr:graphicFrame macro="">
      <xdr:nvGraphicFramePr>
        <xdr:cNvPr id="557979980" name="Chart 4">
          <a:extLst>
            <a:ext uri="{FF2B5EF4-FFF2-40B4-BE49-F238E27FC236}">
              <a16:creationId xmlns:a16="http://schemas.microsoft.com/office/drawing/2014/main" id="{00000000-0008-0000-0800-00004C19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85725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>
    <xdr:from>
      <xdr:col>49</xdr:col>
      <xdr:colOff>190501</xdr:colOff>
      <xdr:row>58</xdr:row>
      <xdr:rowOff>57148</xdr:rowOff>
    </xdr:from>
    <xdr:to>
      <xdr:col>71</xdr:col>
      <xdr:colOff>381000</xdr:colOff>
      <xdr:row>114</xdr:row>
      <xdr:rowOff>40822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4ABEB7-E76C-44EC-A0B1-4C4D43E8F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459441</xdr:colOff>
      <xdr:row>1</xdr:row>
      <xdr:rowOff>123265</xdr:rowOff>
    </xdr:from>
    <xdr:to>
      <xdr:col>18</xdr:col>
      <xdr:colOff>414058</xdr:colOff>
      <xdr:row>2</xdr:row>
      <xdr:rowOff>211791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72509F46-5E16-4D2E-BA6F-6A703F59F1DB}"/>
            </a:ext>
          </a:extLst>
        </xdr:cNvPr>
        <xdr:cNvGrpSpPr/>
      </xdr:nvGrpSpPr>
      <xdr:grpSpPr>
        <a:xfrm>
          <a:off x="1452762" y="300158"/>
          <a:ext cx="13588975" cy="714454"/>
          <a:chOff x="1533525" y="266700"/>
          <a:chExt cx="13592175" cy="704850"/>
        </a:xfrm>
      </xdr:grpSpPr>
      <xdr:sp macro="" textlink="">
        <xdr:nvSpPr>
          <xdr:cNvPr id="14" name="Shape 201">
            <a:extLst>
              <a:ext uri="{FF2B5EF4-FFF2-40B4-BE49-F238E27FC236}">
                <a16:creationId xmlns:a16="http://schemas.microsoft.com/office/drawing/2014/main" id="{56B5FD03-573F-8E54-A835-459F365553A8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15" name="Shape 202">
            <a:extLst>
              <a:ext uri="{FF2B5EF4-FFF2-40B4-BE49-F238E27FC236}">
                <a16:creationId xmlns:a16="http://schemas.microsoft.com/office/drawing/2014/main" id="{06354122-57EA-08D9-D439-E3D6F6EC59F0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16" name="Shape 203">
            <a:extLst>
              <a:ext uri="{FF2B5EF4-FFF2-40B4-BE49-F238E27FC236}">
                <a16:creationId xmlns:a16="http://schemas.microsoft.com/office/drawing/2014/main" id="{48BF478B-14E2-FC04-798D-EE96A0F5AB87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17" name="Shape 204">
            <a:extLst>
              <a:ext uri="{FF2B5EF4-FFF2-40B4-BE49-F238E27FC236}">
                <a16:creationId xmlns:a16="http://schemas.microsoft.com/office/drawing/2014/main" id="{EAAE7177-4E75-442E-27CF-0E0D18C06489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8" name="Shape 205">
            <a:extLst>
              <a:ext uri="{FF2B5EF4-FFF2-40B4-BE49-F238E27FC236}">
                <a16:creationId xmlns:a16="http://schemas.microsoft.com/office/drawing/2014/main" id="{1480E2BD-91E8-CF9B-8F70-7DC0B537309B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9" name="Shape 206">
            <a:extLst>
              <a:ext uri="{FF2B5EF4-FFF2-40B4-BE49-F238E27FC236}">
                <a16:creationId xmlns:a16="http://schemas.microsoft.com/office/drawing/2014/main" id="{50B1B43E-FB78-421B-8996-23073CF80630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20" name="Shape 207">
            <a:extLst>
              <a:ext uri="{FF2B5EF4-FFF2-40B4-BE49-F238E27FC236}">
                <a16:creationId xmlns:a16="http://schemas.microsoft.com/office/drawing/2014/main" id="{887BB886-225A-F4A4-6268-57CED2434643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21" name="Shape 208">
            <a:extLst>
              <a:ext uri="{FF2B5EF4-FFF2-40B4-BE49-F238E27FC236}">
                <a16:creationId xmlns:a16="http://schemas.microsoft.com/office/drawing/2014/main" id="{7A514BF9-11B3-66E0-7F87-7E82211FAE8D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0.8621</cdr:x>
      <cdr:y>0.47441</cdr:y>
    </cdr:from>
    <cdr:to>
      <cdr:x>1</cdr:x>
      <cdr:y>0.51431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2D4A48-27E8-40E1-9DC8-5AC73592E945}"/>
            </a:ext>
          </a:extLst>
        </cdr:cNvPr>
        <cdr:cNvSpPr txBox="1"/>
      </cdr:nvSpPr>
      <cdr:spPr>
        <a:xfrm xmlns:a="http://schemas.openxmlformats.org/drawingml/2006/main">
          <a:off x="12504963" y="4691745"/>
          <a:ext cx="2000250" cy="394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1"/>
            <a:t>Incremental QALYs</a:t>
          </a:r>
        </a:p>
      </cdr:txBody>
    </cdr:sp>
  </cdr:relSizeAnchor>
  <cdr:relSizeAnchor xmlns:cdr="http://schemas.openxmlformats.org/drawingml/2006/chartDrawing">
    <cdr:from>
      <cdr:x>0.41626</cdr:x>
      <cdr:y>0.00826</cdr:y>
    </cdr:from>
    <cdr:to>
      <cdr:x>0.44346</cdr:x>
      <cdr:y>0.21161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58F579C-80F8-45D9-8281-643D6E15BA0B}"/>
            </a:ext>
          </a:extLst>
        </cdr:cNvPr>
        <cdr:cNvSpPr txBox="1"/>
      </cdr:nvSpPr>
      <cdr:spPr>
        <a:xfrm xmlns:a="http://schemas.openxmlformats.org/drawingml/2006/main" rot="16200000">
          <a:off x="5229678" y="889907"/>
          <a:ext cx="2011138" cy="3946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/>
            <a:t>Incremental</a:t>
          </a:r>
          <a:r>
            <a:rPr lang="en-US" sz="1600" b="1" baseline="0"/>
            <a:t> Cost </a:t>
          </a:r>
          <a:endParaRPr lang="en-US" sz="1600" b="1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8C86A05C-833F-4313-AA11-C26DAE28C42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25" y="66675"/>
          <a:ext cx="1066800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38</xdr:col>
      <xdr:colOff>281387</xdr:colOff>
      <xdr:row>5</xdr:row>
      <xdr:rowOff>107334</xdr:rowOff>
    </xdr:from>
    <xdr:to>
      <xdr:col>51</xdr:col>
      <xdr:colOff>398806</xdr:colOff>
      <xdr:row>62</xdr:row>
      <xdr:rowOff>120098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8391BC2-5F44-E15C-5793-910AC4DCE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38100</xdr:colOff>
      <xdr:row>1</xdr:row>
      <xdr:rowOff>95250</xdr:rowOff>
    </xdr:from>
    <xdr:to>
      <xdr:col>23</xdr:col>
      <xdr:colOff>66675</xdr:colOff>
      <xdr:row>2</xdr:row>
      <xdr:rowOff>180975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61BBA21-24B3-4A88-9BBF-0CF69A181C0B}"/>
            </a:ext>
          </a:extLst>
        </xdr:cNvPr>
        <xdr:cNvGrpSpPr/>
      </xdr:nvGrpSpPr>
      <xdr:grpSpPr>
        <a:xfrm>
          <a:off x="1426029" y="272143"/>
          <a:ext cx="13608503" cy="711653"/>
          <a:chOff x="1533525" y="266700"/>
          <a:chExt cx="13592175" cy="704850"/>
        </a:xfrm>
      </xdr:grpSpPr>
      <xdr:sp macro="" textlink="">
        <xdr:nvSpPr>
          <xdr:cNvPr id="6" name="Shape 201">
            <a:extLst>
              <a:ext uri="{FF2B5EF4-FFF2-40B4-BE49-F238E27FC236}">
                <a16:creationId xmlns:a16="http://schemas.microsoft.com/office/drawing/2014/main" id="{BA9D977A-C5FE-4847-CDEA-FA74B2E49553}"/>
              </a:ext>
            </a:extLst>
          </xdr:cNvPr>
          <xdr:cNvSpPr/>
        </xdr:nvSpPr>
        <xdr:spPr>
          <a:xfrm>
            <a:off x="1533525" y="266700"/>
            <a:ext cx="15430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Model Overview</a:t>
            </a:r>
            <a:endParaRPr sz="1400"/>
          </a:p>
        </xdr:txBody>
      </xdr:sp>
      <xdr:sp macro="" textlink="">
        <xdr:nvSpPr>
          <xdr:cNvPr id="7" name="Shape 202">
            <a:extLst>
              <a:ext uri="{FF2B5EF4-FFF2-40B4-BE49-F238E27FC236}">
                <a16:creationId xmlns:a16="http://schemas.microsoft.com/office/drawing/2014/main" id="{0AF95B00-E92C-42F2-047F-F3216955978A}"/>
              </a:ext>
            </a:extLst>
          </xdr:cNvPr>
          <xdr:cNvSpPr/>
        </xdr:nvSpPr>
        <xdr:spPr>
          <a:xfrm>
            <a:off x="5060497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Parameters</a:t>
            </a:r>
            <a:endParaRPr sz="1400"/>
          </a:p>
        </xdr:txBody>
      </xdr:sp>
      <xdr:sp macro="" textlink="">
        <xdr:nvSpPr>
          <xdr:cNvPr id="8" name="Shape 203">
            <a:extLst>
              <a:ext uri="{FF2B5EF4-FFF2-40B4-BE49-F238E27FC236}">
                <a16:creationId xmlns:a16="http://schemas.microsoft.com/office/drawing/2014/main" id="{B2997414-9BCC-5D6A-D7FF-E6C26A9EF7DB}"/>
              </a:ext>
            </a:extLst>
          </xdr:cNvPr>
          <xdr:cNvSpPr/>
        </xdr:nvSpPr>
        <xdr:spPr>
          <a:xfrm>
            <a:off x="8501744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Markov Model</a:t>
            </a:r>
            <a:endParaRPr sz="1400"/>
          </a:p>
        </xdr:txBody>
      </xdr:sp>
      <xdr:sp macro="" textlink="">
        <xdr:nvSpPr>
          <xdr:cNvPr id="9" name="Shape 204">
            <a:extLst>
              <a:ext uri="{FF2B5EF4-FFF2-40B4-BE49-F238E27FC236}">
                <a16:creationId xmlns:a16="http://schemas.microsoft.com/office/drawing/2014/main" id="{1A186037-F3B1-364C-A476-A833BBBC472E}"/>
              </a:ext>
            </a:extLst>
          </xdr:cNvPr>
          <xdr:cNvSpPr/>
        </xdr:nvSpPr>
        <xdr:spPr>
          <a:xfrm>
            <a:off x="3344636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Calculated Inputs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0" name="Shape 205">
            <a:extLst>
              <a:ext uri="{FF2B5EF4-FFF2-40B4-BE49-F238E27FC236}">
                <a16:creationId xmlns:a16="http://schemas.microsoft.com/office/drawing/2014/main" id="{B75CD19C-A8C0-348E-DA50-4A91433D2045}"/>
              </a:ext>
            </a:extLst>
          </xdr:cNvPr>
          <xdr:cNvSpPr/>
        </xdr:nvSpPr>
        <xdr:spPr>
          <a:xfrm>
            <a:off x="10217605" y="266700"/>
            <a:ext cx="146685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OWSA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1" name="Shape 206">
            <a:extLst>
              <a:ext uri="{FF2B5EF4-FFF2-40B4-BE49-F238E27FC236}">
                <a16:creationId xmlns:a16="http://schemas.microsoft.com/office/drawing/2014/main" id="{0E8DA153-C4C1-9A36-E11E-C8F15517C27A}"/>
              </a:ext>
            </a:extLst>
          </xdr:cNvPr>
          <xdr:cNvSpPr/>
        </xdr:nvSpPr>
        <xdr:spPr>
          <a:xfrm>
            <a:off x="13677900" y="266700"/>
            <a:ext cx="1447800" cy="704850"/>
          </a:xfrm>
          <a:prstGeom prst="rect">
            <a:avLst/>
          </a:prstGeom>
          <a:solidFill>
            <a:schemeClr val="accent4">
              <a:lumMod val="50000"/>
            </a:schemeClr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Survival Extrapolation</a:t>
            </a:r>
            <a:endParaRPr sz="1600">
              <a:latin typeface="Cambria"/>
              <a:ea typeface="Cambria"/>
              <a:cs typeface="Cambria"/>
              <a:sym typeface="Cambria"/>
            </a:endParaRPr>
          </a:p>
        </xdr:txBody>
      </xdr:sp>
      <xdr:sp macro="" textlink="">
        <xdr:nvSpPr>
          <xdr:cNvPr id="12" name="Shape 207">
            <a:extLst>
              <a:ext uri="{FF2B5EF4-FFF2-40B4-BE49-F238E27FC236}">
                <a16:creationId xmlns:a16="http://schemas.microsoft.com/office/drawing/2014/main" id="{9BBB602E-26B7-2F75-3086-E60333E92BB3}"/>
              </a:ext>
            </a:extLst>
          </xdr:cNvPr>
          <xdr:cNvSpPr/>
        </xdr:nvSpPr>
        <xdr:spPr>
          <a:xfrm>
            <a:off x="6785883" y="266700"/>
            <a:ext cx="1447800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Decision Tree</a:t>
            </a:r>
            <a:endParaRPr sz="1400"/>
          </a:p>
        </xdr:txBody>
      </xdr:sp>
      <xdr:sp macro="" textlink="">
        <xdr:nvSpPr>
          <xdr:cNvPr id="13" name="Shape 208">
            <a:extLst>
              <a:ext uri="{FF2B5EF4-FFF2-40B4-BE49-F238E27FC236}">
                <a16:creationId xmlns:a16="http://schemas.microsoft.com/office/drawing/2014/main" id="{B0808DF7-46F9-E10C-72DB-22816A87E161}"/>
              </a:ext>
            </a:extLst>
          </xdr:cNvPr>
          <xdr:cNvSpPr/>
        </xdr:nvSpPr>
        <xdr:spPr>
          <a:xfrm>
            <a:off x="11952516" y="266700"/>
            <a:ext cx="1457325" cy="704850"/>
          </a:xfrm>
          <a:prstGeom prst="rect">
            <a:avLst/>
          </a:prstGeom>
          <a:solidFill>
            <a:schemeClr val="accent4"/>
          </a:solidFill>
          <a:ln w="19050" cap="flat" cmpd="sng">
            <a:solidFill>
              <a:schemeClr val="lt1"/>
            </a:solidFill>
            <a:prstDash val="solid"/>
            <a:miter lim="800000"/>
            <a:headEnd type="none" w="sm" len="sm"/>
            <a:tailEnd type="none" w="sm" len="sm"/>
          </a:ln>
        </xdr:spPr>
        <xdr:txBody>
          <a:bodyPr spcFirstLastPara="1" wrap="square" lIns="91425" tIns="45700" rIns="91425" bIns="45700" anchor="ctr" anchorCtr="0">
            <a:noAutofit/>
          </a:bodyPr>
          <a:lstStyle/>
          <a:p>
            <a:pPr marL="0" lvl="0" indent="0" algn="ctr" rtl="0">
              <a:spcBef>
                <a:spcPts val="0"/>
              </a:spcBef>
              <a:spcAft>
                <a:spcPts val="0"/>
              </a:spcAft>
              <a:buClr>
                <a:schemeClr val="lt1"/>
              </a:buClr>
              <a:buSzPts val="1600"/>
              <a:buFont typeface="Cambria"/>
              <a:buNone/>
            </a:pPr>
            <a:r>
              <a:rPr lang="en-US" sz="1600">
                <a:solidFill>
                  <a:schemeClr val="lt1"/>
                </a:solidFill>
                <a:latin typeface="Cambria"/>
                <a:ea typeface="Cambria"/>
                <a:cs typeface="Cambria"/>
                <a:sym typeface="Cambria"/>
              </a:rPr>
              <a:t>PSA</a:t>
            </a:r>
            <a:endParaRPr sz="1400"/>
          </a:p>
        </xdr:txBody>
      </xdr:sp>
    </xdr:grp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66675</xdr:rowOff>
    </xdr:from>
    <xdr:ext cx="1066800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123825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13146B74-733D-0A38-9AC4-BFA5D35B2962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79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123825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36A17BB7-369E-97D6-ECED-BB84FBCB777B}"/>
            </a:ext>
          </a:extLst>
        </xdr:cNvPr>
        <xdr:cNvSpPr>
          <a:spLocks noChangeAspect="1" noChangeArrowheads="1"/>
        </xdr:cNvSpPr>
      </xdr:nvSpPr>
      <xdr:spPr bwMode="auto">
        <a:xfrm>
          <a:off x="1828800" y="233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304800</xdr:colOff>
      <xdr:row>15</xdr:row>
      <xdr:rowOff>123825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78CD2BB7-B604-2D93-CFD5-1F50B371727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123825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4F56BB51-AA06-103D-EC4C-42171C1BBED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304800</xdr:colOff>
      <xdr:row>9</xdr:row>
      <xdr:rowOff>123825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352CA279-B389-475B-A9A3-0C721AB3340D}"/>
            </a:ext>
          </a:extLst>
        </xdr:cNvPr>
        <xdr:cNvSpPr>
          <a:spLocks noChangeAspect="1" noChangeArrowheads="1"/>
        </xdr:cNvSpPr>
      </xdr:nvSpPr>
      <xdr:spPr bwMode="auto">
        <a:xfrm>
          <a:off x="24384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123825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2454C1F7-12E5-579D-704A-3606FCB06419}"/>
            </a:ext>
          </a:extLst>
        </xdr:cNvPr>
        <xdr:cNvSpPr>
          <a:spLocks noChangeAspect="1" noChangeArrowheads="1"/>
        </xdr:cNvSpPr>
      </xdr:nvSpPr>
      <xdr:spPr bwMode="auto">
        <a:xfrm>
          <a:off x="3048000" y="12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3</xdr:row>
      <xdr:rowOff>0</xdr:rowOff>
    </xdr:from>
    <xdr:to>
      <xdr:col>9</xdr:col>
      <xdr:colOff>9525</xdr:colOff>
      <xdr:row>4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C768984-8530-A9D9-B111-B86295EFA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1247775"/>
          <a:ext cx="619125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315058</xdr:colOff>
      <xdr:row>5</xdr:row>
      <xdr:rowOff>124557</xdr:rowOff>
    </xdr:from>
    <xdr:to>
      <xdr:col>11</xdr:col>
      <xdr:colOff>395037</xdr:colOff>
      <xdr:row>33</xdr:row>
      <xdr:rowOff>146538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16B7AF9-766F-1C4F-1792-BA9D38093E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058" y="1743807"/>
          <a:ext cx="6769460" cy="5150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66675</xdr:rowOff>
    </xdr:from>
    <xdr:ext cx="1076325" cy="1085850"/>
    <xdr:pic>
      <xdr:nvPicPr>
        <xdr:cNvPr id="2" name="image2.png" descr="University of California, San Diego - Wikipedia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69A020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U1000"/>
  <sheetViews>
    <sheetView tabSelected="1" zoomScale="85" zoomScaleNormal="85" workbookViewId="0">
      <selection activeCell="AL24" sqref="AL24"/>
    </sheetView>
  </sheetViews>
  <sheetFormatPr defaultColWidth="12.625" defaultRowHeight="15" customHeight="1" x14ac:dyDescent="0.2"/>
  <cols>
    <col min="1" max="31" width="8" customWidth="1"/>
    <col min="32" max="32" width="3.5" customWidth="1"/>
    <col min="33" max="33" width="1.875" customWidth="1"/>
    <col min="34" max="34" width="13.5" customWidth="1"/>
    <col min="35" max="35" width="11.5" customWidth="1"/>
    <col min="36" max="36" width="8" customWidth="1"/>
    <col min="37" max="37" width="12" customWidth="1"/>
    <col min="38" max="41" width="8" customWidth="1"/>
    <col min="42" max="42" width="7.625" customWidth="1"/>
  </cols>
  <sheetData>
    <row r="1" spans="1:47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7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7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7" ht="12" customHeight="1" x14ac:dyDescent="0.25">
      <c r="A4" s="534" t="s">
        <v>0</v>
      </c>
      <c r="B4" s="535"/>
      <c r="C4" s="535"/>
      <c r="D4" s="535"/>
      <c r="E4" s="535"/>
      <c r="F4" s="535"/>
      <c r="G4" s="53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</row>
    <row r="5" spans="1:47" ht="30" customHeight="1" x14ac:dyDescent="0.25">
      <c r="A5" s="537"/>
      <c r="B5" s="538"/>
      <c r="C5" s="538"/>
      <c r="D5" s="538"/>
      <c r="E5" s="538"/>
      <c r="F5" s="538"/>
      <c r="G5" s="53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</row>
    <row r="6" spans="1:47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</row>
    <row r="7" spans="1:47" ht="14.25" customHeight="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4" t="s">
        <v>1</v>
      </c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</row>
    <row r="8" spans="1:47" ht="5.25" customHeight="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5"/>
      <c r="AI8" s="5"/>
      <c r="AJ8" s="5"/>
      <c r="AK8" s="5"/>
      <c r="AL8" s="5"/>
      <c r="AM8" s="5"/>
      <c r="AN8" s="5"/>
      <c r="AO8" s="5"/>
      <c r="AP8" s="5"/>
      <c r="AQ8" s="3"/>
      <c r="AR8" s="3"/>
      <c r="AS8" s="3"/>
      <c r="AT8" s="3"/>
      <c r="AU8" s="3"/>
    </row>
    <row r="9" spans="1:47" ht="14.2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 t="s">
        <v>2</v>
      </c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</row>
    <row r="10" spans="1:47" ht="4.5" customHeigh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</row>
    <row r="11" spans="1:47" ht="14.25" customHeight="1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6" t="s">
        <v>3</v>
      </c>
      <c r="AI11" s="7"/>
      <c r="AJ11" s="7" t="s">
        <v>4</v>
      </c>
      <c r="AK11" s="7"/>
      <c r="AL11" s="7"/>
      <c r="AM11" s="7"/>
      <c r="AN11" s="7"/>
      <c r="AO11" s="7"/>
      <c r="AP11" s="7"/>
      <c r="AQ11" s="3"/>
      <c r="AR11" s="3"/>
      <c r="AS11" s="3"/>
      <c r="AT11" s="3"/>
      <c r="AU11" s="3"/>
    </row>
    <row r="12" spans="1:47" ht="14.25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4" t="s">
        <v>5</v>
      </c>
      <c r="AI12" s="3"/>
      <c r="AJ12" s="3" t="s">
        <v>6</v>
      </c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</row>
    <row r="13" spans="1:47" ht="14.25" customHeight="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6" t="s">
        <v>7</v>
      </c>
      <c r="AI13" s="7"/>
      <c r="AJ13" s="7" t="s">
        <v>8</v>
      </c>
      <c r="AK13" s="7"/>
      <c r="AL13" s="7"/>
      <c r="AM13" s="7"/>
      <c r="AN13" s="7"/>
      <c r="AO13" s="7"/>
      <c r="AP13" s="7"/>
      <c r="AQ13" s="3"/>
      <c r="AR13" s="3"/>
      <c r="AS13" s="3"/>
      <c r="AT13" s="3"/>
      <c r="AU13" s="3"/>
    </row>
    <row r="14" spans="1:47" ht="14.2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4" t="s">
        <v>9</v>
      </c>
      <c r="AI14" s="3"/>
      <c r="AJ14" s="3" t="s">
        <v>10</v>
      </c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</row>
    <row r="15" spans="1:47" ht="14.25" customHeight="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6" t="s">
        <v>11</v>
      </c>
      <c r="AI15" s="7"/>
      <c r="AJ15" s="7" t="s">
        <v>12</v>
      </c>
      <c r="AK15" s="7"/>
      <c r="AL15" s="7"/>
      <c r="AM15" s="7"/>
      <c r="AN15" s="7"/>
      <c r="AO15" s="7"/>
      <c r="AP15" s="7"/>
      <c r="AQ15" s="3"/>
      <c r="AR15" s="3"/>
      <c r="AS15" s="3"/>
      <c r="AT15" s="3"/>
      <c r="AU15" s="3"/>
    </row>
    <row r="16" spans="1:47" ht="14.2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4" t="s">
        <v>538</v>
      </c>
      <c r="AI16" s="3"/>
      <c r="AJ16" s="3" t="s">
        <v>539</v>
      </c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</row>
    <row r="17" spans="1:47" ht="14.25" customHeight="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540" t="s">
        <v>13</v>
      </c>
      <c r="Z17" s="535"/>
      <c r="AA17" s="536"/>
      <c r="AB17" s="3"/>
      <c r="AC17" s="3"/>
      <c r="AD17" s="3"/>
      <c r="AE17" s="3"/>
      <c r="AF17" s="3"/>
      <c r="AG17" s="3"/>
      <c r="AH17" s="6" t="s">
        <v>540</v>
      </c>
      <c r="AI17" s="7"/>
      <c r="AJ17" s="7" t="s">
        <v>541</v>
      </c>
      <c r="AK17" s="7"/>
      <c r="AL17" s="7"/>
      <c r="AM17" s="7"/>
      <c r="AN17" s="7"/>
      <c r="AO17" s="7"/>
      <c r="AP17" s="7"/>
      <c r="AQ17" s="3"/>
      <c r="AR17" s="3"/>
      <c r="AS17" s="3"/>
      <c r="AT17" s="3"/>
      <c r="AU17" s="3"/>
    </row>
    <row r="18" spans="1:47" ht="14.25" customHeigh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537"/>
      <c r="Z18" s="538"/>
      <c r="AA18" s="539"/>
      <c r="AB18" s="3"/>
      <c r="AC18" s="3"/>
      <c r="AD18" s="3"/>
      <c r="AE18" s="3"/>
      <c r="AF18" s="3"/>
      <c r="AG18" s="3"/>
      <c r="AH18" s="4" t="s">
        <v>542</v>
      </c>
      <c r="AI18" s="3"/>
      <c r="AJ18" s="3" t="s">
        <v>543</v>
      </c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</row>
    <row r="19" spans="1:47" ht="14.25" customHeight="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</row>
    <row r="20" spans="1:47" ht="14.25" customHeight="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</row>
    <row r="21" spans="1:47" ht="14.2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576"/>
      <c r="AI21" s="576"/>
      <c r="AJ21" s="576"/>
      <c r="AK21" s="576"/>
      <c r="AL21" s="3"/>
      <c r="AM21" s="3"/>
      <c r="AN21" s="3"/>
      <c r="AO21" s="3"/>
      <c r="AP21" s="3"/>
      <c r="AQ21" s="3"/>
      <c r="AR21" s="3"/>
      <c r="AS21" s="3"/>
      <c r="AT21" s="3"/>
      <c r="AU21" s="3"/>
    </row>
    <row r="22" spans="1:47" ht="14.25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577" t="s">
        <v>565</v>
      </c>
      <c r="AI22" s="577"/>
      <c r="AJ22" s="577"/>
      <c r="AK22" s="577"/>
      <c r="AL22" s="3"/>
      <c r="AM22" s="3"/>
      <c r="AN22" s="3"/>
      <c r="AO22" s="3"/>
      <c r="AP22" s="3"/>
      <c r="AQ22" s="3"/>
      <c r="AR22" s="3"/>
      <c r="AS22" s="3"/>
      <c r="AT22" s="3"/>
      <c r="AU22" s="3"/>
    </row>
    <row r="23" spans="1:47" s="575" customFormat="1" ht="17.25" customHeight="1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578" t="s">
        <v>566</v>
      </c>
      <c r="AI23" s="578"/>
      <c r="AJ23" s="578"/>
      <c r="AK23" s="578"/>
      <c r="AL23" s="9"/>
      <c r="AM23" s="9"/>
      <c r="AN23" s="9"/>
      <c r="AO23" s="9"/>
      <c r="AP23" s="9"/>
      <c r="AQ23" s="9"/>
      <c r="AR23" s="9"/>
      <c r="AS23" s="9"/>
      <c r="AT23" s="9"/>
      <c r="AU23" s="9"/>
    </row>
    <row r="24" spans="1:47" ht="14.25" customHeight="1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</row>
    <row r="25" spans="1:47" ht="14.25" customHeight="1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</row>
    <row r="26" spans="1:47" ht="14.2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</row>
    <row r="27" spans="1:47" ht="14.25" customHeight="1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47" ht="14.25" customHeight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L28" s="3"/>
      <c r="AM28" s="3"/>
      <c r="AN28" s="3"/>
      <c r="AO28" s="3"/>
      <c r="AP28" s="3"/>
      <c r="AQ28" s="3"/>
      <c r="AR28" s="3"/>
      <c r="AS28" s="3"/>
      <c r="AT28" s="3"/>
      <c r="AU28" s="3"/>
    </row>
    <row r="29" spans="1:47" ht="14.25" customHeight="1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</row>
    <row r="30" spans="1:47" ht="14.2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  <row r="31" spans="1:47" ht="14.25" customHeight="1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</row>
    <row r="32" spans="1:47" ht="14.25" customHeight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  <row r="33" spans="1:47" ht="14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</row>
    <row r="34" spans="1:47" ht="14.2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</row>
    <row r="35" spans="1:47" ht="14.25" customHeight="1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</row>
    <row r="36" spans="1:47" ht="14.2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</row>
    <row r="37" spans="1:47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</row>
    <row r="38" spans="1:47" ht="14.2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</row>
    <row r="39" spans="1:47" ht="14.2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</row>
    <row r="40" spans="1:47" ht="14.2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</row>
    <row r="41" spans="1:47" ht="14.2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</row>
    <row r="42" spans="1:47" ht="14.2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</row>
    <row r="43" spans="1:47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</row>
    <row r="44" spans="1:47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</row>
    <row r="45" spans="1:47" ht="14.25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</row>
    <row r="46" spans="1:47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</row>
    <row r="47" spans="1:47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</row>
    <row r="48" spans="1:47" ht="14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</row>
    <row r="49" spans="1:47" ht="14.25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</row>
    <row r="50" spans="1:47" ht="14.25" customHeigh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</row>
    <row r="51" spans="1:47" ht="14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</row>
    <row r="52" spans="1:47" ht="14.25" customHeight="1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</row>
    <row r="53" spans="1:47" ht="14.25" customHeight="1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</row>
    <row r="54" spans="1:47" ht="14.25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</row>
    <row r="55" spans="1:47" ht="14.25" customHeight="1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</row>
    <row r="56" spans="1:47" ht="14.25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</row>
    <row r="57" spans="1:47" ht="14.25" customHeigh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</row>
    <row r="58" spans="1:47" ht="14.25" customHeigh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</row>
    <row r="59" spans="1:47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</row>
    <row r="60" spans="1:47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</row>
    <row r="61" spans="1:47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</row>
    <row r="62" spans="1:47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</row>
    <row r="63" spans="1:47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</row>
    <row r="64" spans="1:47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</row>
    <row r="65" spans="1:47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</row>
    <row r="66" spans="1:47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</row>
    <row r="67" spans="1:47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</row>
    <row r="68" spans="1:47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</row>
    <row r="69" spans="1:47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</row>
    <row r="70" spans="1:47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</row>
    <row r="71" spans="1:47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</row>
    <row r="72" spans="1:47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</row>
    <row r="73" spans="1:47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</row>
    <row r="74" spans="1:47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</row>
    <row r="75" spans="1:47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</row>
    <row r="76" spans="1:47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</row>
    <row r="77" spans="1:47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</row>
    <row r="78" spans="1:47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</row>
    <row r="79" spans="1:47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</row>
    <row r="80" spans="1:47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</row>
    <row r="81" spans="1:47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</row>
    <row r="82" spans="1:47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</row>
    <row r="83" spans="1:47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</row>
    <row r="84" spans="1:47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</row>
    <row r="85" spans="1:47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</row>
    <row r="86" spans="1:47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</row>
    <row r="87" spans="1:47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</row>
    <row r="88" spans="1:47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</row>
    <row r="89" spans="1:47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</row>
    <row r="90" spans="1:47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</row>
    <row r="91" spans="1:47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</row>
    <row r="92" spans="1:47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</row>
    <row r="93" spans="1:47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</row>
    <row r="94" spans="1:47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</row>
    <row r="95" spans="1:47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</row>
    <row r="96" spans="1:47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</row>
    <row r="97" spans="1:47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</row>
    <row r="98" spans="1:47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</row>
    <row r="99" spans="1:47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</row>
    <row r="100" spans="1:47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</row>
    <row r="101" spans="1:47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</row>
    <row r="102" spans="1:47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</row>
    <row r="103" spans="1:47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</row>
    <row r="104" spans="1:47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</row>
    <row r="105" spans="1:47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</row>
    <row r="106" spans="1:47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</row>
    <row r="107" spans="1:47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</row>
    <row r="108" spans="1:47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</row>
    <row r="109" spans="1:47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</row>
    <row r="110" spans="1:47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</row>
    <row r="111" spans="1:47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</row>
    <row r="112" spans="1:47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</row>
    <row r="113" spans="1:47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</row>
    <row r="114" spans="1:47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</row>
    <row r="115" spans="1:47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</row>
    <row r="116" spans="1:47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</row>
    <row r="117" spans="1:47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</row>
    <row r="118" spans="1:47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</row>
    <row r="119" spans="1:47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</row>
    <row r="120" spans="1:47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</row>
    <row r="121" spans="1:47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</row>
    <row r="122" spans="1:47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</row>
    <row r="123" spans="1:47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</row>
    <row r="124" spans="1:47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</row>
    <row r="125" spans="1:47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</row>
    <row r="126" spans="1:47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</row>
    <row r="127" spans="1:47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</row>
    <row r="128" spans="1:47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</row>
    <row r="129" spans="1:47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</row>
    <row r="130" spans="1:47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</row>
    <row r="131" spans="1:47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</row>
    <row r="132" spans="1:47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</row>
    <row r="133" spans="1:47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</row>
    <row r="134" spans="1:47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</row>
    <row r="135" spans="1:47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</row>
    <row r="136" spans="1:47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</row>
    <row r="137" spans="1:47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</row>
    <row r="138" spans="1:47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</row>
    <row r="139" spans="1:47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</row>
    <row r="140" spans="1:47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</row>
    <row r="141" spans="1:47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</row>
    <row r="142" spans="1:47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</row>
    <row r="143" spans="1:47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</row>
    <row r="144" spans="1:47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</row>
    <row r="145" spans="1:47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</row>
    <row r="146" spans="1:47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</row>
    <row r="147" spans="1:47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</row>
    <row r="148" spans="1:47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</row>
    <row r="149" spans="1:47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</row>
    <row r="150" spans="1:47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</row>
    <row r="151" spans="1:47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</row>
    <row r="152" spans="1:47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</row>
    <row r="153" spans="1:47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</row>
    <row r="154" spans="1:47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</row>
    <row r="155" spans="1:47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</row>
    <row r="156" spans="1:47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</row>
    <row r="157" spans="1:47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</row>
    <row r="158" spans="1:47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</row>
    <row r="159" spans="1:47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</row>
    <row r="160" spans="1:47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</row>
    <row r="161" spans="1:47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</row>
    <row r="162" spans="1:47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</row>
    <row r="163" spans="1:47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</row>
    <row r="164" spans="1:47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</row>
    <row r="165" spans="1:47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</row>
    <row r="166" spans="1:47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</row>
    <row r="167" spans="1:47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</row>
    <row r="168" spans="1:47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</row>
    <row r="169" spans="1:47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</row>
    <row r="170" spans="1:47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</row>
    <row r="171" spans="1:47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</row>
    <row r="172" spans="1:47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</row>
    <row r="173" spans="1:47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</row>
    <row r="174" spans="1:47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</row>
    <row r="175" spans="1:47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</row>
    <row r="176" spans="1:47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</row>
    <row r="177" spans="1:47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</row>
    <row r="178" spans="1:47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</row>
    <row r="179" spans="1:47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</row>
    <row r="180" spans="1:47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</row>
    <row r="181" spans="1:47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</row>
    <row r="182" spans="1:47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</row>
    <row r="183" spans="1:47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</row>
    <row r="184" spans="1:47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</row>
    <row r="185" spans="1:47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</row>
    <row r="186" spans="1:47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</row>
    <row r="187" spans="1:47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</row>
    <row r="188" spans="1:47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</row>
    <row r="189" spans="1:47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</row>
    <row r="190" spans="1:47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</row>
    <row r="191" spans="1:47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</row>
    <row r="192" spans="1:47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</row>
    <row r="193" spans="1:42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</row>
    <row r="194" spans="1:42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</row>
    <row r="195" spans="1:42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</row>
    <row r="196" spans="1:42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</row>
    <row r="197" spans="1:42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</row>
    <row r="198" spans="1:42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</row>
    <row r="199" spans="1:42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</row>
    <row r="200" spans="1:42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</row>
    <row r="201" spans="1:42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</row>
    <row r="202" spans="1:42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</row>
    <row r="203" spans="1:42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</row>
    <row r="204" spans="1:42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</row>
    <row r="205" spans="1:42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</row>
    <row r="206" spans="1:42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</row>
    <row r="207" spans="1:42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</row>
    <row r="208" spans="1:42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</row>
    <row r="209" spans="1:42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</row>
    <row r="210" spans="1:42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</row>
    <row r="211" spans="1:42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</row>
    <row r="212" spans="1:42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</row>
    <row r="213" spans="1:42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</row>
    <row r="214" spans="1:42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</row>
    <row r="215" spans="1:42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</row>
    <row r="216" spans="1:42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</row>
    <row r="217" spans="1:42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</row>
    <row r="218" spans="1:42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</row>
    <row r="219" spans="1:42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</row>
    <row r="220" spans="1:42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</row>
    <row r="221" spans="1:42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</row>
    <row r="222" spans="1:42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</row>
    <row r="223" spans="1:42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</row>
    <row r="224" spans="1:42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</row>
    <row r="225" spans="1:42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</row>
    <row r="226" spans="1:42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</row>
    <row r="227" spans="1:42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</row>
    <row r="228" spans="1:42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</row>
    <row r="229" spans="1:42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</row>
    <row r="230" spans="1:42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</row>
    <row r="231" spans="1:42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</row>
    <row r="232" spans="1:42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</row>
    <row r="233" spans="1:42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</row>
    <row r="234" spans="1:42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</row>
    <row r="235" spans="1:42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</row>
    <row r="236" spans="1:42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</row>
    <row r="237" spans="1:42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</row>
    <row r="238" spans="1:42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</row>
    <row r="239" spans="1:42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</row>
    <row r="240" spans="1:42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</row>
    <row r="241" spans="1:42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</row>
    <row r="242" spans="1:42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</row>
    <row r="243" spans="1:42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</row>
    <row r="244" spans="1:42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</row>
    <row r="245" spans="1:42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</row>
    <row r="246" spans="1:42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</row>
    <row r="247" spans="1:42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</row>
    <row r="248" spans="1:42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</row>
    <row r="249" spans="1:42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</row>
    <row r="250" spans="1:42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</row>
    <row r="251" spans="1:42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</row>
    <row r="252" spans="1:42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</row>
    <row r="253" spans="1:42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</row>
    <row r="254" spans="1:42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</row>
    <row r="255" spans="1:42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</row>
    <row r="256" spans="1:42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</row>
    <row r="257" spans="1:42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</row>
    <row r="258" spans="1:42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</row>
    <row r="259" spans="1:42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</row>
    <row r="260" spans="1:42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</row>
    <row r="261" spans="1:42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</row>
    <row r="262" spans="1:42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</row>
    <row r="263" spans="1:42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</row>
    <row r="264" spans="1:42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</row>
    <row r="265" spans="1:42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</row>
    <row r="266" spans="1:42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</row>
    <row r="267" spans="1:42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</row>
    <row r="268" spans="1:42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</row>
    <row r="269" spans="1:42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</row>
    <row r="270" spans="1:42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</row>
    <row r="271" spans="1:42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</row>
    <row r="272" spans="1:42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</row>
    <row r="273" spans="1:42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</row>
    <row r="274" spans="1:42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</row>
    <row r="275" spans="1:42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</row>
    <row r="276" spans="1:42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</row>
    <row r="277" spans="1:42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</row>
    <row r="278" spans="1:42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</row>
    <row r="279" spans="1:42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</row>
    <row r="280" spans="1:42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</row>
    <row r="281" spans="1:42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</row>
    <row r="282" spans="1:42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</row>
    <row r="283" spans="1:42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</row>
    <row r="284" spans="1:42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</row>
    <row r="285" spans="1:42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</row>
    <row r="286" spans="1:42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</row>
    <row r="287" spans="1:42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</row>
    <row r="288" spans="1:42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</row>
    <row r="289" spans="1:42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</row>
    <row r="290" spans="1:42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</row>
    <row r="291" spans="1:42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</row>
    <row r="292" spans="1:42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</row>
    <row r="293" spans="1:42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</row>
    <row r="294" spans="1:42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</row>
    <row r="295" spans="1:42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</row>
    <row r="296" spans="1:42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</row>
    <row r="297" spans="1:42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</row>
    <row r="298" spans="1:42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</row>
    <row r="299" spans="1:42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</row>
    <row r="300" spans="1:42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</row>
    <row r="301" spans="1:42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</row>
    <row r="302" spans="1:42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</row>
    <row r="303" spans="1:42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</row>
    <row r="304" spans="1:42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</row>
    <row r="305" spans="1:42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</row>
    <row r="306" spans="1:42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</row>
    <row r="307" spans="1:42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</row>
    <row r="308" spans="1:42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</row>
    <row r="309" spans="1:42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</row>
    <row r="310" spans="1:42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</row>
    <row r="311" spans="1:42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</row>
    <row r="312" spans="1:42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</row>
    <row r="313" spans="1:42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</row>
    <row r="314" spans="1:42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</row>
    <row r="315" spans="1:42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</row>
    <row r="316" spans="1:42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</row>
    <row r="317" spans="1:42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</row>
    <row r="318" spans="1:42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</row>
    <row r="319" spans="1:42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</row>
    <row r="320" spans="1:42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</row>
    <row r="321" spans="1:42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</row>
    <row r="322" spans="1:42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</row>
    <row r="323" spans="1:42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</row>
    <row r="324" spans="1:42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</row>
    <row r="325" spans="1:42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</row>
    <row r="326" spans="1:42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</row>
    <row r="327" spans="1:42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</row>
    <row r="328" spans="1:42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</row>
    <row r="329" spans="1:42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</row>
    <row r="330" spans="1:42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</row>
    <row r="331" spans="1:42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</row>
    <row r="332" spans="1:42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</row>
    <row r="333" spans="1:42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</row>
    <row r="334" spans="1:42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</row>
    <row r="335" spans="1:42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</row>
    <row r="336" spans="1:42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</row>
    <row r="337" spans="1:42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</row>
    <row r="338" spans="1:42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</row>
    <row r="339" spans="1:42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</row>
    <row r="340" spans="1:42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</row>
    <row r="341" spans="1:42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</row>
    <row r="342" spans="1:42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</row>
    <row r="343" spans="1:42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</row>
    <row r="344" spans="1:42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</row>
    <row r="345" spans="1:42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</row>
    <row r="346" spans="1:42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</row>
    <row r="347" spans="1:42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</row>
    <row r="348" spans="1:42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</row>
    <row r="349" spans="1:42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</row>
    <row r="350" spans="1:42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</row>
    <row r="351" spans="1:42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</row>
    <row r="352" spans="1:42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</row>
    <row r="353" spans="1:42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</row>
    <row r="354" spans="1:42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</row>
    <row r="355" spans="1:42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</row>
    <row r="356" spans="1:42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</row>
    <row r="357" spans="1:42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</row>
    <row r="358" spans="1:42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</row>
    <row r="359" spans="1:42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</row>
    <row r="360" spans="1:42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</row>
    <row r="361" spans="1:42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</row>
    <row r="362" spans="1:42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</row>
    <row r="363" spans="1:42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</row>
    <row r="364" spans="1:42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</row>
    <row r="365" spans="1:42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</row>
    <row r="366" spans="1:42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</row>
    <row r="367" spans="1:42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</row>
    <row r="368" spans="1:42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</row>
    <row r="369" spans="1:42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</row>
    <row r="370" spans="1:42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</row>
    <row r="371" spans="1:42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</row>
    <row r="372" spans="1:42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</row>
    <row r="373" spans="1:42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</row>
    <row r="374" spans="1:42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</row>
    <row r="375" spans="1:42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</row>
    <row r="376" spans="1:42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</row>
    <row r="377" spans="1:42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</row>
    <row r="378" spans="1:42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</row>
    <row r="379" spans="1:42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</row>
    <row r="380" spans="1:42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</row>
    <row r="381" spans="1:42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</row>
    <row r="382" spans="1:42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</row>
    <row r="383" spans="1:42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</row>
    <row r="384" spans="1:42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</row>
    <row r="385" spans="1:42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</row>
    <row r="386" spans="1:42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</row>
    <row r="387" spans="1:42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</row>
    <row r="388" spans="1:42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</row>
    <row r="389" spans="1:42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</row>
    <row r="390" spans="1:42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</row>
    <row r="391" spans="1:42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</row>
    <row r="392" spans="1:42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</row>
    <row r="393" spans="1:42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</row>
    <row r="394" spans="1:42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</row>
    <row r="395" spans="1:42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</row>
    <row r="396" spans="1:42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</row>
    <row r="397" spans="1:42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</row>
    <row r="398" spans="1:42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</row>
    <row r="399" spans="1:42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</row>
    <row r="400" spans="1:42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</row>
    <row r="401" spans="1:42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</row>
    <row r="402" spans="1:42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</row>
    <row r="403" spans="1:42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</row>
    <row r="404" spans="1:42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</row>
    <row r="405" spans="1:42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</row>
    <row r="406" spans="1:42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</row>
    <row r="407" spans="1:42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</row>
    <row r="408" spans="1:42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</row>
    <row r="409" spans="1:42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</row>
    <row r="410" spans="1:42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</row>
    <row r="411" spans="1:42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</row>
    <row r="412" spans="1:42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</row>
    <row r="413" spans="1:42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</row>
    <row r="414" spans="1:42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</row>
    <row r="415" spans="1:42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</row>
    <row r="416" spans="1:42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</row>
    <row r="417" spans="1:42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</row>
    <row r="418" spans="1:42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</row>
    <row r="419" spans="1:42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</row>
    <row r="420" spans="1:42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</row>
    <row r="421" spans="1:42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</row>
    <row r="422" spans="1:42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</row>
    <row r="423" spans="1:42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</row>
    <row r="424" spans="1:42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</row>
    <row r="425" spans="1:42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</row>
    <row r="426" spans="1:42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</row>
    <row r="427" spans="1:42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</row>
    <row r="428" spans="1:42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</row>
    <row r="429" spans="1:42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</row>
    <row r="430" spans="1:42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</row>
    <row r="431" spans="1:42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</row>
    <row r="432" spans="1:42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</row>
    <row r="433" spans="1:42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</row>
    <row r="434" spans="1:42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</row>
    <row r="435" spans="1:42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</row>
    <row r="436" spans="1:42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</row>
    <row r="437" spans="1:42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</row>
    <row r="438" spans="1:42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</row>
    <row r="439" spans="1:42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</row>
    <row r="440" spans="1:42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</row>
    <row r="441" spans="1:42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</row>
    <row r="442" spans="1:42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</row>
    <row r="443" spans="1:42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</row>
    <row r="444" spans="1:42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</row>
    <row r="445" spans="1:42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</row>
    <row r="446" spans="1:42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</row>
    <row r="447" spans="1:42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</row>
    <row r="448" spans="1:42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</row>
    <row r="449" spans="1:42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</row>
    <row r="450" spans="1:42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</row>
    <row r="451" spans="1:42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</row>
    <row r="452" spans="1:42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</row>
    <row r="453" spans="1:42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</row>
    <row r="454" spans="1:42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</row>
    <row r="455" spans="1:42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</row>
    <row r="456" spans="1:42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</row>
    <row r="457" spans="1:42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</row>
    <row r="458" spans="1:42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</row>
    <row r="459" spans="1:42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</row>
    <row r="460" spans="1:42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</row>
    <row r="461" spans="1:42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</row>
    <row r="462" spans="1:42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</row>
    <row r="463" spans="1:42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</row>
    <row r="464" spans="1:42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</row>
    <row r="465" spans="1:42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</row>
    <row r="466" spans="1:42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</row>
    <row r="467" spans="1:42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</row>
    <row r="468" spans="1:42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</row>
    <row r="469" spans="1:42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</row>
    <row r="470" spans="1:42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</row>
    <row r="471" spans="1:42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</row>
    <row r="472" spans="1:42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</row>
    <row r="473" spans="1:42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</row>
    <row r="474" spans="1:42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</row>
    <row r="475" spans="1:42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</row>
    <row r="476" spans="1:42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</row>
    <row r="477" spans="1:42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</row>
    <row r="478" spans="1:42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</row>
    <row r="479" spans="1:42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</row>
    <row r="480" spans="1:42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</row>
    <row r="481" spans="1:42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</row>
    <row r="482" spans="1:42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</row>
    <row r="483" spans="1:42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</row>
    <row r="484" spans="1:42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</row>
    <row r="485" spans="1:42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</row>
    <row r="486" spans="1:42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</row>
    <row r="487" spans="1:42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</row>
    <row r="488" spans="1:42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</row>
    <row r="489" spans="1:42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</row>
    <row r="490" spans="1:42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</row>
    <row r="491" spans="1:42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</row>
    <row r="492" spans="1:42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</row>
    <row r="493" spans="1:42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</row>
    <row r="494" spans="1:42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</row>
    <row r="495" spans="1:42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</row>
    <row r="496" spans="1:42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</row>
    <row r="497" spans="1:42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</row>
    <row r="498" spans="1:42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</row>
    <row r="499" spans="1:42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</row>
    <row r="500" spans="1:42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</row>
    <row r="501" spans="1:42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</row>
    <row r="502" spans="1:42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</row>
    <row r="503" spans="1:42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</row>
    <row r="504" spans="1:42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</row>
    <row r="505" spans="1:42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</row>
    <row r="506" spans="1:42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</row>
    <row r="507" spans="1:42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</row>
    <row r="508" spans="1:42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</row>
    <row r="509" spans="1:42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</row>
    <row r="510" spans="1:42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</row>
    <row r="511" spans="1:42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</row>
    <row r="512" spans="1:42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</row>
    <row r="513" spans="1:42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</row>
    <row r="514" spans="1:42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</row>
    <row r="515" spans="1:42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</row>
    <row r="516" spans="1:42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</row>
    <row r="517" spans="1:42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</row>
    <row r="518" spans="1:42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</row>
    <row r="519" spans="1:42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</row>
    <row r="520" spans="1:42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</row>
    <row r="521" spans="1:42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</row>
    <row r="522" spans="1:42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</row>
    <row r="523" spans="1:42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</row>
    <row r="524" spans="1:42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</row>
    <row r="525" spans="1:42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</row>
    <row r="526" spans="1:42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</row>
    <row r="527" spans="1:42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</row>
    <row r="528" spans="1:42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</row>
    <row r="529" spans="1:42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</row>
    <row r="530" spans="1:42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</row>
    <row r="531" spans="1:42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</row>
    <row r="532" spans="1:42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</row>
    <row r="533" spans="1:42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</row>
    <row r="534" spans="1:42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</row>
    <row r="535" spans="1:42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</row>
    <row r="536" spans="1:42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</row>
    <row r="537" spans="1:42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</row>
    <row r="538" spans="1:42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</row>
    <row r="539" spans="1:42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</row>
    <row r="540" spans="1:42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</row>
    <row r="541" spans="1:42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</row>
    <row r="542" spans="1:42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</row>
    <row r="543" spans="1:42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</row>
    <row r="544" spans="1:42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</row>
    <row r="545" spans="1:42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</row>
    <row r="546" spans="1:42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</row>
    <row r="547" spans="1:42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</row>
    <row r="548" spans="1:42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</row>
    <row r="549" spans="1:42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</row>
    <row r="550" spans="1:42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</row>
    <row r="551" spans="1:42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</row>
    <row r="552" spans="1:42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</row>
    <row r="553" spans="1:42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</row>
    <row r="554" spans="1:42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</row>
    <row r="555" spans="1:42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</row>
    <row r="556" spans="1:42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</row>
    <row r="557" spans="1:42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</row>
    <row r="558" spans="1:42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</row>
    <row r="559" spans="1:42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</row>
    <row r="560" spans="1:42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</row>
    <row r="561" spans="1:42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</row>
    <row r="562" spans="1:42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</row>
    <row r="563" spans="1:42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</row>
    <row r="564" spans="1:42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</row>
    <row r="565" spans="1:42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</row>
    <row r="566" spans="1:42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</row>
    <row r="567" spans="1:42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</row>
    <row r="568" spans="1:42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</row>
    <row r="569" spans="1:42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</row>
    <row r="570" spans="1:42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</row>
    <row r="571" spans="1:42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</row>
    <row r="572" spans="1:42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</row>
    <row r="573" spans="1:42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</row>
    <row r="574" spans="1:42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</row>
    <row r="575" spans="1:42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</row>
    <row r="576" spans="1:42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</row>
    <row r="577" spans="1:42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</row>
    <row r="578" spans="1:42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</row>
    <row r="579" spans="1:42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</row>
    <row r="580" spans="1:42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</row>
    <row r="581" spans="1:42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</row>
    <row r="582" spans="1:42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</row>
    <row r="583" spans="1:42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</row>
    <row r="584" spans="1:42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</row>
    <row r="585" spans="1:42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</row>
    <row r="586" spans="1:42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</row>
    <row r="587" spans="1:42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</row>
    <row r="588" spans="1:42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</row>
    <row r="589" spans="1:42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</row>
    <row r="590" spans="1:42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</row>
    <row r="591" spans="1:42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</row>
    <row r="592" spans="1:42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</row>
    <row r="593" spans="1:42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</row>
    <row r="594" spans="1:42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</row>
    <row r="595" spans="1:42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</row>
    <row r="596" spans="1:42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</row>
    <row r="597" spans="1:42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</row>
    <row r="598" spans="1:42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</row>
    <row r="599" spans="1:42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</row>
    <row r="600" spans="1:42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</row>
    <row r="601" spans="1:42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</row>
    <row r="602" spans="1:42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</row>
    <row r="603" spans="1:42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</row>
    <row r="604" spans="1:42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</row>
    <row r="605" spans="1:42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</row>
    <row r="606" spans="1:42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</row>
    <row r="607" spans="1:42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</row>
    <row r="608" spans="1:42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</row>
    <row r="609" spans="1:42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</row>
    <row r="610" spans="1:42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</row>
    <row r="611" spans="1:42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</row>
    <row r="612" spans="1:42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</row>
    <row r="613" spans="1:42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</row>
    <row r="614" spans="1:42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</row>
    <row r="615" spans="1:42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</row>
    <row r="616" spans="1:42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</row>
    <row r="617" spans="1:42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</row>
    <row r="618" spans="1:42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</row>
    <row r="619" spans="1:42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</row>
    <row r="620" spans="1:42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</row>
    <row r="621" spans="1:42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</row>
    <row r="622" spans="1:42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</row>
    <row r="623" spans="1:42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</row>
    <row r="624" spans="1:42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</row>
    <row r="625" spans="1:42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</row>
    <row r="626" spans="1:42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</row>
    <row r="627" spans="1:42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</row>
    <row r="628" spans="1:42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</row>
    <row r="629" spans="1:42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</row>
    <row r="630" spans="1:42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</row>
    <row r="631" spans="1:42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</row>
    <row r="632" spans="1:42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</row>
    <row r="633" spans="1:42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</row>
    <row r="634" spans="1:42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</row>
    <row r="635" spans="1:42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</row>
    <row r="636" spans="1:42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</row>
    <row r="637" spans="1:42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</row>
    <row r="638" spans="1:42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</row>
    <row r="639" spans="1:42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</row>
    <row r="640" spans="1:42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</row>
    <row r="641" spans="1:42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</row>
    <row r="642" spans="1:42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</row>
    <row r="643" spans="1:42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</row>
    <row r="644" spans="1:42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</row>
    <row r="645" spans="1:42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</row>
    <row r="646" spans="1:42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</row>
    <row r="647" spans="1:42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</row>
    <row r="648" spans="1:42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</row>
    <row r="649" spans="1:42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</row>
    <row r="650" spans="1:42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</row>
    <row r="651" spans="1:42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</row>
    <row r="652" spans="1:42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</row>
    <row r="653" spans="1:42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</row>
    <row r="654" spans="1:42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</row>
    <row r="655" spans="1:42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</row>
    <row r="656" spans="1:42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</row>
    <row r="657" spans="1:42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</row>
    <row r="658" spans="1:42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</row>
    <row r="659" spans="1:42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</row>
    <row r="660" spans="1:42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</row>
    <row r="661" spans="1:42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</row>
    <row r="662" spans="1:42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</row>
    <row r="663" spans="1:42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</row>
    <row r="664" spans="1:42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</row>
    <row r="665" spans="1:42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</row>
    <row r="666" spans="1:42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</row>
    <row r="667" spans="1:42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</row>
    <row r="668" spans="1:42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</row>
    <row r="669" spans="1:42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</row>
    <row r="670" spans="1:42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</row>
    <row r="671" spans="1:42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</row>
    <row r="672" spans="1:42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</row>
    <row r="673" spans="1:42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</row>
    <row r="674" spans="1:42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</row>
    <row r="675" spans="1:42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</row>
    <row r="676" spans="1:42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</row>
    <row r="677" spans="1:42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</row>
    <row r="678" spans="1:42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</row>
    <row r="679" spans="1:42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</row>
    <row r="680" spans="1:42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</row>
    <row r="681" spans="1:42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</row>
    <row r="682" spans="1:42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</row>
    <row r="683" spans="1:42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</row>
    <row r="684" spans="1:42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</row>
    <row r="685" spans="1:42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</row>
    <row r="686" spans="1:42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</row>
    <row r="687" spans="1:42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</row>
    <row r="688" spans="1:42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</row>
    <row r="689" spans="1:42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</row>
    <row r="690" spans="1:42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</row>
    <row r="691" spans="1:42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</row>
    <row r="692" spans="1:42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</row>
    <row r="693" spans="1:42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</row>
    <row r="694" spans="1:42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</row>
    <row r="695" spans="1:42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</row>
    <row r="696" spans="1:42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</row>
    <row r="697" spans="1:42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</row>
    <row r="698" spans="1:42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</row>
    <row r="699" spans="1:42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</row>
    <row r="700" spans="1:42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</row>
    <row r="701" spans="1:42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</row>
    <row r="702" spans="1:42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</row>
    <row r="703" spans="1:42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</row>
    <row r="704" spans="1:42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</row>
    <row r="705" spans="1:42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</row>
    <row r="706" spans="1:42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</row>
    <row r="707" spans="1:42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</row>
    <row r="708" spans="1:42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</row>
    <row r="709" spans="1:42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</row>
    <row r="710" spans="1:42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</row>
    <row r="711" spans="1:42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</row>
    <row r="712" spans="1:42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</row>
    <row r="713" spans="1:42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</row>
    <row r="714" spans="1:42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</row>
    <row r="715" spans="1:42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</row>
    <row r="716" spans="1:42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</row>
    <row r="717" spans="1:42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</row>
    <row r="718" spans="1:42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</row>
    <row r="719" spans="1:42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</row>
    <row r="720" spans="1:42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</row>
    <row r="721" spans="1:42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</row>
    <row r="722" spans="1:42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</row>
    <row r="723" spans="1:42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</row>
    <row r="724" spans="1:42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</row>
    <row r="725" spans="1:42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</row>
    <row r="726" spans="1:42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</row>
    <row r="727" spans="1:42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</row>
    <row r="728" spans="1:42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</row>
    <row r="729" spans="1:42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</row>
    <row r="730" spans="1:42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</row>
    <row r="731" spans="1:42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</row>
    <row r="732" spans="1:42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</row>
    <row r="733" spans="1:42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</row>
    <row r="734" spans="1:42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</row>
    <row r="735" spans="1:42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</row>
    <row r="736" spans="1:42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</row>
    <row r="737" spans="1:42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</row>
    <row r="738" spans="1:42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</row>
    <row r="739" spans="1:42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</row>
    <row r="740" spans="1:42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</row>
    <row r="741" spans="1:42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</row>
    <row r="742" spans="1:42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</row>
    <row r="743" spans="1:42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</row>
    <row r="744" spans="1:42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</row>
    <row r="745" spans="1:42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</row>
    <row r="746" spans="1:42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</row>
    <row r="747" spans="1:42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</row>
    <row r="748" spans="1:42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</row>
    <row r="749" spans="1:42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</row>
    <row r="750" spans="1:42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</row>
    <row r="751" spans="1:42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</row>
    <row r="752" spans="1:42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</row>
    <row r="753" spans="1:42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</row>
    <row r="754" spans="1:42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</row>
    <row r="755" spans="1:42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</row>
    <row r="756" spans="1:42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</row>
    <row r="757" spans="1:42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</row>
    <row r="758" spans="1:42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</row>
    <row r="759" spans="1:42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</row>
    <row r="760" spans="1:42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</row>
    <row r="761" spans="1:42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</row>
    <row r="762" spans="1:42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</row>
    <row r="763" spans="1:42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</row>
    <row r="764" spans="1:42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</row>
    <row r="765" spans="1:42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</row>
    <row r="766" spans="1:42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</row>
    <row r="767" spans="1:42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</row>
    <row r="768" spans="1:42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</row>
    <row r="769" spans="1:42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</row>
    <row r="770" spans="1:42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</row>
    <row r="771" spans="1:42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</row>
    <row r="772" spans="1:42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</row>
    <row r="773" spans="1:42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</row>
    <row r="774" spans="1:42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</row>
    <row r="775" spans="1:42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</row>
    <row r="776" spans="1:42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</row>
    <row r="777" spans="1:42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</row>
    <row r="778" spans="1:42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</row>
    <row r="779" spans="1:42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</row>
    <row r="780" spans="1:42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</row>
    <row r="781" spans="1:42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</row>
    <row r="782" spans="1:42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</row>
    <row r="783" spans="1:42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</row>
    <row r="784" spans="1:42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</row>
    <row r="785" spans="1:42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</row>
    <row r="786" spans="1:42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</row>
    <row r="787" spans="1:42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</row>
    <row r="788" spans="1:42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</row>
    <row r="789" spans="1:42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</row>
    <row r="790" spans="1:42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</row>
    <row r="791" spans="1:42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</row>
    <row r="792" spans="1:42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</row>
    <row r="793" spans="1:42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</row>
    <row r="794" spans="1:42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</row>
    <row r="795" spans="1:42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</row>
    <row r="796" spans="1:42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</row>
    <row r="797" spans="1:42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</row>
    <row r="798" spans="1:42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</row>
    <row r="799" spans="1:42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</row>
    <row r="800" spans="1:42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</row>
    <row r="801" spans="1:42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</row>
    <row r="802" spans="1:42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</row>
    <row r="803" spans="1:42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</row>
    <row r="804" spans="1:42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</row>
    <row r="805" spans="1:42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</row>
    <row r="806" spans="1:42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</row>
    <row r="807" spans="1:42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</row>
    <row r="808" spans="1:42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</row>
    <row r="809" spans="1:42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</row>
    <row r="810" spans="1:42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</row>
    <row r="811" spans="1:42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</row>
    <row r="812" spans="1:42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</row>
    <row r="813" spans="1:42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</row>
    <row r="814" spans="1:42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</row>
    <row r="815" spans="1:42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</row>
    <row r="816" spans="1:42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</row>
    <row r="817" spans="1:42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</row>
    <row r="818" spans="1:42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</row>
    <row r="819" spans="1:42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</row>
    <row r="820" spans="1:42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</row>
    <row r="821" spans="1:42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</row>
    <row r="822" spans="1:42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</row>
    <row r="823" spans="1:42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</row>
    <row r="824" spans="1:42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</row>
    <row r="825" spans="1:42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</row>
    <row r="826" spans="1:42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</row>
    <row r="827" spans="1:42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</row>
    <row r="828" spans="1:42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</row>
    <row r="829" spans="1:42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</row>
    <row r="830" spans="1:42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</row>
    <row r="831" spans="1:42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</row>
    <row r="832" spans="1:42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</row>
    <row r="833" spans="1:42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</row>
    <row r="834" spans="1:42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</row>
    <row r="835" spans="1:42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</row>
    <row r="836" spans="1:42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</row>
    <row r="837" spans="1:42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</row>
    <row r="838" spans="1:42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</row>
    <row r="839" spans="1:42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</row>
    <row r="840" spans="1:42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</row>
    <row r="841" spans="1:42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</row>
    <row r="842" spans="1:42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</row>
    <row r="843" spans="1:42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</row>
    <row r="844" spans="1:42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</row>
    <row r="845" spans="1:42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</row>
    <row r="846" spans="1:42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</row>
    <row r="847" spans="1:42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</row>
    <row r="848" spans="1:42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</row>
    <row r="849" spans="1:42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</row>
    <row r="850" spans="1:42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</row>
    <row r="851" spans="1:42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</row>
    <row r="852" spans="1:42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</row>
    <row r="853" spans="1:42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</row>
    <row r="854" spans="1:42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</row>
    <row r="855" spans="1:42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</row>
    <row r="856" spans="1:42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</row>
    <row r="857" spans="1:42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</row>
    <row r="858" spans="1:42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</row>
    <row r="859" spans="1:42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</row>
    <row r="860" spans="1:42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</row>
    <row r="861" spans="1:42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</row>
    <row r="862" spans="1:42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</row>
    <row r="863" spans="1:42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</row>
    <row r="864" spans="1:42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</row>
    <row r="865" spans="1:42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</row>
    <row r="866" spans="1:42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</row>
    <row r="867" spans="1:42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</row>
    <row r="868" spans="1:42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</row>
    <row r="869" spans="1:42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</row>
    <row r="870" spans="1:42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</row>
    <row r="871" spans="1:42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</row>
    <row r="872" spans="1:42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</row>
    <row r="873" spans="1:42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</row>
    <row r="874" spans="1:42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</row>
    <row r="875" spans="1:42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</row>
    <row r="876" spans="1:42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</row>
    <row r="877" spans="1:42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</row>
    <row r="878" spans="1:42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</row>
    <row r="879" spans="1:42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</row>
    <row r="880" spans="1:42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</row>
    <row r="881" spans="1:42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</row>
    <row r="882" spans="1:42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</row>
    <row r="883" spans="1:42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</row>
    <row r="884" spans="1:42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</row>
    <row r="885" spans="1:42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</row>
    <row r="886" spans="1:42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</row>
    <row r="887" spans="1:42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</row>
    <row r="888" spans="1:42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</row>
    <row r="889" spans="1:42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</row>
    <row r="890" spans="1:42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</row>
    <row r="891" spans="1:42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</row>
    <row r="892" spans="1:42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</row>
    <row r="893" spans="1:42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</row>
    <row r="894" spans="1:42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</row>
    <row r="895" spans="1:42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</row>
    <row r="896" spans="1:42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</row>
    <row r="897" spans="1:42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</row>
    <row r="898" spans="1:42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</row>
    <row r="899" spans="1:42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</row>
    <row r="900" spans="1:42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</row>
    <row r="901" spans="1:42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</row>
    <row r="902" spans="1:42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</row>
    <row r="903" spans="1:42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</row>
    <row r="904" spans="1:42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</row>
    <row r="905" spans="1:42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</row>
    <row r="906" spans="1:42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</row>
    <row r="907" spans="1:42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</row>
    <row r="908" spans="1:42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</row>
    <row r="909" spans="1:42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</row>
    <row r="910" spans="1:42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</row>
    <row r="911" spans="1:42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</row>
    <row r="912" spans="1:42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</row>
    <row r="913" spans="1:42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</row>
    <row r="914" spans="1:42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</row>
    <row r="915" spans="1:42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</row>
    <row r="916" spans="1:42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</row>
    <row r="917" spans="1:42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</row>
    <row r="918" spans="1:42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</row>
    <row r="919" spans="1:42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</row>
    <row r="920" spans="1:42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</row>
    <row r="921" spans="1:42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</row>
    <row r="922" spans="1:42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</row>
    <row r="923" spans="1:42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</row>
    <row r="924" spans="1:42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</row>
    <row r="925" spans="1:42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</row>
    <row r="926" spans="1:42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</row>
    <row r="927" spans="1:42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</row>
    <row r="928" spans="1:42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</row>
    <row r="929" spans="1:42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</row>
    <row r="930" spans="1:42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</row>
    <row r="931" spans="1:42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</row>
    <row r="932" spans="1:42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</row>
    <row r="933" spans="1:42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</row>
    <row r="934" spans="1:42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</row>
    <row r="935" spans="1:42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</row>
    <row r="936" spans="1:42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</row>
    <row r="937" spans="1:42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</row>
    <row r="938" spans="1:42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</row>
    <row r="939" spans="1:42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</row>
    <row r="940" spans="1:42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</row>
    <row r="941" spans="1:42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</row>
    <row r="942" spans="1:42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</row>
    <row r="943" spans="1:42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</row>
    <row r="944" spans="1:42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</row>
    <row r="945" spans="1:42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</row>
    <row r="946" spans="1:42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</row>
    <row r="947" spans="1:42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</row>
    <row r="948" spans="1:42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</row>
    <row r="949" spans="1:42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</row>
    <row r="950" spans="1:42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</row>
    <row r="951" spans="1:42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</row>
    <row r="952" spans="1:42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</row>
    <row r="953" spans="1:42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</row>
    <row r="954" spans="1:42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</row>
    <row r="955" spans="1:42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</row>
    <row r="956" spans="1:42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</row>
    <row r="957" spans="1:42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</row>
    <row r="958" spans="1:42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</row>
    <row r="959" spans="1:42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</row>
    <row r="960" spans="1:42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</row>
    <row r="961" spans="1:42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</row>
    <row r="962" spans="1:42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</row>
    <row r="963" spans="1:42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</row>
    <row r="964" spans="1:42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</row>
    <row r="965" spans="1:42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</row>
    <row r="966" spans="1:42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</row>
    <row r="967" spans="1:42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</row>
    <row r="968" spans="1:42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</row>
    <row r="969" spans="1:42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</row>
    <row r="970" spans="1:42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</row>
    <row r="971" spans="1:42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</row>
    <row r="972" spans="1:42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</row>
    <row r="973" spans="1:42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</row>
    <row r="974" spans="1:42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</row>
    <row r="975" spans="1:42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</row>
    <row r="976" spans="1:42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</row>
    <row r="977" spans="1:42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</row>
    <row r="978" spans="1:42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</row>
    <row r="979" spans="1:42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</row>
    <row r="980" spans="1:42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</row>
    <row r="981" spans="1:42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</row>
    <row r="982" spans="1:42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</row>
    <row r="983" spans="1:42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</row>
    <row r="984" spans="1:42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</row>
    <row r="985" spans="1:42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</row>
    <row r="986" spans="1:42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</row>
    <row r="987" spans="1:42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</row>
    <row r="988" spans="1:42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</row>
    <row r="989" spans="1:42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</row>
    <row r="990" spans="1:42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</row>
    <row r="991" spans="1:42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</row>
    <row r="992" spans="1:42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</row>
    <row r="993" spans="1:42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</row>
    <row r="994" spans="1:42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</row>
    <row r="995" spans="1:42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</row>
    <row r="996" spans="1:42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</row>
    <row r="997" spans="1:42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</row>
    <row r="998" spans="1:42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</row>
    <row r="999" spans="1:42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</row>
    <row r="1000" spans="1:42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</row>
  </sheetData>
  <mergeCells count="2">
    <mergeCell ref="A4:G5"/>
    <mergeCell ref="Y17:AA18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E1000"/>
  <sheetViews>
    <sheetView zoomScale="85" zoomScaleNormal="85" workbookViewId="0">
      <selection activeCell="X18" sqref="X18"/>
    </sheetView>
  </sheetViews>
  <sheetFormatPr defaultColWidth="12.625" defaultRowHeight="15" customHeight="1" x14ac:dyDescent="0.2"/>
  <cols>
    <col min="1" max="1" width="1.125" customWidth="1"/>
    <col min="2" max="2" width="5.125" customWidth="1"/>
    <col min="3" max="3" width="2.5" customWidth="1"/>
    <col min="4" max="4" width="17.625" customWidth="1"/>
    <col min="5" max="5" width="0.625" customWidth="1"/>
    <col min="6" max="6" width="11.625" customWidth="1"/>
    <col min="7" max="7" width="11.375" customWidth="1"/>
    <col min="8" max="8" width="11.875" customWidth="1"/>
    <col min="9" max="10" width="8" customWidth="1"/>
    <col min="11" max="11" width="3.875" customWidth="1"/>
    <col min="12" max="12" width="9.125" customWidth="1"/>
    <col min="13" max="13" width="0.625" customWidth="1"/>
    <col min="14" max="14" width="11.625" customWidth="1"/>
    <col min="15" max="15" width="2.125" customWidth="1"/>
    <col min="16" max="16" width="8" customWidth="1"/>
    <col min="17" max="17" width="0.375" customWidth="1"/>
    <col min="18" max="18" width="1.375" customWidth="1"/>
    <col min="19" max="19" width="8" customWidth="1"/>
    <col min="20" max="20" width="14.5" customWidth="1"/>
    <col min="21" max="21" width="1.625" customWidth="1"/>
    <col min="22" max="22" width="12.125" customWidth="1"/>
    <col min="23" max="25" width="8" customWidth="1"/>
    <col min="26" max="26" width="11.5" customWidth="1"/>
    <col min="27" max="27" width="8" customWidth="1"/>
    <col min="28" max="28" width="12.125" customWidth="1"/>
    <col min="29" max="30" width="7.625" customWidth="1"/>
    <col min="31" max="31" width="9.375" customWidth="1"/>
    <col min="32" max="45" width="7.625" customWidth="1"/>
    <col min="46" max="57" width="8" customWidth="1"/>
  </cols>
  <sheetData>
    <row r="1" spans="1:57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</row>
    <row r="2" spans="1:57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</row>
    <row r="3" spans="1:57" ht="33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</row>
    <row r="4" spans="1:57" ht="14.25" customHeight="1" x14ac:dyDescent="0.2">
      <c r="A4" s="8"/>
      <c r="B4" s="534" t="s">
        <v>5</v>
      </c>
      <c r="C4" s="535"/>
      <c r="D4" s="535"/>
      <c r="E4" s="535"/>
      <c r="F4" s="536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</row>
    <row r="5" spans="1:57" ht="14.25" customHeight="1" x14ac:dyDescent="0.2">
      <c r="A5" s="8"/>
      <c r="B5" s="537"/>
      <c r="C5" s="538"/>
      <c r="D5" s="538"/>
      <c r="E5" s="538"/>
      <c r="F5" s="539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</row>
    <row r="6" spans="1:57" ht="14.25" customHeight="1" x14ac:dyDescent="0.2">
      <c r="A6" s="9"/>
      <c r="B6" s="10"/>
      <c r="C6" s="10"/>
      <c r="D6" s="10"/>
      <c r="E6" s="10"/>
      <c r="F6" s="11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12"/>
      <c r="AA6" s="9"/>
      <c r="AB6" s="9" t="s">
        <v>14</v>
      </c>
      <c r="AC6" s="9"/>
      <c r="AD6" s="9"/>
      <c r="AE6" s="9" t="s">
        <v>15</v>
      </c>
      <c r="AF6" s="9"/>
      <c r="AG6" s="9"/>
      <c r="AH6" s="9"/>
      <c r="AI6" s="9"/>
      <c r="AJ6" s="9"/>
      <c r="AK6" s="9" t="s">
        <v>16</v>
      </c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</row>
    <row r="7" spans="1:57" ht="15" customHeight="1" x14ac:dyDescent="0.2">
      <c r="A7" s="3"/>
      <c r="B7" s="13"/>
      <c r="C7" s="13"/>
      <c r="D7" s="1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14" t="s">
        <v>17</v>
      </c>
      <c r="AA7" s="3"/>
      <c r="AB7" s="314">
        <v>6.72</v>
      </c>
      <c r="AC7" s="3" t="s">
        <v>18</v>
      </c>
      <c r="AD7" s="3"/>
      <c r="AE7" s="314">
        <v>1031.21</v>
      </c>
      <c r="AF7" s="3" t="s">
        <v>19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</row>
    <row r="8" spans="1:57" ht="14.25" customHeight="1" x14ac:dyDescent="0.2">
      <c r="A8" s="3"/>
      <c r="B8" s="13"/>
      <c r="C8" s="13"/>
      <c r="D8" s="13"/>
      <c r="E8" s="3"/>
      <c r="F8" s="16" t="s">
        <v>20</v>
      </c>
      <c r="G8" s="16" t="s">
        <v>21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14"/>
      <c r="Y8" s="14"/>
      <c r="Z8" s="14" t="s">
        <v>22</v>
      </c>
      <c r="AA8" s="14"/>
      <c r="AB8" s="15">
        <f>(AB7*2*5)</f>
        <v>67.2</v>
      </c>
      <c r="AC8" s="3" t="s">
        <v>23</v>
      </c>
      <c r="AD8" s="3"/>
      <c r="AE8" s="15">
        <f>AE7/25</f>
        <v>41.248400000000004</v>
      </c>
      <c r="AF8" s="3" t="s">
        <v>24</v>
      </c>
      <c r="AG8" s="3"/>
      <c r="AH8" s="3"/>
      <c r="AI8" s="3"/>
      <c r="AJ8" s="3"/>
      <c r="AK8" s="3" t="s">
        <v>25</v>
      </c>
      <c r="AL8" s="3"/>
      <c r="AM8" s="3"/>
      <c r="AN8" s="3" t="s">
        <v>26</v>
      </c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</row>
    <row r="9" spans="1:57" ht="14.25" customHeight="1" thickBot="1" x14ac:dyDescent="0.25">
      <c r="A9" s="3"/>
      <c r="B9" s="3"/>
      <c r="C9" s="3"/>
      <c r="D9" s="17" t="s">
        <v>27</v>
      </c>
      <c r="E9" s="18"/>
      <c r="F9" s="19">
        <v>273</v>
      </c>
      <c r="G9" s="19">
        <v>196</v>
      </c>
      <c r="H9" s="3"/>
      <c r="I9" s="3"/>
      <c r="J9" s="3"/>
      <c r="K9" s="20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14" t="s">
        <v>22</v>
      </c>
      <c r="Y9" s="14"/>
      <c r="Z9" s="21">
        <f>N12+(V19*5)+(V18*5)</f>
        <v>553.96</v>
      </c>
      <c r="AA9" s="14"/>
      <c r="AB9" s="15">
        <f>(AB7*35.5-5)</f>
        <v>233.56</v>
      </c>
      <c r="AC9" s="3" t="s">
        <v>28</v>
      </c>
      <c r="AD9" s="3"/>
      <c r="AE9" s="3"/>
      <c r="AF9" s="3"/>
      <c r="AG9" s="3"/>
      <c r="AH9" s="3"/>
      <c r="AI9" s="3"/>
      <c r="AJ9" s="3"/>
      <c r="AK9" s="3" t="s">
        <v>29</v>
      </c>
      <c r="AL9" s="3"/>
      <c r="AM9" s="3"/>
      <c r="AN9" s="3" t="s">
        <v>30</v>
      </c>
      <c r="AO9" s="3" t="s">
        <v>31</v>
      </c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</row>
    <row r="10" spans="1:57" ht="14.25" customHeight="1" thickBot="1" x14ac:dyDescent="0.25">
      <c r="A10" s="3"/>
      <c r="B10" s="3"/>
      <c r="C10" s="3"/>
      <c r="D10" s="22" t="s">
        <v>32</v>
      </c>
      <c r="E10" s="3"/>
      <c r="F10" s="23">
        <v>12</v>
      </c>
      <c r="G10" s="23">
        <v>82</v>
      </c>
      <c r="H10" s="3"/>
      <c r="I10" s="3"/>
      <c r="J10" s="3"/>
      <c r="K10" s="3"/>
      <c r="L10" s="22" t="s">
        <v>27</v>
      </c>
      <c r="M10" s="3"/>
      <c r="N10" s="24">
        <f>AB11</f>
        <v>8.4721126760563372</v>
      </c>
      <c r="O10" s="3"/>
      <c r="P10" s="3"/>
      <c r="Q10" s="3"/>
      <c r="R10" s="351" t="s">
        <v>33</v>
      </c>
      <c r="S10" s="3"/>
      <c r="T10" s="350" t="s">
        <v>22</v>
      </c>
      <c r="U10" s="3"/>
      <c r="V10" s="3"/>
      <c r="W10" s="3"/>
      <c r="X10" s="14" t="s">
        <v>17</v>
      </c>
      <c r="Y10" s="14"/>
      <c r="Z10" s="21">
        <f>N19+(V18*5)+(V19*5)</f>
        <v>1820.7</v>
      </c>
      <c r="AA10" s="14"/>
      <c r="AB10" s="15">
        <f>AB9+AB8</f>
        <v>300.76</v>
      </c>
      <c r="AC10" s="3" t="s">
        <v>34</v>
      </c>
      <c r="AD10" s="3"/>
      <c r="AE10" s="315">
        <v>500</v>
      </c>
      <c r="AF10" s="3" t="s">
        <v>35</v>
      </c>
      <c r="AG10" s="3"/>
      <c r="AH10" s="3"/>
      <c r="AI10" s="3"/>
      <c r="AJ10" s="3"/>
      <c r="AK10" s="3" t="s">
        <v>36</v>
      </c>
      <c r="AL10" s="3"/>
      <c r="AM10" s="3"/>
      <c r="AN10" s="3" t="s">
        <v>37</v>
      </c>
      <c r="AO10" s="3"/>
      <c r="AP10" s="3"/>
      <c r="AQ10" s="15">
        <v>6.72</v>
      </c>
      <c r="AR10" s="3" t="s">
        <v>38</v>
      </c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</row>
    <row r="11" spans="1:57" ht="14.25" customHeight="1" thickBot="1" x14ac:dyDescent="0.25">
      <c r="A11" s="3"/>
      <c r="B11" s="3"/>
      <c r="C11" s="3"/>
      <c r="D11" s="22" t="s">
        <v>39</v>
      </c>
      <c r="E11" s="3"/>
      <c r="F11" s="26">
        <f>F10*F9+(F14*F10)</f>
        <v>3276</v>
      </c>
      <c r="G11" s="26">
        <f>G10*G9</f>
        <v>16072</v>
      </c>
      <c r="H11" s="3"/>
      <c r="I11" s="3"/>
      <c r="J11" s="3"/>
      <c r="K11" s="3"/>
      <c r="L11" s="22" t="s">
        <v>32</v>
      </c>
      <c r="M11" s="3"/>
      <c r="N11" s="27">
        <v>35.5</v>
      </c>
      <c r="O11" s="3"/>
      <c r="P11" s="28"/>
      <c r="Q11" s="3"/>
      <c r="R11" s="3"/>
      <c r="S11" s="3"/>
      <c r="T11" s="3"/>
      <c r="U11" s="3"/>
      <c r="V11" s="3"/>
      <c r="W11" s="3"/>
      <c r="X11" s="14" t="s">
        <v>40</v>
      </c>
      <c r="Y11" s="14"/>
      <c r="Z11" s="21">
        <f>(N26)+(V18*5)+(V19*5)</f>
        <v>17809.630835</v>
      </c>
      <c r="AA11" s="14"/>
      <c r="AB11" s="15">
        <f>AB10/N11</f>
        <v>8.4721126760563372</v>
      </c>
      <c r="AC11" s="3"/>
      <c r="AD11" s="3"/>
      <c r="AE11" s="29">
        <f>N16/AE10</f>
        <v>37.719000000000001</v>
      </c>
      <c r="AF11" s="3" t="s">
        <v>41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</row>
    <row r="12" spans="1:57" ht="14.25" customHeight="1" x14ac:dyDescent="0.2">
      <c r="A12" s="3"/>
      <c r="B12" s="3"/>
      <c r="C12" s="3"/>
      <c r="D12" s="22" t="s">
        <v>42</v>
      </c>
      <c r="E12" s="3"/>
      <c r="F12" s="30">
        <v>0.30399999999999999</v>
      </c>
      <c r="G12" s="30">
        <f>1-F12</f>
        <v>0.69599999999999995</v>
      </c>
      <c r="H12" s="3"/>
      <c r="I12" s="3"/>
      <c r="J12" s="3"/>
      <c r="K12" s="3"/>
      <c r="L12" s="22" t="s">
        <v>43</v>
      </c>
      <c r="M12" s="3"/>
      <c r="N12" s="31">
        <f>N10*N11</f>
        <v>300.76</v>
      </c>
      <c r="O12" s="3"/>
      <c r="P12" s="3"/>
      <c r="Q12" s="3"/>
      <c r="R12" s="32" t="s">
        <v>44</v>
      </c>
      <c r="S12" s="3"/>
      <c r="T12" s="3"/>
      <c r="U12" s="3"/>
      <c r="V12" s="3"/>
      <c r="W12" s="3"/>
      <c r="X12" s="14" t="s">
        <v>45</v>
      </c>
      <c r="Y12" s="14"/>
      <c r="Z12" s="21">
        <f>T16+((T14*N11*V18)+(2*V19*T14))+((T15*N11*V18)+(2*V19*T15))</f>
        <v>2652.0578835000001</v>
      </c>
      <c r="AA12" s="14"/>
      <c r="AB12" s="3"/>
      <c r="AC12" s="3"/>
      <c r="AD12" s="3"/>
      <c r="AE12" s="4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</row>
    <row r="13" spans="1:57" ht="15" customHeight="1" x14ac:dyDescent="0.2">
      <c r="A13" s="3"/>
      <c r="B13" s="3"/>
      <c r="C13" s="3"/>
      <c r="D13" s="33" t="s">
        <v>46</v>
      </c>
      <c r="E13" s="3"/>
      <c r="F13" s="34">
        <f>(F12*F11)+(G12*G11)</f>
        <v>12182.016</v>
      </c>
      <c r="G13" s="3"/>
      <c r="H13" s="3"/>
      <c r="I13" s="3"/>
      <c r="J13" s="3"/>
      <c r="K13" s="20"/>
      <c r="L13" s="35"/>
      <c r="M13" s="3"/>
      <c r="N13" s="3"/>
      <c r="O13" s="3"/>
      <c r="P13" s="3"/>
      <c r="Q13" s="3"/>
      <c r="R13" s="3"/>
      <c r="S13" s="36" t="s">
        <v>47</v>
      </c>
      <c r="T13" s="37">
        <v>0.51</v>
      </c>
      <c r="U13" s="3"/>
      <c r="V13" s="3"/>
      <c r="W13" s="3"/>
      <c r="X13" s="14"/>
      <c r="Y13" s="14"/>
      <c r="Z13" s="14"/>
      <c r="AA13" s="14"/>
      <c r="AB13" s="3" t="s">
        <v>48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</row>
    <row r="14" spans="1:57" ht="14.2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22" t="s">
        <v>49</v>
      </c>
      <c r="M14" s="3"/>
      <c r="N14" s="27">
        <v>76.2</v>
      </c>
      <c r="O14" s="38" t="s">
        <v>50</v>
      </c>
      <c r="P14" s="3"/>
      <c r="Q14" s="3"/>
      <c r="R14" s="3"/>
      <c r="S14" s="36" t="s">
        <v>51</v>
      </c>
      <c r="T14" s="37">
        <v>0.39</v>
      </c>
      <c r="U14" s="3"/>
      <c r="V14" s="3"/>
      <c r="W14" s="3"/>
      <c r="X14" s="14"/>
      <c r="Y14" s="14"/>
      <c r="Z14" s="21"/>
      <c r="AA14" s="14"/>
      <c r="AB14" s="315">
        <v>76.599999999999994</v>
      </c>
      <c r="AC14" s="3" t="s">
        <v>52</v>
      </c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</row>
    <row r="15" spans="1:57" ht="14.25" customHeight="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22" t="s">
        <v>53</v>
      </c>
      <c r="M15" s="3"/>
      <c r="N15" s="27">
        <v>5</v>
      </c>
      <c r="O15" s="38" t="s">
        <v>54</v>
      </c>
      <c r="P15" s="3"/>
      <c r="Q15" s="3"/>
      <c r="R15" s="3"/>
      <c r="S15" s="36" t="s">
        <v>55</v>
      </c>
      <c r="T15" s="37">
        <v>0.1</v>
      </c>
      <c r="U15" s="39">
        <f>SUM(T13:T15)</f>
        <v>1</v>
      </c>
      <c r="V15" s="3"/>
      <c r="W15" s="3"/>
      <c r="X15" s="14"/>
      <c r="Y15" s="14"/>
      <c r="Z15" s="14"/>
      <c r="AA15" s="14"/>
      <c r="AB15" s="315">
        <v>60</v>
      </c>
      <c r="AC15" s="3" t="s">
        <v>56</v>
      </c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</row>
    <row r="16" spans="1:57" ht="14.25" customHeight="1" x14ac:dyDescent="0.2">
      <c r="A16" s="3"/>
      <c r="B16" s="541"/>
      <c r="C16" s="535"/>
      <c r="D16" s="536"/>
      <c r="E16" s="3"/>
      <c r="F16" s="40"/>
      <c r="G16" s="3"/>
      <c r="H16" s="3"/>
      <c r="I16" s="3"/>
      <c r="J16" s="3"/>
      <c r="K16" s="3"/>
      <c r="L16" s="22" t="s">
        <v>57</v>
      </c>
      <c r="M16" s="3"/>
      <c r="N16" s="41">
        <f>(14*(N14*N15*2))+((N11-14)*(N14*N15))</f>
        <v>18859.5</v>
      </c>
      <c r="O16" s="38" t="s">
        <v>58</v>
      </c>
      <c r="P16" s="3"/>
      <c r="Q16" s="3"/>
      <c r="R16" s="3"/>
      <c r="S16" s="42" t="s">
        <v>59</v>
      </c>
      <c r="T16" s="31">
        <f>(T13*N12)+(N19*T14)+(N26*T15)</f>
        <v>2520.3556834999999</v>
      </c>
      <c r="U16" s="43"/>
      <c r="V16" s="3"/>
      <c r="W16" s="3"/>
      <c r="X16" s="14"/>
      <c r="Y16" s="14"/>
      <c r="Z16" s="44"/>
      <c r="AA16" s="14"/>
      <c r="AB16" s="3">
        <f>AB14*AB15*2*7</f>
        <v>64344</v>
      </c>
      <c r="AC16" s="3" t="s">
        <v>60</v>
      </c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</row>
    <row r="17" spans="1:57" ht="14.25" customHeight="1" x14ac:dyDescent="0.25">
      <c r="A17" s="3"/>
      <c r="B17" s="537"/>
      <c r="C17" s="538"/>
      <c r="D17" s="539"/>
      <c r="E17" s="3"/>
      <c r="F17" s="45"/>
      <c r="G17" s="25"/>
      <c r="H17" s="3"/>
      <c r="I17" s="3"/>
      <c r="J17" s="3"/>
      <c r="K17" s="3"/>
      <c r="L17" s="22" t="s">
        <v>61</v>
      </c>
      <c r="M17" s="3"/>
      <c r="N17" s="27">
        <v>38</v>
      </c>
      <c r="O17" s="38" t="s">
        <v>62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46"/>
      <c r="AA17" s="3"/>
      <c r="AB17" s="315">
        <v>90</v>
      </c>
      <c r="AC17" s="3" t="s">
        <v>63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</row>
    <row r="18" spans="1:57" ht="14.25" customHeight="1" x14ac:dyDescent="0.2">
      <c r="A18" s="3"/>
      <c r="B18" s="3"/>
      <c r="C18" s="3"/>
      <c r="D18" s="22"/>
      <c r="E18" s="3"/>
      <c r="F18" s="47"/>
      <c r="G18" s="3"/>
      <c r="H18" s="3"/>
      <c r="I18" s="3"/>
      <c r="J18" s="3"/>
      <c r="K18" s="3"/>
      <c r="L18" s="22" t="s">
        <v>64</v>
      </c>
      <c r="M18" s="3"/>
      <c r="N18" s="24">
        <v>41.25</v>
      </c>
      <c r="O18" s="3"/>
      <c r="P18" s="3"/>
      <c r="Q18" s="3"/>
      <c r="R18" s="3"/>
      <c r="S18" s="48"/>
      <c r="T18" s="17" t="s">
        <v>65</v>
      </c>
      <c r="U18" s="3"/>
      <c r="V18" s="49">
        <v>5</v>
      </c>
      <c r="W18" s="3"/>
      <c r="X18" s="3"/>
      <c r="Y18" s="3"/>
      <c r="Z18" s="15"/>
      <c r="AA18" s="3"/>
      <c r="AB18" s="3">
        <f>AB17*AB14*(35.5-7)</f>
        <v>196478.99999999997</v>
      </c>
      <c r="AC18" s="3" t="s">
        <v>66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</row>
    <row r="19" spans="1:57" ht="14.25" customHeight="1" x14ac:dyDescent="0.25">
      <c r="A19" s="3"/>
      <c r="B19" s="3"/>
      <c r="C19" s="3"/>
      <c r="D19" s="50" t="s">
        <v>67</v>
      </c>
      <c r="E19" s="3"/>
      <c r="F19" s="24">
        <v>98442</v>
      </c>
      <c r="G19" s="3"/>
      <c r="H19" s="3"/>
      <c r="I19" s="3"/>
      <c r="J19" s="3"/>
      <c r="K19" s="3"/>
      <c r="L19" s="22" t="s">
        <v>43</v>
      </c>
      <c r="M19" s="3"/>
      <c r="N19" s="31">
        <f>N18*N17</f>
        <v>1567.5</v>
      </c>
      <c r="O19" s="3"/>
      <c r="P19" s="3"/>
      <c r="Q19" s="3"/>
      <c r="R19" s="3"/>
      <c r="S19" s="3"/>
      <c r="T19" s="17" t="s">
        <v>68</v>
      </c>
      <c r="U19" s="3"/>
      <c r="V19" s="49">
        <v>45.64</v>
      </c>
      <c r="W19" s="3"/>
      <c r="X19" s="3"/>
      <c r="Y19" s="51"/>
      <c r="Z19" s="3"/>
      <c r="AA19" s="3"/>
      <c r="AB19" s="3">
        <f>AB18+AB16</f>
        <v>260822.99999999997</v>
      </c>
      <c r="AC19" s="3" t="s">
        <v>69</v>
      </c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</row>
    <row r="20" spans="1:57" ht="3" customHeight="1" x14ac:dyDescent="0.2">
      <c r="A20" s="3"/>
      <c r="B20" s="3"/>
      <c r="C20" s="3"/>
      <c r="D20" s="22"/>
      <c r="E20" s="3"/>
      <c r="F20" s="52"/>
      <c r="G20" s="22"/>
      <c r="H20" s="5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</row>
    <row r="21" spans="1:57" ht="14.25" customHeight="1" x14ac:dyDescent="0.2">
      <c r="A21" s="3"/>
      <c r="B21" s="3"/>
      <c r="C21" s="3"/>
      <c r="D21" s="50" t="s">
        <v>70</v>
      </c>
      <c r="E21" s="3"/>
      <c r="F21" s="24">
        <v>45002</v>
      </c>
      <c r="G21" s="22"/>
      <c r="H21" s="53"/>
      <c r="I21" s="3"/>
      <c r="J21" s="3"/>
      <c r="K21" s="20"/>
      <c r="L21" s="3"/>
      <c r="M21" s="3"/>
      <c r="N21" s="3"/>
      <c r="O21" s="3"/>
      <c r="P21" s="3"/>
      <c r="Q21" s="3"/>
      <c r="R21" s="3"/>
      <c r="S21" s="3"/>
      <c r="T21" s="54" t="s">
        <v>71</v>
      </c>
      <c r="U21" s="3"/>
      <c r="V21" s="31">
        <f t="array" ref="V21">IF(T10="Valganciclovir",Z9,IF(T10="Ganciclovir",Z10,IF(T10="Foscarnet",Z11,IF(T10="Combo",Z12,NA))))+(V19*2)+(F45*4)</f>
        <v>1237.24</v>
      </c>
      <c r="W21" s="3"/>
      <c r="X21" s="3"/>
      <c r="Y21" s="3"/>
      <c r="Z21" s="3"/>
      <c r="AA21" s="3"/>
      <c r="AB21" s="315">
        <v>6000</v>
      </c>
      <c r="AC21" s="3" t="s">
        <v>72</v>
      </c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</row>
    <row r="22" spans="1:57" ht="14.25" customHeight="1" x14ac:dyDescent="0.2">
      <c r="A22" s="3"/>
      <c r="B22" s="3"/>
      <c r="C22" s="3"/>
      <c r="D22" s="55"/>
      <c r="E22" s="3"/>
      <c r="F22" s="56"/>
      <c r="G22" s="57"/>
      <c r="H22" s="56"/>
      <c r="I22" s="3"/>
      <c r="J22" s="3"/>
      <c r="K22" s="3"/>
      <c r="L22" s="22" t="s">
        <v>49</v>
      </c>
      <c r="M22" s="3"/>
      <c r="N22" s="27">
        <v>76.599999999999994</v>
      </c>
      <c r="O22" s="38" t="s">
        <v>50</v>
      </c>
      <c r="P22" s="3"/>
      <c r="Q22" s="3"/>
      <c r="R22" s="3"/>
      <c r="S22" s="3"/>
      <c r="T22" s="3"/>
      <c r="U22" s="3"/>
      <c r="V22" s="3"/>
      <c r="W22" s="3"/>
      <c r="X22" s="14" t="s">
        <v>73</v>
      </c>
      <c r="Y22" s="3"/>
      <c r="Z22" s="3"/>
      <c r="AA22" s="3"/>
      <c r="AB22" s="3">
        <f>AB19/AB21</f>
        <v>43.470499999999994</v>
      </c>
      <c r="AC22" s="3" t="s">
        <v>74</v>
      </c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</row>
    <row r="23" spans="1:57" ht="14.25" customHeight="1" x14ac:dyDescent="0.2">
      <c r="A23" s="3"/>
      <c r="B23" s="3"/>
      <c r="C23" s="3"/>
      <c r="D23" s="58"/>
      <c r="E23" s="3"/>
      <c r="F23" s="3"/>
      <c r="G23" s="3"/>
      <c r="H23" s="3" t="s">
        <v>75</v>
      </c>
      <c r="I23" s="3"/>
      <c r="J23" s="3"/>
      <c r="K23" s="3"/>
      <c r="L23" s="22" t="s">
        <v>76</v>
      </c>
      <c r="M23" s="3"/>
      <c r="N23" s="27">
        <v>90</v>
      </c>
      <c r="O23" s="38" t="s">
        <v>54</v>
      </c>
      <c r="P23" s="3"/>
      <c r="Q23" s="3"/>
      <c r="R23" s="3"/>
      <c r="S23" s="3"/>
      <c r="T23" s="3"/>
      <c r="U23" s="3"/>
      <c r="V23" s="3"/>
      <c r="W23" s="3"/>
      <c r="X23" s="14" t="s">
        <v>77</v>
      </c>
      <c r="Y23" s="3"/>
      <c r="Z23" s="3"/>
      <c r="AA23" s="3"/>
      <c r="AB23" s="314">
        <v>403.87</v>
      </c>
      <c r="AC23" s="3" t="s">
        <v>78</v>
      </c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</row>
    <row r="24" spans="1:57" ht="14.25" customHeight="1" x14ac:dyDescent="0.2">
      <c r="A24" s="3"/>
      <c r="B24" s="3"/>
      <c r="C24" s="3"/>
      <c r="D24" s="22"/>
      <c r="E24" s="3"/>
      <c r="F24" s="53"/>
      <c r="G24" s="3"/>
      <c r="H24" s="3"/>
      <c r="I24" s="3"/>
      <c r="J24" s="3"/>
      <c r="K24" s="3"/>
      <c r="L24" s="22" t="s">
        <v>57</v>
      </c>
      <c r="M24" s="3"/>
      <c r="N24" s="41">
        <f>AB19</f>
        <v>260822.99999999997</v>
      </c>
      <c r="O24" s="38" t="s">
        <v>58</v>
      </c>
      <c r="P24" s="3"/>
      <c r="Q24" s="3"/>
      <c r="R24" s="3"/>
      <c r="S24" s="3"/>
      <c r="T24" s="17" t="s">
        <v>79</v>
      </c>
      <c r="U24" s="3"/>
      <c r="V24" s="24">
        <v>23632</v>
      </c>
      <c r="W24" s="3"/>
      <c r="X24" s="3"/>
      <c r="Y24" s="3"/>
      <c r="Z24" s="3"/>
      <c r="AA24" s="3"/>
      <c r="AB24" s="15">
        <f>AB23*AB22</f>
        <v>17556.430834999999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</row>
    <row r="25" spans="1:57" ht="14.25" customHeight="1" x14ac:dyDescent="0.2">
      <c r="A25" s="3"/>
      <c r="B25" s="3"/>
      <c r="C25" s="3"/>
      <c r="D25" s="58"/>
      <c r="E25" s="3"/>
      <c r="F25" s="39"/>
      <c r="G25" s="59" t="s">
        <v>80</v>
      </c>
      <c r="H25" s="25" t="s">
        <v>81</v>
      </c>
      <c r="I25" s="3"/>
      <c r="J25" s="3"/>
      <c r="K25" s="3"/>
      <c r="L25" s="22" t="s">
        <v>82</v>
      </c>
      <c r="M25" s="3"/>
      <c r="N25" s="24">
        <v>403.87</v>
      </c>
      <c r="O25" s="3"/>
      <c r="P25" s="3"/>
      <c r="Q25" s="3"/>
      <c r="R25" s="3"/>
      <c r="S25" s="3"/>
      <c r="T25" s="17"/>
      <c r="U25" s="3"/>
      <c r="V25" s="17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</row>
    <row r="26" spans="1:57" ht="14.25" customHeight="1" x14ac:dyDescent="0.2">
      <c r="A26" s="3"/>
      <c r="B26" s="3"/>
      <c r="C26" s="3"/>
      <c r="D26" s="17" t="s">
        <v>83</v>
      </c>
      <c r="E26" s="3"/>
      <c r="F26" s="37">
        <v>0.51800000000000002</v>
      </c>
      <c r="G26" s="24">
        <v>6951</v>
      </c>
      <c r="H26" s="60">
        <f t="shared" ref="H26:H29" si="0">(G26*F26)</f>
        <v>3600.6179999999999</v>
      </c>
      <c r="I26" s="3"/>
      <c r="J26" s="3"/>
      <c r="K26" s="3"/>
      <c r="L26" s="22" t="s">
        <v>43</v>
      </c>
      <c r="M26" s="3"/>
      <c r="N26" s="31">
        <f>(N24/6000)*N25</f>
        <v>17556.430834999999</v>
      </c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</row>
    <row r="27" spans="1:57" ht="14.25" customHeight="1" x14ac:dyDescent="0.2">
      <c r="A27" s="3"/>
      <c r="B27" s="3"/>
      <c r="C27" s="3"/>
      <c r="D27" s="17" t="s">
        <v>84</v>
      </c>
      <c r="E27" s="3"/>
      <c r="F27" s="37">
        <v>0.10299999999999999</v>
      </c>
      <c r="G27" s="24">
        <v>6890</v>
      </c>
      <c r="H27" s="60">
        <f t="shared" si="0"/>
        <v>709.67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</row>
    <row r="28" spans="1:57" ht="14.25" customHeight="1" x14ac:dyDescent="0.2">
      <c r="A28" s="3"/>
      <c r="B28" s="3"/>
      <c r="C28" s="3"/>
      <c r="D28" s="17" t="s">
        <v>85</v>
      </c>
      <c r="E28" s="3"/>
      <c r="F28" s="37">
        <v>0.20599999999999999</v>
      </c>
      <c r="G28" s="24">
        <v>7608</v>
      </c>
      <c r="H28" s="60">
        <f t="shared" si="0"/>
        <v>1567.2479999999998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ht="14.25" customHeight="1" x14ac:dyDescent="0.2">
      <c r="A29" s="3"/>
      <c r="B29" s="3"/>
      <c r="C29" s="3"/>
      <c r="D29" s="17" t="s">
        <v>86</v>
      </c>
      <c r="E29" s="3"/>
      <c r="F29" s="37">
        <v>0.17299999999999999</v>
      </c>
      <c r="G29" s="24">
        <v>15879</v>
      </c>
      <c r="H29" s="60">
        <f t="shared" si="0"/>
        <v>2747.067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</row>
    <row r="30" spans="1:57" ht="14.25" customHeight="1" x14ac:dyDescent="0.2">
      <c r="A30" s="3"/>
      <c r="B30" s="3"/>
      <c r="C30" s="3"/>
      <c r="D30" s="3"/>
      <c r="E30" s="3"/>
      <c r="F30" s="3"/>
      <c r="G30" s="17" t="s">
        <v>475</v>
      </c>
      <c r="H30" s="34">
        <f>SUM(H26:H29)</f>
        <v>8624.6029999999992</v>
      </c>
      <c r="I30" s="61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ht="14.25" customHeight="1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ht="14.25" customHeight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</row>
    <row r="33" spans="1:57" ht="14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17" t="s">
        <v>22</v>
      </c>
      <c r="M33" s="3"/>
      <c r="N33" s="27">
        <v>0.34799999999999998</v>
      </c>
      <c r="O33" s="28"/>
      <c r="P33" s="3"/>
      <c r="Q33" s="3"/>
      <c r="R33" s="3"/>
      <c r="S33" s="28"/>
      <c r="T33" s="17" t="s">
        <v>87</v>
      </c>
      <c r="U33" s="3"/>
      <c r="V33" s="62">
        <f t="array" ref="V33">IF(T10="Valganciclovir",N33+N39,IF(T10="Ganciclovir",N34+N40,IF(T10="Foscarnet",N35+N41,IF(T10="Combo",N36+N42,NA))))</f>
        <v>0.34799999999999998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</row>
    <row r="34" spans="1:57" ht="14.2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17" t="s">
        <v>17</v>
      </c>
      <c r="M34" s="3"/>
      <c r="N34" s="63">
        <v>0.62</v>
      </c>
      <c r="O34" s="3"/>
      <c r="P34" s="3"/>
      <c r="Q34" s="3"/>
      <c r="R34" s="3"/>
      <c r="S34" s="3"/>
      <c r="T34" s="17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</row>
    <row r="35" spans="1:57" ht="14.25" customHeight="1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17" t="s">
        <v>40</v>
      </c>
      <c r="M35" s="3"/>
      <c r="N35" s="27">
        <v>0.48899999999999999</v>
      </c>
      <c r="O35" s="3"/>
      <c r="P35" s="3"/>
      <c r="Q35" s="3"/>
      <c r="R35" s="3"/>
      <c r="S35" s="3"/>
      <c r="T35" s="17" t="s">
        <v>88</v>
      </c>
      <c r="U35" s="3"/>
      <c r="V35" s="64">
        <f>V24</f>
        <v>23632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</row>
    <row r="36" spans="1:57" ht="14.25" customHeight="1" x14ac:dyDescent="0.2">
      <c r="A36" s="3"/>
      <c r="B36" s="3"/>
      <c r="C36" s="3"/>
      <c r="D36" s="17" t="s">
        <v>89</v>
      </c>
      <c r="E36" s="3"/>
      <c r="F36" s="24">
        <v>18604.830000000002</v>
      </c>
      <c r="G36" s="3"/>
      <c r="H36" s="3"/>
      <c r="I36" s="3"/>
      <c r="J36" s="3"/>
      <c r="K36" s="3"/>
      <c r="L36" s="17" t="s">
        <v>45</v>
      </c>
      <c r="M36" s="3"/>
      <c r="N36" s="63">
        <f>(N33*T13)+(N34*T14)+(N35*T15)</f>
        <v>0.46817999999999999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</row>
    <row r="37" spans="1:57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</row>
    <row r="38" spans="1:57" ht="14.25" hidden="1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28"/>
      <c r="M38" s="3"/>
      <c r="N38" s="28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</row>
    <row r="39" spans="1:57" ht="14.25" hidden="1" customHeight="1" x14ac:dyDescent="0.2">
      <c r="A39" s="3"/>
      <c r="B39" s="3"/>
      <c r="C39" s="3"/>
      <c r="D39" s="17"/>
      <c r="E39" s="3"/>
      <c r="F39" s="3"/>
      <c r="G39" s="3"/>
      <c r="H39" s="3"/>
      <c r="I39" s="3"/>
      <c r="J39" s="3"/>
      <c r="K39" s="3"/>
      <c r="L39" s="17"/>
      <c r="M39" s="3"/>
      <c r="N39" s="17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</row>
    <row r="40" spans="1:57" ht="14.25" hidden="1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17"/>
      <c r="M40" s="3"/>
      <c r="N40" s="17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</row>
    <row r="41" spans="1:57" ht="14.25" hidden="1" customHeight="1" x14ac:dyDescent="0.2">
      <c r="A41" s="3"/>
      <c r="B41" s="3"/>
      <c r="C41" s="3"/>
      <c r="D41" s="17"/>
      <c r="E41" s="3"/>
      <c r="F41" s="3"/>
      <c r="G41" s="3"/>
      <c r="H41" s="3"/>
      <c r="I41" s="3"/>
      <c r="J41" s="3"/>
      <c r="K41" s="3"/>
      <c r="L41" s="17"/>
      <c r="M41" s="3"/>
      <c r="N41" s="17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</row>
    <row r="42" spans="1:57" ht="14.25" hidden="1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17"/>
      <c r="M42" s="3"/>
      <c r="N42" s="17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</row>
    <row r="43" spans="1:57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</row>
    <row r="44" spans="1:57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</row>
    <row r="45" spans="1:57" ht="14.25" customHeight="1" x14ac:dyDescent="0.2">
      <c r="A45" s="3"/>
      <c r="B45" s="3"/>
      <c r="C45" s="3"/>
      <c r="D45" s="17" t="s">
        <v>90</v>
      </c>
      <c r="E45" s="3"/>
      <c r="F45" s="24">
        <v>148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</row>
    <row r="46" spans="1:57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</row>
    <row r="47" spans="1:57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</row>
    <row r="48" spans="1:57" ht="2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</row>
    <row r="49" spans="1:57" ht="14.25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</row>
    <row r="50" spans="1:57" ht="14.25" customHeigh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</row>
    <row r="51" spans="1:57" ht="5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</row>
    <row r="52" spans="1:57" ht="14.25" customHeight="1" x14ac:dyDescent="0.2">
      <c r="A52" s="3"/>
      <c r="B52" s="3"/>
      <c r="C52" s="3"/>
      <c r="D52" s="65"/>
      <c r="E52" s="3"/>
      <c r="F52" s="66" t="s">
        <v>91</v>
      </c>
      <c r="G52" s="66" t="s">
        <v>92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</row>
    <row r="53" spans="1:57" ht="14.25" customHeight="1" x14ac:dyDescent="0.2">
      <c r="A53" s="3"/>
      <c r="B53" s="3"/>
      <c r="C53" s="3"/>
      <c r="D53" s="50" t="s">
        <v>93</v>
      </c>
      <c r="E53" s="3"/>
      <c r="F53" s="27">
        <v>0.48599999999999999</v>
      </c>
      <c r="G53" s="67">
        <v>0.5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</row>
    <row r="54" spans="1:57" ht="14.25" customHeight="1" x14ac:dyDescent="0.2">
      <c r="A54" s="3"/>
      <c r="B54" s="3"/>
      <c r="C54" s="3"/>
      <c r="D54" s="50" t="s">
        <v>94</v>
      </c>
      <c r="E54" s="3"/>
      <c r="F54" s="27">
        <v>3.1E-2</v>
      </c>
      <c r="G54" s="67">
        <v>0.08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</row>
    <row r="55" spans="1:57" ht="14.25" customHeight="1" x14ac:dyDescent="0.2">
      <c r="A55" s="3"/>
      <c r="B55" s="3"/>
      <c r="C55" s="3"/>
      <c r="D55" s="50" t="s">
        <v>95</v>
      </c>
      <c r="E55" s="3"/>
      <c r="F55" s="27">
        <v>0.34499999999999997</v>
      </c>
      <c r="G55" s="27">
        <v>0.32400000000000001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</row>
    <row r="56" spans="1:57" ht="14.25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</row>
    <row r="57" spans="1:57" ht="14.25" customHeight="1" x14ac:dyDescent="0.2">
      <c r="A57" s="3"/>
      <c r="B57" s="3"/>
      <c r="C57" s="3"/>
      <c r="D57" s="68" t="s">
        <v>96</v>
      </c>
      <c r="E57" s="3"/>
      <c r="F57" s="62">
        <f>SUM(F53:F55)</f>
        <v>0.86199999999999999</v>
      </c>
      <c r="G57" s="62">
        <f t="shared" ref="G57" si="1">SUM(G53:G55)</f>
        <v>0.90399999999999991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</row>
    <row r="58" spans="1:57" ht="14.25" customHeight="1" x14ac:dyDescent="0.2">
      <c r="A58" s="3"/>
      <c r="B58" s="3"/>
      <c r="C58" s="3"/>
      <c r="D58" s="69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</row>
    <row r="59" spans="1:57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</row>
    <row r="60" spans="1:57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</row>
    <row r="61" spans="1:57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</row>
    <row r="62" spans="1:57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</row>
    <row r="63" spans="1:57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</row>
    <row r="64" spans="1:57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</row>
    <row r="65" spans="1:57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</row>
    <row r="66" spans="1:57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</row>
    <row r="67" spans="1:57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</row>
    <row r="68" spans="1:57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</row>
    <row r="69" spans="1:57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</row>
    <row r="70" spans="1:57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</row>
    <row r="71" spans="1:57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</row>
    <row r="72" spans="1:57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</row>
    <row r="73" spans="1:57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</row>
    <row r="74" spans="1:57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</row>
    <row r="75" spans="1:57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</row>
    <row r="76" spans="1:57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</row>
    <row r="77" spans="1:57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</row>
    <row r="78" spans="1:57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</row>
    <row r="79" spans="1:57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</row>
    <row r="80" spans="1:57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</row>
    <row r="81" spans="1:57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</row>
    <row r="82" spans="1:57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</row>
    <row r="83" spans="1:57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</row>
    <row r="84" spans="1:57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</row>
    <row r="85" spans="1:57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</row>
    <row r="86" spans="1:57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</row>
    <row r="87" spans="1:57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</row>
    <row r="88" spans="1:57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</row>
    <row r="89" spans="1:57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</row>
    <row r="90" spans="1:57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</row>
    <row r="91" spans="1:57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</row>
    <row r="92" spans="1:57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</row>
    <row r="93" spans="1:57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</row>
    <row r="94" spans="1:57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</row>
    <row r="95" spans="1:57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</row>
    <row r="96" spans="1:57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</row>
    <row r="97" spans="1:57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</row>
    <row r="98" spans="1:57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</row>
    <row r="99" spans="1:57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</row>
    <row r="100" spans="1:57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</row>
    <row r="101" spans="1:57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</row>
    <row r="102" spans="1:57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</row>
    <row r="103" spans="1:57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</row>
    <row r="104" spans="1:57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</row>
    <row r="105" spans="1:57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</row>
    <row r="106" spans="1:57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</row>
    <row r="107" spans="1:57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</row>
    <row r="108" spans="1:57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</row>
    <row r="109" spans="1:57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</row>
    <row r="110" spans="1:57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</row>
    <row r="111" spans="1:57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</row>
    <row r="112" spans="1:57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</row>
    <row r="113" spans="1:57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</row>
    <row r="114" spans="1:57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</row>
    <row r="115" spans="1:57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</row>
    <row r="116" spans="1:57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</row>
    <row r="117" spans="1:57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</row>
    <row r="118" spans="1:57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</row>
    <row r="119" spans="1:57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</row>
    <row r="120" spans="1:57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</row>
    <row r="121" spans="1:57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</row>
    <row r="122" spans="1:57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</row>
    <row r="123" spans="1:57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</row>
    <row r="124" spans="1:57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</row>
    <row r="125" spans="1:57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</row>
    <row r="126" spans="1:57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</row>
    <row r="127" spans="1:57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</row>
    <row r="128" spans="1:57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</row>
    <row r="129" spans="1:57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</row>
    <row r="130" spans="1:57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</row>
    <row r="131" spans="1:57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</row>
    <row r="132" spans="1:57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</row>
    <row r="133" spans="1:57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</row>
    <row r="134" spans="1:57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</row>
    <row r="135" spans="1:57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</row>
    <row r="136" spans="1:57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</row>
    <row r="137" spans="1:57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</row>
    <row r="138" spans="1:57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</row>
    <row r="139" spans="1:57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</row>
    <row r="140" spans="1:57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</row>
    <row r="141" spans="1:57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</row>
    <row r="142" spans="1:57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</row>
    <row r="143" spans="1:57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</row>
    <row r="144" spans="1:57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</row>
    <row r="145" spans="1:57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  <c r="AV145" s="28"/>
      <c r="AW145" s="28"/>
      <c r="AX145" s="28"/>
      <c r="AY145" s="28"/>
      <c r="AZ145" s="28"/>
      <c r="BA145" s="28"/>
      <c r="BB145" s="28"/>
      <c r="BC145" s="28"/>
      <c r="BD145" s="28"/>
      <c r="BE145" s="28"/>
    </row>
    <row r="146" spans="1:57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  <c r="AV146" s="28"/>
      <c r="AW146" s="28"/>
      <c r="AX146" s="28"/>
      <c r="AY146" s="28"/>
      <c r="AZ146" s="28"/>
      <c r="BA146" s="28"/>
      <c r="BB146" s="28"/>
      <c r="BC146" s="28"/>
      <c r="BD146" s="28"/>
      <c r="BE146" s="28"/>
    </row>
    <row r="147" spans="1:57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  <c r="AV147" s="28"/>
      <c r="AW147" s="28"/>
      <c r="AX147" s="28"/>
      <c r="AY147" s="28"/>
      <c r="AZ147" s="28"/>
      <c r="BA147" s="28"/>
      <c r="BB147" s="28"/>
      <c r="BC147" s="28"/>
      <c r="BD147" s="28"/>
      <c r="BE147" s="28"/>
    </row>
    <row r="148" spans="1:57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  <c r="AV148" s="28"/>
      <c r="AW148" s="28"/>
      <c r="AX148" s="28"/>
      <c r="AY148" s="28"/>
      <c r="AZ148" s="28"/>
      <c r="BA148" s="28"/>
      <c r="BB148" s="28"/>
      <c r="BC148" s="28"/>
      <c r="BD148" s="28"/>
      <c r="BE148" s="28"/>
    </row>
    <row r="149" spans="1:57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  <c r="AV149" s="28"/>
      <c r="AW149" s="28"/>
      <c r="AX149" s="28"/>
      <c r="AY149" s="28"/>
      <c r="AZ149" s="28"/>
      <c r="BA149" s="28"/>
      <c r="BB149" s="28"/>
      <c r="BC149" s="28"/>
      <c r="BD149" s="28"/>
      <c r="BE149" s="28"/>
    </row>
    <row r="150" spans="1:57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  <c r="AV150" s="28"/>
      <c r="AW150" s="28"/>
      <c r="AX150" s="28"/>
      <c r="AY150" s="28"/>
      <c r="AZ150" s="28"/>
      <c r="BA150" s="28"/>
      <c r="BB150" s="28"/>
      <c r="BC150" s="28"/>
      <c r="BD150" s="28"/>
      <c r="BE150" s="28"/>
    </row>
    <row r="151" spans="1:57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  <c r="AV151" s="28"/>
      <c r="AW151" s="28"/>
      <c r="AX151" s="28"/>
      <c r="AY151" s="28"/>
      <c r="AZ151" s="28"/>
      <c r="BA151" s="28"/>
      <c r="BB151" s="28"/>
      <c r="BC151" s="28"/>
      <c r="BD151" s="28"/>
      <c r="BE151" s="28"/>
    </row>
    <row r="152" spans="1:57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  <c r="AV152" s="28"/>
      <c r="AW152" s="28"/>
      <c r="AX152" s="28"/>
      <c r="AY152" s="28"/>
      <c r="AZ152" s="28"/>
      <c r="BA152" s="28"/>
      <c r="BB152" s="28"/>
      <c r="BC152" s="28"/>
      <c r="BD152" s="28"/>
      <c r="BE152" s="28"/>
    </row>
    <row r="153" spans="1:57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  <c r="AV153" s="28"/>
      <c r="AW153" s="28"/>
      <c r="AX153" s="28"/>
      <c r="AY153" s="28"/>
      <c r="AZ153" s="28"/>
      <c r="BA153" s="28"/>
      <c r="BB153" s="28"/>
      <c r="BC153" s="28"/>
      <c r="BD153" s="28"/>
      <c r="BE153" s="28"/>
    </row>
    <row r="154" spans="1:57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  <c r="AV154" s="28"/>
      <c r="AW154" s="28"/>
      <c r="AX154" s="28"/>
      <c r="AY154" s="28"/>
      <c r="AZ154" s="28"/>
      <c r="BA154" s="28"/>
      <c r="BB154" s="28"/>
      <c r="BC154" s="28"/>
      <c r="BD154" s="28"/>
      <c r="BE154" s="28"/>
    </row>
    <row r="155" spans="1:57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  <c r="AV155" s="28"/>
      <c r="AW155" s="28"/>
      <c r="AX155" s="28"/>
      <c r="AY155" s="28"/>
      <c r="AZ155" s="28"/>
      <c r="BA155" s="28"/>
      <c r="BB155" s="28"/>
      <c r="BC155" s="28"/>
      <c r="BD155" s="28"/>
      <c r="BE155" s="28"/>
    </row>
    <row r="156" spans="1:57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  <c r="AV156" s="28"/>
      <c r="AW156" s="28"/>
      <c r="AX156" s="28"/>
      <c r="AY156" s="28"/>
      <c r="AZ156" s="28"/>
      <c r="BA156" s="28"/>
      <c r="BB156" s="28"/>
      <c r="BC156" s="28"/>
      <c r="BD156" s="28"/>
      <c r="BE156" s="28"/>
    </row>
    <row r="157" spans="1:57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  <c r="AV157" s="28"/>
      <c r="AW157" s="28"/>
      <c r="AX157" s="28"/>
      <c r="AY157" s="28"/>
      <c r="AZ157" s="28"/>
      <c r="BA157" s="28"/>
      <c r="BB157" s="28"/>
      <c r="BC157" s="28"/>
      <c r="BD157" s="28"/>
      <c r="BE157" s="28"/>
    </row>
    <row r="158" spans="1:57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  <c r="AV158" s="28"/>
      <c r="AW158" s="28"/>
      <c r="AX158" s="28"/>
      <c r="AY158" s="28"/>
      <c r="AZ158" s="28"/>
      <c r="BA158" s="28"/>
      <c r="BB158" s="28"/>
      <c r="BC158" s="28"/>
      <c r="BD158" s="28"/>
      <c r="BE158" s="28"/>
    </row>
    <row r="159" spans="1:57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  <c r="AV159" s="28"/>
      <c r="AW159" s="28"/>
      <c r="AX159" s="28"/>
      <c r="AY159" s="28"/>
      <c r="AZ159" s="28"/>
      <c r="BA159" s="28"/>
      <c r="BB159" s="28"/>
      <c r="BC159" s="28"/>
      <c r="BD159" s="28"/>
      <c r="BE159" s="28"/>
    </row>
    <row r="160" spans="1:57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  <c r="AV160" s="28"/>
      <c r="AW160" s="28"/>
      <c r="AX160" s="28"/>
      <c r="AY160" s="28"/>
      <c r="AZ160" s="28"/>
      <c r="BA160" s="28"/>
      <c r="BB160" s="28"/>
      <c r="BC160" s="28"/>
      <c r="BD160" s="28"/>
      <c r="BE160" s="28"/>
    </row>
    <row r="161" spans="1:57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  <c r="AV161" s="28"/>
      <c r="AW161" s="28"/>
      <c r="AX161" s="28"/>
      <c r="AY161" s="28"/>
      <c r="AZ161" s="28"/>
      <c r="BA161" s="28"/>
      <c r="BB161" s="28"/>
      <c r="BC161" s="28"/>
      <c r="BD161" s="28"/>
      <c r="BE161" s="28"/>
    </row>
    <row r="162" spans="1:57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  <c r="AV162" s="28"/>
      <c r="AW162" s="28"/>
      <c r="AX162" s="28"/>
      <c r="AY162" s="28"/>
      <c r="AZ162" s="28"/>
      <c r="BA162" s="28"/>
      <c r="BB162" s="28"/>
      <c r="BC162" s="28"/>
      <c r="BD162" s="28"/>
      <c r="BE162" s="28"/>
    </row>
    <row r="163" spans="1:57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  <c r="AV163" s="28"/>
      <c r="AW163" s="28"/>
      <c r="AX163" s="28"/>
      <c r="AY163" s="28"/>
      <c r="AZ163" s="28"/>
      <c r="BA163" s="28"/>
      <c r="BB163" s="28"/>
      <c r="BC163" s="28"/>
      <c r="BD163" s="28"/>
      <c r="BE163" s="28"/>
    </row>
    <row r="164" spans="1:57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  <c r="AV164" s="28"/>
      <c r="AW164" s="28"/>
      <c r="AX164" s="28"/>
      <c r="AY164" s="28"/>
      <c r="AZ164" s="28"/>
      <c r="BA164" s="28"/>
      <c r="BB164" s="28"/>
      <c r="BC164" s="28"/>
      <c r="BD164" s="28"/>
      <c r="BE164" s="28"/>
    </row>
    <row r="165" spans="1:57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  <c r="AV165" s="28"/>
      <c r="AW165" s="28"/>
      <c r="AX165" s="28"/>
      <c r="AY165" s="28"/>
      <c r="AZ165" s="28"/>
      <c r="BA165" s="28"/>
      <c r="BB165" s="28"/>
      <c r="BC165" s="28"/>
      <c r="BD165" s="28"/>
      <c r="BE165" s="28"/>
    </row>
    <row r="166" spans="1:57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  <c r="AV166" s="28"/>
      <c r="AW166" s="28"/>
      <c r="AX166" s="28"/>
      <c r="AY166" s="28"/>
      <c r="AZ166" s="28"/>
      <c r="BA166" s="28"/>
      <c r="BB166" s="28"/>
      <c r="BC166" s="28"/>
      <c r="BD166" s="28"/>
      <c r="BE166" s="28"/>
    </row>
    <row r="167" spans="1:57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  <c r="AV167" s="28"/>
      <c r="AW167" s="28"/>
      <c r="AX167" s="28"/>
      <c r="AY167" s="28"/>
      <c r="AZ167" s="28"/>
      <c r="BA167" s="28"/>
      <c r="BB167" s="28"/>
      <c r="BC167" s="28"/>
      <c r="BD167" s="28"/>
      <c r="BE167" s="28"/>
    </row>
    <row r="168" spans="1:57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  <c r="AV168" s="28"/>
      <c r="AW168" s="28"/>
      <c r="AX168" s="28"/>
      <c r="AY168" s="28"/>
      <c r="AZ168" s="28"/>
      <c r="BA168" s="28"/>
      <c r="BB168" s="28"/>
      <c r="BC168" s="28"/>
      <c r="BD168" s="28"/>
      <c r="BE168" s="28"/>
    </row>
    <row r="169" spans="1:57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28"/>
      <c r="AZ169" s="28"/>
      <c r="BA169" s="28"/>
      <c r="BB169" s="28"/>
      <c r="BC169" s="28"/>
      <c r="BD169" s="28"/>
      <c r="BE169" s="28"/>
    </row>
    <row r="170" spans="1:57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  <c r="AV170" s="28"/>
      <c r="AW170" s="28"/>
      <c r="AX170" s="28"/>
      <c r="AY170" s="28"/>
      <c r="AZ170" s="28"/>
      <c r="BA170" s="28"/>
      <c r="BB170" s="28"/>
      <c r="BC170" s="28"/>
      <c r="BD170" s="28"/>
      <c r="BE170" s="28"/>
    </row>
    <row r="171" spans="1:57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  <c r="AV171" s="28"/>
      <c r="AW171" s="28"/>
      <c r="AX171" s="28"/>
      <c r="AY171" s="28"/>
      <c r="AZ171" s="28"/>
      <c r="BA171" s="28"/>
      <c r="BB171" s="28"/>
      <c r="BC171" s="28"/>
      <c r="BD171" s="28"/>
      <c r="BE171" s="28"/>
    </row>
    <row r="172" spans="1:57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  <c r="AV172" s="28"/>
      <c r="AW172" s="28"/>
      <c r="AX172" s="28"/>
      <c r="AY172" s="28"/>
      <c r="AZ172" s="28"/>
      <c r="BA172" s="28"/>
      <c r="BB172" s="28"/>
      <c r="BC172" s="28"/>
      <c r="BD172" s="28"/>
      <c r="BE172" s="28"/>
    </row>
    <row r="173" spans="1:57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  <c r="AV173" s="28"/>
      <c r="AW173" s="28"/>
      <c r="AX173" s="28"/>
      <c r="AY173" s="28"/>
      <c r="AZ173" s="28"/>
      <c r="BA173" s="28"/>
      <c r="BB173" s="28"/>
      <c r="BC173" s="28"/>
      <c r="BD173" s="28"/>
      <c r="BE173" s="28"/>
    </row>
    <row r="174" spans="1:57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  <c r="AV174" s="28"/>
      <c r="AW174" s="28"/>
      <c r="AX174" s="28"/>
      <c r="AY174" s="28"/>
      <c r="AZ174" s="28"/>
      <c r="BA174" s="28"/>
      <c r="BB174" s="28"/>
      <c r="BC174" s="28"/>
      <c r="BD174" s="28"/>
      <c r="BE174" s="28"/>
    </row>
    <row r="175" spans="1:57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  <c r="AV175" s="28"/>
      <c r="AW175" s="28"/>
      <c r="AX175" s="28"/>
      <c r="AY175" s="28"/>
      <c r="AZ175" s="28"/>
      <c r="BA175" s="28"/>
      <c r="BB175" s="28"/>
      <c r="BC175" s="28"/>
      <c r="BD175" s="28"/>
      <c r="BE175" s="28"/>
    </row>
    <row r="176" spans="1:57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  <c r="AV176" s="28"/>
      <c r="AW176" s="28"/>
      <c r="AX176" s="28"/>
      <c r="AY176" s="28"/>
      <c r="AZ176" s="28"/>
      <c r="BA176" s="28"/>
      <c r="BB176" s="28"/>
      <c r="BC176" s="28"/>
      <c r="BD176" s="28"/>
      <c r="BE176" s="28"/>
    </row>
    <row r="177" spans="1:57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  <c r="AV177" s="28"/>
      <c r="AW177" s="28"/>
      <c r="AX177" s="28"/>
      <c r="AY177" s="28"/>
      <c r="AZ177" s="28"/>
      <c r="BA177" s="28"/>
      <c r="BB177" s="28"/>
      <c r="BC177" s="28"/>
      <c r="BD177" s="28"/>
      <c r="BE177" s="28"/>
    </row>
    <row r="178" spans="1:57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  <c r="AV178" s="28"/>
      <c r="AW178" s="28"/>
      <c r="AX178" s="28"/>
      <c r="AY178" s="28"/>
      <c r="AZ178" s="28"/>
      <c r="BA178" s="28"/>
      <c r="BB178" s="28"/>
      <c r="BC178" s="28"/>
      <c r="BD178" s="28"/>
      <c r="BE178" s="28"/>
    </row>
    <row r="179" spans="1:57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  <c r="AV179" s="28"/>
      <c r="AW179" s="28"/>
      <c r="AX179" s="28"/>
      <c r="AY179" s="28"/>
      <c r="AZ179" s="28"/>
      <c r="BA179" s="28"/>
      <c r="BB179" s="28"/>
      <c r="BC179" s="28"/>
      <c r="BD179" s="28"/>
      <c r="BE179" s="28"/>
    </row>
    <row r="180" spans="1:57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  <c r="AV180" s="28"/>
      <c r="AW180" s="28"/>
      <c r="AX180" s="28"/>
      <c r="AY180" s="28"/>
      <c r="AZ180" s="28"/>
      <c r="BA180" s="28"/>
      <c r="BB180" s="28"/>
      <c r="BC180" s="28"/>
      <c r="BD180" s="28"/>
      <c r="BE180" s="28"/>
    </row>
    <row r="181" spans="1:57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  <c r="AV181" s="28"/>
      <c r="AW181" s="28"/>
      <c r="AX181" s="28"/>
      <c r="AY181" s="28"/>
      <c r="AZ181" s="28"/>
      <c r="BA181" s="28"/>
      <c r="BB181" s="28"/>
      <c r="BC181" s="28"/>
      <c r="BD181" s="28"/>
      <c r="BE181" s="28"/>
    </row>
    <row r="182" spans="1:57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  <c r="AV182" s="28"/>
      <c r="AW182" s="28"/>
      <c r="AX182" s="28"/>
      <c r="AY182" s="28"/>
      <c r="AZ182" s="28"/>
      <c r="BA182" s="28"/>
      <c r="BB182" s="28"/>
      <c r="BC182" s="28"/>
      <c r="BD182" s="28"/>
      <c r="BE182" s="28"/>
    </row>
    <row r="183" spans="1:57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  <c r="AV183" s="28"/>
      <c r="AW183" s="28"/>
      <c r="AX183" s="28"/>
      <c r="AY183" s="28"/>
      <c r="AZ183" s="28"/>
      <c r="BA183" s="28"/>
      <c r="BB183" s="28"/>
      <c r="BC183" s="28"/>
      <c r="BD183" s="28"/>
      <c r="BE183" s="28"/>
    </row>
    <row r="184" spans="1:57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  <c r="AV184" s="28"/>
      <c r="AW184" s="28"/>
      <c r="AX184" s="28"/>
      <c r="AY184" s="28"/>
      <c r="AZ184" s="28"/>
      <c r="BA184" s="28"/>
      <c r="BB184" s="28"/>
      <c r="BC184" s="28"/>
      <c r="BD184" s="28"/>
      <c r="BE184" s="28"/>
    </row>
    <row r="185" spans="1:57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  <c r="AV185" s="28"/>
      <c r="AW185" s="28"/>
      <c r="AX185" s="28"/>
      <c r="AY185" s="28"/>
      <c r="AZ185" s="28"/>
      <c r="BA185" s="28"/>
      <c r="BB185" s="28"/>
      <c r="BC185" s="28"/>
      <c r="BD185" s="28"/>
      <c r="BE185" s="28"/>
    </row>
    <row r="186" spans="1:57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  <c r="AV186" s="28"/>
      <c r="AW186" s="28"/>
      <c r="AX186" s="28"/>
      <c r="AY186" s="28"/>
      <c r="AZ186" s="28"/>
      <c r="BA186" s="28"/>
      <c r="BB186" s="28"/>
      <c r="BC186" s="28"/>
      <c r="BD186" s="28"/>
      <c r="BE186" s="28"/>
    </row>
    <row r="187" spans="1:57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  <c r="AV187" s="28"/>
      <c r="AW187" s="28"/>
      <c r="AX187" s="28"/>
      <c r="AY187" s="28"/>
      <c r="AZ187" s="28"/>
      <c r="BA187" s="28"/>
      <c r="BB187" s="28"/>
      <c r="BC187" s="28"/>
      <c r="BD187" s="28"/>
      <c r="BE187" s="28"/>
    </row>
    <row r="188" spans="1:57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  <c r="AV188" s="28"/>
      <c r="AW188" s="28"/>
      <c r="AX188" s="28"/>
      <c r="AY188" s="28"/>
      <c r="AZ188" s="28"/>
      <c r="BA188" s="28"/>
      <c r="BB188" s="28"/>
      <c r="BC188" s="28"/>
      <c r="BD188" s="28"/>
      <c r="BE188" s="28"/>
    </row>
    <row r="189" spans="1:57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  <c r="AV189" s="28"/>
      <c r="AW189" s="28"/>
      <c r="AX189" s="28"/>
      <c r="AY189" s="28"/>
      <c r="AZ189" s="28"/>
      <c r="BA189" s="28"/>
      <c r="BB189" s="28"/>
      <c r="BC189" s="28"/>
      <c r="BD189" s="28"/>
      <c r="BE189" s="28"/>
    </row>
    <row r="190" spans="1:57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  <c r="AV190" s="28"/>
      <c r="AW190" s="28"/>
      <c r="AX190" s="28"/>
      <c r="AY190" s="28"/>
      <c r="AZ190" s="28"/>
      <c r="BA190" s="28"/>
      <c r="BB190" s="28"/>
      <c r="BC190" s="28"/>
      <c r="BD190" s="28"/>
      <c r="BE190" s="28"/>
    </row>
    <row r="191" spans="1:57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  <c r="AV191" s="28"/>
      <c r="AW191" s="28"/>
      <c r="AX191" s="28"/>
      <c r="AY191" s="28"/>
      <c r="AZ191" s="28"/>
      <c r="BA191" s="28"/>
      <c r="BB191" s="28"/>
      <c r="BC191" s="28"/>
      <c r="BD191" s="28"/>
      <c r="BE191" s="28"/>
    </row>
    <row r="192" spans="1:57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  <c r="AV192" s="28"/>
      <c r="AW192" s="28"/>
      <c r="AX192" s="28"/>
      <c r="AY192" s="28"/>
      <c r="AZ192" s="28"/>
      <c r="BA192" s="28"/>
      <c r="BB192" s="28"/>
      <c r="BC192" s="28"/>
      <c r="BD192" s="28"/>
      <c r="BE192" s="28"/>
    </row>
    <row r="193" spans="1:57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  <c r="AV193" s="28"/>
      <c r="AW193" s="28"/>
      <c r="AX193" s="28"/>
      <c r="AY193" s="28"/>
      <c r="AZ193" s="28"/>
      <c r="BA193" s="28"/>
      <c r="BB193" s="28"/>
      <c r="BC193" s="28"/>
      <c r="BD193" s="28"/>
      <c r="BE193" s="28"/>
    </row>
    <row r="194" spans="1:57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  <c r="AV194" s="28"/>
      <c r="AW194" s="28"/>
      <c r="AX194" s="28"/>
      <c r="AY194" s="28"/>
      <c r="AZ194" s="28"/>
      <c r="BA194" s="28"/>
      <c r="BB194" s="28"/>
      <c r="BC194" s="28"/>
      <c r="BD194" s="28"/>
      <c r="BE194" s="28"/>
    </row>
    <row r="195" spans="1:57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  <c r="AV195" s="28"/>
      <c r="AW195" s="28"/>
      <c r="AX195" s="28"/>
      <c r="AY195" s="28"/>
      <c r="AZ195" s="28"/>
      <c r="BA195" s="28"/>
      <c r="BB195" s="28"/>
      <c r="BC195" s="28"/>
      <c r="BD195" s="28"/>
      <c r="BE195" s="28"/>
    </row>
    <row r="196" spans="1:57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  <c r="AV196" s="28"/>
      <c r="AW196" s="28"/>
      <c r="AX196" s="28"/>
      <c r="AY196" s="28"/>
      <c r="AZ196" s="28"/>
      <c r="BA196" s="28"/>
      <c r="BB196" s="28"/>
      <c r="BC196" s="28"/>
      <c r="BD196" s="28"/>
      <c r="BE196" s="28"/>
    </row>
    <row r="197" spans="1:57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  <c r="AV197" s="28"/>
      <c r="AW197" s="28"/>
      <c r="AX197" s="28"/>
      <c r="AY197" s="28"/>
      <c r="AZ197" s="28"/>
      <c r="BA197" s="28"/>
      <c r="BB197" s="28"/>
      <c r="BC197" s="28"/>
      <c r="BD197" s="28"/>
      <c r="BE197" s="28"/>
    </row>
    <row r="198" spans="1:57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</row>
    <row r="199" spans="1:57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  <c r="AV199" s="28"/>
      <c r="AW199" s="28"/>
      <c r="AX199" s="28"/>
      <c r="AY199" s="28"/>
      <c r="AZ199" s="28"/>
      <c r="BA199" s="28"/>
      <c r="BB199" s="28"/>
      <c r="BC199" s="28"/>
      <c r="BD199" s="28"/>
      <c r="BE199" s="28"/>
    </row>
    <row r="200" spans="1:57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  <c r="AV200" s="28"/>
      <c r="AW200" s="28"/>
      <c r="AX200" s="28"/>
      <c r="AY200" s="28"/>
      <c r="AZ200" s="28"/>
      <c r="BA200" s="28"/>
      <c r="BB200" s="28"/>
      <c r="BC200" s="28"/>
      <c r="BD200" s="28"/>
      <c r="BE200" s="28"/>
    </row>
    <row r="201" spans="1:57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  <c r="AV201" s="28"/>
      <c r="AW201" s="28"/>
      <c r="AX201" s="28"/>
      <c r="AY201" s="28"/>
      <c r="AZ201" s="28"/>
      <c r="BA201" s="28"/>
      <c r="BB201" s="28"/>
      <c r="BC201" s="28"/>
      <c r="BD201" s="28"/>
      <c r="BE201" s="28"/>
    </row>
    <row r="202" spans="1:57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  <c r="AV202" s="28"/>
      <c r="AW202" s="28"/>
      <c r="AX202" s="28"/>
      <c r="AY202" s="28"/>
      <c r="AZ202" s="28"/>
      <c r="BA202" s="28"/>
      <c r="BB202" s="28"/>
      <c r="BC202" s="28"/>
      <c r="BD202" s="28"/>
      <c r="BE202" s="28"/>
    </row>
    <row r="203" spans="1:57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  <c r="AV203" s="28"/>
      <c r="AW203" s="28"/>
      <c r="AX203" s="28"/>
      <c r="AY203" s="28"/>
      <c r="AZ203" s="28"/>
      <c r="BA203" s="28"/>
      <c r="BB203" s="28"/>
      <c r="BC203" s="28"/>
      <c r="BD203" s="28"/>
      <c r="BE203" s="28"/>
    </row>
    <row r="204" spans="1:57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  <c r="AV204" s="28"/>
      <c r="AW204" s="28"/>
      <c r="AX204" s="28"/>
      <c r="AY204" s="28"/>
      <c r="AZ204" s="28"/>
      <c r="BA204" s="28"/>
      <c r="BB204" s="28"/>
      <c r="BC204" s="28"/>
      <c r="BD204" s="28"/>
      <c r="BE204" s="28"/>
    </row>
    <row r="205" spans="1:57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  <c r="AV205" s="28"/>
      <c r="AW205" s="28"/>
      <c r="AX205" s="28"/>
      <c r="AY205" s="28"/>
      <c r="AZ205" s="28"/>
      <c r="BA205" s="28"/>
      <c r="BB205" s="28"/>
      <c r="BC205" s="28"/>
      <c r="BD205" s="28"/>
      <c r="BE205" s="28"/>
    </row>
    <row r="206" spans="1:57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  <c r="AV206" s="28"/>
      <c r="AW206" s="28"/>
      <c r="AX206" s="28"/>
      <c r="AY206" s="28"/>
      <c r="AZ206" s="28"/>
      <c r="BA206" s="28"/>
      <c r="BB206" s="28"/>
      <c r="BC206" s="28"/>
      <c r="BD206" s="28"/>
      <c r="BE206" s="28"/>
    </row>
    <row r="207" spans="1:57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  <c r="AV207" s="28"/>
      <c r="AW207" s="28"/>
      <c r="AX207" s="28"/>
      <c r="AY207" s="28"/>
      <c r="AZ207" s="28"/>
      <c r="BA207" s="28"/>
      <c r="BB207" s="28"/>
      <c r="BC207" s="28"/>
      <c r="BD207" s="28"/>
      <c r="BE207" s="28"/>
    </row>
    <row r="208" spans="1:57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  <c r="AV208" s="28"/>
      <c r="AW208" s="28"/>
      <c r="AX208" s="28"/>
      <c r="AY208" s="28"/>
      <c r="AZ208" s="28"/>
      <c r="BA208" s="28"/>
      <c r="BB208" s="28"/>
      <c r="BC208" s="28"/>
      <c r="BD208" s="28"/>
      <c r="BE208" s="28"/>
    </row>
    <row r="209" spans="1:57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  <c r="AV209" s="28"/>
      <c r="AW209" s="28"/>
      <c r="AX209" s="28"/>
      <c r="AY209" s="28"/>
      <c r="AZ209" s="28"/>
      <c r="BA209" s="28"/>
      <c r="BB209" s="28"/>
      <c r="BC209" s="28"/>
      <c r="BD209" s="28"/>
      <c r="BE209" s="28"/>
    </row>
    <row r="210" spans="1:57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  <c r="AV210" s="28"/>
      <c r="AW210" s="28"/>
      <c r="AX210" s="28"/>
      <c r="AY210" s="28"/>
      <c r="AZ210" s="28"/>
      <c r="BA210" s="28"/>
      <c r="BB210" s="28"/>
      <c r="BC210" s="28"/>
      <c r="BD210" s="28"/>
      <c r="BE210" s="28"/>
    </row>
    <row r="211" spans="1:57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  <c r="AV211" s="28"/>
      <c r="AW211" s="28"/>
      <c r="AX211" s="28"/>
      <c r="AY211" s="28"/>
      <c r="AZ211" s="28"/>
      <c r="BA211" s="28"/>
      <c r="BB211" s="28"/>
      <c r="BC211" s="28"/>
      <c r="BD211" s="28"/>
      <c r="BE211" s="28"/>
    </row>
    <row r="212" spans="1:57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  <c r="AV212" s="28"/>
      <c r="AW212" s="28"/>
      <c r="AX212" s="28"/>
      <c r="AY212" s="28"/>
      <c r="AZ212" s="28"/>
      <c r="BA212" s="28"/>
      <c r="BB212" s="28"/>
      <c r="BC212" s="28"/>
      <c r="BD212" s="28"/>
      <c r="BE212" s="28"/>
    </row>
    <row r="213" spans="1:57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  <c r="AV213" s="28"/>
      <c r="AW213" s="28"/>
      <c r="AX213" s="28"/>
      <c r="AY213" s="28"/>
      <c r="AZ213" s="28"/>
      <c r="BA213" s="28"/>
      <c r="BB213" s="28"/>
      <c r="BC213" s="28"/>
      <c r="BD213" s="28"/>
      <c r="BE213" s="28"/>
    </row>
    <row r="214" spans="1:57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  <c r="AV214" s="28"/>
      <c r="AW214" s="28"/>
      <c r="AX214" s="28"/>
      <c r="AY214" s="28"/>
      <c r="AZ214" s="28"/>
      <c r="BA214" s="28"/>
      <c r="BB214" s="28"/>
      <c r="BC214" s="28"/>
      <c r="BD214" s="28"/>
      <c r="BE214" s="28"/>
    </row>
    <row r="215" spans="1:57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  <c r="AV215" s="28"/>
      <c r="AW215" s="28"/>
      <c r="AX215" s="28"/>
      <c r="AY215" s="28"/>
      <c r="AZ215" s="28"/>
      <c r="BA215" s="28"/>
      <c r="BB215" s="28"/>
      <c r="BC215" s="28"/>
      <c r="BD215" s="28"/>
      <c r="BE215" s="28"/>
    </row>
    <row r="216" spans="1:57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  <c r="AV216" s="28"/>
      <c r="AW216" s="28"/>
      <c r="AX216" s="28"/>
      <c r="AY216" s="28"/>
      <c r="AZ216" s="28"/>
      <c r="BA216" s="28"/>
      <c r="BB216" s="28"/>
      <c r="BC216" s="28"/>
      <c r="BD216" s="28"/>
      <c r="BE216" s="28"/>
    </row>
    <row r="217" spans="1:57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  <c r="AV217" s="28"/>
      <c r="AW217" s="28"/>
      <c r="AX217" s="28"/>
      <c r="AY217" s="28"/>
      <c r="AZ217" s="28"/>
      <c r="BA217" s="28"/>
      <c r="BB217" s="28"/>
      <c r="BC217" s="28"/>
      <c r="BD217" s="28"/>
      <c r="BE217" s="28"/>
    </row>
    <row r="218" spans="1:57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  <c r="AV218" s="28"/>
      <c r="AW218" s="28"/>
      <c r="AX218" s="28"/>
      <c r="AY218" s="28"/>
      <c r="AZ218" s="28"/>
      <c r="BA218" s="28"/>
      <c r="BB218" s="28"/>
      <c r="BC218" s="28"/>
      <c r="BD218" s="28"/>
      <c r="BE218" s="28"/>
    </row>
    <row r="219" spans="1:57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  <c r="AV219" s="28"/>
      <c r="AW219" s="28"/>
      <c r="AX219" s="28"/>
      <c r="AY219" s="28"/>
      <c r="AZ219" s="28"/>
      <c r="BA219" s="28"/>
      <c r="BB219" s="28"/>
      <c r="BC219" s="28"/>
      <c r="BD219" s="28"/>
      <c r="BE219" s="28"/>
    </row>
    <row r="220" spans="1:57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  <c r="AV220" s="28"/>
      <c r="AW220" s="28"/>
      <c r="AX220" s="28"/>
      <c r="AY220" s="28"/>
      <c r="AZ220" s="28"/>
      <c r="BA220" s="28"/>
      <c r="BB220" s="28"/>
      <c r="BC220" s="28"/>
      <c r="BD220" s="28"/>
      <c r="BE220" s="28"/>
    </row>
    <row r="221" spans="1:57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  <c r="AV221" s="28"/>
      <c r="AW221" s="28"/>
      <c r="AX221" s="28"/>
      <c r="AY221" s="28"/>
      <c r="AZ221" s="28"/>
      <c r="BA221" s="28"/>
      <c r="BB221" s="28"/>
      <c r="BC221" s="28"/>
      <c r="BD221" s="28"/>
      <c r="BE221" s="28"/>
    </row>
    <row r="222" spans="1:57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  <c r="AV222" s="28"/>
      <c r="AW222" s="28"/>
      <c r="AX222" s="28"/>
      <c r="AY222" s="28"/>
      <c r="AZ222" s="28"/>
      <c r="BA222" s="28"/>
      <c r="BB222" s="28"/>
      <c r="BC222" s="28"/>
      <c r="BD222" s="28"/>
      <c r="BE222" s="28"/>
    </row>
    <row r="223" spans="1:57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  <c r="AV223" s="28"/>
      <c r="AW223" s="28"/>
      <c r="AX223" s="28"/>
      <c r="AY223" s="28"/>
      <c r="AZ223" s="28"/>
      <c r="BA223" s="28"/>
      <c r="BB223" s="28"/>
      <c r="BC223" s="28"/>
      <c r="BD223" s="28"/>
      <c r="BE223" s="28"/>
    </row>
    <row r="224" spans="1:57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  <c r="AV224" s="28"/>
      <c r="AW224" s="28"/>
      <c r="AX224" s="28"/>
      <c r="AY224" s="28"/>
      <c r="AZ224" s="28"/>
      <c r="BA224" s="28"/>
      <c r="BB224" s="28"/>
      <c r="BC224" s="28"/>
      <c r="BD224" s="28"/>
      <c r="BE224" s="28"/>
    </row>
    <row r="225" spans="1:57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  <c r="AV225" s="28"/>
      <c r="AW225" s="28"/>
      <c r="AX225" s="28"/>
      <c r="AY225" s="28"/>
      <c r="AZ225" s="28"/>
      <c r="BA225" s="28"/>
      <c r="BB225" s="28"/>
      <c r="BC225" s="28"/>
      <c r="BD225" s="28"/>
      <c r="BE225" s="28"/>
    </row>
    <row r="226" spans="1:57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  <c r="AV226" s="28"/>
      <c r="AW226" s="28"/>
      <c r="AX226" s="28"/>
      <c r="AY226" s="28"/>
      <c r="AZ226" s="28"/>
      <c r="BA226" s="28"/>
      <c r="BB226" s="28"/>
      <c r="BC226" s="28"/>
      <c r="BD226" s="28"/>
      <c r="BE226" s="28"/>
    </row>
    <row r="227" spans="1:57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  <c r="AV227" s="28"/>
      <c r="AW227" s="28"/>
      <c r="AX227" s="28"/>
      <c r="AY227" s="28"/>
      <c r="AZ227" s="28"/>
      <c r="BA227" s="28"/>
      <c r="BB227" s="28"/>
      <c r="BC227" s="28"/>
      <c r="BD227" s="28"/>
      <c r="BE227" s="28"/>
    </row>
    <row r="228" spans="1:57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  <c r="AV228" s="28"/>
      <c r="AW228" s="28"/>
      <c r="AX228" s="28"/>
      <c r="AY228" s="28"/>
      <c r="AZ228" s="28"/>
      <c r="BA228" s="28"/>
      <c r="BB228" s="28"/>
      <c r="BC228" s="28"/>
      <c r="BD228" s="28"/>
      <c r="BE228" s="28"/>
    </row>
    <row r="229" spans="1:57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  <c r="AV229" s="28"/>
      <c r="AW229" s="28"/>
      <c r="AX229" s="28"/>
      <c r="AY229" s="28"/>
      <c r="AZ229" s="28"/>
      <c r="BA229" s="28"/>
      <c r="BB229" s="28"/>
      <c r="BC229" s="28"/>
      <c r="BD229" s="28"/>
      <c r="BE229" s="28"/>
    </row>
    <row r="230" spans="1:57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  <c r="AV230" s="28"/>
      <c r="AW230" s="28"/>
      <c r="AX230" s="28"/>
      <c r="AY230" s="28"/>
      <c r="AZ230" s="28"/>
      <c r="BA230" s="28"/>
      <c r="BB230" s="28"/>
      <c r="BC230" s="28"/>
      <c r="BD230" s="28"/>
      <c r="BE230" s="28"/>
    </row>
    <row r="231" spans="1:57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  <c r="AV231" s="28"/>
      <c r="AW231" s="28"/>
      <c r="AX231" s="28"/>
      <c r="AY231" s="28"/>
      <c r="AZ231" s="28"/>
      <c r="BA231" s="28"/>
      <c r="BB231" s="28"/>
      <c r="BC231" s="28"/>
      <c r="BD231" s="28"/>
      <c r="BE231" s="28"/>
    </row>
    <row r="232" spans="1:57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  <c r="AV232" s="28"/>
      <c r="AW232" s="28"/>
      <c r="AX232" s="28"/>
      <c r="AY232" s="28"/>
      <c r="AZ232" s="28"/>
      <c r="BA232" s="28"/>
      <c r="BB232" s="28"/>
      <c r="BC232" s="28"/>
      <c r="BD232" s="28"/>
      <c r="BE232" s="28"/>
    </row>
    <row r="233" spans="1:57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  <c r="AV233" s="28"/>
      <c r="AW233" s="28"/>
      <c r="AX233" s="28"/>
      <c r="AY233" s="28"/>
      <c r="AZ233" s="28"/>
      <c r="BA233" s="28"/>
      <c r="BB233" s="28"/>
      <c r="BC233" s="28"/>
      <c r="BD233" s="28"/>
      <c r="BE233" s="28"/>
    </row>
    <row r="234" spans="1:57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  <c r="AV234" s="28"/>
      <c r="AW234" s="28"/>
      <c r="AX234" s="28"/>
      <c r="AY234" s="28"/>
      <c r="AZ234" s="28"/>
      <c r="BA234" s="28"/>
      <c r="BB234" s="28"/>
      <c r="BC234" s="28"/>
      <c r="BD234" s="28"/>
      <c r="BE234" s="28"/>
    </row>
    <row r="235" spans="1:57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  <c r="AV235" s="28"/>
      <c r="AW235" s="28"/>
      <c r="AX235" s="28"/>
      <c r="AY235" s="28"/>
      <c r="AZ235" s="28"/>
      <c r="BA235" s="28"/>
      <c r="BB235" s="28"/>
      <c r="BC235" s="28"/>
      <c r="BD235" s="28"/>
      <c r="BE235" s="28"/>
    </row>
    <row r="236" spans="1:57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  <c r="AV236" s="28"/>
      <c r="AW236" s="28"/>
      <c r="AX236" s="28"/>
      <c r="AY236" s="28"/>
      <c r="AZ236" s="28"/>
      <c r="BA236" s="28"/>
      <c r="BB236" s="28"/>
      <c r="BC236" s="28"/>
      <c r="BD236" s="28"/>
      <c r="BE236" s="28"/>
    </row>
    <row r="237" spans="1:57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  <c r="AV237" s="28"/>
      <c r="AW237" s="28"/>
      <c r="AX237" s="28"/>
      <c r="AY237" s="28"/>
      <c r="AZ237" s="28"/>
      <c r="BA237" s="28"/>
      <c r="BB237" s="28"/>
      <c r="BC237" s="28"/>
      <c r="BD237" s="28"/>
      <c r="BE237" s="28"/>
    </row>
    <row r="238" spans="1:57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  <c r="AV238" s="28"/>
      <c r="AW238" s="28"/>
      <c r="AX238" s="28"/>
      <c r="AY238" s="28"/>
      <c r="AZ238" s="28"/>
      <c r="BA238" s="28"/>
      <c r="BB238" s="28"/>
      <c r="BC238" s="28"/>
      <c r="BD238" s="28"/>
      <c r="BE238" s="28"/>
    </row>
    <row r="239" spans="1:57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  <c r="AV239" s="28"/>
      <c r="AW239" s="28"/>
      <c r="AX239" s="28"/>
      <c r="AY239" s="28"/>
      <c r="AZ239" s="28"/>
      <c r="BA239" s="28"/>
      <c r="BB239" s="28"/>
      <c r="BC239" s="28"/>
      <c r="BD239" s="28"/>
      <c r="BE239" s="28"/>
    </row>
    <row r="240" spans="1:57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  <c r="AV240" s="28"/>
      <c r="AW240" s="28"/>
      <c r="AX240" s="28"/>
      <c r="AY240" s="28"/>
      <c r="AZ240" s="28"/>
      <c r="BA240" s="28"/>
      <c r="BB240" s="28"/>
      <c r="BC240" s="28"/>
      <c r="BD240" s="28"/>
      <c r="BE240" s="28"/>
    </row>
    <row r="241" spans="1:57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  <c r="AV241" s="28"/>
      <c r="AW241" s="28"/>
      <c r="AX241" s="28"/>
      <c r="AY241" s="28"/>
      <c r="AZ241" s="28"/>
      <c r="BA241" s="28"/>
      <c r="BB241" s="28"/>
      <c r="BC241" s="28"/>
      <c r="BD241" s="28"/>
      <c r="BE241" s="28"/>
    </row>
    <row r="242" spans="1:57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  <c r="AV242" s="28"/>
      <c r="AW242" s="28"/>
      <c r="AX242" s="28"/>
      <c r="AY242" s="28"/>
      <c r="AZ242" s="28"/>
      <c r="BA242" s="28"/>
      <c r="BB242" s="28"/>
      <c r="BC242" s="28"/>
      <c r="BD242" s="28"/>
      <c r="BE242" s="28"/>
    </row>
    <row r="243" spans="1:57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  <c r="AV243" s="28"/>
      <c r="AW243" s="28"/>
      <c r="AX243" s="28"/>
      <c r="AY243" s="28"/>
      <c r="AZ243" s="28"/>
      <c r="BA243" s="28"/>
      <c r="BB243" s="28"/>
      <c r="BC243" s="28"/>
      <c r="BD243" s="28"/>
      <c r="BE243" s="28"/>
    </row>
    <row r="244" spans="1:57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  <c r="AV244" s="28"/>
      <c r="AW244" s="28"/>
      <c r="AX244" s="28"/>
      <c r="AY244" s="28"/>
      <c r="AZ244" s="28"/>
      <c r="BA244" s="28"/>
      <c r="BB244" s="28"/>
      <c r="BC244" s="28"/>
      <c r="BD244" s="28"/>
      <c r="BE244" s="28"/>
    </row>
    <row r="245" spans="1:57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  <c r="AV245" s="28"/>
      <c r="AW245" s="28"/>
      <c r="AX245" s="28"/>
      <c r="AY245" s="28"/>
      <c r="AZ245" s="28"/>
      <c r="BA245" s="28"/>
      <c r="BB245" s="28"/>
      <c r="BC245" s="28"/>
      <c r="BD245" s="28"/>
      <c r="BE245" s="28"/>
    </row>
    <row r="246" spans="1:57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  <c r="AV246" s="28"/>
      <c r="AW246" s="28"/>
      <c r="AX246" s="28"/>
      <c r="AY246" s="28"/>
      <c r="AZ246" s="28"/>
      <c r="BA246" s="28"/>
      <c r="BB246" s="28"/>
      <c r="BC246" s="28"/>
      <c r="BD246" s="28"/>
      <c r="BE246" s="28"/>
    </row>
    <row r="247" spans="1:57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  <c r="AV247" s="28"/>
      <c r="AW247" s="28"/>
      <c r="AX247" s="28"/>
      <c r="AY247" s="28"/>
      <c r="AZ247" s="28"/>
      <c r="BA247" s="28"/>
      <c r="BB247" s="28"/>
      <c r="BC247" s="28"/>
      <c r="BD247" s="28"/>
      <c r="BE247" s="28"/>
    </row>
    <row r="248" spans="1:57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  <c r="AV248" s="28"/>
      <c r="AW248" s="28"/>
      <c r="AX248" s="28"/>
      <c r="AY248" s="28"/>
      <c r="AZ248" s="28"/>
      <c r="BA248" s="28"/>
      <c r="BB248" s="28"/>
      <c r="BC248" s="28"/>
      <c r="BD248" s="28"/>
      <c r="BE248" s="28"/>
    </row>
    <row r="249" spans="1:57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  <c r="AV249" s="28"/>
      <c r="AW249" s="28"/>
      <c r="AX249" s="28"/>
      <c r="AY249" s="28"/>
      <c r="AZ249" s="28"/>
      <c r="BA249" s="28"/>
      <c r="BB249" s="28"/>
      <c r="BC249" s="28"/>
      <c r="BD249" s="28"/>
      <c r="BE249" s="28"/>
    </row>
    <row r="250" spans="1:57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  <c r="AV250" s="28"/>
      <c r="AW250" s="28"/>
      <c r="AX250" s="28"/>
      <c r="AY250" s="28"/>
      <c r="AZ250" s="28"/>
      <c r="BA250" s="28"/>
      <c r="BB250" s="28"/>
      <c r="BC250" s="28"/>
      <c r="BD250" s="28"/>
      <c r="BE250" s="28"/>
    </row>
    <row r="251" spans="1:57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  <c r="AV251" s="28"/>
      <c r="AW251" s="28"/>
      <c r="AX251" s="28"/>
      <c r="AY251" s="28"/>
      <c r="AZ251" s="28"/>
      <c r="BA251" s="28"/>
      <c r="BB251" s="28"/>
      <c r="BC251" s="28"/>
      <c r="BD251" s="28"/>
      <c r="BE251" s="28"/>
    </row>
    <row r="252" spans="1:57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  <c r="AV252" s="28"/>
      <c r="AW252" s="28"/>
      <c r="AX252" s="28"/>
      <c r="AY252" s="28"/>
      <c r="AZ252" s="28"/>
      <c r="BA252" s="28"/>
      <c r="BB252" s="28"/>
      <c r="BC252" s="28"/>
      <c r="BD252" s="28"/>
      <c r="BE252" s="28"/>
    </row>
    <row r="253" spans="1:57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  <c r="AV253" s="28"/>
      <c r="AW253" s="28"/>
      <c r="AX253" s="28"/>
      <c r="AY253" s="28"/>
      <c r="AZ253" s="28"/>
      <c r="BA253" s="28"/>
      <c r="BB253" s="28"/>
      <c r="BC253" s="28"/>
      <c r="BD253" s="28"/>
      <c r="BE253" s="28"/>
    </row>
    <row r="254" spans="1:57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  <c r="AV254" s="28"/>
      <c r="AW254" s="28"/>
      <c r="AX254" s="28"/>
      <c r="AY254" s="28"/>
      <c r="AZ254" s="28"/>
      <c r="BA254" s="28"/>
      <c r="BB254" s="28"/>
      <c r="BC254" s="28"/>
      <c r="BD254" s="28"/>
      <c r="BE254" s="28"/>
    </row>
    <row r="255" spans="1:57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  <c r="AV255" s="28"/>
      <c r="AW255" s="28"/>
      <c r="AX255" s="28"/>
      <c r="AY255" s="28"/>
      <c r="AZ255" s="28"/>
      <c r="BA255" s="28"/>
      <c r="BB255" s="28"/>
      <c r="BC255" s="28"/>
      <c r="BD255" s="28"/>
      <c r="BE255" s="28"/>
    </row>
    <row r="256" spans="1:57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  <c r="AV256" s="28"/>
      <c r="AW256" s="28"/>
      <c r="AX256" s="28"/>
      <c r="AY256" s="28"/>
      <c r="AZ256" s="28"/>
      <c r="BA256" s="28"/>
      <c r="BB256" s="28"/>
      <c r="BC256" s="28"/>
      <c r="BD256" s="28"/>
      <c r="BE256" s="28"/>
    </row>
    <row r="257" spans="1:57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  <c r="AV257" s="28"/>
      <c r="AW257" s="28"/>
      <c r="AX257" s="28"/>
      <c r="AY257" s="28"/>
      <c r="AZ257" s="28"/>
      <c r="BA257" s="28"/>
      <c r="BB257" s="28"/>
      <c r="BC257" s="28"/>
      <c r="BD257" s="28"/>
      <c r="BE257" s="28"/>
    </row>
    <row r="258" spans="1:57" ht="14.25" customHeight="1" x14ac:dyDescent="0.2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  <c r="AV258" s="28"/>
      <c r="AW258" s="28"/>
      <c r="AX258" s="28"/>
      <c r="AY258" s="28"/>
      <c r="AZ258" s="28"/>
      <c r="BA258" s="28"/>
      <c r="BB258" s="28"/>
      <c r="BC258" s="28"/>
      <c r="BD258" s="28"/>
      <c r="BE258" s="28"/>
    </row>
    <row r="259" spans="1:57" ht="14.25" customHeight="1" x14ac:dyDescent="0.2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  <c r="AV259" s="28"/>
      <c r="AW259" s="28"/>
      <c r="AX259" s="28"/>
      <c r="AY259" s="28"/>
      <c r="AZ259" s="28"/>
      <c r="BA259" s="28"/>
      <c r="BB259" s="28"/>
      <c r="BC259" s="28"/>
      <c r="BD259" s="28"/>
      <c r="BE259" s="28"/>
    </row>
    <row r="260" spans="1:57" ht="14.25" customHeight="1" x14ac:dyDescent="0.2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</row>
    <row r="261" spans="1:57" ht="14.25" customHeight="1" x14ac:dyDescent="0.2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  <c r="AV261" s="28"/>
      <c r="AW261" s="28"/>
      <c r="AX261" s="28"/>
      <c r="AY261" s="28"/>
      <c r="AZ261" s="28"/>
      <c r="BA261" s="28"/>
      <c r="BB261" s="28"/>
      <c r="BC261" s="28"/>
      <c r="BD261" s="28"/>
      <c r="BE261" s="28"/>
    </row>
    <row r="262" spans="1:57" ht="14.25" customHeight="1" x14ac:dyDescent="0.2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  <c r="AV262" s="28"/>
      <c r="AW262" s="28"/>
      <c r="AX262" s="28"/>
      <c r="AY262" s="28"/>
      <c r="AZ262" s="28"/>
      <c r="BA262" s="28"/>
      <c r="BB262" s="28"/>
      <c r="BC262" s="28"/>
      <c r="BD262" s="28"/>
      <c r="BE262" s="28"/>
    </row>
    <row r="263" spans="1:57" ht="14.25" customHeight="1" x14ac:dyDescent="0.2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  <c r="AV263" s="28"/>
      <c r="AW263" s="28"/>
      <c r="AX263" s="28"/>
      <c r="AY263" s="28"/>
      <c r="AZ263" s="28"/>
      <c r="BA263" s="28"/>
      <c r="BB263" s="28"/>
      <c r="BC263" s="28"/>
      <c r="BD263" s="28"/>
      <c r="BE263" s="28"/>
    </row>
    <row r="264" spans="1:57" ht="14.25" customHeight="1" x14ac:dyDescent="0.2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  <c r="AV264" s="28"/>
      <c r="AW264" s="28"/>
      <c r="AX264" s="28"/>
      <c r="AY264" s="28"/>
      <c r="AZ264" s="28"/>
      <c r="BA264" s="28"/>
      <c r="BB264" s="28"/>
      <c r="BC264" s="28"/>
      <c r="BD264" s="28"/>
      <c r="BE264" s="28"/>
    </row>
    <row r="265" spans="1:57" ht="14.25" customHeight="1" x14ac:dyDescent="0.2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  <c r="AV265" s="28"/>
      <c r="AW265" s="28"/>
      <c r="AX265" s="28"/>
      <c r="AY265" s="28"/>
      <c r="AZ265" s="28"/>
      <c r="BA265" s="28"/>
      <c r="BB265" s="28"/>
      <c r="BC265" s="28"/>
      <c r="BD265" s="28"/>
      <c r="BE265" s="28"/>
    </row>
    <row r="266" spans="1:57" ht="14.25" customHeight="1" x14ac:dyDescent="0.2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  <c r="AV266" s="28"/>
      <c r="AW266" s="28"/>
      <c r="AX266" s="28"/>
      <c r="AY266" s="28"/>
      <c r="AZ266" s="28"/>
      <c r="BA266" s="28"/>
      <c r="BB266" s="28"/>
      <c r="BC266" s="28"/>
      <c r="BD266" s="28"/>
      <c r="BE266" s="28"/>
    </row>
    <row r="267" spans="1:57" ht="14.25" customHeight="1" x14ac:dyDescent="0.2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  <c r="AV267" s="28"/>
      <c r="AW267" s="28"/>
      <c r="AX267" s="28"/>
      <c r="AY267" s="28"/>
      <c r="AZ267" s="28"/>
      <c r="BA267" s="28"/>
      <c r="BB267" s="28"/>
      <c r="BC267" s="28"/>
      <c r="BD267" s="28"/>
      <c r="BE267" s="28"/>
    </row>
    <row r="268" spans="1:57" ht="14.25" customHeight="1" x14ac:dyDescent="0.2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  <c r="AV268" s="28"/>
      <c r="AW268" s="28"/>
      <c r="AX268" s="28"/>
      <c r="AY268" s="28"/>
      <c r="AZ268" s="28"/>
      <c r="BA268" s="28"/>
      <c r="BB268" s="28"/>
      <c r="BC268" s="28"/>
      <c r="BD268" s="28"/>
      <c r="BE268" s="28"/>
    </row>
    <row r="269" spans="1:57" ht="14.25" customHeight="1" x14ac:dyDescent="0.2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  <c r="AV269" s="28"/>
      <c r="AW269" s="28"/>
      <c r="AX269" s="28"/>
      <c r="AY269" s="28"/>
      <c r="AZ269" s="28"/>
      <c r="BA269" s="28"/>
      <c r="BB269" s="28"/>
      <c r="BC269" s="28"/>
      <c r="BD269" s="28"/>
      <c r="BE269" s="28"/>
    </row>
    <row r="270" spans="1:57" ht="14.25" customHeight="1" x14ac:dyDescent="0.2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  <c r="AV270" s="28"/>
      <c r="AW270" s="28"/>
      <c r="AX270" s="28"/>
      <c r="AY270" s="28"/>
      <c r="AZ270" s="28"/>
      <c r="BA270" s="28"/>
      <c r="BB270" s="28"/>
      <c r="BC270" s="28"/>
      <c r="BD270" s="28"/>
      <c r="BE270" s="28"/>
    </row>
    <row r="271" spans="1:57" ht="14.25" customHeight="1" x14ac:dyDescent="0.2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  <c r="AV271" s="28"/>
      <c r="AW271" s="28"/>
      <c r="AX271" s="28"/>
      <c r="AY271" s="28"/>
      <c r="AZ271" s="28"/>
      <c r="BA271" s="28"/>
      <c r="BB271" s="28"/>
      <c r="BC271" s="28"/>
      <c r="BD271" s="28"/>
      <c r="BE271" s="28"/>
    </row>
    <row r="272" spans="1:57" ht="14.25" customHeight="1" x14ac:dyDescent="0.2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  <c r="AV272" s="28"/>
      <c r="AW272" s="28"/>
      <c r="AX272" s="28"/>
      <c r="AY272" s="28"/>
      <c r="AZ272" s="28"/>
      <c r="BA272" s="28"/>
      <c r="BB272" s="28"/>
      <c r="BC272" s="28"/>
      <c r="BD272" s="28"/>
      <c r="BE272" s="28"/>
    </row>
    <row r="273" spans="1:57" ht="14.25" customHeight="1" x14ac:dyDescent="0.2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  <c r="AV273" s="28"/>
      <c r="AW273" s="28"/>
      <c r="AX273" s="28"/>
      <c r="AY273" s="28"/>
      <c r="AZ273" s="28"/>
      <c r="BA273" s="28"/>
      <c r="BB273" s="28"/>
      <c r="BC273" s="28"/>
      <c r="BD273" s="28"/>
      <c r="BE273" s="28"/>
    </row>
    <row r="274" spans="1:57" ht="14.25" customHeight="1" x14ac:dyDescent="0.2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  <c r="AV274" s="28"/>
      <c r="AW274" s="28"/>
      <c r="AX274" s="28"/>
      <c r="AY274" s="28"/>
      <c r="AZ274" s="28"/>
      <c r="BA274" s="28"/>
      <c r="BB274" s="28"/>
      <c r="BC274" s="28"/>
      <c r="BD274" s="28"/>
      <c r="BE274" s="28"/>
    </row>
    <row r="275" spans="1:57" ht="14.25" customHeight="1" x14ac:dyDescent="0.2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  <c r="AV275" s="28"/>
      <c r="AW275" s="28"/>
      <c r="AX275" s="28"/>
      <c r="AY275" s="28"/>
      <c r="AZ275" s="28"/>
      <c r="BA275" s="28"/>
      <c r="BB275" s="28"/>
      <c r="BC275" s="28"/>
      <c r="BD275" s="28"/>
      <c r="BE275" s="28"/>
    </row>
    <row r="276" spans="1:57" ht="14.25" customHeight="1" x14ac:dyDescent="0.2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  <c r="AV276" s="28"/>
      <c r="AW276" s="28"/>
      <c r="AX276" s="28"/>
      <c r="AY276" s="28"/>
      <c r="AZ276" s="28"/>
      <c r="BA276" s="28"/>
      <c r="BB276" s="28"/>
      <c r="BC276" s="28"/>
      <c r="BD276" s="28"/>
      <c r="BE276" s="28"/>
    </row>
    <row r="277" spans="1:57" ht="14.25" customHeight="1" x14ac:dyDescent="0.2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  <c r="AV277" s="28"/>
      <c r="AW277" s="28"/>
      <c r="AX277" s="28"/>
      <c r="AY277" s="28"/>
      <c r="AZ277" s="28"/>
      <c r="BA277" s="28"/>
      <c r="BB277" s="28"/>
      <c r="BC277" s="28"/>
      <c r="BD277" s="28"/>
      <c r="BE277" s="28"/>
    </row>
    <row r="278" spans="1:57" ht="14.25" customHeight="1" x14ac:dyDescent="0.2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  <c r="AV278" s="28"/>
      <c r="AW278" s="28"/>
      <c r="AX278" s="28"/>
      <c r="AY278" s="28"/>
      <c r="AZ278" s="28"/>
      <c r="BA278" s="28"/>
      <c r="BB278" s="28"/>
      <c r="BC278" s="28"/>
      <c r="BD278" s="28"/>
      <c r="BE278" s="28"/>
    </row>
    <row r="279" spans="1:57" ht="14.25" customHeight="1" x14ac:dyDescent="0.2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  <c r="AV279" s="28"/>
      <c r="AW279" s="28"/>
      <c r="AX279" s="28"/>
      <c r="AY279" s="28"/>
      <c r="AZ279" s="28"/>
      <c r="BA279" s="28"/>
      <c r="BB279" s="28"/>
      <c r="BC279" s="28"/>
      <c r="BD279" s="28"/>
      <c r="BE279" s="28"/>
    </row>
    <row r="280" spans="1:57" ht="14.25" customHeight="1" x14ac:dyDescent="0.2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  <c r="AV280" s="28"/>
      <c r="AW280" s="28"/>
      <c r="AX280" s="28"/>
      <c r="AY280" s="28"/>
      <c r="AZ280" s="28"/>
      <c r="BA280" s="28"/>
      <c r="BB280" s="28"/>
      <c r="BC280" s="28"/>
      <c r="BD280" s="28"/>
      <c r="BE280" s="28"/>
    </row>
    <row r="281" spans="1:57" ht="14.25" customHeight="1" x14ac:dyDescent="0.2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  <c r="AV281" s="28"/>
      <c r="AW281" s="28"/>
      <c r="AX281" s="28"/>
      <c r="AY281" s="28"/>
      <c r="AZ281" s="28"/>
      <c r="BA281" s="28"/>
      <c r="BB281" s="28"/>
      <c r="BC281" s="28"/>
      <c r="BD281" s="28"/>
      <c r="BE281" s="28"/>
    </row>
    <row r="282" spans="1:57" ht="14.25" customHeight="1" x14ac:dyDescent="0.2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  <c r="AV282" s="28"/>
      <c r="AW282" s="28"/>
      <c r="AX282" s="28"/>
      <c r="AY282" s="28"/>
      <c r="AZ282" s="28"/>
      <c r="BA282" s="28"/>
      <c r="BB282" s="28"/>
      <c r="BC282" s="28"/>
      <c r="BD282" s="28"/>
      <c r="BE282" s="28"/>
    </row>
    <row r="283" spans="1:57" ht="14.25" customHeight="1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/>
      <c r="BB283" s="28"/>
      <c r="BC283" s="28"/>
      <c r="BD283" s="28"/>
      <c r="BE283" s="28"/>
    </row>
    <row r="284" spans="1:57" ht="14.25" customHeight="1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  <c r="AV284" s="28"/>
      <c r="AW284" s="28"/>
      <c r="AX284" s="28"/>
      <c r="AY284" s="28"/>
      <c r="AZ284" s="28"/>
      <c r="BA284" s="28"/>
      <c r="BB284" s="28"/>
      <c r="BC284" s="28"/>
      <c r="BD284" s="28"/>
      <c r="BE284" s="28"/>
    </row>
    <row r="285" spans="1:57" ht="14.25" customHeight="1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  <c r="AV285" s="28"/>
      <c r="AW285" s="28"/>
      <c r="AX285" s="28"/>
      <c r="AY285" s="28"/>
      <c r="AZ285" s="28"/>
      <c r="BA285" s="28"/>
      <c r="BB285" s="28"/>
      <c r="BC285" s="28"/>
      <c r="BD285" s="28"/>
      <c r="BE285" s="28"/>
    </row>
    <row r="286" spans="1:57" ht="14.25" customHeight="1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  <c r="AV286" s="28"/>
      <c r="AW286" s="28"/>
      <c r="AX286" s="28"/>
      <c r="AY286" s="28"/>
      <c r="AZ286" s="28"/>
      <c r="BA286" s="28"/>
      <c r="BB286" s="28"/>
      <c r="BC286" s="28"/>
      <c r="BD286" s="28"/>
      <c r="BE286" s="28"/>
    </row>
    <row r="287" spans="1:57" ht="14.25" customHeight="1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  <c r="AV287" s="28"/>
      <c r="AW287" s="28"/>
      <c r="AX287" s="28"/>
      <c r="AY287" s="28"/>
      <c r="AZ287" s="28"/>
      <c r="BA287" s="28"/>
      <c r="BB287" s="28"/>
      <c r="BC287" s="28"/>
      <c r="BD287" s="28"/>
      <c r="BE287" s="28"/>
    </row>
    <row r="288" spans="1:57" ht="14.25" customHeight="1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  <c r="AV288" s="28"/>
      <c r="AW288" s="28"/>
      <c r="AX288" s="28"/>
      <c r="AY288" s="28"/>
      <c r="AZ288" s="28"/>
      <c r="BA288" s="28"/>
      <c r="BB288" s="28"/>
      <c r="BC288" s="28"/>
      <c r="BD288" s="28"/>
      <c r="BE288" s="28"/>
    </row>
    <row r="289" spans="1:57" ht="14.25" customHeight="1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  <c r="AV289" s="28"/>
      <c r="AW289" s="28"/>
      <c r="AX289" s="28"/>
      <c r="AY289" s="28"/>
      <c r="AZ289" s="28"/>
      <c r="BA289" s="28"/>
      <c r="BB289" s="28"/>
      <c r="BC289" s="28"/>
      <c r="BD289" s="28"/>
      <c r="BE289" s="28"/>
    </row>
    <row r="290" spans="1:57" ht="14.25" customHeight="1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  <c r="AV290" s="28"/>
      <c r="AW290" s="28"/>
      <c r="AX290" s="28"/>
      <c r="AY290" s="28"/>
      <c r="AZ290" s="28"/>
      <c r="BA290" s="28"/>
      <c r="BB290" s="28"/>
      <c r="BC290" s="28"/>
      <c r="BD290" s="28"/>
      <c r="BE290" s="28"/>
    </row>
    <row r="291" spans="1:57" ht="14.25" customHeight="1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  <c r="AV291" s="28"/>
      <c r="AW291" s="28"/>
      <c r="AX291" s="28"/>
      <c r="AY291" s="28"/>
      <c r="AZ291" s="28"/>
      <c r="BA291" s="28"/>
      <c r="BB291" s="28"/>
      <c r="BC291" s="28"/>
      <c r="BD291" s="28"/>
      <c r="BE291" s="28"/>
    </row>
    <row r="292" spans="1:57" ht="14.25" customHeight="1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  <c r="AV292" s="28"/>
      <c r="AW292" s="28"/>
      <c r="AX292" s="28"/>
      <c r="AY292" s="28"/>
      <c r="AZ292" s="28"/>
      <c r="BA292" s="28"/>
      <c r="BB292" s="28"/>
      <c r="BC292" s="28"/>
      <c r="BD292" s="28"/>
      <c r="BE292" s="28"/>
    </row>
    <row r="293" spans="1:57" ht="14.25" customHeight="1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  <c r="AV293" s="28"/>
      <c r="AW293" s="28"/>
      <c r="AX293" s="28"/>
      <c r="AY293" s="28"/>
      <c r="AZ293" s="28"/>
      <c r="BA293" s="28"/>
      <c r="BB293" s="28"/>
      <c r="BC293" s="28"/>
      <c r="BD293" s="28"/>
      <c r="BE293" s="28"/>
    </row>
    <row r="294" spans="1:57" ht="14.25" customHeight="1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  <c r="AV294" s="28"/>
      <c r="AW294" s="28"/>
      <c r="AX294" s="28"/>
      <c r="AY294" s="28"/>
      <c r="AZ294" s="28"/>
      <c r="BA294" s="28"/>
      <c r="BB294" s="28"/>
      <c r="BC294" s="28"/>
      <c r="BD294" s="28"/>
      <c r="BE294" s="28"/>
    </row>
    <row r="295" spans="1:57" ht="14.25" customHeight="1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  <c r="AV295" s="28"/>
      <c r="AW295" s="28"/>
      <c r="AX295" s="28"/>
      <c r="AY295" s="28"/>
      <c r="AZ295" s="28"/>
      <c r="BA295" s="28"/>
      <c r="BB295" s="28"/>
      <c r="BC295" s="28"/>
      <c r="BD295" s="28"/>
      <c r="BE295" s="28"/>
    </row>
    <row r="296" spans="1:57" ht="14.25" customHeight="1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  <c r="AV296" s="28"/>
      <c r="AW296" s="28"/>
      <c r="AX296" s="28"/>
      <c r="AY296" s="28"/>
      <c r="AZ296" s="28"/>
      <c r="BA296" s="28"/>
      <c r="BB296" s="28"/>
      <c r="BC296" s="28"/>
      <c r="BD296" s="28"/>
      <c r="BE296" s="28"/>
    </row>
    <row r="297" spans="1:57" ht="14.25" customHeight="1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  <c r="AV297" s="28"/>
      <c r="AW297" s="28"/>
      <c r="AX297" s="28"/>
      <c r="AY297" s="28"/>
      <c r="AZ297" s="28"/>
      <c r="BA297" s="28"/>
      <c r="BB297" s="28"/>
      <c r="BC297" s="28"/>
      <c r="BD297" s="28"/>
      <c r="BE297" s="28"/>
    </row>
    <row r="298" spans="1:57" ht="14.25" customHeight="1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  <c r="AV298" s="28"/>
      <c r="AW298" s="28"/>
      <c r="AX298" s="28"/>
      <c r="AY298" s="28"/>
      <c r="AZ298" s="28"/>
      <c r="BA298" s="28"/>
      <c r="BB298" s="28"/>
      <c r="BC298" s="28"/>
      <c r="BD298" s="28"/>
      <c r="BE298" s="28"/>
    </row>
    <row r="299" spans="1:57" ht="14.25" customHeight="1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  <c r="AV299" s="28"/>
      <c r="AW299" s="28"/>
      <c r="AX299" s="28"/>
      <c r="AY299" s="28"/>
      <c r="AZ299" s="28"/>
      <c r="BA299" s="28"/>
      <c r="BB299" s="28"/>
      <c r="BC299" s="28"/>
      <c r="BD299" s="28"/>
      <c r="BE299" s="28"/>
    </row>
    <row r="300" spans="1:57" ht="14.25" customHeight="1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  <c r="AV300" s="28"/>
      <c r="AW300" s="28"/>
      <c r="AX300" s="28"/>
      <c r="AY300" s="28"/>
      <c r="AZ300" s="28"/>
      <c r="BA300" s="28"/>
      <c r="BB300" s="28"/>
      <c r="BC300" s="28"/>
      <c r="BD300" s="28"/>
      <c r="BE300" s="28"/>
    </row>
    <row r="301" spans="1:57" ht="14.25" customHeight="1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  <c r="AV301" s="28"/>
      <c r="AW301" s="28"/>
      <c r="AX301" s="28"/>
      <c r="AY301" s="28"/>
      <c r="AZ301" s="28"/>
      <c r="BA301" s="28"/>
      <c r="BB301" s="28"/>
      <c r="BC301" s="28"/>
      <c r="BD301" s="28"/>
      <c r="BE301" s="28"/>
    </row>
    <row r="302" spans="1:57" ht="14.25" customHeight="1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  <c r="AV302" s="28"/>
      <c r="AW302" s="28"/>
      <c r="AX302" s="28"/>
      <c r="AY302" s="28"/>
      <c r="AZ302" s="28"/>
      <c r="BA302" s="28"/>
      <c r="BB302" s="28"/>
      <c r="BC302" s="28"/>
      <c r="BD302" s="28"/>
      <c r="BE302" s="28"/>
    </row>
    <row r="303" spans="1:57" ht="14.25" customHeight="1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  <c r="AV303" s="28"/>
      <c r="AW303" s="28"/>
      <c r="AX303" s="28"/>
      <c r="AY303" s="28"/>
      <c r="AZ303" s="28"/>
      <c r="BA303" s="28"/>
      <c r="BB303" s="28"/>
      <c r="BC303" s="28"/>
      <c r="BD303" s="28"/>
      <c r="BE303" s="28"/>
    </row>
    <row r="304" spans="1:57" ht="14.25" customHeight="1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  <c r="AV304" s="28"/>
      <c r="AW304" s="28"/>
      <c r="AX304" s="28"/>
      <c r="AY304" s="28"/>
      <c r="AZ304" s="28"/>
      <c r="BA304" s="28"/>
      <c r="BB304" s="28"/>
      <c r="BC304" s="28"/>
      <c r="BD304" s="28"/>
      <c r="BE304" s="28"/>
    </row>
    <row r="305" spans="1:57" ht="14.25" customHeight="1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  <c r="AV305" s="28"/>
      <c r="AW305" s="28"/>
      <c r="AX305" s="28"/>
      <c r="AY305" s="28"/>
      <c r="AZ305" s="28"/>
      <c r="BA305" s="28"/>
      <c r="BB305" s="28"/>
      <c r="BC305" s="28"/>
      <c r="BD305" s="28"/>
      <c r="BE305" s="28"/>
    </row>
    <row r="306" spans="1:57" ht="14.25" customHeight="1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  <c r="AV306" s="28"/>
      <c r="AW306" s="28"/>
      <c r="AX306" s="28"/>
      <c r="AY306" s="28"/>
      <c r="AZ306" s="28"/>
      <c r="BA306" s="28"/>
      <c r="BB306" s="28"/>
      <c r="BC306" s="28"/>
      <c r="BD306" s="28"/>
      <c r="BE306" s="28"/>
    </row>
    <row r="307" spans="1:57" ht="14.25" customHeight="1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  <c r="AV307" s="28"/>
      <c r="AW307" s="28"/>
      <c r="AX307" s="28"/>
      <c r="AY307" s="28"/>
      <c r="AZ307" s="28"/>
      <c r="BA307" s="28"/>
      <c r="BB307" s="28"/>
      <c r="BC307" s="28"/>
      <c r="BD307" s="28"/>
      <c r="BE307" s="28"/>
    </row>
    <row r="308" spans="1:57" ht="14.25" customHeight="1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  <c r="AV308" s="28"/>
      <c r="AW308" s="28"/>
      <c r="AX308" s="28"/>
      <c r="AY308" s="28"/>
      <c r="AZ308" s="28"/>
      <c r="BA308" s="28"/>
      <c r="BB308" s="28"/>
      <c r="BC308" s="28"/>
      <c r="BD308" s="28"/>
      <c r="BE308" s="28"/>
    </row>
    <row r="309" spans="1:57" ht="14.25" customHeight="1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  <c r="AV309" s="28"/>
      <c r="AW309" s="28"/>
      <c r="AX309" s="28"/>
      <c r="AY309" s="28"/>
      <c r="AZ309" s="28"/>
      <c r="BA309" s="28"/>
      <c r="BB309" s="28"/>
      <c r="BC309" s="28"/>
      <c r="BD309" s="28"/>
      <c r="BE309" s="28"/>
    </row>
    <row r="310" spans="1:57" ht="14.25" customHeight="1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  <c r="AV310" s="28"/>
      <c r="AW310" s="28"/>
      <c r="AX310" s="28"/>
      <c r="AY310" s="28"/>
      <c r="AZ310" s="28"/>
      <c r="BA310" s="28"/>
      <c r="BB310" s="28"/>
      <c r="BC310" s="28"/>
      <c r="BD310" s="28"/>
      <c r="BE310" s="28"/>
    </row>
    <row r="311" spans="1:57" ht="14.25" customHeight="1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  <c r="AV311" s="28"/>
      <c r="AW311" s="28"/>
      <c r="AX311" s="28"/>
      <c r="AY311" s="28"/>
      <c r="AZ311" s="28"/>
      <c r="BA311" s="28"/>
      <c r="BB311" s="28"/>
      <c r="BC311" s="28"/>
      <c r="BD311" s="28"/>
      <c r="BE311" s="28"/>
    </row>
    <row r="312" spans="1:57" ht="14.25" customHeight="1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  <c r="AV312" s="28"/>
      <c r="AW312" s="28"/>
      <c r="AX312" s="28"/>
      <c r="AY312" s="28"/>
      <c r="AZ312" s="28"/>
      <c r="BA312" s="28"/>
      <c r="BB312" s="28"/>
      <c r="BC312" s="28"/>
      <c r="BD312" s="28"/>
      <c r="BE312" s="28"/>
    </row>
    <row r="313" spans="1:57" ht="14.25" customHeight="1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  <c r="AV313" s="28"/>
      <c r="AW313" s="28"/>
      <c r="AX313" s="28"/>
      <c r="AY313" s="28"/>
      <c r="AZ313" s="28"/>
      <c r="BA313" s="28"/>
      <c r="BB313" s="28"/>
      <c r="BC313" s="28"/>
      <c r="BD313" s="28"/>
      <c r="BE313" s="28"/>
    </row>
    <row r="314" spans="1:57" ht="14.25" customHeight="1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  <c r="AV314" s="28"/>
      <c r="AW314" s="28"/>
      <c r="AX314" s="28"/>
      <c r="AY314" s="28"/>
      <c r="AZ314" s="28"/>
      <c r="BA314" s="28"/>
      <c r="BB314" s="28"/>
      <c r="BC314" s="28"/>
      <c r="BD314" s="28"/>
      <c r="BE314" s="28"/>
    </row>
    <row r="315" spans="1:57" ht="14.25" customHeight="1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  <c r="AV315" s="28"/>
      <c r="AW315" s="28"/>
      <c r="AX315" s="28"/>
      <c r="AY315" s="28"/>
      <c r="AZ315" s="28"/>
      <c r="BA315" s="28"/>
      <c r="BB315" s="28"/>
      <c r="BC315" s="28"/>
      <c r="BD315" s="28"/>
      <c r="BE315" s="28"/>
    </row>
    <row r="316" spans="1:57" ht="14.25" customHeight="1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  <c r="AV316" s="28"/>
      <c r="AW316" s="28"/>
      <c r="AX316" s="28"/>
      <c r="AY316" s="28"/>
      <c r="AZ316" s="28"/>
      <c r="BA316" s="28"/>
      <c r="BB316" s="28"/>
      <c r="BC316" s="28"/>
      <c r="BD316" s="28"/>
      <c r="BE316" s="28"/>
    </row>
    <row r="317" spans="1:57" ht="14.25" customHeight="1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  <c r="AV317" s="28"/>
      <c r="AW317" s="28"/>
      <c r="AX317" s="28"/>
      <c r="AY317" s="28"/>
      <c r="AZ317" s="28"/>
      <c r="BA317" s="28"/>
      <c r="BB317" s="28"/>
      <c r="BC317" s="28"/>
      <c r="BD317" s="28"/>
      <c r="BE317" s="28"/>
    </row>
    <row r="318" spans="1:57" ht="14.25" customHeight="1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  <c r="AV318" s="28"/>
      <c r="AW318" s="28"/>
      <c r="AX318" s="28"/>
      <c r="AY318" s="28"/>
      <c r="AZ318" s="28"/>
      <c r="BA318" s="28"/>
      <c r="BB318" s="28"/>
      <c r="BC318" s="28"/>
      <c r="BD318" s="28"/>
      <c r="BE318" s="28"/>
    </row>
    <row r="319" spans="1:57" ht="14.25" customHeight="1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  <c r="AV319" s="28"/>
      <c r="AW319" s="28"/>
      <c r="AX319" s="28"/>
      <c r="AY319" s="28"/>
      <c r="AZ319" s="28"/>
      <c r="BA319" s="28"/>
      <c r="BB319" s="28"/>
      <c r="BC319" s="28"/>
      <c r="BD319" s="28"/>
      <c r="BE319" s="28"/>
    </row>
    <row r="320" spans="1:57" ht="14.25" customHeight="1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  <c r="AV320" s="28"/>
      <c r="AW320" s="28"/>
      <c r="AX320" s="28"/>
      <c r="AY320" s="28"/>
      <c r="AZ320" s="28"/>
      <c r="BA320" s="28"/>
      <c r="BB320" s="28"/>
      <c r="BC320" s="28"/>
      <c r="BD320" s="28"/>
      <c r="BE320" s="28"/>
    </row>
    <row r="321" spans="1:57" ht="14.25" customHeight="1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  <c r="AV321" s="28"/>
      <c r="AW321" s="28"/>
      <c r="AX321" s="28"/>
      <c r="AY321" s="28"/>
      <c r="AZ321" s="28"/>
      <c r="BA321" s="28"/>
      <c r="BB321" s="28"/>
      <c r="BC321" s="28"/>
      <c r="BD321" s="28"/>
      <c r="BE321" s="28"/>
    </row>
    <row r="322" spans="1:57" ht="14.25" customHeight="1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  <c r="AV322" s="28"/>
      <c r="AW322" s="28"/>
      <c r="AX322" s="28"/>
      <c r="AY322" s="28"/>
      <c r="AZ322" s="28"/>
      <c r="BA322" s="28"/>
      <c r="BB322" s="28"/>
      <c r="BC322" s="28"/>
      <c r="BD322" s="28"/>
      <c r="BE322" s="28"/>
    </row>
    <row r="323" spans="1:57" ht="14.25" customHeight="1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  <c r="AV323" s="28"/>
      <c r="AW323" s="28"/>
      <c r="AX323" s="28"/>
      <c r="AY323" s="28"/>
      <c r="AZ323" s="28"/>
      <c r="BA323" s="28"/>
      <c r="BB323" s="28"/>
      <c r="BC323" s="28"/>
      <c r="BD323" s="28"/>
      <c r="BE323" s="28"/>
    </row>
    <row r="324" spans="1:57" ht="14.25" customHeight="1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  <c r="AV324" s="28"/>
      <c r="AW324" s="28"/>
      <c r="AX324" s="28"/>
      <c r="AY324" s="28"/>
      <c r="AZ324" s="28"/>
      <c r="BA324" s="28"/>
      <c r="BB324" s="28"/>
      <c r="BC324" s="28"/>
      <c r="BD324" s="28"/>
      <c r="BE324" s="28"/>
    </row>
    <row r="325" spans="1:57" ht="14.25" customHeight="1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  <c r="AV325" s="28"/>
      <c r="AW325" s="28"/>
      <c r="AX325" s="28"/>
      <c r="AY325" s="28"/>
      <c r="AZ325" s="28"/>
      <c r="BA325" s="28"/>
      <c r="BB325" s="28"/>
      <c r="BC325" s="28"/>
      <c r="BD325" s="28"/>
      <c r="BE325" s="28"/>
    </row>
    <row r="326" spans="1:57" ht="14.25" customHeight="1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  <c r="AV326" s="28"/>
      <c r="AW326" s="28"/>
      <c r="AX326" s="28"/>
      <c r="AY326" s="28"/>
      <c r="AZ326" s="28"/>
      <c r="BA326" s="28"/>
      <c r="BB326" s="28"/>
      <c r="BC326" s="28"/>
      <c r="BD326" s="28"/>
      <c r="BE326" s="28"/>
    </row>
    <row r="327" spans="1:57" ht="14.25" customHeight="1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  <c r="AV327" s="28"/>
      <c r="AW327" s="28"/>
      <c r="AX327" s="28"/>
      <c r="AY327" s="28"/>
      <c r="AZ327" s="28"/>
      <c r="BA327" s="28"/>
      <c r="BB327" s="28"/>
      <c r="BC327" s="28"/>
      <c r="BD327" s="28"/>
      <c r="BE327" s="28"/>
    </row>
    <row r="328" spans="1:57" ht="14.25" customHeight="1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  <c r="AV328" s="28"/>
      <c r="AW328" s="28"/>
      <c r="AX328" s="28"/>
      <c r="AY328" s="28"/>
      <c r="AZ328" s="28"/>
      <c r="BA328" s="28"/>
      <c r="BB328" s="28"/>
      <c r="BC328" s="28"/>
      <c r="BD328" s="28"/>
      <c r="BE328" s="28"/>
    </row>
    <row r="329" spans="1:57" ht="14.25" customHeight="1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  <c r="AV329" s="28"/>
      <c r="AW329" s="28"/>
      <c r="AX329" s="28"/>
      <c r="AY329" s="28"/>
      <c r="AZ329" s="28"/>
      <c r="BA329" s="28"/>
      <c r="BB329" s="28"/>
      <c r="BC329" s="28"/>
      <c r="BD329" s="28"/>
      <c r="BE329" s="28"/>
    </row>
    <row r="330" spans="1:57" ht="14.25" customHeight="1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  <c r="AV330" s="28"/>
      <c r="AW330" s="28"/>
      <c r="AX330" s="28"/>
      <c r="AY330" s="28"/>
      <c r="AZ330" s="28"/>
      <c r="BA330" s="28"/>
      <c r="BB330" s="28"/>
      <c r="BC330" s="28"/>
      <c r="BD330" s="28"/>
      <c r="BE330" s="28"/>
    </row>
    <row r="331" spans="1:57" ht="14.25" customHeight="1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  <c r="AV331" s="28"/>
      <c r="AW331" s="28"/>
      <c r="AX331" s="28"/>
      <c r="AY331" s="28"/>
      <c r="AZ331" s="28"/>
      <c r="BA331" s="28"/>
      <c r="BB331" s="28"/>
      <c r="BC331" s="28"/>
      <c r="BD331" s="28"/>
      <c r="BE331" s="28"/>
    </row>
    <row r="332" spans="1:57" ht="14.25" customHeight="1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  <c r="AV332" s="28"/>
      <c r="AW332" s="28"/>
      <c r="AX332" s="28"/>
      <c r="AY332" s="28"/>
      <c r="AZ332" s="28"/>
      <c r="BA332" s="28"/>
      <c r="BB332" s="28"/>
      <c r="BC332" s="28"/>
      <c r="BD332" s="28"/>
      <c r="BE332" s="28"/>
    </row>
    <row r="333" spans="1:57" ht="14.25" customHeight="1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  <c r="AV333" s="28"/>
      <c r="AW333" s="28"/>
      <c r="AX333" s="28"/>
      <c r="AY333" s="28"/>
      <c r="AZ333" s="28"/>
      <c r="BA333" s="28"/>
      <c r="BB333" s="28"/>
      <c r="BC333" s="28"/>
      <c r="BD333" s="28"/>
      <c r="BE333" s="28"/>
    </row>
    <row r="334" spans="1:57" ht="14.25" customHeight="1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  <c r="AV334" s="28"/>
      <c r="AW334" s="28"/>
      <c r="AX334" s="28"/>
      <c r="AY334" s="28"/>
      <c r="AZ334" s="28"/>
      <c r="BA334" s="28"/>
      <c r="BB334" s="28"/>
      <c r="BC334" s="28"/>
      <c r="BD334" s="28"/>
      <c r="BE334" s="28"/>
    </row>
    <row r="335" spans="1:57" ht="14.25" customHeight="1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  <c r="AV335" s="28"/>
      <c r="AW335" s="28"/>
      <c r="AX335" s="28"/>
      <c r="AY335" s="28"/>
      <c r="AZ335" s="28"/>
      <c r="BA335" s="28"/>
      <c r="BB335" s="28"/>
      <c r="BC335" s="28"/>
      <c r="BD335" s="28"/>
      <c r="BE335" s="28"/>
    </row>
    <row r="336" spans="1:57" ht="14.25" customHeight="1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  <c r="AV336" s="28"/>
      <c r="AW336" s="28"/>
      <c r="AX336" s="28"/>
      <c r="AY336" s="28"/>
      <c r="AZ336" s="28"/>
      <c r="BA336" s="28"/>
      <c r="BB336" s="28"/>
      <c r="BC336" s="28"/>
      <c r="BD336" s="28"/>
      <c r="BE336" s="28"/>
    </row>
    <row r="337" spans="1:57" ht="14.25" customHeight="1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  <c r="AV337" s="28"/>
      <c r="AW337" s="28"/>
      <c r="AX337" s="28"/>
      <c r="AY337" s="28"/>
      <c r="AZ337" s="28"/>
      <c r="BA337" s="28"/>
      <c r="BB337" s="28"/>
      <c r="BC337" s="28"/>
      <c r="BD337" s="28"/>
      <c r="BE337" s="28"/>
    </row>
    <row r="338" spans="1:57" ht="14.25" customHeight="1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  <c r="AV338" s="28"/>
      <c r="AW338" s="28"/>
      <c r="AX338" s="28"/>
      <c r="AY338" s="28"/>
      <c r="AZ338" s="28"/>
      <c r="BA338" s="28"/>
      <c r="BB338" s="28"/>
      <c r="BC338" s="28"/>
      <c r="BD338" s="28"/>
      <c r="BE338" s="28"/>
    </row>
    <row r="339" spans="1:57" ht="14.25" customHeight="1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  <c r="AV339" s="28"/>
      <c r="AW339" s="28"/>
      <c r="AX339" s="28"/>
      <c r="AY339" s="28"/>
      <c r="AZ339" s="28"/>
      <c r="BA339" s="28"/>
      <c r="BB339" s="28"/>
      <c r="BC339" s="28"/>
      <c r="BD339" s="28"/>
      <c r="BE339" s="28"/>
    </row>
    <row r="340" spans="1:57" ht="14.25" customHeight="1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  <c r="AV340" s="28"/>
      <c r="AW340" s="28"/>
      <c r="AX340" s="28"/>
      <c r="AY340" s="28"/>
      <c r="AZ340" s="28"/>
      <c r="BA340" s="28"/>
      <c r="BB340" s="28"/>
      <c r="BC340" s="28"/>
      <c r="BD340" s="28"/>
      <c r="BE340" s="28"/>
    </row>
    <row r="341" spans="1:57" ht="14.25" customHeight="1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  <c r="AV341" s="28"/>
      <c r="AW341" s="28"/>
      <c r="AX341" s="28"/>
      <c r="AY341" s="28"/>
      <c r="AZ341" s="28"/>
      <c r="BA341" s="28"/>
      <c r="BB341" s="28"/>
      <c r="BC341" s="28"/>
      <c r="BD341" s="28"/>
      <c r="BE341" s="28"/>
    </row>
    <row r="342" spans="1:57" ht="14.25" customHeight="1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  <c r="AV342" s="28"/>
      <c r="AW342" s="28"/>
      <c r="AX342" s="28"/>
      <c r="AY342" s="28"/>
      <c r="AZ342" s="28"/>
      <c r="BA342" s="28"/>
      <c r="BB342" s="28"/>
      <c r="BC342" s="28"/>
      <c r="BD342" s="28"/>
      <c r="BE342" s="28"/>
    </row>
    <row r="343" spans="1:57" ht="14.25" customHeight="1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  <c r="AV343" s="28"/>
      <c r="AW343" s="28"/>
      <c r="AX343" s="28"/>
      <c r="AY343" s="28"/>
      <c r="AZ343" s="28"/>
      <c r="BA343" s="28"/>
      <c r="BB343" s="28"/>
      <c r="BC343" s="28"/>
      <c r="BD343" s="28"/>
      <c r="BE343" s="28"/>
    </row>
    <row r="344" spans="1:57" ht="14.25" customHeight="1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  <c r="AV344" s="28"/>
      <c r="AW344" s="28"/>
      <c r="AX344" s="28"/>
      <c r="AY344" s="28"/>
      <c r="AZ344" s="28"/>
      <c r="BA344" s="28"/>
      <c r="BB344" s="28"/>
      <c r="BC344" s="28"/>
      <c r="BD344" s="28"/>
      <c r="BE344" s="28"/>
    </row>
    <row r="345" spans="1:57" ht="14.25" customHeight="1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  <c r="AV345" s="28"/>
      <c r="AW345" s="28"/>
      <c r="AX345" s="28"/>
      <c r="AY345" s="28"/>
      <c r="AZ345" s="28"/>
      <c r="BA345" s="28"/>
      <c r="BB345" s="28"/>
      <c r="BC345" s="28"/>
      <c r="BD345" s="28"/>
      <c r="BE345" s="28"/>
    </row>
    <row r="346" spans="1:57" ht="14.25" customHeight="1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  <c r="AV346" s="28"/>
      <c r="AW346" s="28"/>
      <c r="AX346" s="28"/>
      <c r="AY346" s="28"/>
      <c r="AZ346" s="28"/>
      <c r="BA346" s="28"/>
      <c r="BB346" s="28"/>
      <c r="BC346" s="28"/>
      <c r="BD346" s="28"/>
      <c r="BE346" s="28"/>
    </row>
    <row r="347" spans="1:57" ht="14.25" customHeight="1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</row>
    <row r="348" spans="1:57" ht="14.25" customHeight="1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</row>
    <row r="349" spans="1:57" ht="14.25" customHeight="1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</row>
    <row r="350" spans="1:57" ht="14.25" customHeight="1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</row>
    <row r="351" spans="1:57" ht="14.25" customHeight="1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</row>
    <row r="352" spans="1:57" ht="14.25" customHeight="1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</row>
    <row r="353" spans="1:57" ht="14.25" customHeight="1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  <c r="AV353" s="28"/>
      <c r="AW353" s="28"/>
      <c r="AX353" s="28"/>
      <c r="AY353" s="28"/>
      <c r="AZ353" s="28"/>
      <c r="BA353" s="28"/>
      <c r="BB353" s="28"/>
      <c r="BC353" s="28"/>
      <c r="BD353" s="28"/>
      <c r="BE353" s="28"/>
    </row>
    <row r="354" spans="1:57" ht="14.25" customHeight="1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  <c r="AV354" s="28"/>
      <c r="AW354" s="28"/>
      <c r="AX354" s="28"/>
      <c r="AY354" s="28"/>
      <c r="AZ354" s="28"/>
      <c r="BA354" s="28"/>
      <c r="BB354" s="28"/>
      <c r="BC354" s="28"/>
      <c r="BD354" s="28"/>
      <c r="BE354" s="28"/>
    </row>
    <row r="355" spans="1:57" ht="14.25" customHeight="1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</row>
    <row r="356" spans="1:57" ht="14.25" customHeight="1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</row>
    <row r="357" spans="1:57" ht="14.25" customHeight="1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</row>
    <row r="358" spans="1:57" ht="14.25" customHeight="1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</row>
    <row r="359" spans="1:57" ht="14.25" customHeight="1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</row>
    <row r="360" spans="1:57" ht="14.25" customHeight="1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</row>
    <row r="361" spans="1:57" ht="14.25" customHeight="1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</row>
    <row r="362" spans="1:57" ht="14.25" customHeight="1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</row>
    <row r="363" spans="1:57" ht="14.25" customHeight="1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</row>
    <row r="364" spans="1:57" ht="14.25" customHeight="1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</row>
    <row r="365" spans="1:57" ht="14.25" customHeight="1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</row>
    <row r="366" spans="1:57" ht="14.25" customHeight="1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</row>
    <row r="367" spans="1:57" ht="14.25" customHeight="1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</row>
    <row r="368" spans="1:57" ht="14.25" customHeight="1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  <c r="AV368" s="28"/>
      <c r="AW368" s="28"/>
      <c r="AX368" s="28"/>
      <c r="AY368" s="28"/>
      <c r="AZ368" s="28"/>
      <c r="BA368" s="28"/>
      <c r="BB368" s="28"/>
      <c r="BC368" s="28"/>
      <c r="BD368" s="28"/>
      <c r="BE368" s="28"/>
    </row>
    <row r="369" spans="1:57" ht="14.25" customHeight="1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</row>
    <row r="370" spans="1:57" ht="14.25" customHeight="1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</row>
    <row r="371" spans="1:57" ht="14.25" customHeight="1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</row>
    <row r="372" spans="1:57" ht="14.25" customHeight="1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</row>
    <row r="373" spans="1:57" ht="14.25" customHeight="1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</row>
    <row r="374" spans="1:57" ht="14.25" customHeight="1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</row>
    <row r="375" spans="1:57" ht="14.25" customHeight="1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</row>
    <row r="376" spans="1:57" ht="14.25" customHeight="1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</row>
    <row r="377" spans="1:57" ht="14.25" customHeight="1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</row>
    <row r="378" spans="1:57" ht="14.25" customHeight="1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</row>
    <row r="379" spans="1:57" ht="14.25" customHeight="1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</row>
    <row r="380" spans="1:57" ht="14.25" customHeight="1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</row>
    <row r="381" spans="1:57" ht="14.25" customHeight="1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</row>
    <row r="382" spans="1:57" ht="14.25" customHeight="1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</row>
    <row r="383" spans="1:57" ht="14.25" customHeight="1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</row>
    <row r="384" spans="1:57" ht="14.25" customHeight="1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</row>
    <row r="385" spans="1:57" ht="14.25" customHeight="1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</row>
    <row r="386" spans="1:57" ht="14.25" customHeight="1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</row>
    <row r="387" spans="1:57" ht="14.25" customHeight="1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</row>
    <row r="388" spans="1:57" ht="14.25" customHeight="1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  <c r="AV388" s="28"/>
      <c r="AW388" s="28"/>
      <c r="AX388" s="28"/>
      <c r="AY388" s="28"/>
      <c r="AZ388" s="28"/>
      <c r="BA388" s="28"/>
      <c r="BB388" s="28"/>
      <c r="BC388" s="28"/>
      <c r="BD388" s="28"/>
      <c r="BE388" s="28"/>
    </row>
    <row r="389" spans="1:57" ht="14.25" customHeight="1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</row>
    <row r="390" spans="1:57" ht="14.25" customHeight="1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</row>
    <row r="391" spans="1:57" ht="14.25" customHeight="1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</row>
    <row r="392" spans="1:57" ht="14.25" customHeight="1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</row>
    <row r="393" spans="1:57" ht="14.25" customHeight="1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</row>
    <row r="394" spans="1:57" ht="14.25" customHeight="1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  <c r="AV394" s="28"/>
      <c r="AW394" s="28"/>
      <c r="AX394" s="28"/>
      <c r="AY394" s="28"/>
      <c r="AZ394" s="28"/>
      <c r="BA394" s="28"/>
      <c r="BB394" s="28"/>
      <c r="BC394" s="28"/>
      <c r="BD394" s="28"/>
      <c r="BE394" s="28"/>
    </row>
    <row r="395" spans="1:57" ht="14.25" customHeight="1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</row>
    <row r="396" spans="1:57" ht="14.25" customHeight="1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</row>
    <row r="397" spans="1:57" ht="14.25" customHeight="1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</row>
    <row r="398" spans="1:57" ht="14.25" customHeight="1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</row>
    <row r="399" spans="1:57" ht="14.25" customHeight="1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</row>
    <row r="400" spans="1:57" ht="14.25" customHeight="1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</row>
    <row r="401" spans="1:57" ht="14.25" customHeight="1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</row>
    <row r="402" spans="1:57" ht="14.25" customHeight="1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</row>
    <row r="403" spans="1:57" ht="14.25" customHeight="1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</row>
    <row r="404" spans="1:57" ht="14.25" customHeight="1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</row>
    <row r="405" spans="1:57" ht="14.25" customHeight="1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</row>
    <row r="406" spans="1:57" ht="14.25" customHeight="1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</row>
    <row r="407" spans="1:57" ht="14.25" customHeight="1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</row>
    <row r="408" spans="1:57" ht="14.25" customHeight="1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</row>
    <row r="409" spans="1:57" ht="14.25" customHeight="1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</row>
    <row r="410" spans="1:57" ht="14.25" customHeight="1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</row>
    <row r="411" spans="1:57" ht="14.25" customHeight="1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</row>
    <row r="412" spans="1:57" ht="14.25" customHeight="1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</row>
    <row r="413" spans="1:57" ht="14.25" customHeight="1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</row>
    <row r="414" spans="1:57" ht="14.25" customHeight="1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</row>
    <row r="415" spans="1:57" ht="14.25" customHeight="1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</row>
    <row r="416" spans="1:57" ht="14.25" customHeight="1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</row>
    <row r="417" spans="1:57" ht="14.25" customHeight="1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</row>
    <row r="418" spans="1:57" ht="14.25" customHeight="1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</row>
    <row r="419" spans="1:57" ht="14.25" customHeight="1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  <c r="AV419" s="28"/>
      <c r="AW419" s="28"/>
      <c r="AX419" s="28"/>
      <c r="AY419" s="28"/>
      <c r="AZ419" s="28"/>
      <c r="BA419" s="28"/>
      <c r="BB419" s="28"/>
      <c r="BC419" s="28"/>
      <c r="BD419" s="28"/>
      <c r="BE419" s="28"/>
    </row>
    <row r="420" spans="1:57" ht="14.25" customHeight="1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</row>
    <row r="421" spans="1:57" ht="14.25" customHeight="1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</row>
    <row r="422" spans="1:57" ht="14.25" customHeight="1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</row>
    <row r="423" spans="1:57" ht="14.25" customHeight="1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</row>
    <row r="424" spans="1:57" ht="14.25" customHeight="1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</row>
    <row r="425" spans="1:57" ht="14.25" customHeight="1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</row>
    <row r="426" spans="1:57" ht="14.25" customHeight="1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</row>
    <row r="427" spans="1:57" ht="14.25" customHeight="1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</row>
    <row r="428" spans="1:57" ht="14.25" customHeight="1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</row>
    <row r="429" spans="1:57" ht="14.25" customHeight="1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</row>
    <row r="430" spans="1:57" ht="14.25" customHeight="1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  <c r="AV430" s="28"/>
      <c r="AW430" s="28"/>
      <c r="AX430" s="28"/>
      <c r="AY430" s="28"/>
      <c r="AZ430" s="28"/>
      <c r="BA430" s="28"/>
      <c r="BB430" s="28"/>
      <c r="BC430" s="28"/>
      <c r="BD430" s="28"/>
      <c r="BE430" s="28"/>
    </row>
    <row r="431" spans="1:57" ht="14.25" customHeight="1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</row>
    <row r="432" spans="1:57" ht="14.25" customHeight="1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</row>
    <row r="433" spans="1:57" ht="14.25" customHeight="1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</row>
    <row r="434" spans="1:57" ht="14.25" customHeight="1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</row>
    <row r="435" spans="1:57" ht="14.25" customHeight="1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</row>
    <row r="436" spans="1:57" ht="14.25" customHeight="1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</row>
    <row r="437" spans="1:57" ht="14.25" customHeight="1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  <c r="AV437" s="28"/>
      <c r="AW437" s="28"/>
      <c r="AX437" s="28"/>
      <c r="AY437" s="28"/>
      <c r="AZ437" s="28"/>
      <c r="BA437" s="28"/>
      <c r="BB437" s="28"/>
      <c r="BC437" s="28"/>
      <c r="BD437" s="28"/>
      <c r="BE437" s="28"/>
    </row>
    <row r="438" spans="1:57" ht="14.25" customHeight="1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  <c r="AV438" s="28"/>
      <c r="AW438" s="28"/>
      <c r="AX438" s="28"/>
      <c r="AY438" s="28"/>
      <c r="AZ438" s="28"/>
      <c r="BA438" s="28"/>
      <c r="BB438" s="28"/>
      <c r="BC438" s="28"/>
      <c r="BD438" s="28"/>
      <c r="BE438" s="28"/>
    </row>
    <row r="439" spans="1:57" ht="14.25" customHeight="1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  <c r="AV439" s="28"/>
      <c r="AW439" s="28"/>
      <c r="AX439" s="28"/>
      <c r="AY439" s="28"/>
      <c r="AZ439" s="28"/>
      <c r="BA439" s="28"/>
      <c r="BB439" s="28"/>
      <c r="BC439" s="28"/>
      <c r="BD439" s="28"/>
      <c r="BE439" s="28"/>
    </row>
    <row r="440" spans="1:57" ht="14.25" customHeight="1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  <c r="AV440" s="28"/>
      <c r="AW440" s="28"/>
      <c r="AX440" s="28"/>
      <c r="AY440" s="28"/>
      <c r="AZ440" s="28"/>
      <c r="BA440" s="28"/>
      <c r="BB440" s="28"/>
      <c r="BC440" s="28"/>
      <c r="BD440" s="28"/>
      <c r="BE440" s="28"/>
    </row>
    <row r="441" spans="1:57" ht="14.25" customHeight="1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  <c r="AV441" s="28"/>
      <c r="AW441" s="28"/>
      <c r="AX441" s="28"/>
      <c r="AY441" s="28"/>
      <c r="AZ441" s="28"/>
      <c r="BA441" s="28"/>
      <c r="BB441" s="28"/>
      <c r="BC441" s="28"/>
      <c r="BD441" s="28"/>
      <c r="BE441" s="28"/>
    </row>
    <row r="442" spans="1:57" ht="14.25" customHeight="1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  <c r="AV442" s="28"/>
      <c r="AW442" s="28"/>
      <c r="AX442" s="28"/>
      <c r="AY442" s="28"/>
      <c r="AZ442" s="28"/>
      <c r="BA442" s="28"/>
      <c r="BB442" s="28"/>
      <c r="BC442" s="28"/>
      <c r="BD442" s="28"/>
      <c r="BE442" s="28"/>
    </row>
    <row r="443" spans="1:57" ht="14.25" customHeight="1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  <c r="AV443" s="28"/>
      <c r="AW443" s="28"/>
      <c r="AX443" s="28"/>
      <c r="AY443" s="28"/>
      <c r="AZ443" s="28"/>
      <c r="BA443" s="28"/>
      <c r="BB443" s="28"/>
      <c r="BC443" s="28"/>
      <c r="BD443" s="28"/>
      <c r="BE443" s="28"/>
    </row>
    <row r="444" spans="1:57" ht="14.25" customHeight="1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  <c r="AV444" s="28"/>
      <c r="AW444" s="28"/>
      <c r="AX444" s="28"/>
      <c r="AY444" s="28"/>
      <c r="AZ444" s="28"/>
      <c r="BA444" s="28"/>
      <c r="BB444" s="28"/>
      <c r="BC444" s="28"/>
      <c r="BD444" s="28"/>
      <c r="BE444" s="28"/>
    </row>
    <row r="445" spans="1:57" ht="14.25" customHeight="1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  <c r="AV445" s="28"/>
      <c r="AW445" s="28"/>
      <c r="AX445" s="28"/>
      <c r="AY445" s="28"/>
      <c r="AZ445" s="28"/>
      <c r="BA445" s="28"/>
      <c r="BB445" s="28"/>
      <c r="BC445" s="28"/>
      <c r="BD445" s="28"/>
      <c r="BE445" s="28"/>
    </row>
    <row r="446" spans="1:57" ht="14.25" customHeight="1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  <c r="AV446" s="28"/>
      <c r="AW446" s="28"/>
      <c r="AX446" s="28"/>
      <c r="AY446" s="28"/>
      <c r="AZ446" s="28"/>
      <c r="BA446" s="28"/>
      <c r="BB446" s="28"/>
      <c r="BC446" s="28"/>
      <c r="BD446" s="28"/>
      <c r="BE446" s="28"/>
    </row>
    <row r="447" spans="1:57" ht="14.25" customHeight="1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  <c r="AV447" s="28"/>
      <c r="AW447" s="28"/>
      <c r="AX447" s="28"/>
      <c r="AY447" s="28"/>
      <c r="AZ447" s="28"/>
      <c r="BA447" s="28"/>
      <c r="BB447" s="28"/>
      <c r="BC447" s="28"/>
      <c r="BD447" s="28"/>
      <c r="BE447" s="28"/>
    </row>
    <row r="448" spans="1:57" ht="14.25" customHeight="1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  <c r="AV448" s="28"/>
      <c r="AW448" s="28"/>
      <c r="AX448" s="28"/>
      <c r="AY448" s="28"/>
      <c r="AZ448" s="28"/>
      <c r="BA448" s="28"/>
      <c r="BB448" s="28"/>
      <c r="BC448" s="28"/>
      <c r="BD448" s="28"/>
      <c r="BE448" s="28"/>
    </row>
    <row r="449" spans="1:57" ht="14.25" customHeight="1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  <c r="AV449" s="28"/>
      <c r="AW449" s="28"/>
      <c r="AX449" s="28"/>
      <c r="AY449" s="28"/>
      <c r="AZ449" s="28"/>
      <c r="BA449" s="28"/>
      <c r="BB449" s="28"/>
      <c r="BC449" s="28"/>
      <c r="BD449" s="28"/>
      <c r="BE449" s="28"/>
    </row>
    <row r="450" spans="1:57" ht="14.25" customHeight="1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  <c r="AV450" s="28"/>
      <c r="AW450" s="28"/>
      <c r="AX450" s="28"/>
      <c r="AY450" s="28"/>
      <c r="AZ450" s="28"/>
      <c r="BA450" s="28"/>
      <c r="BB450" s="28"/>
      <c r="BC450" s="28"/>
      <c r="BD450" s="28"/>
      <c r="BE450" s="28"/>
    </row>
    <row r="451" spans="1:57" ht="14.25" customHeight="1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  <c r="AV451" s="28"/>
      <c r="AW451" s="28"/>
      <c r="AX451" s="28"/>
      <c r="AY451" s="28"/>
      <c r="AZ451" s="28"/>
      <c r="BA451" s="28"/>
      <c r="BB451" s="28"/>
      <c r="BC451" s="28"/>
      <c r="BD451" s="28"/>
      <c r="BE451" s="28"/>
    </row>
    <row r="452" spans="1:57" ht="14.25" customHeight="1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  <c r="AV452" s="28"/>
      <c r="AW452" s="28"/>
      <c r="AX452" s="28"/>
      <c r="AY452" s="28"/>
      <c r="AZ452" s="28"/>
      <c r="BA452" s="28"/>
      <c r="BB452" s="28"/>
      <c r="BC452" s="28"/>
      <c r="BD452" s="28"/>
      <c r="BE452" s="28"/>
    </row>
    <row r="453" spans="1:57" ht="14.25" customHeight="1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  <c r="AV453" s="28"/>
      <c r="AW453" s="28"/>
      <c r="AX453" s="28"/>
      <c r="AY453" s="28"/>
      <c r="AZ453" s="28"/>
      <c r="BA453" s="28"/>
      <c r="BB453" s="28"/>
      <c r="BC453" s="28"/>
      <c r="BD453" s="28"/>
      <c r="BE453" s="28"/>
    </row>
    <row r="454" spans="1:57" ht="14.25" customHeight="1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  <c r="AV454" s="28"/>
      <c r="AW454" s="28"/>
      <c r="AX454" s="28"/>
      <c r="AY454" s="28"/>
      <c r="AZ454" s="28"/>
      <c r="BA454" s="28"/>
      <c r="BB454" s="28"/>
      <c r="BC454" s="28"/>
      <c r="BD454" s="28"/>
      <c r="BE454" s="28"/>
    </row>
    <row r="455" spans="1:57" ht="14.25" customHeight="1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  <c r="AV455" s="28"/>
      <c r="AW455" s="28"/>
      <c r="AX455" s="28"/>
      <c r="AY455" s="28"/>
      <c r="AZ455" s="28"/>
      <c r="BA455" s="28"/>
      <c r="BB455" s="28"/>
      <c r="BC455" s="28"/>
      <c r="BD455" s="28"/>
      <c r="BE455" s="28"/>
    </row>
    <row r="456" spans="1:57" ht="14.25" customHeight="1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  <c r="AV456" s="28"/>
      <c r="AW456" s="28"/>
      <c r="AX456" s="28"/>
      <c r="AY456" s="28"/>
      <c r="AZ456" s="28"/>
      <c r="BA456" s="28"/>
      <c r="BB456" s="28"/>
      <c r="BC456" s="28"/>
      <c r="BD456" s="28"/>
      <c r="BE456" s="28"/>
    </row>
    <row r="457" spans="1:57" ht="14.25" customHeight="1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  <c r="AV457" s="28"/>
      <c r="AW457" s="28"/>
      <c r="AX457" s="28"/>
      <c r="AY457" s="28"/>
      <c r="AZ457" s="28"/>
      <c r="BA457" s="28"/>
      <c r="BB457" s="28"/>
      <c r="BC457" s="28"/>
      <c r="BD457" s="28"/>
      <c r="BE457" s="28"/>
    </row>
    <row r="458" spans="1:57" ht="14.25" customHeight="1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  <c r="AV458" s="28"/>
      <c r="AW458" s="28"/>
      <c r="AX458" s="28"/>
      <c r="AY458" s="28"/>
      <c r="AZ458" s="28"/>
      <c r="BA458" s="28"/>
      <c r="BB458" s="28"/>
      <c r="BC458" s="28"/>
      <c r="BD458" s="28"/>
      <c r="BE458" s="28"/>
    </row>
    <row r="459" spans="1:57" ht="14.25" customHeight="1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  <c r="AV459" s="28"/>
      <c r="AW459" s="28"/>
      <c r="AX459" s="28"/>
      <c r="AY459" s="28"/>
      <c r="AZ459" s="28"/>
      <c r="BA459" s="28"/>
      <c r="BB459" s="28"/>
      <c r="BC459" s="28"/>
      <c r="BD459" s="28"/>
      <c r="BE459" s="28"/>
    </row>
    <row r="460" spans="1:57" ht="14.25" customHeight="1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  <c r="AV460" s="28"/>
      <c r="AW460" s="28"/>
      <c r="AX460" s="28"/>
      <c r="AY460" s="28"/>
      <c r="AZ460" s="28"/>
      <c r="BA460" s="28"/>
      <c r="BB460" s="28"/>
      <c r="BC460" s="28"/>
      <c r="BD460" s="28"/>
      <c r="BE460" s="28"/>
    </row>
    <row r="461" spans="1:57" ht="14.25" customHeight="1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  <c r="AV461" s="28"/>
      <c r="AW461" s="28"/>
      <c r="AX461" s="28"/>
      <c r="AY461" s="28"/>
      <c r="AZ461" s="28"/>
      <c r="BA461" s="28"/>
      <c r="BB461" s="28"/>
      <c r="BC461" s="28"/>
      <c r="BD461" s="28"/>
      <c r="BE461" s="28"/>
    </row>
    <row r="462" spans="1:57" ht="14.25" customHeight="1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  <c r="AV462" s="28"/>
      <c r="AW462" s="28"/>
      <c r="AX462" s="28"/>
      <c r="AY462" s="28"/>
      <c r="AZ462" s="28"/>
      <c r="BA462" s="28"/>
      <c r="BB462" s="28"/>
      <c r="BC462" s="28"/>
      <c r="BD462" s="28"/>
      <c r="BE462" s="28"/>
    </row>
    <row r="463" spans="1:57" ht="14.25" customHeight="1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  <c r="AV463" s="28"/>
      <c r="AW463" s="28"/>
      <c r="AX463" s="28"/>
      <c r="AY463" s="28"/>
      <c r="AZ463" s="28"/>
      <c r="BA463" s="28"/>
      <c r="BB463" s="28"/>
      <c r="BC463" s="28"/>
      <c r="BD463" s="28"/>
      <c r="BE463" s="28"/>
    </row>
    <row r="464" spans="1:57" ht="14.25" customHeight="1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  <c r="AV464" s="28"/>
      <c r="AW464" s="28"/>
      <c r="AX464" s="28"/>
      <c r="AY464" s="28"/>
      <c r="AZ464" s="28"/>
      <c r="BA464" s="28"/>
      <c r="BB464" s="28"/>
      <c r="BC464" s="28"/>
      <c r="BD464" s="28"/>
      <c r="BE464" s="28"/>
    </row>
    <row r="465" spans="1:57" ht="14.25" customHeight="1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  <c r="AV465" s="28"/>
      <c r="AW465" s="28"/>
      <c r="AX465" s="28"/>
      <c r="AY465" s="28"/>
      <c r="AZ465" s="28"/>
      <c r="BA465" s="28"/>
      <c r="BB465" s="28"/>
      <c r="BC465" s="28"/>
      <c r="BD465" s="28"/>
      <c r="BE465" s="28"/>
    </row>
    <row r="466" spans="1:57" ht="14.25" customHeight="1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  <c r="AV466" s="28"/>
      <c r="AW466" s="28"/>
      <c r="AX466" s="28"/>
      <c r="AY466" s="28"/>
      <c r="AZ466" s="28"/>
      <c r="BA466" s="28"/>
      <c r="BB466" s="28"/>
      <c r="BC466" s="28"/>
      <c r="BD466" s="28"/>
      <c r="BE466" s="28"/>
    </row>
    <row r="467" spans="1:57" ht="14.25" customHeight="1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  <c r="AV467" s="28"/>
      <c r="AW467" s="28"/>
      <c r="AX467" s="28"/>
      <c r="AY467" s="28"/>
      <c r="AZ467" s="28"/>
      <c r="BA467" s="28"/>
      <c r="BB467" s="28"/>
      <c r="BC467" s="28"/>
      <c r="BD467" s="28"/>
      <c r="BE467" s="28"/>
    </row>
    <row r="468" spans="1:57" ht="14.25" customHeight="1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  <c r="AV468" s="28"/>
      <c r="AW468" s="28"/>
      <c r="AX468" s="28"/>
      <c r="AY468" s="28"/>
      <c r="AZ468" s="28"/>
      <c r="BA468" s="28"/>
      <c r="BB468" s="28"/>
      <c r="BC468" s="28"/>
      <c r="BD468" s="28"/>
      <c r="BE468" s="28"/>
    </row>
    <row r="469" spans="1:57" ht="14.25" customHeight="1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  <c r="AV469" s="28"/>
      <c r="AW469" s="28"/>
      <c r="AX469" s="28"/>
      <c r="AY469" s="28"/>
      <c r="AZ469" s="28"/>
      <c r="BA469" s="28"/>
      <c r="BB469" s="28"/>
      <c r="BC469" s="28"/>
      <c r="BD469" s="28"/>
      <c r="BE469" s="28"/>
    </row>
    <row r="470" spans="1:57" ht="14.25" customHeight="1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  <c r="AV470" s="28"/>
      <c r="AW470" s="28"/>
      <c r="AX470" s="28"/>
      <c r="AY470" s="28"/>
      <c r="AZ470" s="28"/>
      <c r="BA470" s="28"/>
      <c r="BB470" s="28"/>
      <c r="BC470" s="28"/>
      <c r="BD470" s="28"/>
      <c r="BE470" s="28"/>
    </row>
    <row r="471" spans="1:57" ht="14.25" customHeight="1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  <c r="AV471" s="28"/>
      <c r="AW471" s="28"/>
      <c r="AX471" s="28"/>
      <c r="AY471" s="28"/>
      <c r="AZ471" s="28"/>
      <c r="BA471" s="28"/>
      <c r="BB471" s="28"/>
      <c r="BC471" s="28"/>
      <c r="BD471" s="28"/>
      <c r="BE471" s="28"/>
    </row>
    <row r="472" spans="1:57" ht="14.25" customHeight="1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  <c r="AV472" s="28"/>
      <c r="AW472" s="28"/>
      <c r="AX472" s="28"/>
      <c r="AY472" s="28"/>
      <c r="AZ472" s="28"/>
      <c r="BA472" s="28"/>
      <c r="BB472" s="28"/>
      <c r="BC472" s="28"/>
      <c r="BD472" s="28"/>
      <c r="BE472" s="28"/>
    </row>
    <row r="473" spans="1:57" ht="14.25" customHeight="1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  <c r="AV473" s="28"/>
      <c r="AW473" s="28"/>
      <c r="AX473" s="28"/>
      <c r="AY473" s="28"/>
      <c r="AZ473" s="28"/>
      <c r="BA473" s="28"/>
      <c r="BB473" s="28"/>
      <c r="BC473" s="28"/>
      <c r="BD473" s="28"/>
      <c r="BE473" s="28"/>
    </row>
    <row r="474" spans="1:57" ht="14.25" customHeight="1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  <c r="AV474" s="28"/>
      <c r="AW474" s="28"/>
      <c r="AX474" s="28"/>
      <c r="AY474" s="28"/>
      <c r="AZ474" s="28"/>
      <c r="BA474" s="28"/>
      <c r="BB474" s="28"/>
      <c r="BC474" s="28"/>
      <c r="BD474" s="28"/>
      <c r="BE474" s="28"/>
    </row>
    <row r="475" spans="1:57" ht="14.25" customHeight="1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  <c r="AV475" s="28"/>
      <c r="AW475" s="28"/>
      <c r="AX475" s="28"/>
      <c r="AY475" s="28"/>
      <c r="AZ475" s="28"/>
      <c r="BA475" s="28"/>
      <c r="BB475" s="28"/>
      <c r="BC475" s="28"/>
      <c r="BD475" s="28"/>
      <c r="BE475" s="28"/>
    </row>
    <row r="476" spans="1:57" ht="14.25" customHeight="1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  <c r="AV476" s="28"/>
      <c r="AW476" s="28"/>
      <c r="AX476" s="28"/>
      <c r="AY476" s="28"/>
      <c r="AZ476" s="28"/>
      <c r="BA476" s="28"/>
      <c r="BB476" s="28"/>
      <c r="BC476" s="28"/>
      <c r="BD476" s="28"/>
      <c r="BE476" s="28"/>
    </row>
    <row r="477" spans="1:57" ht="14.25" customHeight="1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  <c r="AV477" s="28"/>
      <c r="AW477" s="28"/>
      <c r="AX477" s="28"/>
      <c r="AY477" s="28"/>
      <c r="AZ477" s="28"/>
      <c r="BA477" s="28"/>
      <c r="BB477" s="28"/>
      <c r="BC477" s="28"/>
      <c r="BD477" s="28"/>
      <c r="BE477" s="28"/>
    </row>
    <row r="478" spans="1:57" ht="14.25" customHeight="1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  <c r="AV478" s="28"/>
      <c r="AW478" s="28"/>
      <c r="AX478" s="28"/>
      <c r="AY478" s="28"/>
      <c r="AZ478" s="28"/>
      <c r="BA478" s="28"/>
      <c r="BB478" s="28"/>
      <c r="BC478" s="28"/>
      <c r="BD478" s="28"/>
      <c r="BE478" s="28"/>
    </row>
    <row r="479" spans="1:57" ht="14.25" customHeight="1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  <c r="AV479" s="28"/>
      <c r="AW479" s="28"/>
      <c r="AX479" s="28"/>
      <c r="AY479" s="28"/>
      <c r="AZ479" s="28"/>
      <c r="BA479" s="28"/>
      <c r="BB479" s="28"/>
      <c r="BC479" s="28"/>
      <c r="BD479" s="28"/>
      <c r="BE479" s="28"/>
    </row>
    <row r="480" spans="1:57" ht="14.25" customHeight="1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  <c r="AV480" s="28"/>
      <c r="AW480" s="28"/>
      <c r="AX480" s="28"/>
      <c r="AY480" s="28"/>
      <c r="AZ480" s="28"/>
      <c r="BA480" s="28"/>
      <c r="BB480" s="28"/>
      <c r="BC480" s="28"/>
      <c r="BD480" s="28"/>
      <c r="BE480" s="28"/>
    </row>
    <row r="481" spans="1:57" ht="14.25" customHeight="1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  <c r="AV481" s="28"/>
      <c r="AW481" s="28"/>
      <c r="AX481" s="28"/>
      <c r="AY481" s="28"/>
      <c r="AZ481" s="28"/>
      <c r="BA481" s="28"/>
      <c r="BB481" s="28"/>
      <c r="BC481" s="28"/>
      <c r="BD481" s="28"/>
      <c r="BE481" s="28"/>
    </row>
    <row r="482" spans="1:57" ht="14.25" customHeight="1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  <c r="AV482" s="28"/>
      <c r="AW482" s="28"/>
      <c r="AX482" s="28"/>
      <c r="AY482" s="28"/>
      <c r="AZ482" s="28"/>
      <c r="BA482" s="28"/>
      <c r="BB482" s="28"/>
      <c r="BC482" s="28"/>
      <c r="BD482" s="28"/>
      <c r="BE482" s="28"/>
    </row>
    <row r="483" spans="1:57" ht="14.25" customHeight="1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  <c r="AV483" s="28"/>
      <c r="AW483" s="28"/>
      <c r="AX483" s="28"/>
      <c r="AY483" s="28"/>
      <c r="AZ483" s="28"/>
      <c r="BA483" s="28"/>
      <c r="BB483" s="28"/>
      <c r="BC483" s="28"/>
      <c r="BD483" s="28"/>
      <c r="BE483" s="28"/>
    </row>
    <row r="484" spans="1:57" ht="14.25" customHeight="1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  <c r="AV484" s="28"/>
      <c r="AW484" s="28"/>
      <c r="AX484" s="28"/>
      <c r="AY484" s="28"/>
      <c r="AZ484" s="28"/>
      <c r="BA484" s="28"/>
      <c r="BB484" s="28"/>
      <c r="BC484" s="28"/>
      <c r="BD484" s="28"/>
      <c r="BE484" s="28"/>
    </row>
    <row r="485" spans="1:57" ht="14.25" customHeight="1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  <c r="AV485" s="28"/>
      <c r="AW485" s="28"/>
      <c r="AX485" s="28"/>
      <c r="AY485" s="28"/>
      <c r="AZ485" s="28"/>
      <c r="BA485" s="28"/>
      <c r="BB485" s="28"/>
      <c r="BC485" s="28"/>
      <c r="BD485" s="28"/>
      <c r="BE485" s="28"/>
    </row>
    <row r="486" spans="1:57" ht="14.25" customHeight="1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  <c r="AV486" s="28"/>
      <c r="AW486" s="28"/>
      <c r="AX486" s="28"/>
      <c r="AY486" s="28"/>
      <c r="AZ486" s="28"/>
      <c r="BA486" s="28"/>
      <c r="BB486" s="28"/>
      <c r="BC486" s="28"/>
      <c r="BD486" s="28"/>
      <c r="BE486" s="28"/>
    </row>
    <row r="487" spans="1:57" ht="14.25" customHeight="1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  <c r="AV487" s="28"/>
      <c r="AW487" s="28"/>
      <c r="AX487" s="28"/>
      <c r="AY487" s="28"/>
      <c r="AZ487" s="28"/>
      <c r="BA487" s="28"/>
      <c r="BB487" s="28"/>
      <c r="BC487" s="28"/>
      <c r="BD487" s="28"/>
      <c r="BE487" s="28"/>
    </row>
    <row r="488" spans="1:57" ht="14.25" customHeight="1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  <c r="AV488" s="28"/>
      <c r="AW488" s="28"/>
      <c r="AX488" s="28"/>
      <c r="AY488" s="28"/>
      <c r="AZ488" s="28"/>
      <c r="BA488" s="28"/>
      <c r="BB488" s="28"/>
      <c r="BC488" s="28"/>
      <c r="BD488" s="28"/>
      <c r="BE488" s="28"/>
    </row>
    <row r="489" spans="1:57" ht="14.25" customHeight="1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  <c r="AV489" s="28"/>
      <c r="AW489" s="28"/>
      <c r="AX489" s="28"/>
      <c r="AY489" s="28"/>
      <c r="AZ489" s="28"/>
      <c r="BA489" s="28"/>
      <c r="BB489" s="28"/>
      <c r="BC489" s="28"/>
      <c r="BD489" s="28"/>
      <c r="BE489" s="28"/>
    </row>
    <row r="490" spans="1:57" ht="14.25" customHeight="1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  <c r="AV490" s="28"/>
      <c r="AW490" s="28"/>
      <c r="AX490" s="28"/>
      <c r="AY490" s="28"/>
      <c r="AZ490" s="28"/>
      <c r="BA490" s="28"/>
      <c r="BB490" s="28"/>
      <c r="BC490" s="28"/>
      <c r="BD490" s="28"/>
      <c r="BE490" s="28"/>
    </row>
    <row r="491" spans="1:57" ht="14.25" customHeight="1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  <c r="AV491" s="28"/>
      <c r="AW491" s="28"/>
      <c r="AX491" s="28"/>
      <c r="AY491" s="28"/>
      <c r="AZ491" s="28"/>
      <c r="BA491" s="28"/>
      <c r="BB491" s="28"/>
      <c r="BC491" s="28"/>
      <c r="BD491" s="28"/>
      <c r="BE491" s="28"/>
    </row>
    <row r="492" spans="1:57" ht="14.25" customHeight="1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  <c r="AV492" s="28"/>
      <c r="AW492" s="28"/>
      <c r="AX492" s="28"/>
      <c r="AY492" s="28"/>
      <c r="AZ492" s="28"/>
      <c r="BA492" s="28"/>
      <c r="BB492" s="28"/>
      <c r="BC492" s="28"/>
      <c r="BD492" s="28"/>
      <c r="BE492" s="28"/>
    </row>
    <row r="493" spans="1:57" ht="14.25" customHeight="1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  <c r="AV493" s="28"/>
      <c r="AW493" s="28"/>
      <c r="AX493" s="28"/>
      <c r="AY493" s="28"/>
      <c r="AZ493" s="28"/>
      <c r="BA493" s="28"/>
      <c r="BB493" s="28"/>
      <c r="BC493" s="28"/>
      <c r="BD493" s="28"/>
      <c r="BE493" s="28"/>
    </row>
    <row r="494" spans="1:57" ht="14.25" customHeight="1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  <c r="AV494" s="28"/>
      <c r="AW494" s="28"/>
      <c r="AX494" s="28"/>
      <c r="AY494" s="28"/>
      <c r="AZ494" s="28"/>
      <c r="BA494" s="28"/>
      <c r="BB494" s="28"/>
      <c r="BC494" s="28"/>
      <c r="BD494" s="28"/>
      <c r="BE494" s="28"/>
    </row>
    <row r="495" spans="1:57" ht="14.25" customHeight="1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  <c r="AV495" s="28"/>
      <c r="AW495" s="28"/>
      <c r="AX495" s="28"/>
      <c r="AY495" s="28"/>
      <c r="AZ495" s="28"/>
      <c r="BA495" s="28"/>
      <c r="BB495" s="28"/>
      <c r="BC495" s="28"/>
      <c r="BD495" s="28"/>
      <c r="BE495" s="28"/>
    </row>
    <row r="496" spans="1:57" ht="14.25" customHeight="1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  <c r="AV496" s="28"/>
      <c r="AW496" s="28"/>
      <c r="AX496" s="28"/>
      <c r="AY496" s="28"/>
      <c r="AZ496" s="28"/>
      <c r="BA496" s="28"/>
      <c r="BB496" s="28"/>
      <c r="BC496" s="28"/>
      <c r="BD496" s="28"/>
      <c r="BE496" s="28"/>
    </row>
    <row r="497" spans="1:57" ht="14.25" customHeight="1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  <c r="AV497" s="28"/>
      <c r="AW497" s="28"/>
      <c r="AX497" s="28"/>
      <c r="AY497" s="28"/>
      <c r="AZ497" s="28"/>
      <c r="BA497" s="28"/>
      <c r="BB497" s="28"/>
      <c r="BC497" s="28"/>
      <c r="BD497" s="28"/>
      <c r="BE497" s="28"/>
    </row>
    <row r="498" spans="1:57" ht="14.25" customHeight="1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  <c r="AV498" s="28"/>
      <c r="AW498" s="28"/>
      <c r="AX498" s="28"/>
      <c r="AY498" s="28"/>
      <c r="AZ498" s="28"/>
      <c r="BA498" s="28"/>
      <c r="BB498" s="28"/>
      <c r="BC498" s="28"/>
      <c r="BD498" s="28"/>
      <c r="BE498" s="28"/>
    </row>
    <row r="499" spans="1:57" ht="14.25" customHeight="1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  <c r="AV499" s="28"/>
      <c r="AW499" s="28"/>
      <c r="AX499" s="28"/>
      <c r="AY499" s="28"/>
      <c r="AZ499" s="28"/>
      <c r="BA499" s="28"/>
      <c r="BB499" s="28"/>
      <c r="BC499" s="28"/>
      <c r="BD499" s="28"/>
      <c r="BE499" s="28"/>
    </row>
    <row r="500" spans="1:57" ht="14.25" customHeight="1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  <c r="AV500" s="28"/>
      <c r="AW500" s="28"/>
      <c r="AX500" s="28"/>
      <c r="AY500" s="28"/>
      <c r="AZ500" s="28"/>
      <c r="BA500" s="28"/>
      <c r="BB500" s="28"/>
      <c r="BC500" s="28"/>
      <c r="BD500" s="28"/>
      <c r="BE500" s="28"/>
    </row>
    <row r="501" spans="1:57" ht="14.25" customHeight="1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  <c r="AV501" s="28"/>
      <c r="AW501" s="28"/>
      <c r="AX501" s="28"/>
      <c r="AY501" s="28"/>
      <c r="AZ501" s="28"/>
      <c r="BA501" s="28"/>
      <c r="BB501" s="28"/>
      <c r="BC501" s="28"/>
      <c r="BD501" s="28"/>
      <c r="BE501" s="28"/>
    </row>
    <row r="502" spans="1:57" ht="14.25" customHeight="1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  <c r="AV502" s="28"/>
      <c r="AW502" s="28"/>
      <c r="AX502" s="28"/>
      <c r="AY502" s="28"/>
      <c r="AZ502" s="28"/>
      <c r="BA502" s="28"/>
      <c r="BB502" s="28"/>
      <c r="BC502" s="28"/>
      <c r="BD502" s="28"/>
      <c r="BE502" s="28"/>
    </row>
    <row r="503" spans="1:57" ht="14.25" customHeight="1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  <c r="AV503" s="28"/>
      <c r="AW503" s="28"/>
      <c r="AX503" s="28"/>
      <c r="AY503" s="28"/>
      <c r="AZ503" s="28"/>
      <c r="BA503" s="28"/>
      <c r="BB503" s="28"/>
      <c r="BC503" s="28"/>
      <c r="BD503" s="28"/>
      <c r="BE503" s="28"/>
    </row>
    <row r="504" spans="1:57" ht="14.25" customHeight="1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  <c r="AV504" s="28"/>
      <c r="AW504" s="28"/>
      <c r="AX504" s="28"/>
      <c r="AY504" s="28"/>
      <c r="AZ504" s="28"/>
      <c r="BA504" s="28"/>
      <c r="BB504" s="28"/>
      <c r="BC504" s="28"/>
      <c r="BD504" s="28"/>
      <c r="BE504" s="28"/>
    </row>
    <row r="505" spans="1:57" ht="14.25" customHeight="1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  <c r="AV505" s="28"/>
      <c r="AW505" s="28"/>
      <c r="AX505" s="28"/>
      <c r="AY505" s="28"/>
      <c r="AZ505" s="28"/>
      <c r="BA505" s="28"/>
      <c r="BB505" s="28"/>
      <c r="BC505" s="28"/>
      <c r="BD505" s="28"/>
      <c r="BE505" s="28"/>
    </row>
    <row r="506" spans="1:57" ht="14.25" customHeight="1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  <c r="AV506" s="28"/>
      <c r="AW506" s="28"/>
      <c r="AX506" s="28"/>
      <c r="AY506" s="28"/>
      <c r="AZ506" s="28"/>
      <c r="BA506" s="28"/>
      <c r="BB506" s="28"/>
      <c r="BC506" s="28"/>
      <c r="BD506" s="28"/>
      <c r="BE506" s="28"/>
    </row>
    <row r="507" spans="1:57" ht="14.25" customHeight="1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  <c r="AV507" s="28"/>
      <c r="AW507" s="28"/>
      <c r="AX507" s="28"/>
      <c r="AY507" s="28"/>
      <c r="AZ507" s="28"/>
      <c r="BA507" s="28"/>
      <c r="BB507" s="28"/>
      <c r="BC507" s="28"/>
      <c r="BD507" s="28"/>
      <c r="BE507" s="28"/>
    </row>
    <row r="508" spans="1:57" ht="14.25" customHeight="1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  <c r="AV508" s="28"/>
      <c r="AW508" s="28"/>
      <c r="AX508" s="28"/>
      <c r="AY508" s="28"/>
      <c r="AZ508" s="28"/>
      <c r="BA508" s="28"/>
      <c r="BB508" s="28"/>
      <c r="BC508" s="28"/>
      <c r="BD508" s="28"/>
      <c r="BE508" s="28"/>
    </row>
    <row r="509" spans="1:57" ht="14.25" customHeight="1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  <c r="AV509" s="28"/>
      <c r="AW509" s="28"/>
      <c r="AX509" s="28"/>
      <c r="AY509" s="28"/>
      <c r="AZ509" s="28"/>
      <c r="BA509" s="28"/>
      <c r="BB509" s="28"/>
      <c r="BC509" s="28"/>
      <c r="BD509" s="28"/>
      <c r="BE509" s="28"/>
    </row>
    <row r="510" spans="1:57" ht="14.25" customHeight="1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  <c r="AV510" s="28"/>
      <c r="AW510" s="28"/>
      <c r="AX510" s="28"/>
      <c r="AY510" s="28"/>
      <c r="AZ510" s="28"/>
      <c r="BA510" s="28"/>
      <c r="BB510" s="28"/>
      <c r="BC510" s="28"/>
      <c r="BD510" s="28"/>
      <c r="BE510" s="28"/>
    </row>
    <row r="511" spans="1:57" ht="14.25" customHeight="1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  <c r="AV511" s="28"/>
      <c r="AW511" s="28"/>
      <c r="AX511" s="28"/>
      <c r="AY511" s="28"/>
      <c r="AZ511" s="28"/>
      <c r="BA511" s="28"/>
      <c r="BB511" s="28"/>
      <c r="BC511" s="28"/>
      <c r="BD511" s="28"/>
      <c r="BE511" s="28"/>
    </row>
    <row r="512" spans="1:57" ht="14.25" customHeight="1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  <c r="AV512" s="28"/>
      <c r="AW512" s="28"/>
      <c r="AX512" s="28"/>
      <c r="AY512" s="28"/>
      <c r="AZ512" s="28"/>
      <c r="BA512" s="28"/>
      <c r="BB512" s="28"/>
      <c r="BC512" s="28"/>
      <c r="BD512" s="28"/>
      <c r="BE512" s="28"/>
    </row>
    <row r="513" spans="1:57" ht="14.25" customHeight="1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  <c r="AV513" s="28"/>
      <c r="AW513" s="28"/>
      <c r="AX513" s="28"/>
      <c r="AY513" s="28"/>
      <c r="AZ513" s="28"/>
      <c r="BA513" s="28"/>
      <c r="BB513" s="28"/>
      <c r="BC513" s="28"/>
      <c r="BD513" s="28"/>
      <c r="BE513" s="28"/>
    </row>
    <row r="514" spans="1:57" ht="14.25" customHeight="1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  <c r="AV514" s="28"/>
      <c r="AW514" s="28"/>
      <c r="AX514" s="28"/>
      <c r="AY514" s="28"/>
      <c r="AZ514" s="28"/>
      <c r="BA514" s="28"/>
      <c r="BB514" s="28"/>
      <c r="BC514" s="28"/>
      <c r="BD514" s="28"/>
      <c r="BE514" s="28"/>
    </row>
    <row r="515" spans="1:57" ht="14.25" customHeight="1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  <c r="AV515" s="28"/>
      <c r="AW515" s="28"/>
      <c r="AX515" s="28"/>
      <c r="AY515" s="28"/>
      <c r="AZ515" s="28"/>
      <c r="BA515" s="28"/>
      <c r="BB515" s="28"/>
      <c r="BC515" s="28"/>
      <c r="BD515" s="28"/>
      <c r="BE515" s="28"/>
    </row>
    <row r="516" spans="1:57" ht="14.25" customHeight="1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  <c r="AV516" s="28"/>
      <c r="AW516" s="28"/>
      <c r="AX516" s="28"/>
      <c r="AY516" s="28"/>
      <c r="AZ516" s="28"/>
      <c r="BA516" s="28"/>
      <c r="BB516" s="28"/>
      <c r="BC516" s="28"/>
      <c r="BD516" s="28"/>
      <c r="BE516" s="28"/>
    </row>
    <row r="517" spans="1:57" ht="14.25" customHeight="1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  <c r="AV517" s="28"/>
      <c r="AW517" s="28"/>
      <c r="AX517" s="28"/>
      <c r="AY517" s="28"/>
      <c r="AZ517" s="28"/>
      <c r="BA517" s="28"/>
      <c r="BB517" s="28"/>
      <c r="BC517" s="28"/>
      <c r="BD517" s="28"/>
      <c r="BE517" s="28"/>
    </row>
    <row r="518" spans="1:57" ht="14.25" customHeight="1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  <c r="AV518" s="28"/>
      <c r="AW518" s="28"/>
      <c r="AX518" s="28"/>
      <c r="AY518" s="28"/>
      <c r="AZ518" s="28"/>
      <c r="BA518" s="28"/>
      <c r="BB518" s="28"/>
      <c r="BC518" s="28"/>
      <c r="BD518" s="28"/>
      <c r="BE518" s="28"/>
    </row>
    <row r="519" spans="1:57" ht="14.25" customHeight="1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  <c r="AV519" s="28"/>
      <c r="AW519" s="28"/>
      <c r="AX519" s="28"/>
      <c r="AY519" s="28"/>
      <c r="AZ519" s="28"/>
      <c r="BA519" s="28"/>
      <c r="BB519" s="28"/>
      <c r="BC519" s="28"/>
      <c r="BD519" s="28"/>
      <c r="BE519" s="28"/>
    </row>
    <row r="520" spans="1:57" ht="14.25" customHeight="1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  <c r="AV520" s="28"/>
      <c r="AW520" s="28"/>
      <c r="AX520" s="28"/>
      <c r="AY520" s="28"/>
      <c r="AZ520" s="28"/>
      <c r="BA520" s="28"/>
      <c r="BB520" s="28"/>
      <c r="BC520" s="28"/>
      <c r="BD520" s="28"/>
      <c r="BE520" s="28"/>
    </row>
    <row r="521" spans="1:57" ht="14.25" customHeight="1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  <c r="AV521" s="28"/>
      <c r="AW521" s="28"/>
      <c r="AX521" s="28"/>
      <c r="AY521" s="28"/>
      <c r="AZ521" s="28"/>
      <c r="BA521" s="28"/>
      <c r="BB521" s="28"/>
      <c r="BC521" s="28"/>
      <c r="BD521" s="28"/>
      <c r="BE521" s="28"/>
    </row>
    <row r="522" spans="1:57" ht="14.25" customHeight="1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  <c r="AV522" s="28"/>
      <c r="AW522" s="28"/>
      <c r="AX522" s="28"/>
      <c r="AY522" s="28"/>
      <c r="AZ522" s="28"/>
      <c r="BA522" s="28"/>
      <c r="BB522" s="28"/>
      <c r="BC522" s="28"/>
      <c r="BD522" s="28"/>
      <c r="BE522" s="28"/>
    </row>
    <row r="523" spans="1:57" ht="14.25" customHeight="1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  <c r="AV523" s="28"/>
      <c r="AW523" s="28"/>
      <c r="AX523" s="28"/>
      <c r="AY523" s="28"/>
      <c r="AZ523" s="28"/>
      <c r="BA523" s="28"/>
      <c r="BB523" s="28"/>
      <c r="BC523" s="28"/>
      <c r="BD523" s="28"/>
      <c r="BE523" s="28"/>
    </row>
    <row r="524" spans="1:57" ht="14.25" customHeight="1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  <c r="AV524" s="28"/>
      <c r="AW524" s="28"/>
      <c r="AX524" s="28"/>
      <c r="AY524" s="28"/>
      <c r="AZ524" s="28"/>
      <c r="BA524" s="28"/>
      <c r="BB524" s="28"/>
      <c r="BC524" s="28"/>
      <c r="BD524" s="28"/>
      <c r="BE524" s="28"/>
    </row>
    <row r="525" spans="1:57" ht="14.25" customHeight="1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  <c r="AV525" s="28"/>
      <c r="AW525" s="28"/>
      <c r="AX525" s="28"/>
      <c r="AY525" s="28"/>
      <c r="AZ525" s="28"/>
      <c r="BA525" s="28"/>
      <c r="BB525" s="28"/>
      <c r="BC525" s="28"/>
      <c r="BD525" s="28"/>
      <c r="BE525" s="28"/>
    </row>
    <row r="526" spans="1:57" ht="14.25" customHeight="1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  <c r="AV526" s="28"/>
      <c r="AW526" s="28"/>
      <c r="AX526" s="28"/>
      <c r="AY526" s="28"/>
      <c r="AZ526" s="28"/>
      <c r="BA526" s="28"/>
      <c r="BB526" s="28"/>
      <c r="BC526" s="28"/>
      <c r="BD526" s="28"/>
      <c r="BE526" s="28"/>
    </row>
    <row r="527" spans="1:57" ht="14.25" customHeight="1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  <c r="AV527" s="28"/>
      <c r="AW527" s="28"/>
      <c r="AX527" s="28"/>
      <c r="AY527" s="28"/>
      <c r="AZ527" s="28"/>
      <c r="BA527" s="28"/>
      <c r="BB527" s="28"/>
      <c r="BC527" s="28"/>
      <c r="BD527" s="28"/>
      <c r="BE527" s="28"/>
    </row>
    <row r="528" spans="1:57" ht="14.25" customHeight="1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  <c r="AV528" s="28"/>
      <c r="AW528" s="28"/>
      <c r="AX528" s="28"/>
      <c r="AY528" s="28"/>
      <c r="AZ528" s="28"/>
      <c r="BA528" s="28"/>
      <c r="BB528" s="28"/>
      <c r="BC528" s="28"/>
      <c r="BD528" s="28"/>
      <c r="BE528" s="28"/>
    </row>
    <row r="529" spans="1:57" ht="14.25" customHeight="1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  <c r="AV529" s="28"/>
      <c r="AW529" s="28"/>
      <c r="AX529" s="28"/>
      <c r="AY529" s="28"/>
      <c r="AZ529" s="28"/>
      <c r="BA529" s="28"/>
      <c r="BB529" s="28"/>
      <c r="BC529" s="28"/>
      <c r="BD529" s="28"/>
      <c r="BE529" s="28"/>
    </row>
    <row r="530" spans="1:57" ht="14.25" customHeight="1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  <c r="AV530" s="28"/>
      <c r="AW530" s="28"/>
      <c r="AX530" s="28"/>
      <c r="AY530" s="28"/>
      <c r="AZ530" s="28"/>
      <c r="BA530" s="28"/>
      <c r="BB530" s="28"/>
      <c r="BC530" s="28"/>
      <c r="BD530" s="28"/>
      <c r="BE530" s="28"/>
    </row>
    <row r="531" spans="1:57" ht="14.25" customHeight="1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  <c r="AV531" s="28"/>
      <c r="AW531" s="28"/>
      <c r="AX531" s="28"/>
      <c r="AY531" s="28"/>
      <c r="AZ531" s="28"/>
      <c r="BA531" s="28"/>
      <c r="BB531" s="28"/>
      <c r="BC531" s="28"/>
      <c r="BD531" s="28"/>
      <c r="BE531" s="28"/>
    </row>
    <row r="532" spans="1:57" ht="14.25" customHeight="1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  <c r="AV532" s="28"/>
      <c r="AW532" s="28"/>
      <c r="AX532" s="28"/>
      <c r="AY532" s="28"/>
      <c r="AZ532" s="28"/>
      <c r="BA532" s="28"/>
      <c r="BB532" s="28"/>
      <c r="BC532" s="28"/>
      <c r="BD532" s="28"/>
      <c r="BE532" s="28"/>
    </row>
    <row r="533" spans="1:57" ht="14.25" customHeight="1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  <c r="AV533" s="28"/>
      <c r="AW533" s="28"/>
      <c r="AX533" s="28"/>
      <c r="AY533" s="28"/>
      <c r="AZ533" s="28"/>
      <c r="BA533" s="28"/>
      <c r="BB533" s="28"/>
      <c r="BC533" s="28"/>
      <c r="BD533" s="28"/>
      <c r="BE533" s="28"/>
    </row>
    <row r="534" spans="1:57" ht="14.25" customHeight="1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  <c r="AV534" s="28"/>
      <c r="AW534" s="28"/>
      <c r="AX534" s="28"/>
      <c r="AY534" s="28"/>
      <c r="AZ534" s="28"/>
      <c r="BA534" s="28"/>
      <c r="BB534" s="28"/>
      <c r="BC534" s="28"/>
      <c r="BD534" s="28"/>
      <c r="BE534" s="28"/>
    </row>
    <row r="535" spans="1:57" ht="14.25" customHeight="1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  <c r="AV535" s="28"/>
      <c r="AW535" s="28"/>
      <c r="AX535" s="28"/>
      <c r="AY535" s="28"/>
      <c r="AZ535" s="28"/>
      <c r="BA535" s="28"/>
      <c r="BB535" s="28"/>
      <c r="BC535" s="28"/>
      <c r="BD535" s="28"/>
      <c r="BE535" s="28"/>
    </row>
    <row r="536" spans="1:57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  <c r="AV536" s="28"/>
      <c r="AW536" s="28"/>
      <c r="AX536" s="28"/>
      <c r="AY536" s="28"/>
      <c r="AZ536" s="28"/>
      <c r="BA536" s="28"/>
      <c r="BB536" s="28"/>
      <c r="BC536" s="28"/>
      <c r="BD536" s="28"/>
      <c r="BE536" s="28"/>
    </row>
    <row r="537" spans="1:57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  <c r="AV537" s="28"/>
      <c r="AW537" s="28"/>
      <c r="AX537" s="28"/>
      <c r="AY537" s="28"/>
      <c r="AZ537" s="28"/>
      <c r="BA537" s="28"/>
      <c r="BB537" s="28"/>
      <c r="BC537" s="28"/>
      <c r="BD537" s="28"/>
      <c r="BE537" s="28"/>
    </row>
    <row r="538" spans="1:57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  <c r="AV538" s="28"/>
      <c r="AW538" s="28"/>
      <c r="AX538" s="28"/>
      <c r="AY538" s="28"/>
      <c r="AZ538" s="28"/>
      <c r="BA538" s="28"/>
      <c r="BB538" s="28"/>
      <c r="BC538" s="28"/>
      <c r="BD538" s="28"/>
      <c r="BE538" s="28"/>
    </row>
    <row r="539" spans="1:57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  <c r="AV539" s="28"/>
      <c r="AW539" s="28"/>
      <c r="AX539" s="28"/>
      <c r="AY539" s="28"/>
      <c r="AZ539" s="28"/>
      <c r="BA539" s="28"/>
      <c r="BB539" s="28"/>
      <c r="BC539" s="28"/>
      <c r="BD539" s="28"/>
      <c r="BE539" s="28"/>
    </row>
    <row r="540" spans="1:57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  <c r="AV540" s="28"/>
      <c r="AW540" s="28"/>
      <c r="AX540" s="28"/>
      <c r="AY540" s="28"/>
      <c r="AZ540" s="28"/>
      <c r="BA540" s="28"/>
      <c r="BB540" s="28"/>
      <c r="BC540" s="28"/>
      <c r="BD540" s="28"/>
      <c r="BE540" s="28"/>
    </row>
    <row r="541" spans="1:57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  <c r="AV541" s="28"/>
      <c r="AW541" s="28"/>
      <c r="AX541" s="28"/>
      <c r="AY541" s="28"/>
      <c r="AZ541" s="28"/>
      <c r="BA541" s="28"/>
      <c r="BB541" s="28"/>
      <c r="BC541" s="28"/>
      <c r="BD541" s="28"/>
      <c r="BE541" s="28"/>
    </row>
    <row r="542" spans="1:57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  <c r="AV542" s="28"/>
      <c r="AW542" s="28"/>
      <c r="AX542" s="28"/>
      <c r="AY542" s="28"/>
      <c r="AZ542" s="28"/>
      <c r="BA542" s="28"/>
      <c r="BB542" s="28"/>
      <c r="BC542" s="28"/>
      <c r="BD542" s="28"/>
      <c r="BE542" s="28"/>
    </row>
    <row r="543" spans="1:57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  <c r="AV543" s="28"/>
      <c r="AW543" s="28"/>
      <c r="AX543" s="28"/>
      <c r="AY543" s="28"/>
      <c r="AZ543" s="28"/>
      <c r="BA543" s="28"/>
      <c r="BB543" s="28"/>
      <c r="BC543" s="28"/>
      <c r="BD543" s="28"/>
      <c r="BE543" s="28"/>
    </row>
    <row r="544" spans="1:57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  <c r="AV544" s="28"/>
      <c r="AW544" s="28"/>
      <c r="AX544" s="28"/>
      <c r="AY544" s="28"/>
      <c r="AZ544" s="28"/>
      <c r="BA544" s="28"/>
      <c r="BB544" s="28"/>
      <c r="BC544" s="28"/>
      <c r="BD544" s="28"/>
      <c r="BE544" s="28"/>
    </row>
    <row r="545" spans="1:57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  <c r="AV545" s="28"/>
      <c r="AW545" s="28"/>
      <c r="AX545" s="28"/>
      <c r="AY545" s="28"/>
      <c r="AZ545" s="28"/>
      <c r="BA545" s="28"/>
      <c r="BB545" s="28"/>
      <c r="BC545" s="28"/>
      <c r="BD545" s="28"/>
      <c r="BE545" s="28"/>
    </row>
    <row r="546" spans="1:57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  <c r="AV546" s="28"/>
      <c r="AW546" s="28"/>
      <c r="AX546" s="28"/>
      <c r="AY546" s="28"/>
      <c r="AZ546" s="28"/>
      <c r="BA546" s="28"/>
      <c r="BB546" s="28"/>
      <c r="BC546" s="28"/>
      <c r="BD546" s="28"/>
      <c r="BE546" s="28"/>
    </row>
    <row r="547" spans="1:57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  <c r="AV547" s="28"/>
      <c r="AW547" s="28"/>
      <c r="AX547" s="28"/>
      <c r="AY547" s="28"/>
      <c r="AZ547" s="28"/>
      <c r="BA547" s="28"/>
      <c r="BB547" s="28"/>
      <c r="BC547" s="28"/>
      <c r="BD547" s="28"/>
      <c r="BE547" s="28"/>
    </row>
    <row r="548" spans="1:57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  <c r="AV548" s="28"/>
      <c r="AW548" s="28"/>
      <c r="AX548" s="28"/>
      <c r="AY548" s="28"/>
      <c r="AZ548" s="28"/>
      <c r="BA548" s="28"/>
      <c r="BB548" s="28"/>
      <c r="BC548" s="28"/>
      <c r="BD548" s="28"/>
      <c r="BE548" s="28"/>
    </row>
    <row r="549" spans="1:57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  <c r="AV549" s="28"/>
      <c r="AW549" s="28"/>
      <c r="AX549" s="28"/>
      <c r="AY549" s="28"/>
      <c r="AZ549" s="28"/>
      <c r="BA549" s="28"/>
      <c r="BB549" s="28"/>
      <c r="BC549" s="28"/>
      <c r="BD549" s="28"/>
      <c r="BE549" s="28"/>
    </row>
    <row r="550" spans="1:57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  <c r="AV550" s="28"/>
      <c r="AW550" s="28"/>
      <c r="AX550" s="28"/>
      <c r="AY550" s="28"/>
      <c r="AZ550" s="28"/>
      <c r="BA550" s="28"/>
      <c r="BB550" s="28"/>
      <c r="BC550" s="28"/>
      <c r="BD550" s="28"/>
      <c r="BE550" s="28"/>
    </row>
    <row r="551" spans="1:57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  <c r="AV551" s="28"/>
      <c r="AW551" s="28"/>
      <c r="AX551" s="28"/>
      <c r="AY551" s="28"/>
      <c r="AZ551" s="28"/>
      <c r="BA551" s="28"/>
      <c r="BB551" s="28"/>
      <c r="BC551" s="28"/>
      <c r="BD551" s="28"/>
      <c r="BE551" s="28"/>
    </row>
    <row r="552" spans="1:57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  <c r="AV552" s="28"/>
      <c r="AW552" s="28"/>
      <c r="AX552" s="28"/>
      <c r="AY552" s="28"/>
      <c r="AZ552" s="28"/>
      <c r="BA552" s="28"/>
      <c r="BB552" s="28"/>
      <c r="BC552" s="28"/>
      <c r="BD552" s="28"/>
      <c r="BE552" s="28"/>
    </row>
    <row r="553" spans="1:57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  <c r="AV553" s="28"/>
      <c r="AW553" s="28"/>
      <c r="AX553" s="28"/>
      <c r="AY553" s="28"/>
      <c r="AZ553" s="28"/>
      <c r="BA553" s="28"/>
      <c r="BB553" s="28"/>
      <c r="BC553" s="28"/>
      <c r="BD553" s="28"/>
      <c r="BE553" s="28"/>
    </row>
    <row r="554" spans="1:57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  <c r="AV554" s="28"/>
      <c r="AW554" s="28"/>
      <c r="AX554" s="28"/>
      <c r="AY554" s="28"/>
      <c r="AZ554" s="28"/>
      <c r="BA554" s="28"/>
      <c r="BB554" s="28"/>
      <c r="BC554" s="28"/>
      <c r="BD554" s="28"/>
      <c r="BE554" s="28"/>
    </row>
    <row r="555" spans="1:57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  <c r="AV555" s="28"/>
      <c r="AW555" s="28"/>
      <c r="AX555" s="28"/>
      <c r="AY555" s="28"/>
      <c r="AZ555" s="28"/>
      <c r="BA555" s="28"/>
      <c r="BB555" s="28"/>
      <c r="BC555" s="28"/>
      <c r="BD555" s="28"/>
      <c r="BE555" s="28"/>
    </row>
    <row r="556" spans="1:57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  <c r="AV556" s="28"/>
      <c r="AW556" s="28"/>
      <c r="AX556" s="28"/>
      <c r="AY556" s="28"/>
      <c r="AZ556" s="28"/>
      <c r="BA556" s="28"/>
      <c r="BB556" s="28"/>
      <c r="BC556" s="28"/>
      <c r="BD556" s="28"/>
      <c r="BE556" s="28"/>
    </row>
    <row r="557" spans="1:57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  <c r="AV557" s="28"/>
      <c r="AW557" s="28"/>
      <c r="AX557" s="28"/>
      <c r="AY557" s="28"/>
      <c r="AZ557" s="28"/>
      <c r="BA557" s="28"/>
      <c r="BB557" s="28"/>
      <c r="BC557" s="28"/>
      <c r="BD557" s="28"/>
      <c r="BE557" s="28"/>
    </row>
    <row r="558" spans="1:57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  <c r="AV558" s="28"/>
      <c r="AW558" s="28"/>
      <c r="AX558" s="28"/>
      <c r="AY558" s="28"/>
      <c r="AZ558" s="28"/>
      <c r="BA558" s="28"/>
      <c r="BB558" s="28"/>
      <c r="BC558" s="28"/>
      <c r="BD558" s="28"/>
      <c r="BE558" s="28"/>
    </row>
    <row r="559" spans="1:57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  <c r="AV559" s="28"/>
      <c r="AW559" s="28"/>
      <c r="AX559" s="28"/>
      <c r="AY559" s="28"/>
      <c r="AZ559" s="28"/>
      <c r="BA559" s="28"/>
      <c r="BB559" s="28"/>
      <c r="BC559" s="28"/>
      <c r="BD559" s="28"/>
      <c r="BE559" s="28"/>
    </row>
    <row r="560" spans="1:57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  <c r="AV560" s="28"/>
      <c r="AW560" s="28"/>
      <c r="AX560" s="28"/>
      <c r="AY560" s="28"/>
      <c r="AZ560" s="28"/>
      <c r="BA560" s="28"/>
      <c r="BB560" s="28"/>
      <c r="BC560" s="28"/>
      <c r="BD560" s="28"/>
      <c r="BE560" s="28"/>
    </row>
    <row r="561" spans="1:57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  <c r="AV561" s="28"/>
      <c r="AW561" s="28"/>
      <c r="AX561" s="28"/>
      <c r="AY561" s="28"/>
      <c r="AZ561" s="28"/>
      <c r="BA561" s="28"/>
      <c r="BB561" s="28"/>
      <c r="BC561" s="28"/>
      <c r="BD561" s="28"/>
      <c r="BE561" s="28"/>
    </row>
    <row r="562" spans="1:57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  <c r="AV562" s="28"/>
      <c r="AW562" s="28"/>
      <c r="AX562" s="28"/>
      <c r="AY562" s="28"/>
      <c r="AZ562" s="28"/>
      <c r="BA562" s="28"/>
      <c r="BB562" s="28"/>
      <c r="BC562" s="28"/>
      <c r="BD562" s="28"/>
      <c r="BE562" s="28"/>
    </row>
    <row r="563" spans="1:57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  <c r="AV563" s="28"/>
      <c r="AW563" s="28"/>
      <c r="AX563" s="28"/>
      <c r="AY563" s="28"/>
      <c r="AZ563" s="28"/>
      <c r="BA563" s="28"/>
      <c r="BB563" s="28"/>
      <c r="BC563" s="28"/>
      <c r="BD563" s="28"/>
      <c r="BE563" s="28"/>
    </row>
    <row r="564" spans="1:57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  <c r="AV564" s="28"/>
      <c r="AW564" s="28"/>
      <c r="AX564" s="28"/>
      <c r="AY564" s="28"/>
      <c r="AZ564" s="28"/>
      <c r="BA564" s="28"/>
      <c r="BB564" s="28"/>
      <c r="BC564" s="28"/>
      <c r="BD564" s="28"/>
      <c r="BE564" s="28"/>
    </row>
    <row r="565" spans="1:57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  <c r="AV565" s="28"/>
      <c r="AW565" s="28"/>
      <c r="AX565" s="28"/>
      <c r="AY565" s="28"/>
      <c r="AZ565" s="28"/>
      <c r="BA565" s="28"/>
      <c r="BB565" s="28"/>
      <c r="BC565" s="28"/>
      <c r="BD565" s="28"/>
      <c r="BE565" s="28"/>
    </row>
    <row r="566" spans="1:57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  <c r="AV566" s="28"/>
      <c r="AW566" s="28"/>
      <c r="AX566" s="28"/>
      <c r="AY566" s="28"/>
      <c r="AZ566" s="28"/>
      <c r="BA566" s="28"/>
      <c r="BB566" s="28"/>
      <c r="BC566" s="28"/>
      <c r="BD566" s="28"/>
      <c r="BE566" s="28"/>
    </row>
    <row r="567" spans="1:57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  <c r="AV567" s="28"/>
      <c r="AW567" s="28"/>
      <c r="AX567" s="28"/>
      <c r="AY567" s="28"/>
      <c r="AZ567" s="28"/>
      <c r="BA567" s="28"/>
      <c r="BB567" s="28"/>
      <c r="BC567" s="28"/>
      <c r="BD567" s="28"/>
      <c r="BE567" s="28"/>
    </row>
    <row r="568" spans="1:57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  <c r="AV568" s="28"/>
      <c r="AW568" s="28"/>
      <c r="AX568" s="28"/>
      <c r="AY568" s="28"/>
      <c r="AZ568" s="28"/>
      <c r="BA568" s="28"/>
      <c r="BB568" s="28"/>
      <c r="BC568" s="28"/>
      <c r="BD568" s="28"/>
      <c r="BE568" s="28"/>
    </row>
    <row r="569" spans="1:57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  <c r="AV569" s="28"/>
      <c r="AW569" s="28"/>
      <c r="AX569" s="28"/>
      <c r="AY569" s="28"/>
      <c r="AZ569" s="28"/>
      <c r="BA569" s="28"/>
      <c r="BB569" s="28"/>
      <c r="BC569" s="28"/>
      <c r="BD569" s="28"/>
      <c r="BE569" s="28"/>
    </row>
    <row r="570" spans="1:57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  <c r="AV570" s="28"/>
      <c r="AW570" s="28"/>
      <c r="AX570" s="28"/>
      <c r="AY570" s="28"/>
      <c r="AZ570" s="28"/>
      <c r="BA570" s="28"/>
      <c r="BB570" s="28"/>
      <c r="BC570" s="28"/>
      <c r="BD570" s="28"/>
      <c r="BE570" s="28"/>
    </row>
    <row r="571" spans="1:57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  <c r="AV571" s="28"/>
      <c r="AW571" s="28"/>
      <c r="AX571" s="28"/>
      <c r="AY571" s="28"/>
      <c r="AZ571" s="28"/>
      <c r="BA571" s="28"/>
      <c r="BB571" s="28"/>
      <c r="BC571" s="28"/>
      <c r="BD571" s="28"/>
      <c r="BE571" s="28"/>
    </row>
    <row r="572" spans="1:57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  <c r="AV572" s="28"/>
      <c r="AW572" s="28"/>
      <c r="AX572" s="28"/>
      <c r="AY572" s="28"/>
      <c r="AZ572" s="28"/>
      <c r="BA572" s="28"/>
      <c r="BB572" s="28"/>
      <c r="BC572" s="28"/>
      <c r="BD572" s="28"/>
      <c r="BE572" s="28"/>
    </row>
    <row r="573" spans="1:57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  <c r="AV573" s="28"/>
      <c r="AW573" s="28"/>
      <c r="AX573" s="28"/>
      <c r="AY573" s="28"/>
      <c r="AZ573" s="28"/>
      <c r="BA573" s="28"/>
      <c r="BB573" s="28"/>
      <c r="BC573" s="28"/>
      <c r="BD573" s="28"/>
      <c r="BE573" s="28"/>
    </row>
    <row r="574" spans="1:57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  <c r="AV574" s="28"/>
      <c r="AW574" s="28"/>
      <c r="AX574" s="28"/>
      <c r="AY574" s="28"/>
      <c r="AZ574" s="28"/>
      <c r="BA574" s="28"/>
      <c r="BB574" s="28"/>
      <c r="BC574" s="28"/>
      <c r="BD574" s="28"/>
      <c r="BE574" s="28"/>
    </row>
    <row r="575" spans="1:57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  <c r="AV575" s="28"/>
      <c r="AW575" s="28"/>
      <c r="AX575" s="28"/>
      <c r="AY575" s="28"/>
      <c r="AZ575" s="28"/>
      <c r="BA575" s="28"/>
      <c r="BB575" s="28"/>
      <c r="BC575" s="28"/>
      <c r="BD575" s="28"/>
      <c r="BE575" s="28"/>
    </row>
    <row r="576" spans="1:57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  <c r="AV576" s="28"/>
      <c r="AW576" s="28"/>
      <c r="AX576" s="28"/>
      <c r="AY576" s="28"/>
      <c r="AZ576" s="28"/>
      <c r="BA576" s="28"/>
      <c r="BB576" s="28"/>
      <c r="BC576" s="28"/>
      <c r="BD576" s="28"/>
      <c r="BE576" s="28"/>
    </row>
    <row r="577" spans="1:57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  <c r="AV577" s="28"/>
      <c r="AW577" s="28"/>
      <c r="AX577" s="28"/>
      <c r="AY577" s="28"/>
      <c r="AZ577" s="28"/>
      <c r="BA577" s="28"/>
      <c r="BB577" s="28"/>
      <c r="BC577" s="28"/>
      <c r="BD577" s="28"/>
      <c r="BE577" s="28"/>
    </row>
    <row r="578" spans="1:57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  <c r="AV578" s="28"/>
      <c r="AW578" s="28"/>
      <c r="AX578" s="28"/>
      <c r="AY578" s="28"/>
      <c r="AZ578" s="28"/>
      <c r="BA578" s="28"/>
      <c r="BB578" s="28"/>
      <c r="BC578" s="28"/>
      <c r="BD578" s="28"/>
      <c r="BE578" s="28"/>
    </row>
    <row r="579" spans="1:57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  <c r="AV579" s="28"/>
      <c r="AW579" s="28"/>
      <c r="AX579" s="28"/>
      <c r="AY579" s="28"/>
      <c r="AZ579" s="28"/>
      <c r="BA579" s="28"/>
      <c r="BB579" s="28"/>
      <c r="BC579" s="28"/>
      <c r="BD579" s="28"/>
      <c r="BE579" s="28"/>
    </row>
    <row r="580" spans="1:57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  <c r="AV580" s="28"/>
      <c r="AW580" s="28"/>
      <c r="AX580" s="28"/>
      <c r="AY580" s="28"/>
      <c r="AZ580" s="28"/>
      <c r="BA580" s="28"/>
      <c r="BB580" s="28"/>
      <c r="BC580" s="28"/>
      <c r="BD580" s="28"/>
      <c r="BE580" s="28"/>
    </row>
    <row r="581" spans="1:57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  <c r="AV581" s="28"/>
      <c r="AW581" s="28"/>
      <c r="AX581" s="28"/>
      <c r="AY581" s="28"/>
      <c r="AZ581" s="28"/>
      <c r="BA581" s="28"/>
      <c r="BB581" s="28"/>
      <c r="BC581" s="28"/>
      <c r="BD581" s="28"/>
      <c r="BE581" s="28"/>
    </row>
    <row r="582" spans="1:57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  <c r="AV582" s="28"/>
      <c r="AW582" s="28"/>
      <c r="AX582" s="28"/>
      <c r="AY582" s="28"/>
      <c r="AZ582" s="28"/>
      <c r="BA582" s="28"/>
      <c r="BB582" s="28"/>
      <c r="BC582" s="28"/>
      <c r="BD582" s="28"/>
      <c r="BE582" s="28"/>
    </row>
    <row r="583" spans="1:57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  <c r="AV583" s="28"/>
      <c r="AW583" s="28"/>
      <c r="AX583" s="28"/>
      <c r="AY583" s="28"/>
      <c r="AZ583" s="28"/>
      <c r="BA583" s="28"/>
      <c r="BB583" s="28"/>
      <c r="BC583" s="28"/>
      <c r="BD583" s="28"/>
      <c r="BE583" s="28"/>
    </row>
    <row r="584" spans="1:57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  <c r="AV584" s="28"/>
      <c r="AW584" s="28"/>
      <c r="AX584" s="28"/>
      <c r="AY584" s="28"/>
      <c r="AZ584" s="28"/>
      <c r="BA584" s="28"/>
      <c r="BB584" s="28"/>
      <c r="BC584" s="28"/>
      <c r="BD584" s="28"/>
      <c r="BE584" s="28"/>
    </row>
    <row r="585" spans="1:57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  <c r="AV585" s="28"/>
      <c r="AW585" s="28"/>
      <c r="AX585" s="28"/>
      <c r="AY585" s="28"/>
      <c r="AZ585" s="28"/>
      <c r="BA585" s="28"/>
      <c r="BB585" s="28"/>
      <c r="BC585" s="28"/>
      <c r="BD585" s="28"/>
      <c r="BE585" s="28"/>
    </row>
    <row r="586" spans="1:57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  <c r="AV586" s="28"/>
      <c r="AW586" s="28"/>
      <c r="AX586" s="28"/>
      <c r="AY586" s="28"/>
      <c r="AZ586" s="28"/>
      <c r="BA586" s="28"/>
      <c r="BB586" s="28"/>
      <c r="BC586" s="28"/>
      <c r="BD586" s="28"/>
      <c r="BE586" s="28"/>
    </row>
    <row r="587" spans="1:57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  <c r="AV587" s="28"/>
      <c r="AW587" s="28"/>
      <c r="AX587" s="28"/>
      <c r="AY587" s="28"/>
      <c r="AZ587" s="28"/>
      <c r="BA587" s="28"/>
      <c r="BB587" s="28"/>
      <c r="BC587" s="28"/>
      <c r="BD587" s="28"/>
      <c r="BE587" s="28"/>
    </row>
    <row r="588" spans="1:57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  <c r="AV588" s="28"/>
      <c r="AW588" s="28"/>
      <c r="AX588" s="28"/>
      <c r="AY588" s="28"/>
      <c r="AZ588" s="28"/>
      <c r="BA588" s="28"/>
      <c r="BB588" s="28"/>
      <c r="BC588" s="28"/>
      <c r="BD588" s="28"/>
      <c r="BE588" s="28"/>
    </row>
    <row r="589" spans="1:57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  <c r="AV589" s="28"/>
      <c r="AW589" s="28"/>
      <c r="AX589" s="28"/>
      <c r="AY589" s="28"/>
      <c r="AZ589" s="28"/>
      <c r="BA589" s="28"/>
      <c r="BB589" s="28"/>
      <c r="BC589" s="28"/>
      <c r="BD589" s="28"/>
      <c r="BE589" s="28"/>
    </row>
    <row r="590" spans="1:57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  <c r="AV590" s="28"/>
      <c r="AW590" s="28"/>
      <c r="AX590" s="28"/>
      <c r="AY590" s="28"/>
      <c r="AZ590" s="28"/>
      <c r="BA590" s="28"/>
      <c r="BB590" s="28"/>
      <c r="BC590" s="28"/>
      <c r="BD590" s="28"/>
      <c r="BE590" s="28"/>
    </row>
    <row r="591" spans="1:57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  <c r="AV591" s="28"/>
      <c r="AW591" s="28"/>
      <c r="AX591" s="28"/>
      <c r="AY591" s="28"/>
      <c r="AZ591" s="28"/>
      <c r="BA591" s="28"/>
      <c r="BB591" s="28"/>
      <c r="BC591" s="28"/>
      <c r="BD591" s="28"/>
      <c r="BE591" s="28"/>
    </row>
    <row r="592" spans="1:57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  <c r="AV592" s="28"/>
      <c r="AW592" s="28"/>
      <c r="AX592" s="28"/>
      <c r="AY592" s="28"/>
      <c r="AZ592" s="28"/>
      <c r="BA592" s="28"/>
      <c r="BB592" s="28"/>
      <c r="BC592" s="28"/>
      <c r="BD592" s="28"/>
      <c r="BE592" s="28"/>
    </row>
    <row r="593" spans="1:57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  <c r="AV593" s="28"/>
      <c r="AW593" s="28"/>
      <c r="AX593" s="28"/>
      <c r="AY593" s="28"/>
      <c r="AZ593" s="28"/>
      <c r="BA593" s="28"/>
      <c r="BB593" s="28"/>
      <c r="BC593" s="28"/>
      <c r="BD593" s="28"/>
      <c r="BE593" s="28"/>
    </row>
    <row r="594" spans="1:57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  <c r="AV594" s="28"/>
      <c r="AW594" s="28"/>
      <c r="AX594" s="28"/>
      <c r="AY594" s="28"/>
      <c r="AZ594" s="28"/>
      <c r="BA594" s="28"/>
      <c r="BB594" s="28"/>
      <c r="BC594" s="28"/>
      <c r="BD594" s="28"/>
      <c r="BE594" s="28"/>
    </row>
    <row r="595" spans="1:57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  <c r="AV595" s="28"/>
      <c r="AW595" s="28"/>
      <c r="AX595" s="28"/>
      <c r="AY595" s="28"/>
      <c r="AZ595" s="28"/>
      <c r="BA595" s="28"/>
      <c r="BB595" s="28"/>
      <c r="BC595" s="28"/>
      <c r="BD595" s="28"/>
      <c r="BE595" s="28"/>
    </row>
    <row r="596" spans="1:57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  <c r="AV596" s="28"/>
      <c r="AW596" s="28"/>
      <c r="AX596" s="28"/>
      <c r="AY596" s="28"/>
      <c r="AZ596" s="28"/>
      <c r="BA596" s="28"/>
      <c r="BB596" s="28"/>
      <c r="BC596" s="28"/>
      <c r="BD596" s="28"/>
      <c r="BE596" s="28"/>
    </row>
    <row r="597" spans="1:57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  <c r="AV597" s="28"/>
      <c r="AW597" s="28"/>
      <c r="AX597" s="28"/>
      <c r="AY597" s="28"/>
      <c r="AZ597" s="28"/>
      <c r="BA597" s="28"/>
      <c r="BB597" s="28"/>
      <c r="BC597" s="28"/>
      <c r="BD597" s="28"/>
      <c r="BE597" s="28"/>
    </row>
    <row r="598" spans="1:57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  <c r="AV598" s="28"/>
      <c r="AW598" s="28"/>
      <c r="AX598" s="28"/>
      <c r="AY598" s="28"/>
      <c r="AZ598" s="28"/>
      <c r="BA598" s="28"/>
      <c r="BB598" s="28"/>
      <c r="BC598" s="28"/>
      <c r="BD598" s="28"/>
      <c r="BE598" s="28"/>
    </row>
    <row r="599" spans="1:57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  <c r="AV599" s="28"/>
      <c r="AW599" s="28"/>
      <c r="AX599" s="28"/>
      <c r="AY599" s="28"/>
      <c r="AZ599" s="28"/>
      <c r="BA599" s="28"/>
      <c r="BB599" s="28"/>
      <c r="BC599" s="28"/>
      <c r="BD599" s="28"/>
      <c r="BE599" s="28"/>
    </row>
    <row r="600" spans="1:57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  <c r="AV600" s="28"/>
      <c r="AW600" s="28"/>
      <c r="AX600" s="28"/>
      <c r="AY600" s="28"/>
      <c r="AZ600" s="28"/>
      <c r="BA600" s="28"/>
      <c r="BB600" s="28"/>
      <c r="BC600" s="28"/>
      <c r="BD600" s="28"/>
      <c r="BE600" s="28"/>
    </row>
    <row r="601" spans="1:57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  <c r="AV601" s="28"/>
      <c r="AW601" s="28"/>
      <c r="AX601" s="28"/>
      <c r="AY601" s="28"/>
      <c r="AZ601" s="28"/>
      <c r="BA601" s="28"/>
      <c r="BB601" s="28"/>
      <c r="BC601" s="28"/>
      <c r="BD601" s="28"/>
      <c r="BE601" s="28"/>
    </row>
    <row r="602" spans="1:57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  <c r="AV602" s="28"/>
      <c r="AW602" s="28"/>
      <c r="AX602" s="28"/>
      <c r="AY602" s="28"/>
      <c r="AZ602" s="28"/>
      <c r="BA602" s="28"/>
      <c r="BB602" s="28"/>
      <c r="BC602" s="28"/>
      <c r="BD602" s="28"/>
      <c r="BE602" s="28"/>
    </row>
    <row r="603" spans="1:57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  <c r="AV603" s="28"/>
      <c r="AW603" s="28"/>
      <c r="AX603" s="28"/>
      <c r="AY603" s="28"/>
      <c r="AZ603" s="28"/>
      <c r="BA603" s="28"/>
      <c r="BB603" s="28"/>
      <c r="BC603" s="28"/>
      <c r="BD603" s="28"/>
      <c r="BE603" s="28"/>
    </row>
    <row r="604" spans="1:57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  <c r="AV604" s="28"/>
      <c r="AW604" s="28"/>
      <c r="AX604" s="28"/>
      <c r="AY604" s="28"/>
      <c r="AZ604" s="28"/>
      <c r="BA604" s="28"/>
      <c r="BB604" s="28"/>
      <c r="BC604" s="28"/>
      <c r="BD604" s="28"/>
      <c r="BE604" s="28"/>
    </row>
    <row r="605" spans="1:57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  <c r="AV605" s="28"/>
      <c r="AW605" s="28"/>
      <c r="AX605" s="28"/>
      <c r="AY605" s="28"/>
      <c r="AZ605" s="28"/>
      <c r="BA605" s="28"/>
      <c r="BB605" s="28"/>
      <c r="BC605" s="28"/>
      <c r="BD605" s="28"/>
      <c r="BE605" s="28"/>
    </row>
    <row r="606" spans="1:57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  <c r="AV606" s="28"/>
      <c r="AW606" s="28"/>
      <c r="AX606" s="28"/>
      <c r="AY606" s="28"/>
      <c r="AZ606" s="28"/>
      <c r="BA606" s="28"/>
      <c r="BB606" s="28"/>
      <c r="BC606" s="28"/>
      <c r="BD606" s="28"/>
      <c r="BE606" s="28"/>
    </row>
    <row r="607" spans="1:57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  <c r="AV607" s="28"/>
      <c r="AW607" s="28"/>
      <c r="AX607" s="28"/>
      <c r="AY607" s="28"/>
      <c r="AZ607" s="28"/>
      <c r="BA607" s="28"/>
      <c r="BB607" s="28"/>
      <c r="BC607" s="28"/>
      <c r="BD607" s="28"/>
      <c r="BE607" s="28"/>
    </row>
    <row r="608" spans="1:57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  <c r="AV608" s="28"/>
      <c r="AW608" s="28"/>
      <c r="AX608" s="28"/>
      <c r="AY608" s="28"/>
      <c r="AZ608" s="28"/>
      <c r="BA608" s="28"/>
      <c r="BB608" s="28"/>
      <c r="BC608" s="28"/>
      <c r="BD608" s="28"/>
      <c r="BE608" s="28"/>
    </row>
    <row r="609" spans="1:57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  <c r="AV609" s="28"/>
      <c r="AW609" s="28"/>
      <c r="AX609" s="28"/>
      <c r="AY609" s="28"/>
      <c r="AZ609" s="28"/>
      <c r="BA609" s="28"/>
      <c r="BB609" s="28"/>
      <c r="BC609" s="28"/>
      <c r="BD609" s="28"/>
      <c r="BE609" s="28"/>
    </row>
    <row r="610" spans="1:57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  <c r="AV610" s="28"/>
      <c r="AW610" s="28"/>
      <c r="AX610" s="28"/>
      <c r="AY610" s="28"/>
      <c r="AZ610" s="28"/>
      <c r="BA610" s="28"/>
      <c r="BB610" s="28"/>
      <c r="BC610" s="28"/>
      <c r="BD610" s="28"/>
      <c r="BE610" s="28"/>
    </row>
    <row r="611" spans="1:57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  <c r="AV611" s="28"/>
      <c r="AW611" s="28"/>
      <c r="AX611" s="28"/>
      <c r="AY611" s="28"/>
      <c r="AZ611" s="28"/>
      <c r="BA611" s="28"/>
      <c r="BB611" s="28"/>
      <c r="BC611" s="28"/>
      <c r="BD611" s="28"/>
      <c r="BE611" s="28"/>
    </row>
    <row r="612" spans="1:57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  <c r="AV612" s="28"/>
      <c r="AW612" s="28"/>
      <c r="AX612" s="28"/>
      <c r="AY612" s="28"/>
      <c r="AZ612" s="28"/>
      <c r="BA612" s="28"/>
      <c r="BB612" s="28"/>
      <c r="BC612" s="28"/>
      <c r="BD612" s="28"/>
      <c r="BE612" s="28"/>
    </row>
    <row r="613" spans="1:57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  <c r="AV613" s="28"/>
      <c r="AW613" s="28"/>
      <c r="AX613" s="28"/>
      <c r="AY613" s="28"/>
      <c r="AZ613" s="28"/>
      <c r="BA613" s="28"/>
      <c r="BB613" s="28"/>
      <c r="BC613" s="28"/>
      <c r="BD613" s="28"/>
      <c r="BE613" s="28"/>
    </row>
    <row r="614" spans="1:57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  <c r="AV614" s="28"/>
      <c r="AW614" s="28"/>
      <c r="AX614" s="28"/>
      <c r="AY614" s="28"/>
      <c r="AZ614" s="28"/>
      <c r="BA614" s="28"/>
      <c r="BB614" s="28"/>
      <c r="BC614" s="28"/>
      <c r="BD614" s="28"/>
      <c r="BE614" s="28"/>
    </row>
    <row r="615" spans="1:57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  <c r="AV615" s="28"/>
      <c r="AW615" s="28"/>
      <c r="AX615" s="28"/>
      <c r="AY615" s="28"/>
      <c r="AZ615" s="28"/>
      <c r="BA615" s="28"/>
      <c r="BB615" s="28"/>
      <c r="BC615" s="28"/>
      <c r="BD615" s="28"/>
      <c r="BE615" s="28"/>
    </row>
    <row r="616" spans="1:57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  <c r="AV616" s="28"/>
      <c r="AW616" s="28"/>
      <c r="AX616" s="28"/>
      <c r="AY616" s="28"/>
      <c r="AZ616" s="28"/>
      <c r="BA616" s="28"/>
      <c r="BB616" s="28"/>
      <c r="BC616" s="28"/>
      <c r="BD616" s="28"/>
      <c r="BE616" s="28"/>
    </row>
    <row r="617" spans="1:57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  <c r="AV617" s="28"/>
      <c r="AW617" s="28"/>
      <c r="AX617" s="28"/>
      <c r="AY617" s="28"/>
      <c r="AZ617" s="28"/>
      <c r="BA617" s="28"/>
      <c r="BB617" s="28"/>
      <c r="BC617" s="28"/>
      <c r="BD617" s="28"/>
      <c r="BE617" s="28"/>
    </row>
    <row r="618" spans="1:57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  <c r="AV618" s="28"/>
      <c r="AW618" s="28"/>
      <c r="AX618" s="28"/>
      <c r="AY618" s="28"/>
      <c r="AZ618" s="28"/>
      <c r="BA618" s="28"/>
      <c r="BB618" s="28"/>
      <c r="BC618" s="28"/>
      <c r="BD618" s="28"/>
      <c r="BE618" s="28"/>
    </row>
    <row r="619" spans="1:57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  <c r="AV619" s="28"/>
      <c r="AW619" s="28"/>
      <c r="AX619" s="28"/>
      <c r="AY619" s="28"/>
      <c r="AZ619" s="28"/>
      <c r="BA619" s="28"/>
      <c r="BB619" s="28"/>
      <c r="BC619" s="28"/>
      <c r="BD619" s="28"/>
      <c r="BE619" s="28"/>
    </row>
    <row r="620" spans="1:57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  <c r="AV620" s="28"/>
      <c r="AW620" s="28"/>
      <c r="AX620" s="28"/>
      <c r="AY620" s="28"/>
      <c r="AZ620" s="28"/>
      <c r="BA620" s="28"/>
      <c r="BB620" s="28"/>
      <c r="BC620" s="28"/>
      <c r="BD620" s="28"/>
      <c r="BE620" s="28"/>
    </row>
    <row r="621" spans="1:57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  <c r="AV621" s="28"/>
      <c r="AW621" s="28"/>
      <c r="AX621" s="28"/>
      <c r="AY621" s="28"/>
      <c r="AZ621" s="28"/>
      <c r="BA621" s="28"/>
      <c r="BB621" s="28"/>
      <c r="BC621" s="28"/>
      <c r="BD621" s="28"/>
      <c r="BE621" s="28"/>
    </row>
    <row r="622" spans="1:57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  <c r="AV622" s="28"/>
      <c r="AW622" s="28"/>
      <c r="AX622" s="28"/>
      <c r="AY622" s="28"/>
      <c r="AZ622" s="28"/>
      <c r="BA622" s="28"/>
      <c r="BB622" s="28"/>
      <c r="BC622" s="28"/>
      <c r="BD622" s="28"/>
      <c r="BE622" s="28"/>
    </row>
    <row r="623" spans="1:57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  <c r="AV623" s="28"/>
      <c r="AW623" s="28"/>
      <c r="AX623" s="28"/>
      <c r="AY623" s="28"/>
      <c r="AZ623" s="28"/>
      <c r="BA623" s="28"/>
      <c r="BB623" s="28"/>
      <c r="BC623" s="28"/>
      <c r="BD623" s="28"/>
      <c r="BE623" s="28"/>
    </row>
    <row r="624" spans="1:57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  <c r="AV624" s="28"/>
      <c r="AW624" s="28"/>
      <c r="AX624" s="28"/>
      <c r="AY624" s="28"/>
      <c r="AZ624" s="28"/>
      <c r="BA624" s="28"/>
      <c r="BB624" s="28"/>
      <c r="BC624" s="28"/>
      <c r="BD624" s="28"/>
      <c r="BE624" s="28"/>
    </row>
    <row r="625" spans="1:57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  <c r="AV625" s="28"/>
      <c r="AW625" s="28"/>
      <c r="AX625" s="28"/>
      <c r="AY625" s="28"/>
      <c r="AZ625" s="28"/>
      <c r="BA625" s="28"/>
      <c r="BB625" s="28"/>
      <c r="BC625" s="28"/>
      <c r="BD625" s="28"/>
      <c r="BE625" s="28"/>
    </row>
    <row r="626" spans="1:57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  <c r="AV626" s="28"/>
      <c r="AW626" s="28"/>
      <c r="AX626" s="28"/>
      <c r="AY626" s="28"/>
      <c r="AZ626" s="28"/>
      <c r="BA626" s="28"/>
      <c r="BB626" s="28"/>
      <c r="BC626" s="28"/>
      <c r="BD626" s="28"/>
      <c r="BE626" s="28"/>
    </row>
    <row r="627" spans="1:57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  <c r="AV627" s="28"/>
      <c r="AW627" s="28"/>
      <c r="AX627" s="28"/>
      <c r="AY627" s="28"/>
      <c r="AZ627" s="28"/>
      <c r="BA627" s="28"/>
      <c r="BB627" s="28"/>
      <c r="BC627" s="28"/>
      <c r="BD627" s="28"/>
      <c r="BE627" s="28"/>
    </row>
    <row r="628" spans="1:57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  <c r="AV628" s="28"/>
      <c r="AW628" s="28"/>
      <c r="AX628" s="28"/>
      <c r="AY628" s="28"/>
      <c r="AZ628" s="28"/>
      <c r="BA628" s="28"/>
      <c r="BB628" s="28"/>
      <c r="BC628" s="28"/>
      <c r="BD628" s="28"/>
      <c r="BE628" s="28"/>
    </row>
    <row r="629" spans="1:57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  <c r="AV629" s="28"/>
      <c r="AW629" s="28"/>
      <c r="AX629" s="28"/>
      <c r="AY629" s="28"/>
      <c r="AZ629" s="28"/>
      <c r="BA629" s="28"/>
      <c r="BB629" s="28"/>
      <c r="BC629" s="28"/>
      <c r="BD629" s="28"/>
      <c r="BE629" s="28"/>
    </row>
    <row r="630" spans="1:57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  <c r="AV630" s="28"/>
      <c r="AW630" s="28"/>
      <c r="AX630" s="28"/>
      <c r="AY630" s="28"/>
      <c r="AZ630" s="28"/>
      <c r="BA630" s="28"/>
      <c r="BB630" s="28"/>
      <c r="BC630" s="28"/>
      <c r="BD630" s="28"/>
      <c r="BE630" s="28"/>
    </row>
    <row r="631" spans="1:57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  <c r="AV631" s="28"/>
      <c r="AW631" s="28"/>
      <c r="AX631" s="28"/>
      <c r="AY631" s="28"/>
      <c r="AZ631" s="28"/>
      <c r="BA631" s="28"/>
      <c r="BB631" s="28"/>
      <c r="BC631" s="28"/>
      <c r="BD631" s="28"/>
      <c r="BE631" s="28"/>
    </row>
    <row r="632" spans="1:57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  <c r="AV632" s="28"/>
      <c r="AW632" s="28"/>
      <c r="AX632" s="28"/>
      <c r="AY632" s="28"/>
      <c r="AZ632" s="28"/>
      <c r="BA632" s="28"/>
      <c r="BB632" s="28"/>
      <c r="BC632" s="28"/>
      <c r="BD632" s="28"/>
      <c r="BE632" s="28"/>
    </row>
    <row r="633" spans="1:57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  <c r="AV633" s="28"/>
      <c r="AW633" s="28"/>
      <c r="AX633" s="28"/>
      <c r="AY633" s="28"/>
      <c r="AZ633" s="28"/>
      <c r="BA633" s="28"/>
      <c r="BB633" s="28"/>
      <c r="BC633" s="28"/>
      <c r="BD633" s="28"/>
      <c r="BE633" s="28"/>
    </row>
    <row r="634" spans="1:57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  <c r="AV634" s="28"/>
      <c r="AW634" s="28"/>
      <c r="AX634" s="28"/>
      <c r="AY634" s="28"/>
      <c r="AZ634" s="28"/>
      <c r="BA634" s="28"/>
      <c r="BB634" s="28"/>
      <c r="BC634" s="28"/>
      <c r="BD634" s="28"/>
      <c r="BE634" s="28"/>
    </row>
    <row r="635" spans="1:57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  <c r="AV635" s="28"/>
      <c r="AW635" s="28"/>
      <c r="AX635" s="28"/>
      <c r="AY635" s="28"/>
      <c r="AZ635" s="28"/>
      <c r="BA635" s="28"/>
      <c r="BB635" s="28"/>
      <c r="BC635" s="28"/>
      <c r="BD635" s="28"/>
      <c r="BE635" s="28"/>
    </row>
    <row r="636" spans="1:57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  <c r="AV636" s="28"/>
      <c r="AW636" s="28"/>
      <c r="AX636" s="28"/>
      <c r="AY636" s="28"/>
      <c r="AZ636" s="28"/>
      <c r="BA636" s="28"/>
      <c r="BB636" s="28"/>
      <c r="BC636" s="28"/>
      <c r="BD636" s="28"/>
      <c r="BE636" s="28"/>
    </row>
    <row r="637" spans="1:57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  <c r="AV637" s="28"/>
      <c r="AW637" s="28"/>
      <c r="AX637" s="28"/>
      <c r="AY637" s="28"/>
      <c r="AZ637" s="28"/>
      <c r="BA637" s="28"/>
      <c r="BB637" s="28"/>
      <c r="BC637" s="28"/>
      <c r="BD637" s="28"/>
      <c r="BE637" s="28"/>
    </row>
    <row r="638" spans="1:57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  <c r="AV638" s="28"/>
      <c r="AW638" s="28"/>
      <c r="AX638" s="28"/>
      <c r="AY638" s="28"/>
      <c r="AZ638" s="28"/>
      <c r="BA638" s="28"/>
      <c r="BB638" s="28"/>
      <c r="BC638" s="28"/>
      <c r="BD638" s="28"/>
      <c r="BE638" s="28"/>
    </row>
    <row r="639" spans="1:57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  <c r="AV639" s="28"/>
      <c r="AW639" s="28"/>
      <c r="AX639" s="28"/>
      <c r="AY639" s="28"/>
      <c r="AZ639" s="28"/>
      <c r="BA639" s="28"/>
      <c r="BB639" s="28"/>
      <c r="BC639" s="28"/>
      <c r="BD639" s="28"/>
      <c r="BE639" s="28"/>
    </row>
    <row r="640" spans="1:57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  <c r="AV640" s="28"/>
      <c r="AW640" s="28"/>
      <c r="AX640" s="28"/>
      <c r="AY640" s="28"/>
      <c r="AZ640" s="28"/>
      <c r="BA640" s="28"/>
      <c r="BB640" s="28"/>
      <c r="BC640" s="28"/>
      <c r="BD640" s="28"/>
      <c r="BE640" s="28"/>
    </row>
    <row r="641" spans="1:57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  <c r="AV641" s="28"/>
      <c r="AW641" s="28"/>
      <c r="AX641" s="28"/>
      <c r="AY641" s="28"/>
      <c r="AZ641" s="28"/>
      <c r="BA641" s="28"/>
      <c r="BB641" s="28"/>
      <c r="BC641" s="28"/>
      <c r="BD641" s="28"/>
      <c r="BE641" s="28"/>
    </row>
    <row r="642" spans="1:57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  <c r="AV642" s="28"/>
      <c r="AW642" s="28"/>
      <c r="AX642" s="28"/>
      <c r="AY642" s="28"/>
      <c r="AZ642" s="28"/>
      <c r="BA642" s="28"/>
      <c r="BB642" s="28"/>
      <c r="BC642" s="28"/>
      <c r="BD642" s="28"/>
      <c r="BE642" s="28"/>
    </row>
    <row r="643" spans="1:57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  <c r="AV643" s="28"/>
      <c r="AW643" s="28"/>
      <c r="AX643" s="28"/>
      <c r="AY643" s="28"/>
      <c r="AZ643" s="28"/>
      <c r="BA643" s="28"/>
      <c r="BB643" s="28"/>
      <c r="BC643" s="28"/>
      <c r="BD643" s="28"/>
      <c r="BE643" s="28"/>
    </row>
    <row r="644" spans="1:57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  <c r="AV644" s="28"/>
      <c r="AW644" s="28"/>
      <c r="AX644" s="28"/>
      <c r="AY644" s="28"/>
      <c r="AZ644" s="28"/>
      <c r="BA644" s="28"/>
      <c r="BB644" s="28"/>
      <c r="BC644" s="28"/>
      <c r="BD644" s="28"/>
      <c r="BE644" s="28"/>
    </row>
    <row r="645" spans="1:57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  <c r="AV645" s="28"/>
      <c r="AW645" s="28"/>
      <c r="AX645" s="28"/>
      <c r="AY645" s="28"/>
      <c r="AZ645" s="28"/>
      <c r="BA645" s="28"/>
      <c r="BB645" s="28"/>
      <c r="BC645" s="28"/>
      <c r="BD645" s="28"/>
      <c r="BE645" s="28"/>
    </row>
    <row r="646" spans="1:57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  <c r="AV646" s="28"/>
      <c r="AW646" s="28"/>
      <c r="AX646" s="28"/>
      <c r="AY646" s="28"/>
      <c r="AZ646" s="28"/>
      <c r="BA646" s="28"/>
      <c r="BB646" s="28"/>
      <c r="BC646" s="28"/>
      <c r="BD646" s="28"/>
      <c r="BE646" s="28"/>
    </row>
    <row r="647" spans="1:57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  <c r="AV647" s="28"/>
      <c r="AW647" s="28"/>
      <c r="AX647" s="28"/>
      <c r="AY647" s="28"/>
      <c r="AZ647" s="28"/>
      <c r="BA647" s="28"/>
      <c r="BB647" s="28"/>
      <c r="BC647" s="28"/>
      <c r="BD647" s="28"/>
      <c r="BE647" s="28"/>
    </row>
    <row r="648" spans="1:57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  <c r="AV648" s="28"/>
      <c r="AW648" s="28"/>
      <c r="AX648" s="28"/>
      <c r="AY648" s="28"/>
      <c r="AZ648" s="28"/>
      <c r="BA648" s="28"/>
      <c r="BB648" s="28"/>
      <c r="BC648" s="28"/>
      <c r="BD648" s="28"/>
      <c r="BE648" s="28"/>
    </row>
    <row r="649" spans="1:57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  <c r="AV649" s="28"/>
      <c r="AW649" s="28"/>
      <c r="AX649" s="28"/>
      <c r="AY649" s="28"/>
      <c r="AZ649" s="28"/>
      <c r="BA649" s="28"/>
      <c r="BB649" s="28"/>
      <c r="BC649" s="28"/>
      <c r="BD649" s="28"/>
      <c r="BE649" s="28"/>
    </row>
    <row r="650" spans="1:57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  <c r="AV650" s="28"/>
      <c r="AW650" s="28"/>
      <c r="AX650" s="28"/>
      <c r="AY650" s="28"/>
      <c r="AZ650" s="28"/>
      <c r="BA650" s="28"/>
      <c r="BB650" s="28"/>
      <c r="BC650" s="28"/>
      <c r="BD650" s="28"/>
      <c r="BE650" s="28"/>
    </row>
    <row r="651" spans="1:57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  <c r="AV651" s="28"/>
      <c r="AW651" s="28"/>
      <c r="AX651" s="28"/>
      <c r="AY651" s="28"/>
      <c r="AZ651" s="28"/>
      <c r="BA651" s="28"/>
      <c r="BB651" s="28"/>
      <c r="BC651" s="28"/>
      <c r="BD651" s="28"/>
      <c r="BE651" s="28"/>
    </row>
    <row r="652" spans="1:57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  <c r="AV652" s="28"/>
      <c r="AW652" s="28"/>
      <c r="AX652" s="28"/>
      <c r="AY652" s="28"/>
      <c r="AZ652" s="28"/>
      <c r="BA652" s="28"/>
      <c r="BB652" s="28"/>
      <c r="BC652" s="28"/>
      <c r="BD652" s="28"/>
      <c r="BE652" s="28"/>
    </row>
    <row r="653" spans="1:57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  <c r="AV653" s="28"/>
      <c r="AW653" s="28"/>
      <c r="AX653" s="28"/>
      <c r="AY653" s="28"/>
      <c r="AZ653" s="28"/>
      <c r="BA653" s="28"/>
      <c r="BB653" s="28"/>
      <c r="BC653" s="28"/>
      <c r="BD653" s="28"/>
      <c r="BE653" s="28"/>
    </row>
    <row r="654" spans="1:57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</row>
    <row r="655" spans="1:57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  <c r="AV655" s="28"/>
      <c r="AW655" s="28"/>
      <c r="AX655" s="28"/>
      <c r="AY655" s="28"/>
      <c r="AZ655" s="28"/>
      <c r="BA655" s="28"/>
      <c r="BB655" s="28"/>
      <c r="BC655" s="28"/>
      <c r="BD655" s="28"/>
      <c r="BE655" s="28"/>
    </row>
    <row r="656" spans="1:57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  <c r="AV656" s="28"/>
      <c r="AW656" s="28"/>
      <c r="AX656" s="28"/>
      <c r="AY656" s="28"/>
      <c r="AZ656" s="28"/>
      <c r="BA656" s="28"/>
      <c r="BB656" s="28"/>
      <c r="BC656" s="28"/>
      <c r="BD656" s="28"/>
      <c r="BE656" s="28"/>
    </row>
    <row r="657" spans="1:57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  <c r="AV657" s="28"/>
      <c r="AW657" s="28"/>
      <c r="AX657" s="28"/>
      <c r="AY657" s="28"/>
      <c r="AZ657" s="28"/>
      <c r="BA657" s="28"/>
      <c r="BB657" s="28"/>
      <c r="BC657" s="28"/>
      <c r="BD657" s="28"/>
      <c r="BE657" s="28"/>
    </row>
    <row r="658" spans="1:57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  <c r="AV658" s="28"/>
      <c r="AW658" s="28"/>
      <c r="AX658" s="28"/>
      <c r="AY658" s="28"/>
      <c r="AZ658" s="28"/>
      <c r="BA658" s="28"/>
      <c r="BB658" s="28"/>
      <c r="BC658" s="28"/>
      <c r="BD658" s="28"/>
      <c r="BE658" s="28"/>
    </row>
    <row r="659" spans="1:57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  <c r="AV659" s="28"/>
      <c r="AW659" s="28"/>
      <c r="AX659" s="28"/>
      <c r="AY659" s="28"/>
      <c r="AZ659" s="28"/>
      <c r="BA659" s="28"/>
      <c r="BB659" s="28"/>
      <c r="BC659" s="28"/>
      <c r="BD659" s="28"/>
      <c r="BE659" s="28"/>
    </row>
    <row r="660" spans="1:57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  <c r="AV660" s="28"/>
      <c r="AW660" s="28"/>
      <c r="AX660" s="28"/>
      <c r="AY660" s="28"/>
      <c r="AZ660" s="28"/>
      <c r="BA660" s="28"/>
      <c r="BB660" s="28"/>
      <c r="BC660" s="28"/>
      <c r="BD660" s="28"/>
      <c r="BE660" s="28"/>
    </row>
    <row r="661" spans="1:57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  <c r="AV661" s="28"/>
      <c r="AW661" s="28"/>
      <c r="AX661" s="28"/>
      <c r="AY661" s="28"/>
      <c r="AZ661" s="28"/>
      <c r="BA661" s="28"/>
      <c r="BB661" s="28"/>
      <c r="BC661" s="28"/>
      <c r="BD661" s="28"/>
      <c r="BE661" s="28"/>
    </row>
    <row r="662" spans="1:57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  <c r="AV662" s="28"/>
      <c r="AW662" s="28"/>
      <c r="AX662" s="28"/>
      <c r="AY662" s="28"/>
      <c r="AZ662" s="28"/>
      <c r="BA662" s="28"/>
      <c r="BB662" s="28"/>
      <c r="BC662" s="28"/>
      <c r="BD662" s="28"/>
      <c r="BE662" s="28"/>
    </row>
    <row r="663" spans="1:57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  <c r="AV663" s="28"/>
      <c r="AW663" s="28"/>
      <c r="AX663" s="28"/>
      <c r="AY663" s="28"/>
      <c r="AZ663" s="28"/>
      <c r="BA663" s="28"/>
      <c r="BB663" s="28"/>
      <c r="BC663" s="28"/>
      <c r="BD663" s="28"/>
      <c r="BE663" s="28"/>
    </row>
    <row r="664" spans="1:57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  <c r="AV664" s="28"/>
      <c r="AW664" s="28"/>
      <c r="AX664" s="28"/>
      <c r="AY664" s="28"/>
      <c r="AZ664" s="28"/>
      <c r="BA664" s="28"/>
      <c r="BB664" s="28"/>
      <c r="BC664" s="28"/>
      <c r="BD664" s="28"/>
      <c r="BE664" s="28"/>
    </row>
    <row r="665" spans="1:57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  <c r="AV665" s="28"/>
      <c r="AW665" s="28"/>
      <c r="AX665" s="28"/>
      <c r="AY665" s="28"/>
      <c r="AZ665" s="28"/>
      <c r="BA665" s="28"/>
      <c r="BB665" s="28"/>
      <c r="BC665" s="28"/>
      <c r="BD665" s="28"/>
      <c r="BE665" s="28"/>
    </row>
    <row r="666" spans="1:57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  <c r="AV666" s="28"/>
      <c r="AW666" s="28"/>
      <c r="AX666" s="28"/>
      <c r="AY666" s="28"/>
      <c r="AZ666" s="28"/>
      <c r="BA666" s="28"/>
      <c r="BB666" s="28"/>
      <c r="BC666" s="28"/>
      <c r="BD666" s="28"/>
      <c r="BE666" s="28"/>
    </row>
    <row r="667" spans="1:57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  <c r="AV667" s="28"/>
      <c r="AW667" s="28"/>
      <c r="AX667" s="28"/>
      <c r="AY667" s="28"/>
      <c r="AZ667" s="28"/>
      <c r="BA667" s="28"/>
      <c r="BB667" s="28"/>
      <c r="BC667" s="28"/>
      <c r="BD667" s="28"/>
      <c r="BE667" s="28"/>
    </row>
    <row r="668" spans="1:57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  <c r="AV668" s="28"/>
      <c r="AW668" s="28"/>
      <c r="AX668" s="28"/>
      <c r="AY668" s="28"/>
      <c r="AZ668" s="28"/>
      <c r="BA668" s="28"/>
      <c r="BB668" s="28"/>
      <c r="BC668" s="28"/>
      <c r="BD668" s="28"/>
      <c r="BE668" s="28"/>
    </row>
    <row r="669" spans="1:57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  <c r="AV669" s="28"/>
      <c r="AW669" s="28"/>
      <c r="AX669" s="28"/>
      <c r="AY669" s="28"/>
      <c r="AZ669" s="28"/>
      <c r="BA669" s="28"/>
      <c r="BB669" s="28"/>
      <c r="BC669" s="28"/>
      <c r="BD669" s="28"/>
      <c r="BE669" s="28"/>
    </row>
    <row r="670" spans="1:57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  <c r="AV670" s="28"/>
      <c r="AW670" s="28"/>
      <c r="AX670" s="28"/>
      <c r="AY670" s="28"/>
      <c r="AZ670" s="28"/>
      <c r="BA670" s="28"/>
      <c r="BB670" s="28"/>
      <c r="BC670" s="28"/>
      <c r="BD670" s="28"/>
      <c r="BE670" s="28"/>
    </row>
    <row r="671" spans="1:57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  <c r="AV671" s="28"/>
      <c r="AW671" s="28"/>
      <c r="AX671" s="28"/>
      <c r="AY671" s="28"/>
      <c r="AZ671" s="28"/>
      <c r="BA671" s="28"/>
      <c r="BB671" s="28"/>
      <c r="BC671" s="28"/>
      <c r="BD671" s="28"/>
      <c r="BE671" s="28"/>
    </row>
    <row r="672" spans="1:57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  <c r="AV672" s="28"/>
      <c r="AW672" s="28"/>
      <c r="AX672" s="28"/>
      <c r="AY672" s="28"/>
      <c r="AZ672" s="28"/>
      <c r="BA672" s="28"/>
      <c r="BB672" s="28"/>
      <c r="BC672" s="28"/>
      <c r="BD672" s="28"/>
      <c r="BE672" s="28"/>
    </row>
    <row r="673" spans="1:57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  <c r="AV673" s="28"/>
      <c r="AW673" s="28"/>
      <c r="AX673" s="28"/>
      <c r="AY673" s="28"/>
      <c r="AZ673" s="28"/>
      <c r="BA673" s="28"/>
      <c r="BB673" s="28"/>
      <c r="BC673" s="28"/>
      <c r="BD673" s="28"/>
      <c r="BE673" s="28"/>
    </row>
    <row r="674" spans="1:57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  <c r="AV674" s="28"/>
      <c r="AW674" s="28"/>
      <c r="AX674" s="28"/>
      <c r="AY674" s="28"/>
      <c r="AZ674" s="28"/>
      <c r="BA674" s="28"/>
      <c r="BB674" s="28"/>
      <c r="BC674" s="28"/>
      <c r="BD674" s="28"/>
      <c r="BE674" s="28"/>
    </row>
    <row r="675" spans="1:57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  <c r="AV675" s="28"/>
      <c r="AW675" s="28"/>
      <c r="AX675" s="28"/>
      <c r="AY675" s="28"/>
      <c r="AZ675" s="28"/>
      <c r="BA675" s="28"/>
      <c r="BB675" s="28"/>
      <c r="BC675" s="28"/>
      <c r="BD675" s="28"/>
      <c r="BE675" s="28"/>
    </row>
    <row r="676" spans="1:57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  <c r="AV676" s="28"/>
      <c r="AW676" s="28"/>
      <c r="AX676" s="28"/>
      <c r="AY676" s="28"/>
      <c r="AZ676" s="28"/>
      <c r="BA676" s="28"/>
      <c r="BB676" s="28"/>
      <c r="BC676" s="28"/>
      <c r="BD676" s="28"/>
      <c r="BE676" s="28"/>
    </row>
    <row r="677" spans="1:57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  <c r="AV677" s="28"/>
      <c r="AW677" s="28"/>
      <c r="AX677" s="28"/>
      <c r="AY677" s="28"/>
      <c r="AZ677" s="28"/>
      <c r="BA677" s="28"/>
      <c r="BB677" s="28"/>
      <c r="BC677" s="28"/>
      <c r="BD677" s="28"/>
      <c r="BE677" s="28"/>
    </row>
    <row r="678" spans="1:57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  <c r="AV678" s="28"/>
      <c r="AW678" s="28"/>
      <c r="AX678" s="28"/>
      <c r="AY678" s="28"/>
      <c r="AZ678" s="28"/>
      <c r="BA678" s="28"/>
      <c r="BB678" s="28"/>
      <c r="BC678" s="28"/>
      <c r="BD678" s="28"/>
      <c r="BE678" s="28"/>
    </row>
    <row r="679" spans="1:57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  <c r="AV679" s="28"/>
      <c r="AW679" s="28"/>
      <c r="AX679" s="28"/>
      <c r="AY679" s="28"/>
      <c r="AZ679" s="28"/>
      <c r="BA679" s="28"/>
      <c r="BB679" s="28"/>
      <c r="BC679" s="28"/>
      <c r="BD679" s="28"/>
      <c r="BE679" s="28"/>
    </row>
    <row r="680" spans="1:57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  <c r="AV680" s="28"/>
      <c r="AW680" s="28"/>
      <c r="AX680" s="28"/>
      <c r="AY680" s="28"/>
      <c r="AZ680" s="28"/>
      <c r="BA680" s="28"/>
      <c r="BB680" s="28"/>
      <c r="BC680" s="28"/>
      <c r="BD680" s="28"/>
      <c r="BE680" s="28"/>
    </row>
    <row r="681" spans="1:57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  <c r="AV681" s="28"/>
      <c r="AW681" s="28"/>
      <c r="AX681" s="28"/>
      <c r="AY681" s="28"/>
      <c r="AZ681" s="28"/>
      <c r="BA681" s="28"/>
      <c r="BB681" s="28"/>
      <c r="BC681" s="28"/>
      <c r="BD681" s="28"/>
      <c r="BE681" s="28"/>
    </row>
    <row r="682" spans="1:57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  <c r="AV682" s="28"/>
      <c r="AW682" s="28"/>
      <c r="AX682" s="28"/>
      <c r="AY682" s="28"/>
      <c r="AZ682" s="28"/>
      <c r="BA682" s="28"/>
      <c r="BB682" s="28"/>
      <c r="BC682" s="28"/>
      <c r="BD682" s="28"/>
      <c r="BE682" s="28"/>
    </row>
    <row r="683" spans="1:57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  <c r="AV683" s="28"/>
      <c r="AW683" s="28"/>
      <c r="AX683" s="28"/>
      <c r="AY683" s="28"/>
      <c r="AZ683" s="28"/>
      <c r="BA683" s="28"/>
      <c r="BB683" s="28"/>
      <c r="BC683" s="28"/>
      <c r="BD683" s="28"/>
      <c r="BE683" s="28"/>
    </row>
    <row r="684" spans="1:57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  <c r="AV684" s="28"/>
      <c r="AW684" s="28"/>
      <c r="AX684" s="28"/>
      <c r="AY684" s="28"/>
      <c r="AZ684" s="28"/>
      <c r="BA684" s="28"/>
      <c r="BB684" s="28"/>
      <c r="BC684" s="28"/>
      <c r="BD684" s="28"/>
      <c r="BE684" s="28"/>
    </row>
    <row r="685" spans="1:57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  <c r="AV685" s="28"/>
      <c r="AW685" s="28"/>
      <c r="AX685" s="28"/>
      <c r="AY685" s="28"/>
      <c r="AZ685" s="28"/>
      <c r="BA685" s="28"/>
      <c r="BB685" s="28"/>
      <c r="BC685" s="28"/>
      <c r="BD685" s="28"/>
      <c r="BE685" s="28"/>
    </row>
    <row r="686" spans="1:57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  <c r="AV686" s="28"/>
      <c r="AW686" s="28"/>
      <c r="AX686" s="28"/>
      <c r="AY686" s="28"/>
      <c r="AZ686" s="28"/>
      <c r="BA686" s="28"/>
      <c r="BB686" s="28"/>
      <c r="BC686" s="28"/>
      <c r="BD686" s="28"/>
      <c r="BE686" s="28"/>
    </row>
    <row r="687" spans="1:57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  <c r="AV687" s="28"/>
      <c r="AW687" s="28"/>
      <c r="AX687" s="28"/>
      <c r="AY687" s="28"/>
      <c r="AZ687" s="28"/>
      <c r="BA687" s="28"/>
      <c r="BB687" s="28"/>
      <c r="BC687" s="28"/>
      <c r="BD687" s="28"/>
      <c r="BE687" s="28"/>
    </row>
    <row r="688" spans="1:57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  <c r="AV688" s="28"/>
      <c r="AW688" s="28"/>
      <c r="AX688" s="28"/>
      <c r="AY688" s="28"/>
      <c r="AZ688" s="28"/>
      <c r="BA688" s="28"/>
      <c r="BB688" s="28"/>
      <c r="BC688" s="28"/>
      <c r="BD688" s="28"/>
      <c r="BE688" s="28"/>
    </row>
    <row r="689" spans="1:57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  <c r="AV689" s="28"/>
      <c r="AW689" s="28"/>
      <c r="AX689" s="28"/>
      <c r="AY689" s="28"/>
      <c r="AZ689" s="28"/>
      <c r="BA689" s="28"/>
      <c r="BB689" s="28"/>
      <c r="BC689" s="28"/>
      <c r="BD689" s="28"/>
      <c r="BE689" s="28"/>
    </row>
    <row r="690" spans="1:57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  <c r="AV690" s="28"/>
      <c r="AW690" s="28"/>
      <c r="AX690" s="28"/>
      <c r="AY690" s="28"/>
      <c r="AZ690" s="28"/>
      <c r="BA690" s="28"/>
      <c r="BB690" s="28"/>
      <c r="BC690" s="28"/>
      <c r="BD690" s="28"/>
      <c r="BE690" s="28"/>
    </row>
    <row r="691" spans="1:57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  <c r="AV691" s="28"/>
      <c r="AW691" s="28"/>
      <c r="AX691" s="28"/>
      <c r="AY691" s="28"/>
      <c r="AZ691" s="28"/>
      <c r="BA691" s="28"/>
      <c r="BB691" s="28"/>
      <c r="BC691" s="28"/>
      <c r="BD691" s="28"/>
      <c r="BE691" s="28"/>
    </row>
    <row r="692" spans="1:57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  <c r="AV692" s="28"/>
      <c r="AW692" s="28"/>
      <c r="AX692" s="28"/>
      <c r="AY692" s="28"/>
      <c r="AZ692" s="28"/>
      <c r="BA692" s="28"/>
      <c r="BB692" s="28"/>
      <c r="BC692" s="28"/>
      <c r="BD692" s="28"/>
      <c r="BE692" s="28"/>
    </row>
    <row r="693" spans="1:57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  <c r="AV693" s="28"/>
      <c r="AW693" s="28"/>
      <c r="AX693" s="28"/>
      <c r="AY693" s="28"/>
      <c r="AZ693" s="28"/>
      <c r="BA693" s="28"/>
      <c r="BB693" s="28"/>
      <c r="BC693" s="28"/>
      <c r="BD693" s="28"/>
      <c r="BE693" s="28"/>
    </row>
    <row r="694" spans="1:57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  <c r="AV694" s="28"/>
      <c r="AW694" s="28"/>
      <c r="AX694" s="28"/>
      <c r="AY694" s="28"/>
      <c r="AZ694" s="28"/>
      <c r="BA694" s="28"/>
      <c r="BB694" s="28"/>
      <c r="BC694" s="28"/>
      <c r="BD694" s="28"/>
      <c r="BE694" s="28"/>
    </row>
    <row r="695" spans="1:57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  <c r="AV695" s="28"/>
      <c r="AW695" s="28"/>
      <c r="AX695" s="28"/>
      <c r="AY695" s="28"/>
      <c r="AZ695" s="28"/>
      <c r="BA695" s="28"/>
      <c r="BB695" s="28"/>
      <c r="BC695" s="28"/>
      <c r="BD695" s="28"/>
      <c r="BE695" s="28"/>
    </row>
    <row r="696" spans="1:57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  <c r="AV696" s="28"/>
      <c r="AW696" s="28"/>
      <c r="AX696" s="28"/>
      <c r="AY696" s="28"/>
      <c r="AZ696" s="28"/>
      <c r="BA696" s="28"/>
      <c r="BB696" s="28"/>
      <c r="BC696" s="28"/>
      <c r="BD696" s="28"/>
      <c r="BE696" s="28"/>
    </row>
    <row r="697" spans="1:57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  <c r="AV697" s="28"/>
      <c r="AW697" s="28"/>
      <c r="AX697" s="28"/>
      <c r="AY697" s="28"/>
      <c r="AZ697" s="28"/>
      <c r="BA697" s="28"/>
      <c r="BB697" s="28"/>
      <c r="BC697" s="28"/>
      <c r="BD697" s="28"/>
      <c r="BE697" s="28"/>
    </row>
    <row r="698" spans="1:57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  <c r="AV698" s="28"/>
      <c r="AW698" s="28"/>
      <c r="AX698" s="28"/>
      <c r="AY698" s="28"/>
      <c r="AZ698" s="28"/>
      <c r="BA698" s="28"/>
      <c r="BB698" s="28"/>
      <c r="BC698" s="28"/>
      <c r="BD698" s="28"/>
      <c r="BE698" s="28"/>
    </row>
    <row r="699" spans="1:57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  <c r="AV699" s="28"/>
      <c r="AW699" s="28"/>
      <c r="AX699" s="28"/>
      <c r="AY699" s="28"/>
      <c r="AZ699" s="28"/>
      <c r="BA699" s="28"/>
      <c r="BB699" s="28"/>
      <c r="BC699" s="28"/>
      <c r="BD699" s="28"/>
      <c r="BE699" s="28"/>
    </row>
    <row r="700" spans="1:57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  <c r="AV700" s="28"/>
      <c r="AW700" s="28"/>
      <c r="AX700" s="28"/>
      <c r="AY700" s="28"/>
      <c r="AZ700" s="28"/>
      <c r="BA700" s="28"/>
      <c r="BB700" s="28"/>
      <c r="BC700" s="28"/>
      <c r="BD700" s="28"/>
      <c r="BE700" s="28"/>
    </row>
    <row r="701" spans="1:57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  <c r="AV701" s="28"/>
      <c r="AW701" s="28"/>
      <c r="AX701" s="28"/>
      <c r="AY701" s="28"/>
      <c r="AZ701" s="28"/>
      <c r="BA701" s="28"/>
      <c r="BB701" s="28"/>
      <c r="BC701" s="28"/>
      <c r="BD701" s="28"/>
      <c r="BE701" s="28"/>
    </row>
    <row r="702" spans="1:57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  <c r="AV702" s="28"/>
      <c r="AW702" s="28"/>
      <c r="AX702" s="28"/>
      <c r="AY702" s="28"/>
      <c r="AZ702" s="28"/>
      <c r="BA702" s="28"/>
      <c r="BB702" s="28"/>
      <c r="BC702" s="28"/>
      <c r="BD702" s="28"/>
      <c r="BE702" s="28"/>
    </row>
    <row r="703" spans="1:57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  <c r="AV703" s="28"/>
      <c r="AW703" s="28"/>
      <c r="AX703" s="28"/>
      <c r="AY703" s="28"/>
      <c r="AZ703" s="28"/>
      <c r="BA703" s="28"/>
      <c r="BB703" s="28"/>
      <c r="BC703" s="28"/>
      <c r="BD703" s="28"/>
      <c r="BE703" s="28"/>
    </row>
    <row r="704" spans="1:57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  <c r="AV704" s="28"/>
      <c r="AW704" s="28"/>
      <c r="AX704" s="28"/>
      <c r="AY704" s="28"/>
      <c r="AZ704" s="28"/>
      <c r="BA704" s="28"/>
      <c r="BB704" s="28"/>
      <c r="BC704" s="28"/>
      <c r="BD704" s="28"/>
      <c r="BE704" s="28"/>
    </row>
    <row r="705" spans="1:57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  <c r="AV705" s="28"/>
      <c r="AW705" s="28"/>
      <c r="AX705" s="28"/>
      <c r="AY705" s="28"/>
      <c r="AZ705" s="28"/>
      <c r="BA705" s="28"/>
      <c r="BB705" s="28"/>
      <c r="BC705" s="28"/>
      <c r="BD705" s="28"/>
      <c r="BE705" s="28"/>
    </row>
    <row r="706" spans="1:57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  <c r="AV706" s="28"/>
      <c r="AW706" s="28"/>
      <c r="AX706" s="28"/>
      <c r="AY706" s="28"/>
      <c r="AZ706" s="28"/>
      <c r="BA706" s="28"/>
      <c r="BB706" s="28"/>
      <c r="BC706" s="28"/>
      <c r="BD706" s="28"/>
      <c r="BE706" s="28"/>
    </row>
    <row r="707" spans="1:57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  <c r="AV707" s="28"/>
      <c r="AW707" s="28"/>
      <c r="AX707" s="28"/>
      <c r="AY707" s="28"/>
      <c r="AZ707" s="28"/>
      <c r="BA707" s="28"/>
      <c r="BB707" s="28"/>
      <c r="BC707" s="28"/>
      <c r="BD707" s="28"/>
      <c r="BE707" s="28"/>
    </row>
    <row r="708" spans="1:57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  <c r="AV708" s="28"/>
      <c r="AW708" s="28"/>
      <c r="AX708" s="28"/>
      <c r="AY708" s="28"/>
      <c r="AZ708" s="28"/>
      <c r="BA708" s="28"/>
      <c r="BB708" s="28"/>
      <c r="BC708" s="28"/>
      <c r="BD708" s="28"/>
      <c r="BE708" s="28"/>
    </row>
    <row r="709" spans="1:57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  <c r="AV709" s="28"/>
      <c r="AW709" s="28"/>
      <c r="AX709" s="28"/>
      <c r="AY709" s="28"/>
      <c r="AZ709" s="28"/>
      <c r="BA709" s="28"/>
      <c r="BB709" s="28"/>
      <c r="BC709" s="28"/>
      <c r="BD709" s="28"/>
      <c r="BE709" s="28"/>
    </row>
    <row r="710" spans="1:57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  <c r="AV710" s="28"/>
      <c r="AW710" s="28"/>
      <c r="AX710" s="28"/>
      <c r="AY710" s="28"/>
      <c r="AZ710" s="28"/>
      <c r="BA710" s="28"/>
      <c r="BB710" s="28"/>
      <c r="BC710" s="28"/>
      <c r="BD710" s="28"/>
      <c r="BE710" s="28"/>
    </row>
    <row r="711" spans="1:57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  <c r="AV711" s="28"/>
      <c r="AW711" s="28"/>
      <c r="AX711" s="28"/>
      <c r="AY711" s="28"/>
      <c r="AZ711" s="28"/>
      <c r="BA711" s="28"/>
      <c r="BB711" s="28"/>
      <c r="BC711" s="28"/>
      <c r="BD711" s="28"/>
      <c r="BE711" s="28"/>
    </row>
    <row r="712" spans="1:57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  <c r="AV712" s="28"/>
      <c r="AW712" s="28"/>
      <c r="AX712" s="28"/>
      <c r="AY712" s="28"/>
      <c r="AZ712" s="28"/>
      <c r="BA712" s="28"/>
      <c r="BB712" s="28"/>
      <c r="BC712" s="28"/>
      <c r="BD712" s="28"/>
      <c r="BE712" s="28"/>
    </row>
    <row r="713" spans="1:57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  <c r="AV713" s="28"/>
      <c r="AW713" s="28"/>
      <c r="AX713" s="28"/>
      <c r="AY713" s="28"/>
      <c r="AZ713" s="28"/>
      <c r="BA713" s="28"/>
      <c r="BB713" s="28"/>
      <c r="BC713" s="28"/>
      <c r="BD713" s="28"/>
      <c r="BE713" s="28"/>
    </row>
    <row r="714" spans="1:57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  <c r="AV714" s="28"/>
      <c r="AW714" s="28"/>
      <c r="AX714" s="28"/>
      <c r="AY714" s="28"/>
      <c r="AZ714" s="28"/>
      <c r="BA714" s="28"/>
      <c r="BB714" s="28"/>
      <c r="BC714" s="28"/>
      <c r="BD714" s="28"/>
      <c r="BE714" s="28"/>
    </row>
    <row r="715" spans="1:57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  <c r="AV715" s="28"/>
      <c r="AW715" s="28"/>
      <c r="AX715" s="28"/>
      <c r="AY715" s="28"/>
      <c r="AZ715" s="28"/>
      <c r="BA715" s="28"/>
      <c r="BB715" s="28"/>
      <c r="BC715" s="28"/>
      <c r="BD715" s="28"/>
      <c r="BE715" s="28"/>
    </row>
    <row r="716" spans="1:57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  <c r="AV716" s="28"/>
      <c r="AW716" s="28"/>
      <c r="AX716" s="28"/>
      <c r="AY716" s="28"/>
      <c r="AZ716" s="28"/>
      <c r="BA716" s="28"/>
      <c r="BB716" s="28"/>
      <c r="BC716" s="28"/>
      <c r="BD716" s="28"/>
      <c r="BE716" s="28"/>
    </row>
    <row r="717" spans="1:57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  <c r="AV717" s="28"/>
      <c r="AW717" s="28"/>
      <c r="AX717" s="28"/>
      <c r="AY717" s="28"/>
      <c r="AZ717" s="28"/>
      <c r="BA717" s="28"/>
      <c r="BB717" s="28"/>
      <c r="BC717" s="28"/>
      <c r="BD717" s="28"/>
      <c r="BE717" s="28"/>
    </row>
    <row r="718" spans="1:57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  <c r="AV718" s="28"/>
      <c r="AW718" s="28"/>
      <c r="AX718" s="28"/>
      <c r="AY718" s="28"/>
      <c r="AZ718" s="28"/>
      <c r="BA718" s="28"/>
      <c r="BB718" s="28"/>
      <c r="BC718" s="28"/>
      <c r="BD718" s="28"/>
      <c r="BE718" s="28"/>
    </row>
    <row r="719" spans="1:57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  <c r="AV719" s="28"/>
      <c r="AW719" s="28"/>
      <c r="AX719" s="28"/>
      <c r="AY719" s="28"/>
      <c r="AZ719" s="28"/>
      <c r="BA719" s="28"/>
      <c r="BB719" s="28"/>
      <c r="BC719" s="28"/>
      <c r="BD719" s="28"/>
      <c r="BE719" s="28"/>
    </row>
    <row r="720" spans="1:57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  <c r="AV720" s="28"/>
      <c r="AW720" s="28"/>
      <c r="AX720" s="28"/>
      <c r="AY720" s="28"/>
      <c r="AZ720" s="28"/>
      <c r="BA720" s="28"/>
      <c r="BB720" s="28"/>
      <c r="BC720" s="28"/>
      <c r="BD720" s="28"/>
      <c r="BE720" s="28"/>
    </row>
    <row r="721" spans="1:57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  <c r="AV721" s="28"/>
      <c r="AW721" s="28"/>
      <c r="AX721" s="28"/>
      <c r="AY721" s="28"/>
      <c r="AZ721" s="28"/>
      <c r="BA721" s="28"/>
      <c r="BB721" s="28"/>
      <c r="BC721" s="28"/>
      <c r="BD721" s="28"/>
      <c r="BE721" s="28"/>
    </row>
    <row r="722" spans="1:57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  <c r="AV722" s="28"/>
      <c r="AW722" s="28"/>
      <c r="AX722" s="28"/>
      <c r="AY722" s="28"/>
      <c r="AZ722" s="28"/>
      <c r="BA722" s="28"/>
      <c r="BB722" s="28"/>
      <c r="BC722" s="28"/>
      <c r="BD722" s="28"/>
      <c r="BE722" s="28"/>
    </row>
    <row r="723" spans="1:57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  <c r="AV723" s="28"/>
      <c r="AW723" s="28"/>
      <c r="AX723" s="28"/>
      <c r="AY723" s="28"/>
      <c r="AZ723" s="28"/>
      <c r="BA723" s="28"/>
      <c r="BB723" s="28"/>
      <c r="BC723" s="28"/>
      <c r="BD723" s="28"/>
      <c r="BE723" s="28"/>
    </row>
    <row r="724" spans="1:57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  <c r="AV724" s="28"/>
      <c r="AW724" s="28"/>
      <c r="AX724" s="28"/>
      <c r="AY724" s="28"/>
      <c r="AZ724" s="28"/>
      <c r="BA724" s="28"/>
      <c r="BB724" s="28"/>
      <c r="BC724" s="28"/>
      <c r="BD724" s="28"/>
      <c r="BE724" s="28"/>
    </row>
    <row r="725" spans="1:57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  <c r="AV725" s="28"/>
      <c r="AW725" s="28"/>
      <c r="AX725" s="28"/>
      <c r="AY725" s="28"/>
      <c r="AZ725" s="28"/>
      <c r="BA725" s="28"/>
      <c r="BB725" s="28"/>
      <c r="BC725" s="28"/>
      <c r="BD725" s="28"/>
      <c r="BE725" s="28"/>
    </row>
    <row r="726" spans="1:57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  <c r="AV726" s="28"/>
      <c r="AW726" s="28"/>
      <c r="AX726" s="28"/>
      <c r="AY726" s="28"/>
      <c r="AZ726" s="28"/>
      <c r="BA726" s="28"/>
      <c r="BB726" s="28"/>
      <c r="BC726" s="28"/>
      <c r="BD726" s="28"/>
      <c r="BE726" s="28"/>
    </row>
    <row r="727" spans="1:57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</row>
    <row r="728" spans="1:57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  <c r="AV728" s="28"/>
      <c r="AW728" s="28"/>
      <c r="AX728" s="28"/>
      <c r="AY728" s="28"/>
      <c r="AZ728" s="28"/>
      <c r="BA728" s="28"/>
      <c r="BB728" s="28"/>
      <c r="BC728" s="28"/>
      <c r="BD728" s="28"/>
      <c r="BE728" s="28"/>
    </row>
    <row r="729" spans="1:57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  <c r="AV729" s="28"/>
      <c r="AW729" s="28"/>
      <c r="AX729" s="28"/>
      <c r="AY729" s="28"/>
      <c r="AZ729" s="28"/>
      <c r="BA729" s="28"/>
      <c r="BB729" s="28"/>
      <c r="BC729" s="28"/>
      <c r="BD729" s="28"/>
      <c r="BE729" s="28"/>
    </row>
    <row r="730" spans="1:57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  <c r="AV730" s="28"/>
      <c r="AW730" s="28"/>
      <c r="AX730" s="28"/>
      <c r="AY730" s="28"/>
      <c r="AZ730" s="28"/>
      <c r="BA730" s="28"/>
      <c r="BB730" s="28"/>
      <c r="BC730" s="28"/>
      <c r="BD730" s="28"/>
      <c r="BE730" s="28"/>
    </row>
    <row r="731" spans="1:57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  <c r="AV731" s="28"/>
      <c r="AW731" s="28"/>
      <c r="AX731" s="28"/>
      <c r="AY731" s="28"/>
      <c r="AZ731" s="28"/>
      <c r="BA731" s="28"/>
      <c r="BB731" s="28"/>
      <c r="BC731" s="28"/>
      <c r="BD731" s="28"/>
      <c r="BE731" s="28"/>
    </row>
    <row r="732" spans="1:57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  <c r="AV732" s="28"/>
      <c r="AW732" s="28"/>
      <c r="AX732" s="28"/>
      <c r="AY732" s="28"/>
      <c r="AZ732" s="28"/>
      <c r="BA732" s="28"/>
      <c r="BB732" s="28"/>
      <c r="BC732" s="28"/>
      <c r="BD732" s="28"/>
      <c r="BE732" s="28"/>
    </row>
    <row r="733" spans="1:57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  <c r="AV733" s="28"/>
      <c r="AW733" s="28"/>
      <c r="AX733" s="28"/>
      <c r="AY733" s="28"/>
      <c r="AZ733" s="28"/>
      <c r="BA733" s="28"/>
      <c r="BB733" s="28"/>
      <c r="BC733" s="28"/>
      <c r="BD733" s="28"/>
      <c r="BE733" s="28"/>
    </row>
    <row r="734" spans="1:57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  <c r="AV734" s="28"/>
      <c r="AW734" s="28"/>
      <c r="AX734" s="28"/>
      <c r="AY734" s="28"/>
      <c r="AZ734" s="28"/>
      <c r="BA734" s="28"/>
      <c r="BB734" s="28"/>
      <c r="BC734" s="28"/>
      <c r="BD734" s="28"/>
      <c r="BE734" s="28"/>
    </row>
    <row r="735" spans="1:57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  <c r="AV735" s="28"/>
      <c r="AW735" s="28"/>
      <c r="AX735" s="28"/>
      <c r="AY735" s="28"/>
      <c r="AZ735" s="28"/>
      <c r="BA735" s="28"/>
      <c r="BB735" s="28"/>
      <c r="BC735" s="28"/>
      <c r="BD735" s="28"/>
      <c r="BE735" s="28"/>
    </row>
    <row r="736" spans="1:57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  <c r="AV736" s="28"/>
      <c r="AW736" s="28"/>
      <c r="AX736" s="28"/>
      <c r="AY736" s="28"/>
      <c r="AZ736" s="28"/>
      <c r="BA736" s="28"/>
      <c r="BB736" s="28"/>
      <c r="BC736" s="28"/>
      <c r="BD736" s="28"/>
      <c r="BE736" s="28"/>
    </row>
    <row r="737" spans="1:57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  <c r="AV737" s="28"/>
      <c r="AW737" s="28"/>
      <c r="AX737" s="28"/>
      <c r="AY737" s="28"/>
      <c r="AZ737" s="28"/>
      <c r="BA737" s="28"/>
      <c r="BB737" s="28"/>
      <c r="BC737" s="28"/>
      <c r="BD737" s="28"/>
      <c r="BE737" s="28"/>
    </row>
    <row r="738" spans="1:57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  <c r="AV738" s="28"/>
      <c r="AW738" s="28"/>
      <c r="AX738" s="28"/>
      <c r="AY738" s="28"/>
      <c r="AZ738" s="28"/>
      <c r="BA738" s="28"/>
      <c r="BB738" s="28"/>
      <c r="BC738" s="28"/>
      <c r="BD738" s="28"/>
      <c r="BE738" s="28"/>
    </row>
    <row r="739" spans="1:57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  <c r="AV739" s="28"/>
      <c r="AW739" s="28"/>
      <c r="AX739" s="28"/>
      <c r="AY739" s="28"/>
      <c r="AZ739" s="28"/>
      <c r="BA739" s="28"/>
      <c r="BB739" s="28"/>
      <c r="BC739" s="28"/>
      <c r="BD739" s="28"/>
      <c r="BE739" s="28"/>
    </row>
    <row r="740" spans="1:57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  <c r="AV740" s="28"/>
      <c r="AW740" s="28"/>
      <c r="AX740" s="28"/>
      <c r="AY740" s="28"/>
      <c r="AZ740" s="28"/>
      <c r="BA740" s="28"/>
      <c r="BB740" s="28"/>
      <c r="BC740" s="28"/>
      <c r="BD740" s="28"/>
      <c r="BE740" s="28"/>
    </row>
    <row r="741" spans="1:57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  <c r="AV741" s="28"/>
      <c r="AW741" s="28"/>
      <c r="AX741" s="28"/>
      <c r="AY741" s="28"/>
      <c r="AZ741" s="28"/>
      <c r="BA741" s="28"/>
      <c r="BB741" s="28"/>
      <c r="BC741" s="28"/>
      <c r="BD741" s="28"/>
      <c r="BE741" s="28"/>
    </row>
    <row r="742" spans="1:57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  <c r="AV742" s="28"/>
      <c r="AW742" s="28"/>
      <c r="AX742" s="28"/>
      <c r="AY742" s="28"/>
      <c r="AZ742" s="28"/>
      <c r="BA742" s="28"/>
      <c r="BB742" s="28"/>
      <c r="BC742" s="28"/>
      <c r="BD742" s="28"/>
      <c r="BE742" s="28"/>
    </row>
    <row r="743" spans="1:57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  <c r="AV743" s="28"/>
      <c r="AW743" s="28"/>
      <c r="AX743" s="28"/>
      <c r="AY743" s="28"/>
      <c r="AZ743" s="28"/>
      <c r="BA743" s="28"/>
      <c r="BB743" s="28"/>
      <c r="BC743" s="28"/>
      <c r="BD743" s="28"/>
      <c r="BE743" s="28"/>
    </row>
    <row r="744" spans="1:57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  <c r="AV744" s="28"/>
      <c r="AW744" s="28"/>
      <c r="AX744" s="28"/>
      <c r="AY744" s="28"/>
      <c r="AZ744" s="28"/>
      <c r="BA744" s="28"/>
      <c r="BB744" s="28"/>
      <c r="BC744" s="28"/>
      <c r="BD744" s="28"/>
      <c r="BE744" s="28"/>
    </row>
    <row r="745" spans="1:57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  <c r="AV745" s="28"/>
      <c r="AW745" s="28"/>
      <c r="AX745" s="28"/>
      <c r="AY745" s="28"/>
      <c r="AZ745" s="28"/>
      <c r="BA745" s="28"/>
      <c r="BB745" s="28"/>
      <c r="BC745" s="28"/>
      <c r="BD745" s="28"/>
      <c r="BE745" s="28"/>
    </row>
    <row r="746" spans="1:57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  <c r="AV746" s="28"/>
      <c r="AW746" s="28"/>
      <c r="AX746" s="28"/>
      <c r="AY746" s="28"/>
      <c r="AZ746" s="28"/>
      <c r="BA746" s="28"/>
      <c r="BB746" s="28"/>
      <c r="BC746" s="28"/>
      <c r="BD746" s="28"/>
      <c r="BE746" s="28"/>
    </row>
    <row r="747" spans="1:57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  <c r="AV747" s="28"/>
      <c r="AW747" s="28"/>
      <c r="AX747" s="28"/>
      <c r="AY747" s="28"/>
      <c r="AZ747" s="28"/>
      <c r="BA747" s="28"/>
      <c r="BB747" s="28"/>
      <c r="BC747" s="28"/>
      <c r="BD747" s="28"/>
      <c r="BE747" s="28"/>
    </row>
    <row r="748" spans="1:57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  <c r="AV748" s="28"/>
      <c r="AW748" s="28"/>
      <c r="AX748" s="28"/>
      <c r="AY748" s="28"/>
      <c r="AZ748" s="28"/>
      <c r="BA748" s="28"/>
      <c r="BB748" s="28"/>
      <c r="BC748" s="28"/>
      <c r="BD748" s="28"/>
      <c r="BE748" s="28"/>
    </row>
    <row r="749" spans="1:57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  <c r="AV749" s="28"/>
      <c r="AW749" s="28"/>
      <c r="AX749" s="28"/>
      <c r="AY749" s="28"/>
      <c r="AZ749" s="28"/>
      <c r="BA749" s="28"/>
      <c r="BB749" s="28"/>
      <c r="BC749" s="28"/>
      <c r="BD749" s="28"/>
      <c r="BE749" s="28"/>
    </row>
    <row r="750" spans="1:57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  <c r="AV750" s="28"/>
      <c r="AW750" s="28"/>
      <c r="AX750" s="28"/>
      <c r="AY750" s="28"/>
      <c r="AZ750" s="28"/>
      <c r="BA750" s="28"/>
      <c r="BB750" s="28"/>
      <c r="BC750" s="28"/>
      <c r="BD750" s="28"/>
      <c r="BE750" s="28"/>
    </row>
    <row r="751" spans="1:57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  <c r="AV751" s="28"/>
      <c r="AW751" s="28"/>
      <c r="AX751" s="28"/>
      <c r="AY751" s="28"/>
      <c r="AZ751" s="28"/>
      <c r="BA751" s="28"/>
      <c r="BB751" s="28"/>
      <c r="BC751" s="28"/>
      <c r="BD751" s="28"/>
      <c r="BE751" s="28"/>
    </row>
    <row r="752" spans="1:57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  <c r="AV752" s="28"/>
      <c r="AW752" s="28"/>
      <c r="AX752" s="28"/>
      <c r="AY752" s="28"/>
      <c r="AZ752" s="28"/>
      <c r="BA752" s="28"/>
      <c r="BB752" s="28"/>
      <c r="BC752" s="28"/>
      <c r="BD752" s="28"/>
      <c r="BE752" s="28"/>
    </row>
    <row r="753" spans="1:57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  <c r="AV753" s="28"/>
      <c r="AW753" s="28"/>
      <c r="AX753" s="28"/>
      <c r="AY753" s="28"/>
      <c r="AZ753" s="28"/>
      <c r="BA753" s="28"/>
      <c r="BB753" s="28"/>
      <c r="BC753" s="28"/>
      <c r="BD753" s="28"/>
      <c r="BE753" s="28"/>
    </row>
    <row r="754" spans="1:57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  <c r="AV754" s="28"/>
      <c r="AW754" s="28"/>
      <c r="AX754" s="28"/>
      <c r="AY754" s="28"/>
      <c r="AZ754" s="28"/>
      <c r="BA754" s="28"/>
      <c r="BB754" s="28"/>
      <c r="BC754" s="28"/>
      <c r="BD754" s="28"/>
      <c r="BE754" s="28"/>
    </row>
    <row r="755" spans="1:57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  <c r="AV755" s="28"/>
      <c r="AW755" s="28"/>
      <c r="AX755" s="28"/>
      <c r="AY755" s="28"/>
      <c r="AZ755" s="28"/>
      <c r="BA755" s="28"/>
      <c r="BB755" s="28"/>
      <c r="BC755" s="28"/>
      <c r="BD755" s="28"/>
      <c r="BE755" s="28"/>
    </row>
    <row r="756" spans="1:57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  <c r="AV756" s="28"/>
      <c r="AW756" s="28"/>
      <c r="AX756" s="28"/>
      <c r="AY756" s="28"/>
      <c r="AZ756" s="28"/>
      <c r="BA756" s="28"/>
      <c r="BB756" s="28"/>
      <c r="BC756" s="28"/>
      <c r="BD756" s="28"/>
      <c r="BE756" s="28"/>
    </row>
    <row r="757" spans="1:57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  <c r="AV757" s="28"/>
      <c r="AW757" s="28"/>
      <c r="AX757" s="28"/>
      <c r="AY757" s="28"/>
      <c r="AZ757" s="28"/>
      <c r="BA757" s="28"/>
      <c r="BB757" s="28"/>
      <c r="BC757" s="28"/>
      <c r="BD757" s="28"/>
      <c r="BE757" s="28"/>
    </row>
    <row r="758" spans="1:57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  <c r="AV758" s="28"/>
      <c r="AW758" s="28"/>
      <c r="AX758" s="28"/>
      <c r="AY758" s="28"/>
      <c r="AZ758" s="28"/>
      <c r="BA758" s="28"/>
      <c r="BB758" s="28"/>
      <c r="BC758" s="28"/>
      <c r="BD758" s="28"/>
      <c r="BE758" s="28"/>
    </row>
    <row r="759" spans="1:57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  <c r="AV759" s="28"/>
      <c r="AW759" s="28"/>
      <c r="AX759" s="28"/>
      <c r="AY759" s="28"/>
      <c r="AZ759" s="28"/>
      <c r="BA759" s="28"/>
      <c r="BB759" s="28"/>
      <c r="BC759" s="28"/>
      <c r="BD759" s="28"/>
      <c r="BE759" s="28"/>
    </row>
    <row r="760" spans="1:57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  <c r="AV760" s="28"/>
      <c r="AW760" s="28"/>
      <c r="AX760" s="28"/>
      <c r="AY760" s="28"/>
      <c r="AZ760" s="28"/>
      <c r="BA760" s="28"/>
      <c r="BB760" s="28"/>
      <c r="BC760" s="28"/>
      <c r="BD760" s="28"/>
      <c r="BE760" s="28"/>
    </row>
    <row r="761" spans="1:57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  <c r="AV761" s="28"/>
      <c r="AW761" s="28"/>
      <c r="AX761" s="28"/>
      <c r="AY761" s="28"/>
      <c r="AZ761" s="28"/>
      <c r="BA761" s="28"/>
      <c r="BB761" s="28"/>
      <c r="BC761" s="28"/>
      <c r="BD761" s="28"/>
      <c r="BE761" s="28"/>
    </row>
    <row r="762" spans="1:57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  <c r="AV762" s="28"/>
      <c r="AW762" s="28"/>
      <c r="AX762" s="28"/>
      <c r="AY762" s="28"/>
      <c r="AZ762" s="28"/>
      <c r="BA762" s="28"/>
      <c r="BB762" s="28"/>
      <c r="BC762" s="28"/>
      <c r="BD762" s="28"/>
      <c r="BE762" s="28"/>
    </row>
    <row r="763" spans="1:57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  <c r="AV763" s="28"/>
      <c r="AW763" s="28"/>
      <c r="AX763" s="28"/>
      <c r="AY763" s="28"/>
      <c r="AZ763" s="28"/>
      <c r="BA763" s="28"/>
      <c r="BB763" s="28"/>
      <c r="BC763" s="28"/>
      <c r="BD763" s="28"/>
      <c r="BE763" s="28"/>
    </row>
    <row r="764" spans="1:57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  <c r="AV764" s="28"/>
      <c r="AW764" s="28"/>
      <c r="AX764" s="28"/>
      <c r="AY764" s="28"/>
      <c r="AZ764" s="28"/>
      <c r="BA764" s="28"/>
      <c r="BB764" s="28"/>
      <c r="BC764" s="28"/>
      <c r="BD764" s="28"/>
      <c r="BE764" s="28"/>
    </row>
    <row r="765" spans="1:57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  <c r="AV765" s="28"/>
      <c r="AW765" s="28"/>
      <c r="AX765" s="28"/>
      <c r="AY765" s="28"/>
      <c r="AZ765" s="28"/>
      <c r="BA765" s="28"/>
      <c r="BB765" s="28"/>
      <c r="BC765" s="28"/>
      <c r="BD765" s="28"/>
      <c r="BE765" s="28"/>
    </row>
    <row r="766" spans="1:57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  <c r="AV766" s="28"/>
      <c r="AW766" s="28"/>
      <c r="AX766" s="28"/>
      <c r="AY766" s="28"/>
      <c r="AZ766" s="28"/>
      <c r="BA766" s="28"/>
      <c r="BB766" s="28"/>
      <c r="BC766" s="28"/>
      <c r="BD766" s="28"/>
      <c r="BE766" s="28"/>
    </row>
    <row r="767" spans="1:57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  <c r="AV767" s="28"/>
      <c r="AW767" s="28"/>
      <c r="AX767" s="28"/>
      <c r="AY767" s="28"/>
      <c r="AZ767" s="28"/>
      <c r="BA767" s="28"/>
      <c r="BB767" s="28"/>
      <c r="BC767" s="28"/>
      <c r="BD767" s="28"/>
      <c r="BE767" s="28"/>
    </row>
    <row r="768" spans="1:57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  <c r="AV768" s="28"/>
      <c r="AW768" s="28"/>
      <c r="AX768" s="28"/>
      <c r="AY768" s="28"/>
      <c r="AZ768" s="28"/>
      <c r="BA768" s="28"/>
      <c r="BB768" s="28"/>
      <c r="BC768" s="28"/>
      <c r="BD768" s="28"/>
      <c r="BE768" s="28"/>
    </row>
    <row r="769" spans="1:57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  <c r="AV769" s="28"/>
      <c r="AW769" s="28"/>
      <c r="AX769" s="28"/>
      <c r="AY769" s="28"/>
      <c r="AZ769" s="28"/>
      <c r="BA769" s="28"/>
      <c r="BB769" s="28"/>
      <c r="BC769" s="28"/>
      <c r="BD769" s="28"/>
      <c r="BE769" s="28"/>
    </row>
    <row r="770" spans="1:57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  <c r="AV770" s="28"/>
      <c r="AW770" s="28"/>
      <c r="AX770" s="28"/>
      <c r="AY770" s="28"/>
      <c r="AZ770" s="28"/>
      <c r="BA770" s="28"/>
      <c r="BB770" s="28"/>
      <c r="BC770" s="28"/>
      <c r="BD770" s="28"/>
      <c r="BE770" s="28"/>
    </row>
    <row r="771" spans="1:57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  <c r="AV771" s="28"/>
      <c r="AW771" s="28"/>
      <c r="AX771" s="28"/>
      <c r="AY771" s="28"/>
      <c r="AZ771" s="28"/>
      <c r="BA771" s="28"/>
      <c r="BB771" s="28"/>
      <c r="BC771" s="28"/>
      <c r="BD771" s="28"/>
      <c r="BE771" s="28"/>
    </row>
    <row r="772" spans="1:57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  <c r="AV772" s="28"/>
      <c r="AW772" s="28"/>
      <c r="AX772" s="28"/>
      <c r="AY772" s="28"/>
      <c r="AZ772" s="28"/>
      <c r="BA772" s="28"/>
      <c r="BB772" s="28"/>
      <c r="BC772" s="28"/>
      <c r="BD772" s="28"/>
      <c r="BE772" s="28"/>
    </row>
    <row r="773" spans="1:57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  <c r="AV773" s="28"/>
      <c r="AW773" s="28"/>
      <c r="AX773" s="28"/>
      <c r="AY773" s="28"/>
      <c r="AZ773" s="28"/>
      <c r="BA773" s="28"/>
      <c r="BB773" s="28"/>
      <c r="BC773" s="28"/>
      <c r="BD773" s="28"/>
      <c r="BE773" s="28"/>
    </row>
    <row r="774" spans="1:57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  <c r="AV774" s="28"/>
      <c r="AW774" s="28"/>
      <c r="AX774" s="28"/>
      <c r="AY774" s="28"/>
      <c r="AZ774" s="28"/>
      <c r="BA774" s="28"/>
      <c r="BB774" s="28"/>
      <c r="BC774" s="28"/>
      <c r="BD774" s="28"/>
      <c r="BE774" s="28"/>
    </row>
    <row r="775" spans="1:57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  <c r="AV775" s="28"/>
      <c r="AW775" s="28"/>
      <c r="AX775" s="28"/>
      <c r="AY775" s="28"/>
      <c r="AZ775" s="28"/>
      <c r="BA775" s="28"/>
      <c r="BB775" s="28"/>
      <c r="BC775" s="28"/>
      <c r="BD775" s="28"/>
      <c r="BE775" s="28"/>
    </row>
    <row r="776" spans="1:57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  <c r="AV776" s="28"/>
      <c r="AW776" s="28"/>
      <c r="AX776" s="28"/>
      <c r="AY776" s="28"/>
      <c r="AZ776" s="28"/>
      <c r="BA776" s="28"/>
      <c r="BB776" s="28"/>
      <c r="BC776" s="28"/>
      <c r="BD776" s="28"/>
      <c r="BE776" s="28"/>
    </row>
    <row r="777" spans="1:57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  <c r="AV777" s="28"/>
      <c r="AW777" s="28"/>
      <c r="AX777" s="28"/>
      <c r="AY777" s="28"/>
      <c r="AZ777" s="28"/>
      <c r="BA777" s="28"/>
      <c r="BB777" s="28"/>
      <c r="BC777" s="28"/>
      <c r="BD777" s="28"/>
      <c r="BE777" s="28"/>
    </row>
    <row r="778" spans="1:57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  <c r="AV778" s="28"/>
      <c r="AW778" s="28"/>
      <c r="AX778" s="28"/>
      <c r="AY778" s="28"/>
      <c r="AZ778" s="28"/>
      <c r="BA778" s="28"/>
      <c r="BB778" s="28"/>
      <c r="BC778" s="28"/>
      <c r="BD778" s="28"/>
      <c r="BE778" s="28"/>
    </row>
    <row r="779" spans="1:57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  <c r="AV779" s="28"/>
      <c r="AW779" s="28"/>
      <c r="AX779" s="28"/>
      <c r="AY779" s="28"/>
      <c r="AZ779" s="28"/>
      <c r="BA779" s="28"/>
      <c r="BB779" s="28"/>
      <c r="BC779" s="28"/>
      <c r="BD779" s="28"/>
      <c r="BE779" s="28"/>
    </row>
    <row r="780" spans="1:57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  <c r="AV780" s="28"/>
      <c r="AW780" s="28"/>
      <c r="AX780" s="28"/>
      <c r="AY780" s="28"/>
      <c r="AZ780" s="28"/>
      <c r="BA780" s="28"/>
      <c r="BB780" s="28"/>
      <c r="BC780" s="28"/>
      <c r="BD780" s="28"/>
      <c r="BE780" s="28"/>
    </row>
    <row r="781" spans="1:57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  <c r="AV781" s="28"/>
      <c r="AW781" s="28"/>
      <c r="AX781" s="28"/>
      <c r="AY781" s="28"/>
      <c r="AZ781" s="28"/>
      <c r="BA781" s="28"/>
      <c r="BB781" s="28"/>
      <c r="BC781" s="28"/>
      <c r="BD781" s="28"/>
      <c r="BE781" s="28"/>
    </row>
    <row r="782" spans="1:57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  <c r="AV782" s="28"/>
      <c r="AW782" s="28"/>
      <c r="AX782" s="28"/>
      <c r="AY782" s="28"/>
      <c r="AZ782" s="28"/>
      <c r="BA782" s="28"/>
      <c r="BB782" s="28"/>
      <c r="BC782" s="28"/>
      <c r="BD782" s="28"/>
      <c r="BE782" s="28"/>
    </row>
    <row r="783" spans="1:57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  <c r="AV783" s="28"/>
      <c r="AW783" s="28"/>
      <c r="AX783" s="28"/>
      <c r="AY783" s="28"/>
      <c r="AZ783" s="28"/>
      <c r="BA783" s="28"/>
      <c r="BB783" s="28"/>
      <c r="BC783" s="28"/>
      <c r="BD783" s="28"/>
      <c r="BE783" s="28"/>
    </row>
    <row r="784" spans="1:57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  <c r="AV784" s="28"/>
      <c r="AW784" s="28"/>
      <c r="AX784" s="28"/>
      <c r="AY784" s="28"/>
      <c r="AZ784" s="28"/>
      <c r="BA784" s="28"/>
      <c r="BB784" s="28"/>
      <c r="BC784" s="28"/>
      <c r="BD784" s="28"/>
      <c r="BE784" s="28"/>
    </row>
    <row r="785" spans="1:57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  <c r="AV785" s="28"/>
      <c r="AW785" s="28"/>
      <c r="AX785" s="28"/>
      <c r="AY785" s="28"/>
      <c r="AZ785" s="28"/>
      <c r="BA785" s="28"/>
      <c r="BB785" s="28"/>
      <c r="BC785" s="28"/>
      <c r="BD785" s="28"/>
      <c r="BE785" s="28"/>
    </row>
    <row r="786" spans="1:57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  <c r="AV786" s="28"/>
      <c r="AW786" s="28"/>
      <c r="AX786" s="28"/>
      <c r="AY786" s="28"/>
      <c r="AZ786" s="28"/>
      <c r="BA786" s="28"/>
      <c r="BB786" s="28"/>
      <c r="BC786" s="28"/>
      <c r="BD786" s="28"/>
      <c r="BE786" s="28"/>
    </row>
    <row r="787" spans="1:57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  <c r="AV787" s="28"/>
      <c r="AW787" s="28"/>
      <c r="AX787" s="28"/>
      <c r="AY787" s="28"/>
      <c r="AZ787" s="28"/>
      <c r="BA787" s="28"/>
      <c r="BB787" s="28"/>
      <c r="BC787" s="28"/>
      <c r="BD787" s="28"/>
      <c r="BE787" s="28"/>
    </row>
    <row r="788" spans="1:57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  <c r="AV788" s="28"/>
      <c r="AW788" s="28"/>
      <c r="AX788" s="28"/>
      <c r="AY788" s="28"/>
      <c r="AZ788" s="28"/>
      <c r="BA788" s="28"/>
      <c r="BB788" s="28"/>
      <c r="BC788" s="28"/>
      <c r="BD788" s="28"/>
      <c r="BE788" s="28"/>
    </row>
    <row r="789" spans="1:57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  <c r="AV789" s="28"/>
      <c r="AW789" s="28"/>
      <c r="AX789" s="28"/>
      <c r="AY789" s="28"/>
      <c r="AZ789" s="28"/>
      <c r="BA789" s="28"/>
      <c r="BB789" s="28"/>
      <c r="BC789" s="28"/>
      <c r="BD789" s="28"/>
      <c r="BE789" s="28"/>
    </row>
    <row r="790" spans="1:57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  <c r="AV790" s="28"/>
      <c r="AW790" s="28"/>
      <c r="AX790" s="28"/>
      <c r="AY790" s="28"/>
      <c r="AZ790" s="28"/>
      <c r="BA790" s="28"/>
      <c r="BB790" s="28"/>
      <c r="BC790" s="28"/>
      <c r="BD790" s="28"/>
      <c r="BE790" s="28"/>
    </row>
    <row r="791" spans="1:57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  <c r="AV791" s="28"/>
      <c r="AW791" s="28"/>
      <c r="AX791" s="28"/>
      <c r="AY791" s="28"/>
      <c r="AZ791" s="28"/>
      <c r="BA791" s="28"/>
      <c r="BB791" s="28"/>
      <c r="BC791" s="28"/>
      <c r="BD791" s="28"/>
      <c r="BE791" s="28"/>
    </row>
    <row r="792" spans="1:57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  <c r="AV792" s="28"/>
      <c r="AW792" s="28"/>
      <c r="AX792" s="28"/>
      <c r="AY792" s="28"/>
      <c r="AZ792" s="28"/>
      <c r="BA792" s="28"/>
      <c r="BB792" s="28"/>
      <c r="BC792" s="28"/>
      <c r="BD792" s="28"/>
      <c r="BE792" s="28"/>
    </row>
    <row r="793" spans="1:57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  <c r="AV793" s="28"/>
      <c r="AW793" s="28"/>
      <c r="AX793" s="28"/>
      <c r="AY793" s="28"/>
      <c r="AZ793" s="28"/>
      <c r="BA793" s="28"/>
      <c r="BB793" s="28"/>
      <c r="BC793" s="28"/>
      <c r="BD793" s="28"/>
      <c r="BE793" s="28"/>
    </row>
    <row r="794" spans="1:57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  <c r="AV794" s="28"/>
      <c r="AW794" s="28"/>
      <c r="AX794" s="28"/>
      <c r="AY794" s="28"/>
      <c r="AZ794" s="28"/>
      <c r="BA794" s="28"/>
      <c r="BB794" s="28"/>
      <c r="BC794" s="28"/>
      <c r="BD794" s="28"/>
      <c r="BE794" s="28"/>
    </row>
    <row r="795" spans="1:57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  <c r="AV795" s="28"/>
      <c r="AW795" s="28"/>
      <c r="AX795" s="28"/>
      <c r="AY795" s="28"/>
      <c r="AZ795" s="28"/>
      <c r="BA795" s="28"/>
      <c r="BB795" s="28"/>
      <c r="BC795" s="28"/>
      <c r="BD795" s="28"/>
      <c r="BE795" s="28"/>
    </row>
    <row r="796" spans="1:57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  <c r="AV796" s="28"/>
      <c r="AW796" s="28"/>
      <c r="AX796" s="28"/>
      <c r="AY796" s="28"/>
      <c r="AZ796" s="28"/>
      <c r="BA796" s="28"/>
      <c r="BB796" s="28"/>
      <c r="BC796" s="28"/>
      <c r="BD796" s="28"/>
      <c r="BE796" s="28"/>
    </row>
    <row r="797" spans="1:57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  <c r="AV797" s="28"/>
      <c r="AW797" s="28"/>
      <c r="AX797" s="28"/>
      <c r="AY797" s="28"/>
      <c r="AZ797" s="28"/>
      <c r="BA797" s="28"/>
      <c r="BB797" s="28"/>
      <c r="BC797" s="28"/>
      <c r="BD797" s="28"/>
      <c r="BE797" s="28"/>
    </row>
    <row r="798" spans="1:57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  <c r="AV798" s="28"/>
      <c r="AW798" s="28"/>
      <c r="AX798" s="28"/>
      <c r="AY798" s="28"/>
      <c r="AZ798" s="28"/>
      <c r="BA798" s="28"/>
      <c r="BB798" s="28"/>
      <c r="BC798" s="28"/>
      <c r="BD798" s="28"/>
      <c r="BE798" s="28"/>
    </row>
    <row r="799" spans="1:57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  <c r="AV799" s="28"/>
      <c r="AW799" s="28"/>
      <c r="AX799" s="28"/>
      <c r="AY799" s="28"/>
      <c r="AZ799" s="28"/>
      <c r="BA799" s="28"/>
      <c r="BB799" s="28"/>
      <c r="BC799" s="28"/>
      <c r="BD799" s="28"/>
      <c r="BE799" s="28"/>
    </row>
    <row r="800" spans="1:57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  <c r="AV800" s="28"/>
      <c r="AW800" s="28"/>
      <c r="AX800" s="28"/>
      <c r="AY800" s="28"/>
      <c r="AZ800" s="28"/>
      <c r="BA800" s="28"/>
      <c r="BB800" s="28"/>
      <c r="BC800" s="28"/>
      <c r="BD800" s="28"/>
      <c r="BE800" s="28"/>
    </row>
    <row r="801" spans="1:57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  <c r="AV801" s="28"/>
      <c r="AW801" s="28"/>
      <c r="AX801" s="28"/>
      <c r="AY801" s="28"/>
      <c r="AZ801" s="28"/>
      <c r="BA801" s="28"/>
      <c r="BB801" s="28"/>
      <c r="BC801" s="28"/>
      <c r="BD801" s="28"/>
      <c r="BE801" s="28"/>
    </row>
    <row r="802" spans="1:57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  <c r="AV802" s="28"/>
      <c r="AW802" s="28"/>
      <c r="AX802" s="28"/>
      <c r="AY802" s="28"/>
      <c r="AZ802" s="28"/>
      <c r="BA802" s="28"/>
      <c r="BB802" s="28"/>
      <c r="BC802" s="28"/>
      <c r="BD802" s="28"/>
      <c r="BE802" s="28"/>
    </row>
    <row r="803" spans="1:57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  <c r="AV803" s="28"/>
      <c r="AW803" s="28"/>
      <c r="AX803" s="28"/>
      <c r="AY803" s="28"/>
      <c r="AZ803" s="28"/>
      <c r="BA803" s="28"/>
      <c r="BB803" s="28"/>
      <c r="BC803" s="28"/>
      <c r="BD803" s="28"/>
      <c r="BE803" s="28"/>
    </row>
    <row r="804" spans="1:57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  <c r="AV804" s="28"/>
      <c r="AW804" s="28"/>
      <c r="AX804" s="28"/>
      <c r="AY804" s="28"/>
      <c r="AZ804" s="28"/>
      <c r="BA804" s="28"/>
      <c r="BB804" s="28"/>
      <c r="BC804" s="28"/>
      <c r="BD804" s="28"/>
      <c r="BE804" s="28"/>
    </row>
    <row r="805" spans="1:57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  <c r="AV805" s="28"/>
      <c r="AW805" s="28"/>
      <c r="AX805" s="28"/>
      <c r="AY805" s="28"/>
      <c r="AZ805" s="28"/>
      <c r="BA805" s="28"/>
      <c r="BB805" s="28"/>
      <c r="BC805" s="28"/>
      <c r="BD805" s="28"/>
      <c r="BE805" s="28"/>
    </row>
    <row r="806" spans="1:57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  <c r="AV806" s="28"/>
      <c r="AW806" s="28"/>
      <c r="AX806" s="28"/>
      <c r="AY806" s="28"/>
      <c r="AZ806" s="28"/>
      <c r="BA806" s="28"/>
      <c r="BB806" s="28"/>
      <c r="BC806" s="28"/>
      <c r="BD806" s="28"/>
      <c r="BE806" s="28"/>
    </row>
    <row r="807" spans="1:57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  <c r="AV807" s="28"/>
      <c r="AW807" s="28"/>
      <c r="AX807" s="28"/>
      <c r="AY807" s="28"/>
      <c r="AZ807" s="28"/>
      <c r="BA807" s="28"/>
      <c r="BB807" s="28"/>
      <c r="BC807" s="28"/>
      <c r="BD807" s="28"/>
      <c r="BE807" s="28"/>
    </row>
    <row r="808" spans="1:57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  <c r="AV808" s="28"/>
      <c r="AW808" s="28"/>
      <c r="AX808" s="28"/>
      <c r="AY808" s="28"/>
      <c r="AZ808" s="28"/>
      <c r="BA808" s="28"/>
      <c r="BB808" s="28"/>
      <c r="BC808" s="28"/>
      <c r="BD808" s="28"/>
      <c r="BE808" s="28"/>
    </row>
    <row r="809" spans="1:57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  <c r="AV809" s="28"/>
      <c r="AW809" s="28"/>
      <c r="AX809" s="28"/>
      <c r="AY809" s="28"/>
      <c r="AZ809" s="28"/>
      <c r="BA809" s="28"/>
      <c r="BB809" s="28"/>
      <c r="BC809" s="28"/>
      <c r="BD809" s="28"/>
      <c r="BE809" s="28"/>
    </row>
    <row r="810" spans="1:57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  <c r="AV810" s="28"/>
      <c r="AW810" s="28"/>
      <c r="AX810" s="28"/>
      <c r="AY810" s="28"/>
      <c r="AZ810" s="28"/>
      <c r="BA810" s="28"/>
      <c r="BB810" s="28"/>
      <c r="BC810" s="28"/>
      <c r="BD810" s="28"/>
      <c r="BE810" s="28"/>
    </row>
    <row r="811" spans="1:57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  <c r="AV811" s="28"/>
      <c r="AW811" s="28"/>
      <c r="AX811" s="28"/>
      <c r="AY811" s="28"/>
      <c r="AZ811" s="28"/>
      <c r="BA811" s="28"/>
      <c r="BB811" s="28"/>
      <c r="BC811" s="28"/>
      <c r="BD811" s="28"/>
      <c r="BE811" s="28"/>
    </row>
    <row r="812" spans="1:57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  <c r="AV812" s="28"/>
      <c r="AW812" s="28"/>
      <c r="AX812" s="28"/>
      <c r="AY812" s="28"/>
      <c r="AZ812" s="28"/>
      <c r="BA812" s="28"/>
      <c r="BB812" s="28"/>
      <c r="BC812" s="28"/>
      <c r="BD812" s="28"/>
      <c r="BE812" s="28"/>
    </row>
    <row r="813" spans="1:57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  <c r="AV813" s="28"/>
      <c r="AW813" s="28"/>
      <c r="AX813" s="28"/>
      <c r="AY813" s="28"/>
      <c r="AZ813" s="28"/>
      <c r="BA813" s="28"/>
      <c r="BB813" s="28"/>
      <c r="BC813" s="28"/>
      <c r="BD813" s="28"/>
      <c r="BE813" s="28"/>
    </row>
    <row r="814" spans="1:57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</row>
    <row r="815" spans="1:57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  <c r="AV815" s="28"/>
      <c r="AW815" s="28"/>
      <c r="AX815" s="28"/>
      <c r="AY815" s="28"/>
      <c r="AZ815" s="28"/>
      <c r="BA815" s="28"/>
      <c r="BB815" s="28"/>
      <c r="BC815" s="28"/>
      <c r="BD815" s="28"/>
      <c r="BE815" s="28"/>
    </row>
    <row r="816" spans="1:57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  <c r="AV816" s="28"/>
      <c r="AW816" s="28"/>
      <c r="AX816" s="28"/>
      <c r="AY816" s="28"/>
      <c r="AZ816" s="28"/>
      <c r="BA816" s="28"/>
      <c r="BB816" s="28"/>
      <c r="BC816" s="28"/>
      <c r="BD816" s="28"/>
      <c r="BE816" s="28"/>
    </row>
    <row r="817" spans="1:57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  <c r="AV817" s="28"/>
      <c r="AW817" s="28"/>
      <c r="AX817" s="28"/>
      <c r="AY817" s="28"/>
      <c r="AZ817" s="28"/>
      <c r="BA817" s="28"/>
      <c r="BB817" s="28"/>
      <c r="BC817" s="28"/>
      <c r="BD817" s="28"/>
      <c r="BE817" s="28"/>
    </row>
    <row r="818" spans="1:57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  <c r="AV818" s="28"/>
      <c r="AW818" s="28"/>
      <c r="AX818" s="28"/>
      <c r="AY818" s="28"/>
      <c r="AZ818" s="28"/>
      <c r="BA818" s="28"/>
      <c r="BB818" s="28"/>
      <c r="BC818" s="28"/>
      <c r="BD818" s="28"/>
      <c r="BE818" s="28"/>
    </row>
    <row r="819" spans="1:57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  <c r="AV819" s="28"/>
      <c r="AW819" s="28"/>
      <c r="AX819" s="28"/>
      <c r="AY819" s="28"/>
      <c r="AZ819" s="28"/>
      <c r="BA819" s="28"/>
      <c r="BB819" s="28"/>
      <c r="BC819" s="28"/>
      <c r="BD819" s="28"/>
      <c r="BE819" s="28"/>
    </row>
    <row r="820" spans="1:57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  <c r="AV820" s="28"/>
      <c r="AW820" s="28"/>
      <c r="AX820" s="28"/>
      <c r="AY820" s="28"/>
      <c r="AZ820" s="28"/>
      <c r="BA820" s="28"/>
      <c r="BB820" s="28"/>
      <c r="BC820" s="28"/>
      <c r="BD820" s="28"/>
      <c r="BE820" s="28"/>
    </row>
    <row r="821" spans="1:57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  <c r="AV821" s="28"/>
      <c r="AW821" s="28"/>
      <c r="AX821" s="28"/>
      <c r="AY821" s="28"/>
      <c r="AZ821" s="28"/>
      <c r="BA821" s="28"/>
      <c r="BB821" s="28"/>
      <c r="BC821" s="28"/>
      <c r="BD821" s="28"/>
      <c r="BE821" s="28"/>
    </row>
    <row r="822" spans="1:57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  <c r="AV822" s="28"/>
      <c r="AW822" s="28"/>
      <c r="AX822" s="28"/>
      <c r="AY822" s="28"/>
      <c r="AZ822" s="28"/>
      <c r="BA822" s="28"/>
      <c r="BB822" s="28"/>
      <c r="BC822" s="28"/>
      <c r="BD822" s="28"/>
      <c r="BE822" s="28"/>
    </row>
    <row r="823" spans="1:57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  <c r="AV823" s="28"/>
      <c r="AW823" s="28"/>
      <c r="AX823" s="28"/>
      <c r="AY823" s="28"/>
      <c r="AZ823" s="28"/>
      <c r="BA823" s="28"/>
      <c r="BB823" s="28"/>
      <c r="BC823" s="28"/>
      <c r="BD823" s="28"/>
      <c r="BE823" s="28"/>
    </row>
    <row r="824" spans="1:57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  <c r="AV824" s="28"/>
      <c r="AW824" s="28"/>
      <c r="AX824" s="28"/>
      <c r="AY824" s="28"/>
      <c r="AZ824" s="28"/>
      <c r="BA824" s="28"/>
      <c r="BB824" s="28"/>
      <c r="BC824" s="28"/>
      <c r="BD824" s="28"/>
      <c r="BE824" s="28"/>
    </row>
    <row r="825" spans="1:57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  <c r="AV825" s="28"/>
      <c r="AW825" s="28"/>
      <c r="AX825" s="28"/>
      <c r="AY825" s="28"/>
      <c r="AZ825" s="28"/>
      <c r="BA825" s="28"/>
      <c r="BB825" s="28"/>
      <c r="BC825" s="28"/>
      <c r="BD825" s="28"/>
      <c r="BE825" s="28"/>
    </row>
    <row r="826" spans="1:57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  <c r="AV826" s="28"/>
      <c r="AW826" s="28"/>
      <c r="AX826" s="28"/>
      <c r="AY826" s="28"/>
      <c r="AZ826" s="28"/>
      <c r="BA826" s="28"/>
      <c r="BB826" s="28"/>
      <c r="BC826" s="28"/>
      <c r="BD826" s="28"/>
      <c r="BE826" s="28"/>
    </row>
    <row r="827" spans="1:57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  <c r="AV827" s="28"/>
      <c r="AW827" s="28"/>
      <c r="AX827" s="28"/>
      <c r="AY827" s="28"/>
      <c r="AZ827" s="28"/>
      <c r="BA827" s="28"/>
      <c r="BB827" s="28"/>
      <c r="BC827" s="28"/>
      <c r="BD827" s="28"/>
      <c r="BE827" s="28"/>
    </row>
    <row r="828" spans="1:57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  <c r="AV828" s="28"/>
      <c r="AW828" s="28"/>
      <c r="AX828" s="28"/>
      <c r="AY828" s="28"/>
      <c r="AZ828" s="28"/>
      <c r="BA828" s="28"/>
      <c r="BB828" s="28"/>
      <c r="BC828" s="28"/>
      <c r="BD828" s="28"/>
      <c r="BE828" s="28"/>
    </row>
    <row r="829" spans="1:57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  <c r="AV829" s="28"/>
      <c r="AW829" s="28"/>
      <c r="AX829" s="28"/>
      <c r="AY829" s="28"/>
      <c r="AZ829" s="28"/>
      <c r="BA829" s="28"/>
      <c r="BB829" s="28"/>
      <c r="BC829" s="28"/>
      <c r="BD829" s="28"/>
      <c r="BE829" s="28"/>
    </row>
    <row r="830" spans="1:57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  <c r="AV830" s="28"/>
      <c r="AW830" s="28"/>
      <c r="AX830" s="28"/>
      <c r="AY830" s="28"/>
      <c r="AZ830" s="28"/>
      <c r="BA830" s="28"/>
      <c r="BB830" s="28"/>
      <c r="BC830" s="28"/>
      <c r="BD830" s="28"/>
      <c r="BE830" s="28"/>
    </row>
    <row r="831" spans="1:57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  <c r="AV831" s="28"/>
      <c r="AW831" s="28"/>
      <c r="AX831" s="28"/>
      <c r="AY831" s="28"/>
      <c r="AZ831" s="28"/>
      <c r="BA831" s="28"/>
      <c r="BB831" s="28"/>
      <c r="BC831" s="28"/>
      <c r="BD831" s="28"/>
      <c r="BE831" s="28"/>
    </row>
    <row r="832" spans="1:57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  <c r="AV832" s="28"/>
      <c r="AW832" s="28"/>
      <c r="AX832" s="28"/>
      <c r="AY832" s="28"/>
      <c r="AZ832" s="28"/>
      <c r="BA832" s="28"/>
      <c r="BB832" s="28"/>
      <c r="BC832" s="28"/>
      <c r="BD832" s="28"/>
      <c r="BE832" s="28"/>
    </row>
    <row r="833" spans="1:57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  <c r="AV833" s="28"/>
      <c r="AW833" s="28"/>
      <c r="AX833" s="28"/>
      <c r="AY833" s="28"/>
      <c r="AZ833" s="28"/>
      <c r="BA833" s="28"/>
      <c r="BB833" s="28"/>
      <c r="BC833" s="28"/>
      <c r="BD833" s="28"/>
      <c r="BE833" s="28"/>
    </row>
    <row r="834" spans="1:57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  <c r="AV834" s="28"/>
      <c r="AW834" s="28"/>
      <c r="AX834" s="28"/>
      <c r="AY834" s="28"/>
      <c r="AZ834" s="28"/>
      <c r="BA834" s="28"/>
      <c r="BB834" s="28"/>
      <c r="BC834" s="28"/>
      <c r="BD834" s="28"/>
      <c r="BE834" s="28"/>
    </row>
    <row r="835" spans="1:57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  <c r="AV835" s="28"/>
      <c r="AW835" s="28"/>
      <c r="AX835" s="28"/>
      <c r="AY835" s="28"/>
      <c r="AZ835" s="28"/>
      <c r="BA835" s="28"/>
      <c r="BB835" s="28"/>
      <c r="BC835" s="28"/>
      <c r="BD835" s="28"/>
      <c r="BE835" s="28"/>
    </row>
    <row r="836" spans="1:57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  <c r="AV836" s="28"/>
      <c r="AW836" s="28"/>
      <c r="AX836" s="28"/>
      <c r="AY836" s="28"/>
      <c r="AZ836" s="28"/>
      <c r="BA836" s="28"/>
      <c r="BB836" s="28"/>
      <c r="BC836" s="28"/>
      <c r="BD836" s="28"/>
      <c r="BE836" s="28"/>
    </row>
    <row r="837" spans="1:57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  <c r="AV837" s="28"/>
      <c r="AW837" s="28"/>
      <c r="AX837" s="28"/>
      <c r="AY837" s="28"/>
      <c r="AZ837" s="28"/>
      <c r="BA837" s="28"/>
      <c r="BB837" s="28"/>
      <c r="BC837" s="28"/>
      <c r="BD837" s="28"/>
      <c r="BE837" s="28"/>
    </row>
    <row r="838" spans="1:57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  <c r="AV838" s="28"/>
      <c r="AW838" s="28"/>
      <c r="AX838" s="28"/>
      <c r="AY838" s="28"/>
      <c r="AZ838" s="28"/>
      <c r="BA838" s="28"/>
      <c r="BB838" s="28"/>
      <c r="BC838" s="28"/>
      <c r="BD838" s="28"/>
      <c r="BE838" s="28"/>
    </row>
    <row r="839" spans="1:57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  <c r="AV839" s="28"/>
      <c r="AW839" s="28"/>
      <c r="AX839" s="28"/>
      <c r="AY839" s="28"/>
      <c r="AZ839" s="28"/>
      <c r="BA839" s="28"/>
      <c r="BB839" s="28"/>
      <c r="BC839" s="28"/>
      <c r="BD839" s="28"/>
      <c r="BE839" s="28"/>
    </row>
    <row r="840" spans="1:57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  <c r="AV840" s="28"/>
      <c r="AW840" s="28"/>
      <c r="AX840" s="28"/>
      <c r="AY840" s="28"/>
      <c r="AZ840" s="28"/>
      <c r="BA840" s="28"/>
      <c r="BB840" s="28"/>
      <c r="BC840" s="28"/>
      <c r="BD840" s="28"/>
      <c r="BE840" s="28"/>
    </row>
    <row r="841" spans="1:57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  <c r="AV841" s="28"/>
      <c r="AW841" s="28"/>
      <c r="AX841" s="28"/>
      <c r="AY841" s="28"/>
      <c r="AZ841" s="28"/>
      <c r="BA841" s="28"/>
      <c r="BB841" s="28"/>
      <c r="BC841" s="28"/>
      <c r="BD841" s="28"/>
      <c r="BE841" s="28"/>
    </row>
    <row r="842" spans="1:57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  <c r="AV842" s="28"/>
      <c r="AW842" s="28"/>
      <c r="AX842" s="28"/>
      <c r="AY842" s="28"/>
      <c r="AZ842" s="28"/>
      <c r="BA842" s="28"/>
      <c r="BB842" s="28"/>
      <c r="BC842" s="28"/>
      <c r="BD842" s="28"/>
      <c r="BE842" s="28"/>
    </row>
    <row r="843" spans="1:57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  <c r="AV843" s="28"/>
      <c r="AW843" s="28"/>
      <c r="AX843" s="28"/>
      <c r="AY843" s="28"/>
      <c r="AZ843" s="28"/>
      <c r="BA843" s="28"/>
      <c r="BB843" s="28"/>
      <c r="BC843" s="28"/>
      <c r="BD843" s="28"/>
      <c r="BE843" s="28"/>
    </row>
    <row r="844" spans="1:57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  <c r="AV844" s="28"/>
      <c r="AW844" s="28"/>
      <c r="AX844" s="28"/>
      <c r="AY844" s="28"/>
      <c r="AZ844" s="28"/>
      <c r="BA844" s="28"/>
      <c r="BB844" s="28"/>
      <c r="BC844" s="28"/>
      <c r="BD844" s="28"/>
      <c r="BE844" s="28"/>
    </row>
    <row r="845" spans="1:57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  <c r="AV845" s="28"/>
      <c r="AW845" s="28"/>
      <c r="AX845" s="28"/>
      <c r="AY845" s="28"/>
      <c r="AZ845" s="28"/>
      <c r="BA845" s="28"/>
      <c r="BB845" s="28"/>
      <c r="BC845" s="28"/>
      <c r="BD845" s="28"/>
      <c r="BE845" s="28"/>
    </row>
    <row r="846" spans="1:57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  <c r="AV846" s="28"/>
      <c r="AW846" s="28"/>
      <c r="AX846" s="28"/>
      <c r="AY846" s="28"/>
      <c r="AZ846" s="28"/>
      <c r="BA846" s="28"/>
      <c r="BB846" s="28"/>
      <c r="BC846" s="28"/>
      <c r="BD846" s="28"/>
      <c r="BE846" s="28"/>
    </row>
    <row r="847" spans="1:57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  <c r="AV847" s="28"/>
      <c r="AW847" s="28"/>
      <c r="AX847" s="28"/>
      <c r="AY847" s="28"/>
      <c r="AZ847" s="28"/>
      <c r="BA847" s="28"/>
      <c r="BB847" s="28"/>
      <c r="BC847" s="28"/>
      <c r="BD847" s="28"/>
      <c r="BE847" s="28"/>
    </row>
    <row r="848" spans="1:57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  <c r="AV848" s="28"/>
      <c r="AW848" s="28"/>
      <c r="AX848" s="28"/>
      <c r="AY848" s="28"/>
      <c r="AZ848" s="28"/>
      <c r="BA848" s="28"/>
      <c r="BB848" s="28"/>
      <c r="BC848" s="28"/>
      <c r="BD848" s="28"/>
      <c r="BE848" s="28"/>
    </row>
    <row r="849" spans="1:57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  <c r="AV849" s="28"/>
      <c r="AW849" s="28"/>
      <c r="AX849" s="28"/>
      <c r="AY849" s="28"/>
      <c r="AZ849" s="28"/>
      <c r="BA849" s="28"/>
      <c r="BB849" s="28"/>
      <c r="BC849" s="28"/>
      <c r="BD849" s="28"/>
      <c r="BE849" s="28"/>
    </row>
    <row r="850" spans="1:57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  <c r="AV850" s="28"/>
      <c r="AW850" s="28"/>
      <c r="AX850" s="28"/>
      <c r="AY850" s="28"/>
      <c r="AZ850" s="28"/>
      <c r="BA850" s="28"/>
      <c r="BB850" s="28"/>
      <c r="BC850" s="28"/>
      <c r="BD850" s="28"/>
      <c r="BE850" s="28"/>
    </row>
    <row r="851" spans="1:57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  <c r="AV851" s="28"/>
      <c r="AW851" s="28"/>
      <c r="AX851" s="28"/>
      <c r="AY851" s="28"/>
      <c r="AZ851" s="28"/>
      <c r="BA851" s="28"/>
      <c r="BB851" s="28"/>
      <c r="BC851" s="28"/>
      <c r="BD851" s="28"/>
      <c r="BE851" s="28"/>
    </row>
    <row r="852" spans="1:57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  <c r="AV852" s="28"/>
      <c r="AW852" s="28"/>
      <c r="AX852" s="28"/>
      <c r="AY852" s="28"/>
      <c r="AZ852" s="28"/>
      <c r="BA852" s="28"/>
      <c r="BB852" s="28"/>
      <c r="BC852" s="28"/>
      <c r="BD852" s="28"/>
      <c r="BE852" s="28"/>
    </row>
    <row r="853" spans="1:57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  <c r="AV853" s="28"/>
      <c r="AW853" s="28"/>
      <c r="AX853" s="28"/>
      <c r="AY853" s="28"/>
      <c r="AZ853" s="28"/>
      <c r="BA853" s="28"/>
      <c r="BB853" s="28"/>
      <c r="BC853" s="28"/>
      <c r="BD853" s="28"/>
      <c r="BE853" s="28"/>
    </row>
    <row r="854" spans="1:57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  <c r="AV854" s="28"/>
      <c r="AW854" s="28"/>
      <c r="AX854" s="28"/>
      <c r="AY854" s="28"/>
      <c r="AZ854" s="28"/>
      <c r="BA854" s="28"/>
      <c r="BB854" s="28"/>
      <c r="BC854" s="28"/>
      <c r="BD854" s="28"/>
      <c r="BE854" s="28"/>
    </row>
    <row r="855" spans="1:57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  <c r="AV855" s="28"/>
      <c r="AW855" s="28"/>
      <c r="AX855" s="28"/>
      <c r="AY855" s="28"/>
      <c r="AZ855" s="28"/>
      <c r="BA855" s="28"/>
      <c r="BB855" s="28"/>
      <c r="BC855" s="28"/>
      <c r="BD855" s="28"/>
      <c r="BE855" s="28"/>
    </row>
    <row r="856" spans="1:57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  <c r="AV856" s="28"/>
      <c r="AW856" s="28"/>
      <c r="AX856" s="28"/>
      <c r="AY856" s="28"/>
      <c r="AZ856" s="28"/>
      <c r="BA856" s="28"/>
      <c r="BB856" s="28"/>
      <c r="BC856" s="28"/>
      <c r="BD856" s="28"/>
      <c r="BE856" s="28"/>
    </row>
    <row r="857" spans="1:57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  <c r="AV857" s="28"/>
      <c r="AW857" s="28"/>
      <c r="AX857" s="28"/>
      <c r="AY857" s="28"/>
      <c r="AZ857" s="28"/>
      <c r="BA857" s="28"/>
      <c r="BB857" s="28"/>
      <c r="BC857" s="28"/>
      <c r="BD857" s="28"/>
      <c r="BE857" s="28"/>
    </row>
    <row r="858" spans="1:57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  <c r="AV858" s="28"/>
      <c r="AW858" s="28"/>
      <c r="AX858" s="28"/>
      <c r="AY858" s="28"/>
      <c r="AZ858" s="28"/>
      <c r="BA858" s="28"/>
      <c r="BB858" s="28"/>
      <c r="BC858" s="28"/>
      <c r="BD858" s="28"/>
      <c r="BE858" s="28"/>
    </row>
    <row r="859" spans="1:57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  <c r="AV859" s="28"/>
      <c r="AW859" s="28"/>
      <c r="AX859" s="28"/>
      <c r="AY859" s="28"/>
      <c r="AZ859" s="28"/>
      <c r="BA859" s="28"/>
      <c r="BB859" s="28"/>
      <c r="BC859" s="28"/>
      <c r="BD859" s="28"/>
      <c r="BE859" s="28"/>
    </row>
    <row r="860" spans="1:57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  <c r="AV860" s="28"/>
      <c r="AW860" s="28"/>
      <c r="AX860" s="28"/>
      <c r="AY860" s="28"/>
      <c r="AZ860" s="28"/>
      <c r="BA860" s="28"/>
      <c r="BB860" s="28"/>
      <c r="BC860" s="28"/>
      <c r="BD860" s="28"/>
      <c r="BE860" s="28"/>
    </row>
    <row r="861" spans="1:57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  <c r="AV861" s="28"/>
      <c r="AW861" s="28"/>
      <c r="AX861" s="28"/>
      <c r="AY861" s="28"/>
      <c r="AZ861" s="28"/>
      <c r="BA861" s="28"/>
      <c r="BB861" s="28"/>
      <c r="BC861" s="28"/>
      <c r="BD861" s="28"/>
      <c r="BE861" s="28"/>
    </row>
    <row r="862" spans="1:57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  <c r="AV862" s="28"/>
      <c r="AW862" s="28"/>
      <c r="AX862" s="28"/>
      <c r="AY862" s="28"/>
      <c r="AZ862" s="28"/>
      <c r="BA862" s="28"/>
      <c r="BB862" s="28"/>
      <c r="BC862" s="28"/>
      <c r="BD862" s="28"/>
      <c r="BE862" s="28"/>
    </row>
    <row r="863" spans="1:57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  <c r="AV863" s="28"/>
      <c r="AW863" s="28"/>
      <c r="AX863" s="28"/>
      <c r="AY863" s="28"/>
      <c r="AZ863" s="28"/>
      <c r="BA863" s="28"/>
      <c r="BB863" s="28"/>
      <c r="BC863" s="28"/>
      <c r="BD863" s="28"/>
      <c r="BE863" s="28"/>
    </row>
    <row r="864" spans="1:57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  <c r="AV864" s="28"/>
      <c r="AW864" s="28"/>
      <c r="AX864" s="28"/>
      <c r="AY864" s="28"/>
      <c r="AZ864" s="28"/>
      <c r="BA864" s="28"/>
      <c r="BB864" s="28"/>
      <c r="BC864" s="28"/>
      <c r="BD864" s="28"/>
      <c r="BE864" s="28"/>
    </row>
    <row r="865" spans="1:57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  <c r="AV865" s="28"/>
      <c r="AW865" s="28"/>
      <c r="AX865" s="28"/>
      <c r="AY865" s="28"/>
      <c r="AZ865" s="28"/>
      <c r="BA865" s="28"/>
      <c r="BB865" s="28"/>
      <c r="BC865" s="28"/>
      <c r="BD865" s="28"/>
      <c r="BE865" s="28"/>
    </row>
    <row r="866" spans="1:57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  <c r="AV866" s="28"/>
      <c r="AW866" s="28"/>
      <c r="AX866" s="28"/>
      <c r="AY866" s="28"/>
      <c r="AZ866" s="28"/>
      <c r="BA866" s="28"/>
      <c r="BB866" s="28"/>
      <c r="BC866" s="28"/>
      <c r="BD866" s="28"/>
      <c r="BE866" s="28"/>
    </row>
    <row r="867" spans="1:57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  <c r="AV867" s="28"/>
      <c r="AW867" s="28"/>
      <c r="AX867" s="28"/>
      <c r="AY867" s="28"/>
      <c r="AZ867" s="28"/>
      <c r="BA867" s="28"/>
      <c r="BB867" s="28"/>
      <c r="BC867" s="28"/>
      <c r="BD867" s="28"/>
      <c r="BE867" s="28"/>
    </row>
    <row r="868" spans="1:57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  <c r="AV868" s="28"/>
      <c r="AW868" s="28"/>
      <c r="AX868" s="28"/>
      <c r="AY868" s="28"/>
      <c r="AZ868" s="28"/>
      <c r="BA868" s="28"/>
      <c r="BB868" s="28"/>
      <c r="BC868" s="28"/>
      <c r="BD868" s="28"/>
      <c r="BE868" s="28"/>
    </row>
    <row r="869" spans="1:57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  <c r="AV869" s="28"/>
      <c r="AW869" s="28"/>
      <c r="AX869" s="28"/>
      <c r="AY869" s="28"/>
      <c r="AZ869" s="28"/>
      <c r="BA869" s="28"/>
      <c r="BB869" s="28"/>
      <c r="BC869" s="28"/>
      <c r="BD869" s="28"/>
      <c r="BE869" s="28"/>
    </row>
    <row r="870" spans="1:57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  <c r="AV870" s="28"/>
      <c r="AW870" s="28"/>
      <c r="AX870" s="28"/>
      <c r="AY870" s="28"/>
      <c r="AZ870" s="28"/>
      <c r="BA870" s="28"/>
      <c r="BB870" s="28"/>
      <c r="BC870" s="28"/>
      <c r="BD870" s="28"/>
      <c r="BE870" s="28"/>
    </row>
    <row r="871" spans="1:57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  <c r="AV871" s="28"/>
      <c r="AW871" s="28"/>
      <c r="AX871" s="28"/>
      <c r="AY871" s="28"/>
      <c r="AZ871" s="28"/>
      <c r="BA871" s="28"/>
      <c r="BB871" s="28"/>
      <c r="BC871" s="28"/>
      <c r="BD871" s="28"/>
      <c r="BE871" s="28"/>
    </row>
    <row r="872" spans="1:57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  <c r="AV872" s="28"/>
      <c r="AW872" s="28"/>
      <c r="AX872" s="28"/>
      <c r="AY872" s="28"/>
      <c r="AZ872" s="28"/>
      <c r="BA872" s="28"/>
      <c r="BB872" s="28"/>
      <c r="BC872" s="28"/>
      <c r="BD872" s="28"/>
      <c r="BE872" s="28"/>
    </row>
    <row r="873" spans="1:57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  <c r="AV873" s="28"/>
      <c r="AW873" s="28"/>
      <c r="AX873" s="28"/>
      <c r="AY873" s="28"/>
      <c r="AZ873" s="28"/>
      <c r="BA873" s="28"/>
      <c r="BB873" s="28"/>
      <c r="BC873" s="28"/>
      <c r="BD873" s="28"/>
      <c r="BE873" s="28"/>
    </row>
    <row r="874" spans="1:57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  <c r="AV874" s="28"/>
      <c r="AW874" s="28"/>
      <c r="AX874" s="28"/>
      <c r="AY874" s="28"/>
      <c r="AZ874" s="28"/>
      <c r="BA874" s="28"/>
      <c r="BB874" s="28"/>
      <c r="BC874" s="28"/>
      <c r="BD874" s="28"/>
      <c r="BE874" s="28"/>
    </row>
    <row r="875" spans="1:57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  <c r="AV875" s="28"/>
      <c r="AW875" s="28"/>
      <c r="AX875" s="28"/>
      <c r="AY875" s="28"/>
      <c r="AZ875" s="28"/>
      <c r="BA875" s="28"/>
      <c r="BB875" s="28"/>
      <c r="BC875" s="28"/>
      <c r="BD875" s="28"/>
      <c r="BE875" s="28"/>
    </row>
    <row r="876" spans="1:57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  <c r="AV876" s="28"/>
      <c r="AW876" s="28"/>
      <c r="AX876" s="28"/>
      <c r="AY876" s="28"/>
      <c r="AZ876" s="28"/>
      <c r="BA876" s="28"/>
      <c r="BB876" s="28"/>
      <c r="BC876" s="28"/>
      <c r="BD876" s="28"/>
      <c r="BE876" s="28"/>
    </row>
    <row r="877" spans="1:57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  <c r="AV877" s="28"/>
      <c r="AW877" s="28"/>
      <c r="AX877" s="28"/>
      <c r="AY877" s="28"/>
      <c r="AZ877" s="28"/>
      <c r="BA877" s="28"/>
      <c r="BB877" s="28"/>
      <c r="BC877" s="28"/>
      <c r="BD877" s="28"/>
      <c r="BE877" s="28"/>
    </row>
    <row r="878" spans="1:57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  <c r="AV878" s="28"/>
      <c r="AW878" s="28"/>
      <c r="AX878" s="28"/>
      <c r="AY878" s="28"/>
      <c r="AZ878" s="28"/>
      <c r="BA878" s="28"/>
      <c r="BB878" s="28"/>
      <c r="BC878" s="28"/>
      <c r="BD878" s="28"/>
      <c r="BE878" s="28"/>
    </row>
    <row r="879" spans="1:57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  <c r="AV879" s="28"/>
      <c r="AW879" s="28"/>
      <c r="AX879" s="28"/>
      <c r="AY879" s="28"/>
      <c r="AZ879" s="28"/>
      <c r="BA879" s="28"/>
      <c r="BB879" s="28"/>
      <c r="BC879" s="28"/>
      <c r="BD879" s="28"/>
      <c r="BE879" s="28"/>
    </row>
    <row r="880" spans="1:57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  <c r="AV880" s="28"/>
      <c r="AW880" s="28"/>
      <c r="AX880" s="28"/>
      <c r="AY880" s="28"/>
      <c r="AZ880" s="28"/>
      <c r="BA880" s="28"/>
      <c r="BB880" s="28"/>
      <c r="BC880" s="28"/>
      <c r="BD880" s="28"/>
      <c r="BE880" s="28"/>
    </row>
    <row r="881" spans="1:57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  <c r="AV881" s="28"/>
      <c r="AW881" s="28"/>
      <c r="AX881" s="28"/>
      <c r="AY881" s="28"/>
      <c r="AZ881" s="28"/>
      <c r="BA881" s="28"/>
      <c r="BB881" s="28"/>
      <c r="BC881" s="28"/>
      <c r="BD881" s="28"/>
      <c r="BE881" s="28"/>
    </row>
    <row r="882" spans="1:57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  <c r="AV882" s="28"/>
      <c r="AW882" s="28"/>
      <c r="AX882" s="28"/>
      <c r="AY882" s="28"/>
      <c r="AZ882" s="28"/>
      <c r="BA882" s="28"/>
      <c r="BB882" s="28"/>
      <c r="BC882" s="28"/>
      <c r="BD882" s="28"/>
      <c r="BE882" s="28"/>
    </row>
    <row r="883" spans="1:57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  <c r="AV883" s="28"/>
      <c r="AW883" s="28"/>
      <c r="AX883" s="28"/>
      <c r="AY883" s="28"/>
      <c r="AZ883" s="28"/>
      <c r="BA883" s="28"/>
      <c r="BB883" s="28"/>
      <c r="BC883" s="28"/>
      <c r="BD883" s="28"/>
      <c r="BE883" s="28"/>
    </row>
    <row r="884" spans="1:57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  <c r="AV884" s="28"/>
      <c r="AW884" s="28"/>
      <c r="AX884" s="28"/>
      <c r="AY884" s="28"/>
      <c r="AZ884" s="28"/>
      <c r="BA884" s="28"/>
      <c r="BB884" s="28"/>
      <c r="BC884" s="28"/>
      <c r="BD884" s="28"/>
      <c r="BE884" s="28"/>
    </row>
    <row r="885" spans="1:57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  <c r="AV885" s="28"/>
      <c r="AW885" s="28"/>
      <c r="AX885" s="28"/>
      <c r="AY885" s="28"/>
      <c r="AZ885" s="28"/>
      <c r="BA885" s="28"/>
      <c r="BB885" s="28"/>
      <c r="BC885" s="28"/>
      <c r="BD885" s="28"/>
      <c r="BE885" s="28"/>
    </row>
    <row r="886" spans="1:57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  <c r="AV886" s="28"/>
      <c r="AW886" s="28"/>
      <c r="AX886" s="28"/>
      <c r="AY886" s="28"/>
      <c r="AZ886" s="28"/>
      <c r="BA886" s="28"/>
      <c r="BB886" s="28"/>
      <c r="BC886" s="28"/>
      <c r="BD886" s="28"/>
      <c r="BE886" s="28"/>
    </row>
    <row r="887" spans="1:57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  <c r="AV887" s="28"/>
      <c r="AW887" s="28"/>
      <c r="AX887" s="28"/>
      <c r="AY887" s="28"/>
      <c r="AZ887" s="28"/>
      <c r="BA887" s="28"/>
      <c r="BB887" s="28"/>
      <c r="BC887" s="28"/>
      <c r="BD887" s="28"/>
      <c r="BE887" s="28"/>
    </row>
    <row r="888" spans="1:57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  <c r="AV888" s="28"/>
      <c r="AW888" s="28"/>
      <c r="AX888" s="28"/>
      <c r="AY888" s="28"/>
      <c r="AZ888" s="28"/>
      <c r="BA888" s="28"/>
      <c r="BB888" s="28"/>
      <c r="BC888" s="28"/>
      <c r="BD888" s="28"/>
      <c r="BE888" s="28"/>
    </row>
    <row r="889" spans="1:57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  <c r="AV889" s="28"/>
      <c r="AW889" s="28"/>
      <c r="AX889" s="28"/>
      <c r="AY889" s="28"/>
      <c r="AZ889" s="28"/>
      <c r="BA889" s="28"/>
      <c r="BB889" s="28"/>
      <c r="BC889" s="28"/>
      <c r="BD889" s="28"/>
      <c r="BE889" s="28"/>
    </row>
    <row r="890" spans="1:57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  <c r="AV890" s="28"/>
      <c r="AW890" s="28"/>
      <c r="AX890" s="28"/>
      <c r="AY890" s="28"/>
      <c r="AZ890" s="28"/>
      <c r="BA890" s="28"/>
      <c r="BB890" s="28"/>
      <c r="BC890" s="28"/>
      <c r="BD890" s="28"/>
      <c r="BE890" s="28"/>
    </row>
    <row r="891" spans="1:57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  <c r="AV891" s="28"/>
      <c r="AW891" s="28"/>
      <c r="AX891" s="28"/>
      <c r="AY891" s="28"/>
      <c r="AZ891" s="28"/>
      <c r="BA891" s="28"/>
      <c r="BB891" s="28"/>
      <c r="BC891" s="28"/>
      <c r="BD891" s="28"/>
      <c r="BE891" s="28"/>
    </row>
    <row r="892" spans="1:57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  <c r="AV892" s="28"/>
      <c r="AW892" s="28"/>
      <c r="AX892" s="28"/>
      <c r="AY892" s="28"/>
      <c r="AZ892" s="28"/>
      <c r="BA892" s="28"/>
      <c r="BB892" s="28"/>
      <c r="BC892" s="28"/>
      <c r="BD892" s="28"/>
      <c r="BE892" s="28"/>
    </row>
    <row r="893" spans="1:57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  <c r="AV893" s="28"/>
      <c r="AW893" s="28"/>
      <c r="AX893" s="28"/>
      <c r="AY893" s="28"/>
      <c r="AZ893" s="28"/>
      <c r="BA893" s="28"/>
      <c r="BB893" s="28"/>
      <c r="BC893" s="28"/>
      <c r="BD893" s="28"/>
      <c r="BE893" s="28"/>
    </row>
    <row r="894" spans="1:57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  <c r="AV894" s="28"/>
      <c r="AW894" s="28"/>
      <c r="AX894" s="28"/>
      <c r="AY894" s="28"/>
      <c r="AZ894" s="28"/>
      <c r="BA894" s="28"/>
      <c r="BB894" s="28"/>
      <c r="BC894" s="28"/>
      <c r="BD894" s="28"/>
      <c r="BE894" s="28"/>
    </row>
    <row r="895" spans="1:57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  <c r="AV895" s="28"/>
      <c r="AW895" s="28"/>
      <c r="AX895" s="28"/>
      <c r="AY895" s="28"/>
      <c r="AZ895" s="28"/>
      <c r="BA895" s="28"/>
      <c r="BB895" s="28"/>
      <c r="BC895" s="28"/>
      <c r="BD895" s="28"/>
      <c r="BE895" s="28"/>
    </row>
    <row r="896" spans="1:57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  <c r="AV896" s="28"/>
      <c r="AW896" s="28"/>
      <c r="AX896" s="28"/>
      <c r="AY896" s="28"/>
      <c r="AZ896" s="28"/>
      <c r="BA896" s="28"/>
      <c r="BB896" s="28"/>
      <c r="BC896" s="28"/>
      <c r="BD896" s="28"/>
      <c r="BE896" s="28"/>
    </row>
    <row r="897" spans="1:57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  <c r="AV897" s="28"/>
      <c r="AW897" s="28"/>
      <c r="AX897" s="28"/>
      <c r="AY897" s="28"/>
      <c r="AZ897" s="28"/>
      <c r="BA897" s="28"/>
      <c r="BB897" s="28"/>
      <c r="BC897" s="28"/>
      <c r="BD897" s="28"/>
      <c r="BE897" s="28"/>
    </row>
    <row r="898" spans="1:57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  <c r="AV898" s="28"/>
      <c r="AW898" s="28"/>
      <c r="AX898" s="28"/>
      <c r="AY898" s="28"/>
      <c r="AZ898" s="28"/>
      <c r="BA898" s="28"/>
      <c r="BB898" s="28"/>
      <c r="BC898" s="28"/>
      <c r="BD898" s="28"/>
      <c r="BE898" s="28"/>
    </row>
    <row r="899" spans="1:57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  <c r="AV899" s="28"/>
      <c r="AW899" s="28"/>
      <c r="AX899" s="28"/>
      <c r="AY899" s="28"/>
      <c r="AZ899" s="28"/>
      <c r="BA899" s="28"/>
      <c r="BB899" s="28"/>
      <c r="BC899" s="28"/>
      <c r="BD899" s="28"/>
      <c r="BE899" s="28"/>
    </row>
    <row r="900" spans="1:57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  <c r="AV900" s="28"/>
      <c r="AW900" s="28"/>
      <c r="AX900" s="28"/>
      <c r="AY900" s="28"/>
      <c r="AZ900" s="28"/>
      <c r="BA900" s="28"/>
      <c r="BB900" s="28"/>
      <c r="BC900" s="28"/>
      <c r="BD900" s="28"/>
      <c r="BE900" s="28"/>
    </row>
    <row r="901" spans="1:57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  <c r="AV901" s="28"/>
      <c r="AW901" s="28"/>
      <c r="AX901" s="28"/>
      <c r="AY901" s="28"/>
      <c r="AZ901" s="28"/>
      <c r="BA901" s="28"/>
      <c r="BB901" s="28"/>
      <c r="BC901" s="28"/>
      <c r="BD901" s="28"/>
      <c r="BE901" s="28"/>
    </row>
    <row r="902" spans="1:57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  <c r="AV902" s="28"/>
      <c r="AW902" s="28"/>
      <c r="AX902" s="28"/>
      <c r="AY902" s="28"/>
      <c r="AZ902" s="28"/>
      <c r="BA902" s="28"/>
      <c r="BB902" s="28"/>
      <c r="BC902" s="28"/>
      <c r="BD902" s="28"/>
      <c r="BE902" s="28"/>
    </row>
    <row r="903" spans="1:57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  <c r="AV903" s="28"/>
      <c r="AW903" s="28"/>
      <c r="AX903" s="28"/>
      <c r="AY903" s="28"/>
      <c r="AZ903" s="28"/>
      <c r="BA903" s="28"/>
      <c r="BB903" s="28"/>
      <c r="BC903" s="28"/>
      <c r="BD903" s="28"/>
      <c r="BE903" s="28"/>
    </row>
    <row r="904" spans="1:57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  <c r="AV904" s="28"/>
      <c r="AW904" s="28"/>
      <c r="AX904" s="28"/>
      <c r="AY904" s="28"/>
      <c r="AZ904" s="28"/>
      <c r="BA904" s="28"/>
      <c r="BB904" s="28"/>
      <c r="BC904" s="28"/>
      <c r="BD904" s="28"/>
      <c r="BE904" s="28"/>
    </row>
    <row r="905" spans="1:57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  <c r="AV905" s="28"/>
      <c r="AW905" s="28"/>
      <c r="AX905" s="28"/>
      <c r="AY905" s="28"/>
      <c r="AZ905" s="28"/>
      <c r="BA905" s="28"/>
      <c r="BB905" s="28"/>
      <c r="BC905" s="28"/>
      <c r="BD905" s="28"/>
      <c r="BE905" s="28"/>
    </row>
    <row r="906" spans="1:57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  <c r="AV906" s="28"/>
      <c r="AW906" s="28"/>
      <c r="AX906" s="28"/>
      <c r="AY906" s="28"/>
      <c r="AZ906" s="28"/>
      <c r="BA906" s="28"/>
      <c r="BB906" s="28"/>
      <c r="BC906" s="28"/>
      <c r="BD906" s="28"/>
      <c r="BE906" s="28"/>
    </row>
    <row r="907" spans="1:57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  <c r="AV907" s="28"/>
      <c r="AW907" s="28"/>
      <c r="AX907" s="28"/>
      <c r="AY907" s="28"/>
      <c r="AZ907" s="28"/>
      <c r="BA907" s="28"/>
      <c r="BB907" s="28"/>
      <c r="BC907" s="28"/>
      <c r="BD907" s="28"/>
      <c r="BE907" s="28"/>
    </row>
    <row r="908" spans="1:57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  <c r="AV908" s="28"/>
      <c r="AW908" s="28"/>
      <c r="AX908" s="28"/>
      <c r="AY908" s="28"/>
      <c r="AZ908" s="28"/>
      <c r="BA908" s="28"/>
      <c r="BB908" s="28"/>
      <c r="BC908" s="28"/>
      <c r="BD908" s="28"/>
      <c r="BE908" s="28"/>
    </row>
    <row r="909" spans="1:57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  <c r="AV909" s="28"/>
      <c r="AW909" s="28"/>
      <c r="AX909" s="28"/>
      <c r="AY909" s="28"/>
      <c r="AZ909" s="28"/>
      <c r="BA909" s="28"/>
      <c r="BB909" s="28"/>
      <c r="BC909" s="28"/>
      <c r="BD909" s="28"/>
      <c r="BE909" s="28"/>
    </row>
    <row r="910" spans="1:57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  <c r="AV910" s="28"/>
      <c r="AW910" s="28"/>
      <c r="AX910" s="28"/>
      <c r="AY910" s="28"/>
      <c r="AZ910" s="28"/>
      <c r="BA910" s="28"/>
      <c r="BB910" s="28"/>
      <c r="BC910" s="28"/>
      <c r="BD910" s="28"/>
      <c r="BE910" s="28"/>
    </row>
    <row r="911" spans="1:57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  <c r="AV911" s="28"/>
      <c r="AW911" s="28"/>
      <c r="AX911" s="28"/>
      <c r="AY911" s="28"/>
      <c r="AZ911" s="28"/>
      <c r="BA911" s="28"/>
      <c r="BB911" s="28"/>
      <c r="BC911" s="28"/>
      <c r="BD911" s="28"/>
      <c r="BE911" s="28"/>
    </row>
    <row r="912" spans="1:57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  <c r="AV912" s="28"/>
      <c r="AW912" s="28"/>
      <c r="AX912" s="28"/>
      <c r="AY912" s="28"/>
      <c r="AZ912" s="28"/>
      <c r="BA912" s="28"/>
      <c r="BB912" s="28"/>
      <c r="BC912" s="28"/>
      <c r="BD912" s="28"/>
      <c r="BE912" s="28"/>
    </row>
    <row r="913" spans="1:57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  <c r="AV913" s="28"/>
      <c r="AW913" s="28"/>
      <c r="AX913" s="28"/>
      <c r="AY913" s="28"/>
      <c r="AZ913" s="28"/>
      <c r="BA913" s="28"/>
      <c r="BB913" s="28"/>
      <c r="BC913" s="28"/>
      <c r="BD913" s="28"/>
      <c r="BE913" s="28"/>
    </row>
    <row r="914" spans="1:57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  <c r="AV914" s="28"/>
      <c r="AW914" s="28"/>
      <c r="AX914" s="28"/>
      <c r="AY914" s="28"/>
      <c r="AZ914" s="28"/>
      <c r="BA914" s="28"/>
      <c r="BB914" s="28"/>
      <c r="BC914" s="28"/>
      <c r="BD914" s="28"/>
      <c r="BE914" s="28"/>
    </row>
    <row r="915" spans="1:57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  <c r="AV915" s="28"/>
      <c r="AW915" s="28"/>
      <c r="AX915" s="28"/>
      <c r="AY915" s="28"/>
      <c r="AZ915" s="28"/>
      <c r="BA915" s="28"/>
      <c r="BB915" s="28"/>
      <c r="BC915" s="28"/>
      <c r="BD915" s="28"/>
      <c r="BE915" s="28"/>
    </row>
    <row r="916" spans="1:57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  <c r="AV916" s="28"/>
      <c r="AW916" s="28"/>
      <c r="AX916" s="28"/>
      <c r="AY916" s="28"/>
      <c r="AZ916" s="28"/>
      <c r="BA916" s="28"/>
      <c r="BB916" s="28"/>
      <c r="BC916" s="28"/>
      <c r="BD916" s="28"/>
      <c r="BE916" s="28"/>
    </row>
    <row r="917" spans="1:57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  <c r="AV917" s="28"/>
      <c r="AW917" s="28"/>
      <c r="AX917" s="28"/>
      <c r="AY917" s="28"/>
      <c r="AZ917" s="28"/>
      <c r="BA917" s="28"/>
      <c r="BB917" s="28"/>
      <c r="BC917" s="28"/>
      <c r="BD917" s="28"/>
      <c r="BE917" s="28"/>
    </row>
    <row r="918" spans="1:57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  <c r="AV918" s="28"/>
      <c r="AW918" s="28"/>
      <c r="AX918" s="28"/>
      <c r="AY918" s="28"/>
      <c r="AZ918" s="28"/>
      <c r="BA918" s="28"/>
      <c r="BB918" s="28"/>
      <c r="BC918" s="28"/>
      <c r="BD918" s="28"/>
      <c r="BE918" s="28"/>
    </row>
    <row r="919" spans="1:57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  <c r="AV919" s="28"/>
      <c r="AW919" s="28"/>
      <c r="AX919" s="28"/>
      <c r="AY919" s="28"/>
      <c r="AZ919" s="28"/>
      <c r="BA919" s="28"/>
      <c r="BB919" s="28"/>
      <c r="BC919" s="28"/>
      <c r="BD919" s="28"/>
      <c r="BE919" s="28"/>
    </row>
    <row r="920" spans="1:57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  <c r="AV920" s="28"/>
      <c r="AW920" s="28"/>
      <c r="AX920" s="28"/>
      <c r="AY920" s="28"/>
      <c r="AZ920" s="28"/>
      <c r="BA920" s="28"/>
      <c r="BB920" s="28"/>
      <c r="BC920" s="28"/>
      <c r="BD920" s="28"/>
      <c r="BE920" s="28"/>
    </row>
    <row r="921" spans="1:57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  <c r="AV921" s="28"/>
      <c r="AW921" s="28"/>
      <c r="AX921" s="28"/>
      <c r="AY921" s="28"/>
      <c r="AZ921" s="28"/>
      <c r="BA921" s="28"/>
      <c r="BB921" s="28"/>
      <c r="BC921" s="28"/>
      <c r="BD921" s="28"/>
      <c r="BE921" s="28"/>
    </row>
    <row r="922" spans="1:57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  <c r="AV922" s="28"/>
      <c r="AW922" s="28"/>
      <c r="AX922" s="28"/>
      <c r="AY922" s="28"/>
      <c r="AZ922" s="28"/>
      <c r="BA922" s="28"/>
      <c r="BB922" s="28"/>
      <c r="BC922" s="28"/>
      <c r="BD922" s="28"/>
      <c r="BE922" s="28"/>
    </row>
    <row r="923" spans="1:57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  <c r="AV923" s="28"/>
      <c r="AW923" s="28"/>
      <c r="AX923" s="28"/>
      <c r="AY923" s="28"/>
      <c r="AZ923" s="28"/>
      <c r="BA923" s="28"/>
      <c r="BB923" s="28"/>
      <c r="BC923" s="28"/>
      <c r="BD923" s="28"/>
      <c r="BE923" s="28"/>
    </row>
    <row r="924" spans="1:57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  <c r="AV924" s="28"/>
      <c r="AW924" s="28"/>
      <c r="AX924" s="28"/>
      <c r="AY924" s="28"/>
      <c r="AZ924" s="28"/>
      <c r="BA924" s="28"/>
      <c r="BB924" s="28"/>
      <c r="BC924" s="28"/>
      <c r="BD924" s="28"/>
      <c r="BE924" s="28"/>
    </row>
    <row r="925" spans="1:57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  <c r="AV925" s="28"/>
      <c r="AW925" s="28"/>
      <c r="AX925" s="28"/>
      <c r="AY925" s="28"/>
      <c r="AZ925" s="28"/>
      <c r="BA925" s="28"/>
      <c r="BB925" s="28"/>
      <c r="BC925" s="28"/>
      <c r="BD925" s="28"/>
      <c r="BE925" s="28"/>
    </row>
    <row r="926" spans="1:57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  <c r="AV926" s="28"/>
      <c r="AW926" s="28"/>
      <c r="AX926" s="28"/>
      <c r="AY926" s="28"/>
      <c r="AZ926" s="28"/>
      <c r="BA926" s="28"/>
      <c r="BB926" s="28"/>
      <c r="BC926" s="28"/>
      <c r="BD926" s="28"/>
      <c r="BE926" s="28"/>
    </row>
    <row r="927" spans="1:57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  <c r="AV927" s="28"/>
      <c r="AW927" s="28"/>
      <c r="AX927" s="28"/>
      <c r="AY927" s="28"/>
      <c r="AZ927" s="28"/>
      <c r="BA927" s="28"/>
      <c r="BB927" s="28"/>
      <c r="BC927" s="28"/>
      <c r="BD927" s="28"/>
      <c r="BE927" s="28"/>
    </row>
    <row r="928" spans="1:57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  <c r="AV928" s="28"/>
      <c r="AW928" s="28"/>
      <c r="AX928" s="28"/>
      <c r="AY928" s="28"/>
      <c r="AZ928" s="28"/>
      <c r="BA928" s="28"/>
      <c r="BB928" s="28"/>
      <c r="BC928" s="28"/>
      <c r="BD928" s="28"/>
      <c r="BE928" s="28"/>
    </row>
    <row r="929" spans="1:57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  <c r="AV929" s="28"/>
      <c r="AW929" s="28"/>
      <c r="AX929" s="28"/>
      <c r="AY929" s="28"/>
      <c r="AZ929" s="28"/>
      <c r="BA929" s="28"/>
      <c r="BB929" s="28"/>
      <c r="BC929" s="28"/>
      <c r="BD929" s="28"/>
      <c r="BE929" s="28"/>
    </row>
    <row r="930" spans="1:57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  <c r="AV930" s="28"/>
      <c r="AW930" s="28"/>
      <c r="AX930" s="28"/>
      <c r="AY930" s="28"/>
      <c r="AZ930" s="28"/>
      <c r="BA930" s="28"/>
      <c r="BB930" s="28"/>
      <c r="BC930" s="28"/>
      <c r="BD930" s="28"/>
      <c r="BE930" s="28"/>
    </row>
    <row r="931" spans="1:57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  <c r="AV931" s="28"/>
      <c r="AW931" s="28"/>
      <c r="AX931" s="28"/>
      <c r="AY931" s="28"/>
      <c r="AZ931" s="28"/>
      <c r="BA931" s="28"/>
      <c r="BB931" s="28"/>
      <c r="BC931" s="28"/>
      <c r="BD931" s="28"/>
      <c r="BE931" s="28"/>
    </row>
    <row r="932" spans="1:57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  <c r="AV932" s="28"/>
      <c r="AW932" s="28"/>
      <c r="AX932" s="28"/>
      <c r="AY932" s="28"/>
      <c r="AZ932" s="28"/>
      <c r="BA932" s="28"/>
      <c r="BB932" s="28"/>
      <c r="BC932" s="28"/>
      <c r="BD932" s="28"/>
      <c r="BE932" s="28"/>
    </row>
    <row r="933" spans="1:57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  <c r="AV933" s="28"/>
      <c r="AW933" s="28"/>
      <c r="AX933" s="28"/>
      <c r="AY933" s="28"/>
      <c r="AZ933" s="28"/>
      <c r="BA933" s="28"/>
      <c r="BB933" s="28"/>
      <c r="BC933" s="28"/>
      <c r="BD933" s="28"/>
      <c r="BE933" s="28"/>
    </row>
    <row r="934" spans="1:57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  <c r="AV934" s="28"/>
      <c r="AW934" s="28"/>
      <c r="AX934" s="28"/>
      <c r="AY934" s="28"/>
      <c r="AZ934" s="28"/>
      <c r="BA934" s="28"/>
      <c r="BB934" s="28"/>
      <c r="BC934" s="28"/>
      <c r="BD934" s="28"/>
      <c r="BE934" s="28"/>
    </row>
    <row r="935" spans="1:57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  <c r="AV935" s="28"/>
      <c r="AW935" s="28"/>
      <c r="AX935" s="28"/>
      <c r="AY935" s="28"/>
      <c r="AZ935" s="28"/>
      <c r="BA935" s="28"/>
      <c r="BB935" s="28"/>
      <c r="BC935" s="28"/>
      <c r="BD935" s="28"/>
      <c r="BE935" s="28"/>
    </row>
    <row r="936" spans="1:57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  <c r="AV936" s="28"/>
      <c r="AW936" s="28"/>
      <c r="AX936" s="28"/>
      <c r="AY936" s="28"/>
      <c r="AZ936" s="28"/>
      <c r="BA936" s="28"/>
      <c r="BB936" s="28"/>
      <c r="BC936" s="28"/>
      <c r="BD936" s="28"/>
      <c r="BE936" s="28"/>
    </row>
    <row r="937" spans="1:57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  <c r="AV937" s="28"/>
      <c r="AW937" s="28"/>
      <c r="AX937" s="28"/>
      <c r="AY937" s="28"/>
      <c r="AZ937" s="28"/>
      <c r="BA937" s="28"/>
      <c r="BB937" s="28"/>
      <c r="BC937" s="28"/>
      <c r="BD937" s="28"/>
      <c r="BE937" s="28"/>
    </row>
    <row r="938" spans="1:57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  <c r="AV938" s="28"/>
      <c r="AW938" s="28"/>
      <c r="AX938" s="28"/>
      <c r="AY938" s="28"/>
      <c r="AZ938" s="28"/>
      <c r="BA938" s="28"/>
      <c r="BB938" s="28"/>
      <c r="BC938" s="28"/>
      <c r="BD938" s="28"/>
      <c r="BE938" s="28"/>
    </row>
    <row r="939" spans="1:57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  <c r="AV939" s="28"/>
      <c r="AW939" s="28"/>
      <c r="AX939" s="28"/>
      <c r="AY939" s="28"/>
      <c r="AZ939" s="28"/>
      <c r="BA939" s="28"/>
      <c r="BB939" s="28"/>
      <c r="BC939" s="28"/>
      <c r="BD939" s="28"/>
      <c r="BE939" s="28"/>
    </row>
    <row r="940" spans="1:57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  <c r="AV940" s="28"/>
      <c r="AW940" s="28"/>
      <c r="AX940" s="28"/>
      <c r="AY940" s="28"/>
      <c r="AZ940" s="28"/>
      <c r="BA940" s="28"/>
      <c r="BB940" s="28"/>
      <c r="BC940" s="28"/>
      <c r="BD940" s="28"/>
      <c r="BE940" s="28"/>
    </row>
    <row r="941" spans="1:57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  <c r="AV941" s="28"/>
      <c r="AW941" s="28"/>
      <c r="AX941" s="28"/>
      <c r="AY941" s="28"/>
      <c r="AZ941" s="28"/>
      <c r="BA941" s="28"/>
      <c r="BB941" s="28"/>
      <c r="BC941" s="28"/>
      <c r="BD941" s="28"/>
      <c r="BE941" s="28"/>
    </row>
    <row r="942" spans="1:57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  <c r="AV942" s="28"/>
      <c r="AW942" s="28"/>
      <c r="AX942" s="28"/>
      <c r="AY942" s="28"/>
      <c r="AZ942" s="28"/>
      <c r="BA942" s="28"/>
      <c r="BB942" s="28"/>
      <c r="BC942" s="28"/>
      <c r="BD942" s="28"/>
      <c r="BE942" s="28"/>
    </row>
    <row r="943" spans="1:57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  <c r="AV943" s="28"/>
      <c r="AW943" s="28"/>
      <c r="AX943" s="28"/>
      <c r="AY943" s="28"/>
      <c r="AZ943" s="28"/>
      <c r="BA943" s="28"/>
      <c r="BB943" s="28"/>
      <c r="BC943" s="28"/>
      <c r="BD943" s="28"/>
      <c r="BE943" s="28"/>
    </row>
    <row r="944" spans="1:57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  <c r="AV944" s="28"/>
      <c r="AW944" s="28"/>
      <c r="AX944" s="28"/>
      <c r="AY944" s="28"/>
      <c r="AZ944" s="28"/>
      <c r="BA944" s="28"/>
      <c r="BB944" s="28"/>
      <c r="BC944" s="28"/>
      <c r="BD944" s="28"/>
      <c r="BE944" s="28"/>
    </row>
    <row r="945" spans="1:57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  <c r="AV945" s="28"/>
      <c r="AW945" s="28"/>
      <c r="AX945" s="28"/>
      <c r="AY945" s="28"/>
      <c r="AZ945" s="28"/>
      <c r="BA945" s="28"/>
      <c r="BB945" s="28"/>
      <c r="BC945" s="28"/>
      <c r="BD945" s="28"/>
      <c r="BE945" s="28"/>
    </row>
    <row r="946" spans="1:57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  <c r="AV946" s="28"/>
      <c r="AW946" s="28"/>
      <c r="AX946" s="28"/>
      <c r="AY946" s="28"/>
      <c r="AZ946" s="28"/>
      <c r="BA946" s="28"/>
      <c r="BB946" s="28"/>
      <c r="BC946" s="28"/>
      <c r="BD946" s="28"/>
      <c r="BE946" s="28"/>
    </row>
    <row r="947" spans="1:57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  <c r="AV947" s="28"/>
      <c r="AW947" s="28"/>
      <c r="AX947" s="28"/>
      <c r="AY947" s="28"/>
      <c r="AZ947" s="28"/>
      <c r="BA947" s="28"/>
      <c r="BB947" s="28"/>
      <c r="BC947" s="28"/>
      <c r="BD947" s="28"/>
      <c r="BE947" s="28"/>
    </row>
    <row r="948" spans="1:57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  <c r="AV948" s="28"/>
      <c r="AW948" s="28"/>
      <c r="AX948" s="28"/>
      <c r="AY948" s="28"/>
      <c r="AZ948" s="28"/>
      <c r="BA948" s="28"/>
      <c r="BB948" s="28"/>
      <c r="BC948" s="28"/>
      <c r="BD948" s="28"/>
      <c r="BE948" s="28"/>
    </row>
    <row r="949" spans="1:57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  <c r="AV949" s="28"/>
      <c r="AW949" s="28"/>
      <c r="AX949" s="28"/>
      <c r="AY949" s="28"/>
      <c r="AZ949" s="28"/>
      <c r="BA949" s="28"/>
      <c r="BB949" s="28"/>
      <c r="BC949" s="28"/>
      <c r="BD949" s="28"/>
      <c r="BE949" s="28"/>
    </row>
    <row r="950" spans="1:57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  <c r="AV950" s="28"/>
      <c r="AW950" s="28"/>
      <c r="AX950" s="28"/>
      <c r="AY950" s="28"/>
      <c r="AZ950" s="28"/>
      <c r="BA950" s="28"/>
      <c r="BB950" s="28"/>
      <c r="BC950" s="28"/>
      <c r="BD950" s="28"/>
      <c r="BE950" s="28"/>
    </row>
    <row r="951" spans="1:57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  <c r="AV951" s="28"/>
      <c r="AW951" s="28"/>
      <c r="AX951" s="28"/>
      <c r="AY951" s="28"/>
      <c r="AZ951" s="28"/>
      <c r="BA951" s="28"/>
      <c r="BB951" s="28"/>
      <c r="BC951" s="28"/>
      <c r="BD951" s="28"/>
      <c r="BE951" s="28"/>
    </row>
    <row r="952" spans="1:57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  <c r="AV952" s="28"/>
      <c r="AW952" s="28"/>
      <c r="AX952" s="28"/>
      <c r="AY952" s="28"/>
      <c r="AZ952" s="28"/>
      <c r="BA952" s="28"/>
      <c r="BB952" s="28"/>
      <c r="BC952" s="28"/>
      <c r="BD952" s="28"/>
      <c r="BE952" s="28"/>
    </row>
    <row r="953" spans="1:57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  <c r="AV953" s="28"/>
      <c r="AW953" s="28"/>
      <c r="AX953" s="28"/>
      <c r="AY953" s="28"/>
      <c r="AZ953" s="28"/>
      <c r="BA953" s="28"/>
      <c r="BB953" s="28"/>
      <c r="BC953" s="28"/>
      <c r="BD953" s="28"/>
      <c r="BE953" s="28"/>
    </row>
    <row r="954" spans="1:57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  <c r="AV954" s="28"/>
      <c r="AW954" s="28"/>
      <c r="AX954" s="28"/>
      <c r="AY954" s="28"/>
      <c r="AZ954" s="28"/>
      <c r="BA954" s="28"/>
      <c r="BB954" s="28"/>
      <c r="BC954" s="28"/>
      <c r="BD954" s="28"/>
      <c r="BE954" s="28"/>
    </row>
    <row r="955" spans="1:57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  <c r="AV955" s="28"/>
      <c r="AW955" s="28"/>
      <c r="AX955" s="28"/>
      <c r="AY955" s="28"/>
      <c r="AZ955" s="28"/>
      <c r="BA955" s="28"/>
      <c r="BB955" s="28"/>
      <c r="BC955" s="28"/>
      <c r="BD955" s="28"/>
      <c r="BE955" s="28"/>
    </row>
    <row r="956" spans="1:57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  <c r="AV956" s="28"/>
      <c r="AW956" s="28"/>
      <c r="AX956" s="28"/>
      <c r="AY956" s="28"/>
      <c r="AZ956" s="28"/>
      <c r="BA956" s="28"/>
      <c r="BB956" s="28"/>
      <c r="BC956" s="28"/>
      <c r="BD956" s="28"/>
      <c r="BE956" s="28"/>
    </row>
    <row r="957" spans="1:57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  <c r="AV957" s="28"/>
      <c r="AW957" s="28"/>
      <c r="AX957" s="28"/>
      <c r="AY957" s="28"/>
      <c r="AZ957" s="28"/>
      <c r="BA957" s="28"/>
      <c r="BB957" s="28"/>
      <c r="BC957" s="28"/>
      <c r="BD957" s="28"/>
      <c r="BE957" s="28"/>
    </row>
    <row r="958" spans="1:57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  <c r="AV958" s="28"/>
      <c r="AW958" s="28"/>
      <c r="AX958" s="28"/>
      <c r="AY958" s="28"/>
      <c r="AZ958" s="28"/>
      <c r="BA958" s="28"/>
      <c r="BB958" s="28"/>
      <c r="BC958" s="28"/>
      <c r="BD958" s="28"/>
      <c r="BE958" s="28"/>
    </row>
    <row r="959" spans="1:57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  <c r="AV959" s="28"/>
      <c r="AW959" s="28"/>
      <c r="AX959" s="28"/>
      <c r="AY959" s="28"/>
      <c r="AZ959" s="28"/>
      <c r="BA959" s="28"/>
      <c r="BB959" s="28"/>
      <c r="BC959" s="28"/>
      <c r="BD959" s="28"/>
      <c r="BE959" s="28"/>
    </row>
    <row r="960" spans="1:57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  <c r="AV960" s="28"/>
      <c r="AW960" s="28"/>
      <c r="AX960" s="28"/>
      <c r="AY960" s="28"/>
      <c r="AZ960" s="28"/>
      <c r="BA960" s="28"/>
      <c r="BB960" s="28"/>
      <c r="BC960" s="28"/>
      <c r="BD960" s="28"/>
      <c r="BE960" s="28"/>
    </row>
    <row r="961" spans="1:57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  <c r="AV961" s="28"/>
      <c r="AW961" s="28"/>
      <c r="AX961" s="28"/>
      <c r="AY961" s="28"/>
      <c r="AZ961" s="28"/>
      <c r="BA961" s="28"/>
      <c r="BB961" s="28"/>
      <c r="BC961" s="28"/>
      <c r="BD961" s="28"/>
      <c r="BE961" s="28"/>
    </row>
    <row r="962" spans="1:57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  <c r="AV962" s="28"/>
      <c r="AW962" s="28"/>
      <c r="AX962" s="28"/>
      <c r="AY962" s="28"/>
      <c r="AZ962" s="28"/>
      <c r="BA962" s="28"/>
      <c r="BB962" s="28"/>
      <c r="BC962" s="28"/>
      <c r="BD962" s="28"/>
      <c r="BE962" s="28"/>
    </row>
    <row r="963" spans="1:57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  <c r="AV963" s="28"/>
      <c r="AW963" s="28"/>
      <c r="AX963" s="28"/>
      <c r="AY963" s="28"/>
      <c r="AZ963" s="28"/>
      <c r="BA963" s="28"/>
      <c r="BB963" s="28"/>
      <c r="BC963" s="28"/>
      <c r="BD963" s="28"/>
      <c r="BE963" s="28"/>
    </row>
    <row r="964" spans="1:57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  <c r="AV964" s="28"/>
      <c r="AW964" s="28"/>
      <c r="AX964" s="28"/>
      <c r="AY964" s="28"/>
      <c r="AZ964" s="28"/>
      <c r="BA964" s="28"/>
      <c r="BB964" s="28"/>
      <c r="BC964" s="28"/>
      <c r="BD964" s="28"/>
      <c r="BE964" s="28"/>
    </row>
    <row r="965" spans="1:57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  <c r="AV965" s="28"/>
      <c r="AW965" s="28"/>
      <c r="AX965" s="28"/>
      <c r="AY965" s="28"/>
      <c r="AZ965" s="28"/>
      <c r="BA965" s="28"/>
      <c r="BB965" s="28"/>
      <c r="BC965" s="28"/>
      <c r="BD965" s="28"/>
      <c r="BE965" s="28"/>
    </row>
    <row r="966" spans="1:57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  <c r="AV966" s="28"/>
      <c r="AW966" s="28"/>
      <c r="AX966" s="28"/>
      <c r="AY966" s="28"/>
      <c r="AZ966" s="28"/>
      <c r="BA966" s="28"/>
      <c r="BB966" s="28"/>
      <c r="BC966" s="28"/>
      <c r="BD966" s="28"/>
      <c r="BE966" s="28"/>
    </row>
    <row r="967" spans="1:57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  <c r="AV967" s="28"/>
      <c r="AW967" s="28"/>
      <c r="AX967" s="28"/>
      <c r="AY967" s="28"/>
      <c r="AZ967" s="28"/>
      <c r="BA967" s="28"/>
      <c r="BB967" s="28"/>
      <c r="BC967" s="28"/>
      <c r="BD967" s="28"/>
      <c r="BE967" s="28"/>
    </row>
    <row r="968" spans="1:57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  <c r="AV968" s="28"/>
      <c r="AW968" s="28"/>
      <c r="AX968" s="28"/>
      <c r="AY968" s="28"/>
      <c r="AZ968" s="28"/>
      <c r="BA968" s="28"/>
      <c r="BB968" s="28"/>
      <c r="BC968" s="28"/>
      <c r="BD968" s="28"/>
      <c r="BE968" s="28"/>
    </row>
    <row r="969" spans="1:57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  <c r="AV969" s="28"/>
      <c r="AW969" s="28"/>
      <c r="AX969" s="28"/>
      <c r="AY969" s="28"/>
      <c r="AZ969" s="28"/>
      <c r="BA969" s="28"/>
      <c r="BB969" s="28"/>
      <c r="BC969" s="28"/>
      <c r="BD969" s="28"/>
      <c r="BE969" s="28"/>
    </row>
    <row r="970" spans="1:57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  <c r="AV970" s="28"/>
      <c r="AW970" s="28"/>
      <c r="AX970" s="28"/>
      <c r="AY970" s="28"/>
      <c r="AZ970" s="28"/>
      <c r="BA970" s="28"/>
      <c r="BB970" s="28"/>
      <c r="BC970" s="28"/>
      <c r="BD970" s="28"/>
      <c r="BE970" s="28"/>
    </row>
    <row r="971" spans="1:57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  <c r="AV971" s="28"/>
      <c r="AW971" s="28"/>
      <c r="AX971" s="28"/>
      <c r="AY971" s="28"/>
      <c r="AZ971" s="28"/>
      <c r="BA971" s="28"/>
      <c r="BB971" s="28"/>
      <c r="BC971" s="28"/>
      <c r="BD971" s="28"/>
      <c r="BE971" s="28"/>
    </row>
    <row r="972" spans="1:57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  <c r="AV972" s="28"/>
      <c r="AW972" s="28"/>
      <c r="AX972" s="28"/>
      <c r="AY972" s="28"/>
      <c r="AZ972" s="28"/>
      <c r="BA972" s="28"/>
      <c r="BB972" s="28"/>
      <c r="BC972" s="28"/>
      <c r="BD972" s="28"/>
      <c r="BE972" s="28"/>
    </row>
    <row r="973" spans="1:57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  <c r="AV973" s="28"/>
      <c r="AW973" s="28"/>
      <c r="AX973" s="28"/>
      <c r="AY973" s="28"/>
      <c r="AZ973" s="28"/>
      <c r="BA973" s="28"/>
      <c r="BB973" s="28"/>
      <c r="BC973" s="28"/>
      <c r="BD973" s="28"/>
      <c r="BE973" s="28"/>
    </row>
    <row r="974" spans="1:57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  <c r="AV974" s="28"/>
      <c r="AW974" s="28"/>
      <c r="AX974" s="28"/>
      <c r="AY974" s="28"/>
      <c r="AZ974" s="28"/>
      <c r="BA974" s="28"/>
      <c r="BB974" s="28"/>
      <c r="BC974" s="28"/>
      <c r="BD974" s="28"/>
      <c r="BE974" s="28"/>
    </row>
    <row r="975" spans="1:57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  <c r="AV975" s="28"/>
      <c r="AW975" s="28"/>
      <c r="AX975" s="28"/>
      <c r="AY975" s="28"/>
      <c r="AZ975" s="28"/>
      <c r="BA975" s="28"/>
      <c r="BB975" s="28"/>
      <c r="BC975" s="28"/>
      <c r="BD975" s="28"/>
      <c r="BE975" s="28"/>
    </row>
    <row r="976" spans="1:57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  <c r="AV976" s="28"/>
      <c r="AW976" s="28"/>
      <c r="AX976" s="28"/>
      <c r="AY976" s="28"/>
      <c r="AZ976" s="28"/>
      <c r="BA976" s="28"/>
      <c r="BB976" s="28"/>
      <c r="BC976" s="28"/>
      <c r="BD976" s="28"/>
      <c r="BE976" s="28"/>
    </row>
    <row r="977" spans="1:57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  <c r="AV977" s="28"/>
      <c r="AW977" s="28"/>
      <c r="AX977" s="28"/>
      <c r="AY977" s="28"/>
      <c r="AZ977" s="28"/>
      <c r="BA977" s="28"/>
      <c r="BB977" s="28"/>
      <c r="BC977" s="28"/>
      <c r="BD977" s="28"/>
      <c r="BE977" s="28"/>
    </row>
    <row r="978" spans="1:57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  <c r="AV978" s="28"/>
      <c r="AW978" s="28"/>
      <c r="AX978" s="28"/>
      <c r="AY978" s="28"/>
      <c r="AZ978" s="28"/>
      <c r="BA978" s="28"/>
      <c r="BB978" s="28"/>
      <c r="BC978" s="28"/>
      <c r="BD978" s="28"/>
      <c r="BE978" s="28"/>
    </row>
    <row r="979" spans="1:57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  <c r="AV979" s="28"/>
      <c r="AW979" s="28"/>
      <c r="AX979" s="28"/>
      <c r="AY979" s="28"/>
      <c r="AZ979" s="28"/>
      <c r="BA979" s="28"/>
      <c r="BB979" s="28"/>
      <c r="BC979" s="28"/>
      <c r="BD979" s="28"/>
      <c r="BE979" s="28"/>
    </row>
    <row r="980" spans="1:57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  <c r="AV980" s="28"/>
      <c r="AW980" s="28"/>
      <c r="AX980" s="28"/>
      <c r="AY980" s="28"/>
      <c r="AZ980" s="28"/>
      <c r="BA980" s="28"/>
      <c r="BB980" s="28"/>
      <c r="BC980" s="28"/>
      <c r="BD980" s="28"/>
      <c r="BE980" s="28"/>
    </row>
    <row r="981" spans="1:57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  <c r="AV981" s="28"/>
      <c r="AW981" s="28"/>
      <c r="AX981" s="28"/>
      <c r="AY981" s="28"/>
      <c r="AZ981" s="28"/>
      <c r="BA981" s="28"/>
      <c r="BB981" s="28"/>
      <c r="BC981" s="28"/>
      <c r="BD981" s="28"/>
      <c r="BE981" s="28"/>
    </row>
    <row r="982" spans="1:57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  <c r="AV982" s="28"/>
      <c r="AW982" s="28"/>
      <c r="AX982" s="28"/>
      <c r="AY982" s="28"/>
      <c r="AZ982" s="28"/>
      <c r="BA982" s="28"/>
      <c r="BB982" s="28"/>
      <c r="BC982" s="28"/>
      <c r="BD982" s="28"/>
      <c r="BE982" s="28"/>
    </row>
    <row r="983" spans="1:57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  <c r="AV983" s="28"/>
      <c r="AW983" s="28"/>
      <c r="AX983" s="28"/>
      <c r="AY983" s="28"/>
      <c r="AZ983" s="28"/>
      <c r="BA983" s="28"/>
      <c r="BB983" s="28"/>
      <c r="BC983" s="28"/>
      <c r="BD983" s="28"/>
      <c r="BE983" s="28"/>
    </row>
    <row r="984" spans="1:57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  <c r="AV984" s="28"/>
      <c r="AW984" s="28"/>
      <c r="AX984" s="28"/>
      <c r="AY984" s="28"/>
      <c r="AZ984" s="28"/>
      <c r="BA984" s="28"/>
      <c r="BB984" s="28"/>
      <c r="BC984" s="28"/>
      <c r="BD984" s="28"/>
      <c r="BE984" s="28"/>
    </row>
    <row r="985" spans="1:57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  <c r="AV985" s="28"/>
      <c r="AW985" s="28"/>
      <c r="AX985" s="28"/>
      <c r="AY985" s="28"/>
      <c r="AZ985" s="28"/>
      <c r="BA985" s="28"/>
      <c r="BB985" s="28"/>
      <c r="BC985" s="28"/>
      <c r="BD985" s="28"/>
      <c r="BE985" s="28"/>
    </row>
    <row r="986" spans="1:57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  <c r="AV986" s="28"/>
      <c r="AW986" s="28"/>
      <c r="AX986" s="28"/>
      <c r="AY986" s="28"/>
      <c r="AZ986" s="28"/>
      <c r="BA986" s="28"/>
      <c r="BB986" s="28"/>
      <c r="BC986" s="28"/>
      <c r="BD986" s="28"/>
      <c r="BE986" s="28"/>
    </row>
    <row r="987" spans="1:57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  <c r="AV987" s="28"/>
      <c r="AW987" s="28"/>
      <c r="AX987" s="28"/>
      <c r="AY987" s="28"/>
      <c r="AZ987" s="28"/>
      <c r="BA987" s="28"/>
      <c r="BB987" s="28"/>
      <c r="BC987" s="28"/>
      <c r="BD987" s="28"/>
      <c r="BE987" s="28"/>
    </row>
    <row r="988" spans="1:57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  <c r="AV988" s="28"/>
      <c r="AW988" s="28"/>
      <c r="AX988" s="28"/>
      <c r="AY988" s="28"/>
      <c r="AZ988" s="28"/>
      <c r="BA988" s="28"/>
      <c r="BB988" s="28"/>
      <c r="BC988" s="28"/>
      <c r="BD988" s="28"/>
      <c r="BE988" s="28"/>
    </row>
    <row r="989" spans="1:57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  <c r="AV989" s="28"/>
      <c r="AW989" s="28"/>
      <c r="AX989" s="28"/>
      <c r="AY989" s="28"/>
      <c r="AZ989" s="28"/>
      <c r="BA989" s="28"/>
      <c r="BB989" s="28"/>
      <c r="BC989" s="28"/>
      <c r="BD989" s="28"/>
      <c r="BE989" s="28"/>
    </row>
    <row r="990" spans="1:57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  <c r="AV990" s="28"/>
      <c r="AW990" s="28"/>
      <c r="AX990" s="28"/>
      <c r="AY990" s="28"/>
      <c r="AZ990" s="28"/>
      <c r="BA990" s="28"/>
      <c r="BB990" s="28"/>
      <c r="BC990" s="28"/>
      <c r="BD990" s="28"/>
      <c r="BE990" s="28"/>
    </row>
    <row r="991" spans="1:57" ht="14.25" customHeight="1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  <c r="AV991" s="28"/>
      <c r="AW991" s="28"/>
      <c r="AX991" s="28"/>
      <c r="AY991" s="28"/>
      <c r="AZ991" s="28"/>
      <c r="BA991" s="28"/>
      <c r="BB991" s="28"/>
      <c r="BC991" s="28"/>
      <c r="BD991" s="28"/>
      <c r="BE991" s="28"/>
    </row>
    <row r="992" spans="1:57" ht="14.25" customHeight="1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  <c r="AV992" s="28"/>
      <c r="AW992" s="28"/>
      <c r="AX992" s="28"/>
      <c r="AY992" s="28"/>
      <c r="AZ992" s="28"/>
      <c r="BA992" s="28"/>
      <c r="BB992" s="28"/>
      <c r="BC992" s="28"/>
      <c r="BD992" s="28"/>
      <c r="BE992" s="28"/>
    </row>
    <row r="993" spans="1:57" ht="14.25" customHeight="1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  <c r="AV993" s="28"/>
      <c r="AW993" s="28"/>
      <c r="AX993" s="28"/>
      <c r="AY993" s="28"/>
      <c r="AZ993" s="28"/>
      <c r="BA993" s="28"/>
      <c r="BB993" s="28"/>
      <c r="BC993" s="28"/>
      <c r="BD993" s="28"/>
      <c r="BE993" s="28"/>
    </row>
    <row r="994" spans="1:57" ht="14.25" customHeight="1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  <c r="AV994" s="28"/>
      <c r="AW994" s="28"/>
      <c r="AX994" s="28"/>
      <c r="AY994" s="28"/>
      <c r="AZ994" s="28"/>
      <c r="BA994" s="28"/>
      <c r="BB994" s="28"/>
      <c r="BC994" s="28"/>
      <c r="BD994" s="28"/>
      <c r="BE994" s="28"/>
    </row>
    <row r="995" spans="1:57" ht="14.25" customHeight="1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  <c r="AV995" s="28"/>
      <c r="AW995" s="28"/>
      <c r="AX995" s="28"/>
      <c r="AY995" s="28"/>
      <c r="AZ995" s="28"/>
      <c r="BA995" s="28"/>
      <c r="BB995" s="28"/>
      <c r="BC995" s="28"/>
      <c r="BD995" s="28"/>
      <c r="BE995" s="28"/>
    </row>
    <row r="996" spans="1:57" ht="14.25" customHeight="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  <c r="AV996" s="28"/>
      <c r="AW996" s="28"/>
      <c r="AX996" s="28"/>
      <c r="AY996" s="28"/>
      <c r="AZ996" s="28"/>
      <c r="BA996" s="28"/>
      <c r="BB996" s="28"/>
      <c r="BC996" s="28"/>
      <c r="BD996" s="28"/>
      <c r="BE996" s="28"/>
    </row>
    <row r="997" spans="1:57" ht="14.25" customHeight="1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  <c r="AV997" s="28"/>
      <c r="AW997" s="28"/>
      <c r="AX997" s="28"/>
      <c r="AY997" s="28"/>
      <c r="AZ997" s="28"/>
      <c r="BA997" s="28"/>
      <c r="BB997" s="28"/>
      <c r="BC997" s="28"/>
      <c r="BD997" s="28"/>
      <c r="BE997" s="28"/>
    </row>
    <row r="998" spans="1:57" ht="14.25" customHeight="1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  <c r="AV998" s="28"/>
      <c r="AW998" s="28"/>
      <c r="AX998" s="28"/>
      <c r="AY998" s="28"/>
      <c r="AZ998" s="28"/>
      <c r="BA998" s="28"/>
      <c r="BB998" s="28"/>
      <c r="BC998" s="28"/>
      <c r="BD998" s="28"/>
      <c r="BE998" s="28"/>
    </row>
    <row r="999" spans="1:57" ht="14.25" customHeight="1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  <c r="AV999" s="28"/>
      <c r="AW999" s="28"/>
      <c r="AX999" s="28"/>
      <c r="AY999" s="28"/>
      <c r="AZ999" s="28"/>
      <c r="BA999" s="28"/>
      <c r="BB999" s="28"/>
      <c r="BC999" s="28"/>
      <c r="BD999" s="28"/>
      <c r="BE999" s="28"/>
    </row>
    <row r="1000" spans="1:57" ht="14.25" customHeight="1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  <c r="AV1000" s="28"/>
      <c r="AW1000" s="28"/>
      <c r="AX1000" s="28"/>
      <c r="AY1000" s="28"/>
      <c r="AZ1000" s="28"/>
      <c r="BA1000" s="28"/>
      <c r="BB1000" s="28"/>
      <c r="BC1000" s="28"/>
      <c r="BD1000" s="28"/>
      <c r="BE1000" s="28"/>
    </row>
  </sheetData>
  <mergeCells count="2">
    <mergeCell ref="B4:F5"/>
    <mergeCell ref="B16:D17"/>
  </mergeCells>
  <dataValidations count="2">
    <dataValidation type="list" allowBlank="1" showErrorMessage="1" sqref="F17" xr:uid="{00000000-0002-0000-0100-000000000000}">
      <formula1>$Z$7:$Z$9</formula1>
    </dataValidation>
    <dataValidation type="list" allowBlank="1" showErrorMessage="1" sqref="T10" xr:uid="{00000000-0002-0000-0100-000001000000}">
      <formula1>$X$9:$X$12</formula1>
    </dataValidation>
  </dataValidations>
  <pageMargins left="0.7" right="0.7" top="0.75" bottom="0.75" header="0" footer="0"/>
  <pageSetup orientation="portrait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C1000"/>
  <sheetViews>
    <sheetView zoomScaleNormal="100" workbookViewId="0">
      <selection activeCell="E19" sqref="E19"/>
    </sheetView>
  </sheetViews>
  <sheetFormatPr defaultColWidth="12.625" defaultRowHeight="15" customHeight="1" x14ac:dyDescent="0.2"/>
  <cols>
    <col min="1" max="1" width="15.625" customWidth="1"/>
    <col min="2" max="2" width="13" customWidth="1"/>
    <col min="3" max="3" width="12" customWidth="1"/>
    <col min="4" max="4" width="14.125" customWidth="1"/>
    <col min="5" max="5" width="13.625" customWidth="1"/>
    <col min="6" max="6" width="12.625" customWidth="1"/>
    <col min="7" max="7" width="12.125" customWidth="1"/>
    <col min="8" max="8" width="10" customWidth="1"/>
    <col min="9" max="9" width="15.625" customWidth="1"/>
    <col min="10" max="13" width="8" customWidth="1"/>
    <col min="14" max="26" width="7.625" customWidth="1"/>
    <col min="27" max="55" width="12.625" style="325"/>
  </cols>
  <sheetData>
    <row r="1" spans="1:26" ht="14.25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534" t="s">
        <v>97</v>
      </c>
      <c r="B4" s="535"/>
      <c r="C4" s="536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6" x14ac:dyDescent="0.2">
      <c r="A5" s="537"/>
      <c r="B5" s="538"/>
      <c r="C5" s="539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</row>
    <row r="6" spans="1:26" x14ac:dyDescent="0.25">
      <c r="A6" s="71"/>
      <c r="B6" s="71"/>
      <c r="C6" s="71"/>
      <c r="D6" s="72" t="b">
        <v>1</v>
      </c>
      <c r="E6" s="72"/>
      <c r="F6" s="71"/>
      <c r="G6" s="38"/>
      <c r="H6" s="71"/>
      <c r="I6" s="72">
        <v>0</v>
      </c>
      <c r="J6" s="72"/>
      <c r="K6" s="72" t="b">
        <v>1</v>
      </c>
      <c r="L6" s="72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</row>
    <row r="7" spans="1:26" x14ac:dyDescent="0.25">
      <c r="A7" s="71"/>
      <c r="B7" s="71"/>
      <c r="C7" s="71"/>
      <c r="D7" s="71"/>
      <c r="E7" s="71"/>
      <c r="F7" s="71"/>
      <c r="G7" s="71"/>
      <c r="H7" s="71"/>
      <c r="I7" s="71"/>
      <c r="J7" s="72"/>
      <c r="K7" s="72">
        <v>0</v>
      </c>
      <c r="L7" s="72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</row>
    <row r="8" spans="1:26" x14ac:dyDescent="0.25">
      <c r="A8" s="71"/>
      <c r="B8" s="71"/>
      <c r="C8" s="71"/>
      <c r="D8" s="72"/>
      <c r="E8" s="72"/>
      <c r="F8" s="71"/>
      <c r="G8" s="71"/>
      <c r="H8" s="71"/>
      <c r="I8" s="71"/>
      <c r="J8" s="72"/>
      <c r="K8" s="72"/>
      <c r="L8" s="72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</row>
    <row r="9" spans="1:26" x14ac:dyDescent="0.25">
      <c r="A9" s="71"/>
      <c r="B9" s="71"/>
      <c r="C9" s="71"/>
      <c r="D9" s="73"/>
      <c r="E9" s="71"/>
      <c r="F9" s="71"/>
      <c r="G9" s="71"/>
      <c r="H9" s="74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</row>
    <row r="10" spans="1:26" x14ac:dyDescent="0.25">
      <c r="A10" s="71"/>
      <c r="B10" s="71"/>
      <c r="C10" s="71"/>
      <c r="D10" s="75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</row>
    <row r="11" spans="1:26" x14ac:dyDescent="0.25">
      <c r="A11" s="71"/>
      <c r="B11" s="71"/>
      <c r="C11" s="71"/>
      <c r="D11" s="71"/>
      <c r="E11" s="71"/>
      <c r="F11" s="71"/>
      <c r="G11" s="71"/>
      <c r="H11" s="71"/>
      <c r="I11" s="74"/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</row>
    <row r="12" spans="1:26" x14ac:dyDescent="0.25">
      <c r="A12" s="71"/>
      <c r="B12" s="71"/>
      <c r="C12" s="71"/>
      <c r="D12" s="542" t="s">
        <v>98</v>
      </c>
      <c r="E12" s="543"/>
      <c r="F12" s="543"/>
      <c r="G12" s="543"/>
      <c r="H12" s="544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</row>
    <row r="13" spans="1:26" ht="15.75" x14ac:dyDescent="0.25">
      <c r="A13" s="76" t="s">
        <v>99</v>
      </c>
      <c r="B13" s="77" t="s">
        <v>100</v>
      </c>
      <c r="C13" s="77" t="s">
        <v>101</v>
      </c>
      <c r="D13" s="78" t="s">
        <v>102</v>
      </c>
      <c r="E13" s="78" t="s">
        <v>103</v>
      </c>
      <c r="F13" s="78" t="s">
        <v>104</v>
      </c>
      <c r="G13" s="78" t="s">
        <v>105</v>
      </c>
      <c r="H13" s="79" t="s">
        <v>106</v>
      </c>
      <c r="I13" s="80" t="s">
        <v>107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 x14ac:dyDescent="0.2">
      <c r="A14" s="81" t="s">
        <v>108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</row>
    <row r="15" spans="1:26" ht="12.75" customHeight="1" x14ac:dyDescent="0.2">
      <c r="A15" s="83" t="s">
        <v>109</v>
      </c>
      <c r="B15" s="84">
        <v>100</v>
      </c>
      <c r="C15" s="3"/>
      <c r="D15" s="85"/>
      <c r="E15" s="85"/>
      <c r="F15" s="85"/>
      <c r="G15" s="85"/>
      <c r="H15" s="85"/>
      <c r="I15" s="85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6" customHeight="1" x14ac:dyDescent="0.2">
      <c r="A16" s="83"/>
      <c r="B16" s="86"/>
      <c r="C16" s="3"/>
      <c r="D16" s="85"/>
      <c r="E16" s="85"/>
      <c r="F16" s="85"/>
      <c r="G16" s="85"/>
      <c r="H16" s="85"/>
      <c r="I16" s="85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x14ac:dyDescent="0.2">
      <c r="A17" s="83" t="s">
        <v>110</v>
      </c>
      <c r="B17" s="87">
        <v>2.47E-3</v>
      </c>
      <c r="C17" s="3">
        <f>1/12</f>
        <v>8.3333333333333329E-2</v>
      </c>
      <c r="D17" s="85"/>
      <c r="E17" s="85"/>
      <c r="F17" s="85"/>
      <c r="G17" s="85"/>
      <c r="H17" s="85"/>
      <c r="I17" s="85" t="s">
        <v>444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x14ac:dyDescent="0.2">
      <c r="A18" s="83" t="s">
        <v>111</v>
      </c>
      <c r="B18" s="87">
        <v>2.5000000000000001E-3</v>
      </c>
      <c r="C18" s="3"/>
      <c r="D18" s="85"/>
      <c r="E18" s="85"/>
      <c r="F18" s="85"/>
      <c r="G18" s="85"/>
      <c r="H18" s="85"/>
      <c r="I18" s="85" t="s">
        <v>471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 x14ac:dyDescent="0.2">
      <c r="A19" s="81" t="s">
        <v>112</v>
      </c>
      <c r="B19" s="82"/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</row>
    <row r="20" spans="1:26" ht="14.25" x14ac:dyDescent="0.2">
      <c r="A20" s="88" t="s">
        <v>113</v>
      </c>
      <c r="B20" s="52"/>
      <c r="C20" s="84"/>
      <c r="D20" s="85"/>
      <c r="E20" s="89"/>
      <c r="F20" s="85"/>
      <c r="G20" s="85"/>
      <c r="H20" s="86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x14ac:dyDescent="0.2">
      <c r="A21" s="83" t="s">
        <v>114</v>
      </c>
      <c r="B21" s="90">
        <f>IF($K$7=0,D21,C21)</f>
        <v>0.16</v>
      </c>
      <c r="C21" s="91">
        <f ca="1">BETAINV(RAND(),$G$21,$H$21)</f>
        <v>0.16358869159194467</v>
      </c>
      <c r="D21" s="92">
        <v>0.16</v>
      </c>
      <c r="E21" s="93">
        <f>SQRT(G21*H21/((G21+H21)^2*(G21+H21+1)))</f>
        <v>2.0273361199167901E-2</v>
      </c>
      <c r="F21" s="94" t="s">
        <v>115</v>
      </c>
      <c r="G21" s="494">
        <f>326*0.16</f>
        <v>52.160000000000004</v>
      </c>
      <c r="H21" s="495">
        <f>326-G21</f>
        <v>273.83999999999997</v>
      </c>
      <c r="I21" s="3" t="s">
        <v>116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x14ac:dyDescent="0.2">
      <c r="A22" s="83" t="s">
        <v>117</v>
      </c>
      <c r="B22" s="90">
        <f>IF($K$7=0,D22,C22)</f>
        <v>0.34799999999999998</v>
      </c>
      <c r="C22" s="91">
        <f ca="1">BETAINV(RAND(),$G22,$H$22)</f>
        <v>0.12886700736905279</v>
      </c>
      <c r="D22" s="91">
        <f>'Calculated Inputs'!V33</f>
        <v>0.34799999999999998</v>
      </c>
      <c r="E22" s="93">
        <v>9.6000000000000002E-2</v>
      </c>
      <c r="F22" s="94" t="s">
        <v>115</v>
      </c>
      <c r="G22" s="94">
        <v>0.78749999999999998</v>
      </c>
      <c r="H22" s="84">
        <v>1.4624999999999999</v>
      </c>
      <c r="I22" s="3" t="s">
        <v>118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x14ac:dyDescent="0.2">
      <c r="A23" s="83" t="s">
        <v>119</v>
      </c>
      <c r="B23" s="90">
        <f t="shared" ref="B23:B25" si="0">IF($K$7=0,D23,C23)</f>
        <v>1.4999999999999999E-2</v>
      </c>
      <c r="C23" s="91">
        <f t="shared" ref="C23:C24" ca="1" si="1">BETAINV(RAND(),$G$23,$H$23)</f>
        <v>1.030103114619773E-2</v>
      </c>
      <c r="D23" s="95">
        <v>1.4999999999999999E-2</v>
      </c>
      <c r="E23" s="93">
        <f>SQRT(G23*H23/((G23+H23)^2*(G23+H23+1)))</f>
        <v>6.8166003153441396E-3</v>
      </c>
      <c r="F23" s="94" t="s">
        <v>115</v>
      </c>
      <c r="G23" s="94">
        <v>5</v>
      </c>
      <c r="H23" s="84">
        <f>325-5</f>
        <v>320</v>
      </c>
      <c r="I23" s="3" t="s">
        <v>120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x14ac:dyDescent="0.2">
      <c r="A24" s="83" t="s">
        <v>121</v>
      </c>
      <c r="B24" s="90">
        <f t="shared" si="0"/>
        <v>0.86199999999999999</v>
      </c>
      <c r="C24" s="91">
        <f t="shared" ca="1" si="1"/>
        <v>1.697338177920793E-2</v>
      </c>
      <c r="D24" s="91">
        <f>'Calculated Inputs'!F57</f>
        <v>0.86199999999999999</v>
      </c>
      <c r="E24" s="93">
        <v>0.1</v>
      </c>
      <c r="F24" s="94" t="s">
        <v>115</v>
      </c>
      <c r="G24" s="94">
        <v>0.17499999999999999</v>
      </c>
      <c r="H24" s="84">
        <v>2.9000000000000001E-2</v>
      </c>
      <c r="I24" s="3" t="s">
        <v>122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x14ac:dyDescent="0.2">
      <c r="A25" s="83" t="s">
        <v>123</v>
      </c>
      <c r="B25" s="90">
        <f t="shared" si="0"/>
        <v>0.81200000000000006</v>
      </c>
      <c r="C25" s="91">
        <f ca="1">BETAINV(RAND(),$G$25,$H$25)</f>
        <v>0.81080850902875756</v>
      </c>
      <c r="D25" s="92">
        <f>1-0.188</f>
        <v>0.81200000000000006</v>
      </c>
      <c r="E25" s="93">
        <f>SQRT(G25*H25/((G25+H25)^2*(G25+H25+1)))</f>
        <v>2.2353121476875782E-2</v>
      </c>
      <c r="F25" s="94" t="s">
        <v>115</v>
      </c>
      <c r="G25" s="94">
        <v>263</v>
      </c>
      <c r="H25" s="84">
        <f>325-254</f>
        <v>71</v>
      </c>
      <c r="I25" s="3" t="s">
        <v>124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x14ac:dyDescent="0.2">
      <c r="A26" s="96"/>
      <c r="B26" s="52"/>
      <c r="C26" s="84"/>
      <c r="D26" s="97"/>
      <c r="E26" s="98"/>
      <c r="F26" s="85"/>
      <c r="G26" s="85"/>
      <c r="H26" s="86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x14ac:dyDescent="0.2">
      <c r="A27" s="88" t="s">
        <v>125</v>
      </c>
      <c r="B27" s="52"/>
      <c r="C27" s="84"/>
      <c r="D27" s="91"/>
      <c r="E27" s="94"/>
      <c r="F27" s="94"/>
      <c r="G27" s="85"/>
      <c r="H27" s="86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x14ac:dyDescent="0.2">
      <c r="A28" s="83" t="s">
        <v>114</v>
      </c>
      <c r="B28" s="90">
        <f>IF($K$7=0,D28,C28)</f>
        <v>0.4</v>
      </c>
      <c r="C28" s="91">
        <f ca="1">BETAINV(RAND(),$G$28,$H$28)</f>
        <v>0.36949305977522628</v>
      </c>
      <c r="D28" s="92">
        <v>0.4</v>
      </c>
      <c r="E28" s="93">
        <f>SQRT(G28*H28/((G28+H28)^2*(G28+H28+1)))</f>
        <v>3.7463432463267755E-2</v>
      </c>
      <c r="F28" s="94" t="s">
        <v>115</v>
      </c>
      <c r="G28" s="94">
        <f>170*0.4</f>
        <v>68</v>
      </c>
      <c r="H28" s="84">
        <f>170-G28</f>
        <v>102</v>
      </c>
      <c r="I28" s="3" t="s">
        <v>126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x14ac:dyDescent="0.2">
      <c r="A29" s="83" t="s">
        <v>117</v>
      </c>
      <c r="B29" s="90">
        <f t="shared" ref="B29:B32" si="2">IF($K$7=0,D29,C29)</f>
        <v>0.34799999999999998</v>
      </c>
      <c r="C29" s="91">
        <f ca="1">BETAINV(RAND(),$G$29,$H$29)</f>
        <v>0.51664655047360442</v>
      </c>
      <c r="D29" s="91">
        <f>'Calculated Inputs'!V33</f>
        <v>0.34799999999999998</v>
      </c>
      <c r="E29" s="93">
        <v>9.6000000000000002E-2</v>
      </c>
      <c r="F29" s="94" t="s">
        <v>115</v>
      </c>
      <c r="G29" s="94">
        <v>0.78600000000000003</v>
      </c>
      <c r="H29" s="84">
        <v>0.83199999999999996</v>
      </c>
      <c r="I29" s="3" t="s">
        <v>127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x14ac:dyDescent="0.2">
      <c r="A30" s="83" t="s">
        <v>119</v>
      </c>
      <c r="B30" s="90">
        <f t="shared" si="2"/>
        <v>1.7999999999999999E-2</v>
      </c>
      <c r="C30" s="91">
        <f ca="1">BETAINV(RAND(),$G$30,$H$30)</f>
        <v>1.466163540606304E-2</v>
      </c>
      <c r="D30" s="95">
        <v>1.7999999999999999E-2</v>
      </c>
      <c r="E30" s="93">
        <f>SQRT(G30*H30/((G30+H30)^2*(G30+H30+1)))</f>
        <v>1.0127529247771562E-2</v>
      </c>
      <c r="F30" s="94" t="s">
        <v>115</v>
      </c>
      <c r="G30" s="94">
        <v>3</v>
      </c>
      <c r="H30" s="84">
        <f>170-4</f>
        <v>166</v>
      </c>
      <c r="I30" s="3" t="s">
        <v>120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x14ac:dyDescent="0.2">
      <c r="A31" s="83" t="s">
        <v>121</v>
      </c>
      <c r="B31" s="90">
        <f t="shared" si="2"/>
        <v>0.90399999999999991</v>
      </c>
      <c r="C31" s="91">
        <f ca="1">BETAINV(RAND(),$G$31,$H$31)</f>
        <v>0.99999999999999978</v>
      </c>
      <c r="D31" s="91">
        <f>'Calculated Inputs'!G57</f>
        <v>0.90399999999999991</v>
      </c>
      <c r="E31" s="93">
        <v>0.09</v>
      </c>
      <c r="F31" s="94" t="s">
        <v>115</v>
      </c>
      <c r="G31" s="94">
        <v>0.28999999999999998</v>
      </c>
      <c r="H31" s="84">
        <v>0.05</v>
      </c>
      <c r="I31" s="3" t="s">
        <v>128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x14ac:dyDescent="0.2">
      <c r="A32" s="83" t="s">
        <v>123</v>
      </c>
      <c r="B32" s="90">
        <f t="shared" si="2"/>
        <v>0.76500000000000001</v>
      </c>
      <c r="C32" s="91">
        <f ca="1">BETAINV(RAND(),$G$32,$H$32)</f>
        <v>0.82994572721079996</v>
      </c>
      <c r="D32" s="63">
        <f>1-0.235</f>
        <v>0.76500000000000001</v>
      </c>
      <c r="E32" s="99">
        <f>SQRT(G32*H32/((G32+H32)^2*(G32+H32+1)))</f>
        <v>3.2504206301395083E-2</v>
      </c>
      <c r="F32" s="94" t="s">
        <v>115</v>
      </c>
      <c r="G32" s="94">
        <v>131</v>
      </c>
      <c r="H32" s="84">
        <f>170-128</f>
        <v>42</v>
      </c>
      <c r="I32" s="3" t="s">
        <v>124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x14ac:dyDescent="0.2">
      <c r="A33" s="81" t="s">
        <v>129</v>
      </c>
      <c r="B33" s="82"/>
      <c r="C33" s="82"/>
      <c r="D33" s="100"/>
      <c r="E33" s="100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</row>
    <row r="34" spans="1:26" ht="15.75" customHeight="1" x14ac:dyDescent="0.2">
      <c r="A34" s="35" t="s">
        <v>130</v>
      </c>
      <c r="B34" s="101">
        <f t="shared" ref="B34:B41" si="3">IF($K$7=0,D34,C34)</f>
        <v>12182.016</v>
      </c>
      <c r="C34" s="102">
        <f ca="1">GAMMAINV(RAND(),$G$34,$H$34)</f>
        <v>14300.913502024338</v>
      </c>
      <c r="D34" s="102">
        <f>'Calculated Inputs'!F13</f>
        <v>12182.016</v>
      </c>
      <c r="E34" s="102">
        <f>0.2*D34</f>
        <v>2436.4032000000002</v>
      </c>
      <c r="F34" s="94" t="s">
        <v>131</v>
      </c>
      <c r="G34" s="102">
        <v>25</v>
      </c>
      <c r="H34" s="102">
        <v>498.04</v>
      </c>
      <c r="I34" s="85" t="s">
        <v>132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x14ac:dyDescent="0.2">
      <c r="A35" s="35" t="s">
        <v>133</v>
      </c>
      <c r="B35" s="101">
        <f t="shared" si="3"/>
        <v>0</v>
      </c>
      <c r="C35" s="102">
        <v>0</v>
      </c>
      <c r="D35" s="102">
        <v>0</v>
      </c>
      <c r="E35" s="102">
        <v>0</v>
      </c>
      <c r="F35" s="94" t="s">
        <v>131</v>
      </c>
      <c r="G35" s="103">
        <v>0</v>
      </c>
      <c r="H35" s="103">
        <v>0</v>
      </c>
      <c r="I35" s="85" t="s">
        <v>134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x14ac:dyDescent="0.2">
      <c r="A36" s="35" t="s">
        <v>135</v>
      </c>
      <c r="B36" s="101">
        <f t="shared" si="3"/>
        <v>18604.830000000002</v>
      </c>
      <c r="C36" s="102">
        <f ca="1">GAMMAINV(RAND(),$G$36,$H$36)</f>
        <v>12178.722842579167</v>
      </c>
      <c r="D36" s="102">
        <f>'Calculated Inputs'!F36</f>
        <v>18604.830000000002</v>
      </c>
      <c r="E36" s="102">
        <f t="shared" ref="E36:E41" si="4">D36*0.2</f>
        <v>3720.9660000000003</v>
      </c>
      <c r="F36" s="94" t="s">
        <v>131</v>
      </c>
      <c r="G36" s="103">
        <v>25</v>
      </c>
      <c r="H36" s="103">
        <v>744.2</v>
      </c>
      <c r="I36" s="85" t="s">
        <v>136</v>
      </c>
      <c r="J36" s="3"/>
      <c r="K36" s="3"/>
      <c r="L36" s="61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x14ac:dyDescent="0.2">
      <c r="A37" s="35" t="s">
        <v>137</v>
      </c>
      <c r="B37" s="101">
        <f t="shared" si="3"/>
        <v>1237.24</v>
      </c>
      <c r="C37" s="102">
        <f ca="1">GAMMAINV(RAND(),$G$37,$H$37)</f>
        <v>1190.1009187123227</v>
      </c>
      <c r="D37" s="102">
        <f>'Calculated Inputs'!V21</f>
        <v>1237.24</v>
      </c>
      <c r="E37" s="102">
        <f t="shared" si="4"/>
        <v>247.44800000000001</v>
      </c>
      <c r="F37" s="94" t="s">
        <v>131</v>
      </c>
      <c r="G37" s="103">
        <v>25</v>
      </c>
      <c r="H37" s="103">
        <v>49.48</v>
      </c>
      <c r="I37" s="85" t="s">
        <v>138</v>
      </c>
      <c r="J37" s="3"/>
      <c r="K37" s="3"/>
      <c r="L37" s="61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x14ac:dyDescent="0.2">
      <c r="A38" s="35" t="s">
        <v>139</v>
      </c>
      <c r="B38" s="101">
        <f t="shared" si="3"/>
        <v>45002</v>
      </c>
      <c r="C38" s="102">
        <f ca="1">GAMMAINV(RAND(),$G$38,$H$38)</f>
        <v>35654.2168763261</v>
      </c>
      <c r="D38" s="102">
        <f>'Calculated Inputs'!F21</f>
        <v>45002</v>
      </c>
      <c r="E38" s="102">
        <f t="shared" si="4"/>
        <v>9000.4</v>
      </c>
      <c r="F38" s="94" t="s">
        <v>131</v>
      </c>
      <c r="G38" s="103">
        <v>25</v>
      </c>
      <c r="H38" s="103">
        <v>1800.08</v>
      </c>
      <c r="I38" s="85" t="s">
        <v>140</v>
      </c>
      <c r="J38" s="3"/>
      <c r="K38" s="3"/>
      <c r="L38" s="61">
        <f>'Calculated Inputs'!F21</f>
        <v>45002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 x14ac:dyDescent="0.2">
      <c r="A39" s="35" t="s">
        <v>141</v>
      </c>
      <c r="B39" s="101">
        <f t="shared" si="3"/>
        <v>98442</v>
      </c>
      <c r="C39" s="102">
        <f ca="1">GAMMAINV(RAND(),$G$39,$H$39)</f>
        <v>120924.82432419187</v>
      </c>
      <c r="D39" s="102">
        <f>'Calculated Inputs'!F19</f>
        <v>98442</v>
      </c>
      <c r="E39" s="102">
        <f t="shared" si="4"/>
        <v>19688.400000000001</v>
      </c>
      <c r="F39" s="94" t="s">
        <v>131</v>
      </c>
      <c r="G39" s="103">
        <v>25</v>
      </c>
      <c r="H39" s="103">
        <v>3937.38</v>
      </c>
      <c r="I39" s="85" t="s">
        <v>142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 x14ac:dyDescent="0.2">
      <c r="A40" s="35" t="s">
        <v>143</v>
      </c>
      <c r="B40" s="101">
        <f t="shared" si="3"/>
        <v>23632</v>
      </c>
      <c r="C40" s="102">
        <f ca="1">GAMMAINV(RAND(),$G$40,$H$40)</f>
        <v>14687.801873635461</v>
      </c>
      <c r="D40" s="102">
        <f>'Calculated Inputs'!V24+'Calculated Inputs'!V25</f>
        <v>23632</v>
      </c>
      <c r="E40" s="102">
        <f t="shared" si="4"/>
        <v>4726.4000000000005</v>
      </c>
      <c r="F40" s="94" t="s">
        <v>131</v>
      </c>
      <c r="G40" s="103">
        <v>25</v>
      </c>
      <c r="H40" s="103">
        <v>948.28</v>
      </c>
      <c r="I40" s="85" t="s">
        <v>144</v>
      </c>
      <c r="J40" s="3"/>
      <c r="K40" s="3"/>
      <c r="L40" s="3"/>
      <c r="M40" s="61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x14ac:dyDescent="0.2">
      <c r="A41" s="35" t="s">
        <v>145</v>
      </c>
      <c r="B41" s="101">
        <f t="shared" si="3"/>
        <v>8624.6029999999992</v>
      </c>
      <c r="C41" s="102">
        <f ca="1">GAMMAINV(RAND(),$G$41,$H$41)</f>
        <v>8410.4536509115169</v>
      </c>
      <c r="D41" s="102">
        <f>'Calculated Inputs'!H30</f>
        <v>8624.6029999999992</v>
      </c>
      <c r="E41" s="102">
        <f t="shared" si="4"/>
        <v>1724.9205999999999</v>
      </c>
      <c r="F41" s="94" t="s">
        <v>131</v>
      </c>
      <c r="G41" s="103">
        <v>25</v>
      </c>
      <c r="H41" s="103">
        <v>357.68</v>
      </c>
      <c r="I41" s="85" t="s">
        <v>146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 x14ac:dyDescent="0.2">
      <c r="A42" s="81" t="s">
        <v>147</v>
      </c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</row>
    <row r="43" spans="1:26" ht="15.75" customHeight="1" x14ac:dyDescent="0.2">
      <c r="A43" s="83" t="s">
        <v>148</v>
      </c>
      <c r="B43" s="90">
        <f t="shared" ref="B43:B51" si="5">IF($K$7=0,D43,C43)</f>
        <v>0.63900000000000001</v>
      </c>
      <c r="C43" s="104">
        <f t="shared" ref="C43:C51" ca="1" si="6">BETAINV(RAND(),G43,H43)</f>
        <v>0.99989391097520808</v>
      </c>
      <c r="D43" s="105">
        <v>0.63900000000000001</v>
      </c>
      <c r="E43" s="84">
        <v>0.11799999999999999</v>
      </c>
      <c r="F43" s="84" t="s">
        <v>115</v>
      </c>
      <c r="G43" s="91">
        <v>0.61</v>
      </c>
      <c r="H43" s="91">
        <v>0.34399999999999997</v>
      </c>
      <c r="I43" s="3" t="s">
        <v>149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x14ac:dyDescent="0.2">
      <c r="A44" s="83" t="s">
        <v>150</v>
      </c>
      <c r="B44" s="90">
        <f t="shared" si="5"/>
        <v>0.66900000000000004</v>
      </c>
      <c r="C44" s="104">
        <f t="shared" ca="1" si="6"/>
        <v>0.99717843834978914</v>
      </c>
      <c r="D44" s="105">
        <v>0.66900000000000004</v>
      </c>
      <c r="E44" s="84">
        <v>8.1000000000000003E-2</v>
      </c>
      <c r="F44" s="84" t="s">
        <v>115</v>
      </c>
      <c r="G44" s="91">
        <v>1.1599999999999999</v>
      </c>
      <c r="H44" s="91">
        <v>0.56999999999999995</v>
      </c>
      <c r="I44" s="3" t="s">
        <v>151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x14ac:dyDescent="0.2">
      <c r="A45" s="83" t="s">
        <v>152</v>
      </c>
      <c r="B45" s="90">
        <f t="shared" si="5"/>
        <v>0.753</v>
      </c>
      <c r="C45" s="104">
        <f t="shared" ca="1" si="6"/>
        <v>0.43220554282964524</v>
      </c>
      <c r="D45" s="105">
        <v>0.753</v>
      </c>
      <c r="E45" s="84">
        <v>8.2000000000000003E-2</v>
      </c>
      <c r="F45" s="84" t="s">
        <v>115</v>
      </c>
      <c r="G45" s="91">
        <v>0.94699999999999995</v>
      </c>
      <c r="H45" s="91">
        <v>0.311</v>
      </c>
      <c r="I45" s="3" t="s">
        <v>153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x14ac:dyDescent="0.2">
      <c r="A46" s="83" t="s">
        <v>154</v>
      </c>
      <c r="B46" s="90">
        <f t="shared" si="5"/>
        <v>0.72</v>
      </c>
      <c r="C46" s="104">
        <f t="shared" ca="1" si="6"/>
        <v>0.99981036362388909</v>
      </c>
      <c r="D46" s="105">
        <v>0.72</v>
      </c>
      <c r="E46" s="84">
        <v>8.1199999999999994E-2</v>
      </c>
      <c r="F46" s="84" t="s">
        <v>115</v>
      </c>
      <c r="G46" s="91">
        <v>1.07</v>
      </c>
      <c r="H46" s="91">
        <v>0.42</v>
      </c>
      <c r="I46" s="3" t="s">
        <v>155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x14ac:dyDescent="0.2">
      <c r="A47" s="83" t="s">
        <v>156</v>
      </c>
      <c r="B47" s="90">
        <f t="shared" si="5"/>
        <v>0.751</v>
      </c>
      <c r="C47" s="104">
        <f t="shared" ca="1" si="6"/>
        <v>0.26203525833917735</v>
      </c>
      <c r="D47" s="105">
        <v>0.751</v>
      </c>
      <c r="E47" s="84">
        <v>8.2000000000000003E-2</v>
      </c>
      <c r="F47" s="84" t="s">
        <v>115</v>
      </c>
      <c r="G47" s="91">
        <v>0.97</v>
      </c>
      <c r="H47" s="91">
        <v>0.32</v>
      </c>
      <c r="I47" s="3" t="s">
        <v>157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x14ac:dyDescent="0.2">
      <c r="A48" s="83" t="s">
        <v>158</v>
      </c>
      <c r="B48" s="90">
        <f t="shared" si="5"/>
        <v>0.75800000000000001</v>
      </c>
      <c r="C48" s="104">
        <f t="shared" ca="1" si="6"/>
        <v>0.97802547047048005</v>
      </c>
      <c r="D48" s="105">
        <v>0.75800000000000001</v>
      </c>
      <c r="E48" s="84">
        <v>7.2900000000000006E-2</v>
      </c>
      <c r="F48" s="84" t="s">
        <v>115</v>
      </c>
      <c r="G48" s="91">
        <v>1.1499999999999999</v>
      </c>
      <c r="H48" s="91">
        <v>0.37</v>
      </c>
      <c r="I48" s="3" t="s">
        <v>159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 x14ac:dyDescent="0.2">
      <c r="A49" s="83" t="s">
        <v>160</v>
      </c>
      <c r="B49" s="90">
        <f t="shared" si="5"/>
        <v>0.78600000000000003</v>
      </c>
      <c r="C49" s="104">
        <f t="shared" ca="1" si="6"/>
        <v>0.97900507939123238</v>
      </c>
      <c r="D49" s="105">
        <v>0.78600000000000003</v>
      </c>
      <c r="E49" s="84">
        <v>6.3E-2</v>
      </c>
      <c r="F49" s="84" t="s">
        <v>115</v>
      </c>
      <c r="G49" s="91">
        <v>1.33</v>
      </c>
      <c r="H49" s="91">
        <v>0.36</v>
      </c>
      <c r="I49" s="3" t="s">
        <v>161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 x14ac:dyDescent="0.2">
      <c r="A50" s="35" t="s">
        <v>162</v>
      </c>
      <c r="B50" s="91">
        <f t="shared" si="5"/>
        <v>0.76800000000000002</v>
      </c>
      <c r="C50" s="104">
        <f t="shared" ca="1" si="6"/>
        <v>0.39206002731089218</v>
      </c>
      <c r="D50" s="105">
        <v>0.76800000000000002</v>
      </c>
      <c r="E50" s="84">
        <v>8.2000000000000003E-2</v>
      </c>
      <c r="F50" s="84" t="s">
        <v>115</v>
      </c>
      <c r="G50" s="91">
        <v>0.9</v>
      </c>
      <c r="H50" s="91">
        <v>0.27</v>
      </c>
      <c r="I50" s="3" t="s">
        <v>163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 x14ac:dyDescent="0.2">
      <c r="A51" s="35" t="s">
        <v>164</v>
      </c>
      <c r="B51" s="91">
        <f t="shared" si="5"/>
        <v>0.76</v>
      </c>
      <c r="C51" s="104">
        <f t="shared" ca="1" si="6"/>
        <v>0.97466365208909578</v>
      </c>
      <c r="D51" s="95">
        <v>0.76</v>
      </c>
      <c r="E51" s="84">
        <v>8.2000000000000003E-2</v>
      </c>
      <c r="F51" s="84" t="s">
        <v>115</v>
      </c>
      <c r="G51" s="91">
        <v>0.93</v>
      </c>
      <c r="H51" s="91">
        <v>0.3</v>
      </c>
      <c r="I51" s="3" t="s">
        <v>165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hidden="1" customHeight="1" x14ac:dyDescent="0.2">
      <c r="A52" s="81" t="s">
        <v>166</v>
      </c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</row>
    <row r="53" spans="1:26" ht="15.75" hidden="1" customHeight="1" x14ac:dyDescent="0.2">
      <c r="A53" s="35" t="s">
        <v>167</v>
      </c>
      <c r="B53" s="93">
        <f t="shared" ref="B53:B54" si="7">IF($K$7=0,D53,C53)</f>
        <v>0</v>
      </c>
      <c r="C53" s="106"/>
      <c r="D53" s="106"/>
      <c r="E53" s="84"/>
      <c r="F53" s="84" t="s">
        <v>168</v>
      </c>
      <c r="G53" s="91"/>
      <c r="H53" s="91"/>
      <c r="I53" s="3" t="s">
        <v>169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hidden="1" customHeight="1" x14ac:dyDescent="0.2">
      <c r="A54" s="35" t="s">
        <v>131</v>
      </c>
      <c r="B54" s="107">
        <f t="shared" si="7"/>
        <v>0</v>
      </c>
      <c r="C54" s="108"/>
      <c r="D54" s="106"/>
      <c r="E54" s="84"/>
      <c r="F54" s="84" t="s">
        <v>168</v>
      </c>
      <c r="G54" s="91"/>
      <c r="H54" s="91"/>
      <c r="I54" s="3" t="s">
        <v>170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 x14ac:dyDescent="0.25">
      <c r="A55" s="109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</row>
    <row r="56" spans="1:26" ht="15.75" customHeight="1" x14ac:dyDescent="0.25">
      <c r="A56" s="71"/>
      <c r="B56" s="71"/>
      <c r="C56" s="71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</row>
    <row r="57" spans="1:26" ht="15.75" customHeight="1" x14ac:dyDescent="0.25">
      <c r="A57" s="71"/>
      <c r="B57" s="71"/>
      <c r="C57" s="71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</row>
    <row r="58" spans="1:26" ht="15.75" customHeight="1" x14ac:dyDescent="0.25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1:26" ht="15.75" customHeight="1" x14ac:dyDescent="0.25">
      <c r="A59" s="71"/>
      <c r="B59" s="71"/>
      <c r="C59" s="71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1:26" ht="15.75" customHeight="1" x14ac:dyDescent="0.25">
      <c r="A60" s="71"/>
      <c r="B60" s="71"/>
      <c r="C60" s="71"/>
      <c r="D60" s="73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1:26" ht="15.75" customHeight="1" x14ac:dyDescent="0.25">
      <c r="A61" s="71"/>
      <c r="B61" s="71"/>
      <c r="C61" s="71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1:26" ht="15.75" customHeight="1" x14ac:dyDescent="0.25">
      <c r="A62" s="71"/>
      <c r="B62" s="71"/>
      <c r="C62" s="71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1:26" ht="15.75" customHeight="1" x14ac:dyDescent="0.25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1:26" ht="15.75" customHeight="1" x14ac:dyDescent="0.25">
      <c r="A64" s="71"/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1:26" ht="15.75" customHeight="1" x14ac:dyDescent="0.25">
      <c r="A65" s="71"/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1:26" ht="15.75" customHeight="1" x14ac:dyDescent="0.25">
      <c r="A66" s="71"/>
      <c r="B66" s="71"/>
      <c r="C66" s="71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1:26" ht="15.75" customHeight="1" x14ac:dyDescent="0.25">
      <c r="A67" s="71"/>
      <c r="B67" s="71"/>
      <c r="C67" s="71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1:26" ht="15.75" customHeight="1" x14ac:dyDescent="0.25">
      <c r="A68" s="71"/>
      <c r="B68" s="71"/>
      <c r="C68" s="71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1:26" ht="15.75" customHeight="1" x14ac:dyDescent="0.25">
      <c r="A69" s="71"/>
      <c r="B69" s="71"/>
      <c r="C69" s="71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1:26" ht="15.75" customHeight="1" x14ac:dyDescent="0.25">
      <c r="A70" s="71"/>
      <c r="B70" s="71"/>
      <c r="C70" s="71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1" spans="1:26" ht="15.75" customHeight="1" x14ac:dyDescent="0.25">
      <c r="A71" s="71"/>
      <c r="B71" s="71"/>
      <c r="C71" s="71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</row>
    <row r="72" spans="1:26" ht="15.75" customHeight="1" x14ac:dyDescent="0.25">
      <c r="A72" s="71"/>
      <c r="B72" s="71"/>
      <c r="C72" s="71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</row>
    <row r="73" spans="1:26" ht="15.75" customHeight="1" x14ac:dyDescent="0.25">
      <c r="A73" s="71"/>
      <c r="B73" s="71"/>
      <c r="C73" s="71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</row>
    <row r="74" spans="1:26" ht="15.75" customHeight="1" x14ac:dyDescent="0.25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</row>
    <row r="75" spans="1:26" ht="15.75" customHeight="1" x14ac:dyDescent="0.25">
      <c r="A75" s="71"/>
      <c r="B75" s="71"/>
      <c r="C75" s="71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</row>
    <row r="76" spans="1:26" ht="15.75" customHeight="1" x14ac:dyDescent="0.25">
      <c r="A76" s="71"/>
      <c r="B76" s="71"/>
      <c r="C76" s="71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</row>
    <row r="77" spans="1:26" ht="15.75" customHeight="1" x14ac:dyDescent="0.25">
      <c r="A77" s="71"/>
      <c r="B77" s="71"/>
      <c r="C77" s="71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</row>
    <row r="78" spans="1:26" ht="15.75" customHeight="1" x14ac:dyDescent="0.25">
      <c r="A78" s="71"/>
      <c r="B78" s="71"/>
      <c r="C78" s="71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</row>
    <row r="79" spans="1:26" ht="15.75" customHeight="1" x14ac:dyDescent="0.25">
      <c r="A79" s="71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</row>
    <row r="80" spans="1:26" ht="15.75" customHeight="1" x14ac:dyDescent="0.25">
      <c r="A80" s="71"/>
      <c r="B80" s="71"/>
      <c r="C80" s="71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</row>
    <row r="81" spans="1:26" ht="15.75" customHeight="1" x14ac:dyDescent="0.25">
      <c r="A81" s="71"/>
      <c r="B81" s="71"/>
      <c r="C81" s="71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</row>
    <row r="82" spans="1:26" ht="15.75" customHeight="1" x14ac:dyDescent="0.25">
      <c r="A82" s="71"/>
      <c r="B82" s="71"/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</row>
    <row r="83" spans="1:26" ht="15.75" customHeight="1" x14ac:dyDescent="0.25">
      <c r="A83" s="71"/>
      <c r="B83" s="71"/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</row>
    <row r="84" spans="1:26" ht="15.75" customHeight="1" x14ac:dyDescent="0.25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</row>
    <row r="85" spans="1:26" ht="15.75" customHeight="1" x14ac:dyDescent="0.25">
      <c r="A85" s="71"/>
      <c r="B85" s="71"/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</row>
    <row r="86" spans="1:26" ht="15.75" customHeight="1" x14ac:dyDescent="0.25">
      <c r="A86" s="71"/>
      <c r="B86" s="71"/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</row>
    <row r="87" spans="1:26" ht="15.75" customHeight="1" x14ac:dyDescent="0.25">
      <c r="A87" s="71"/>
      <c r="B87" s="71"/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</row>
    <row r="88" spans="1:26" ht="15.75" customHeight="1" x14ac:dyDescent="0.25">
      <c r="A88" s="71"/>
      <c r="B88" s="71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</row>
    <row r="89" spans="1:26" ht="15.75" customHeight="1" x14ac:dyDescent="0.25">
      <c r="A89" s="71"/>
      <c r="B89" s="71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</row>
    <row r="90" spans="1:26" ht="15.75" customHeight="1" x14ac:dyDescent="0.25">
      <c r="A90" s="71"/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</row>
    <row r="91" spans="1:26" ht="15.75" customHeight="1" x14ac:dyDescent="0.25">
      <c r="A91" s="71"/>
      <c r="B91" s="71"/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</row>
    <row r="92" spans="1:26" ht="15.75" customHeight="1" x14ac:dyDescent="0.25">
      <c r="A92" s="71"/>
      <c r="B92" s="71"/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</row>
    <row r="93" spans="1:26" ht="15.75" customHeight="1" x14ac:dyDescent="0.25">
      <c r="A93" s="71"/>
      <c r="B93" s="71"/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</row>
    <row r="94" spans="1:26" ht="15.75" customHeight="1" x14ac:dyDescent="0.25">
      <c r="A94" s="71"/>
      <c r="B94" s="71"/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</row>
    <row r="95" spans="1:26" ht="15.75" customHeight="1" x14ac:dyDescent="0.25">
      <c r="A95" s="71"/>
      <c r="B95" s="71"/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</row>
    <row r="96" spans="1:26" ht="15.75" customHeight="1" x14ac:dyDescent="0.25">
      <c r="A96" s="71"/>
      <c r="B96" s="71"/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</row>
    <row r="97" spans="1:26" ht="15.75" customHeight="1" x14ac:dyDescent="0.25">
      <c r="A97" s="71"/>
      <c r="B97" s="71"/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</row>
    <row r="98" spans="1:26" ht="15.75" customHeight="1" x14ac:dyDescent="0.25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</row>
    <row r="99" spans="1:26" ht="15.75" customHeight="1" x14ac:dyDescent="0.25">
      <c r="A99" s="71"/>
      <c r="B99" s="71"/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</row>
    <row r="100" spans="1:26" ht="15.75" customHeight="1" x14ac:dyDescent="0.25">
      <c r="A100" s="71"/>
      <c r="B100" s="71"/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</row>
    <row r="101" spans="1:26" ht="15.75" customHeight="1" x14ac:dyDescent="0.25">
      <c r="A101" s="71"/>
      <c r="B101" s="71"/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</row>
    <row r="102" spans="1:26" ht="15.75" customHeight="1" x14ac:dyDescent="0.25">
      <c r="A102" s="71"/>
      <c r="B102" s="71"/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</row>
    <row r="103" spans="1:26" ht="15.75" customHeight="1" x14ac:dyDescent="0.25">
      <c r="A103" s="71"/>
      <c r="B103" s="71"/>
      <c r="C103" s="71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</row>
    <row r="104" spans="1:26" ht="15.75" customHeight="1" x14ac:dyDescent="0.25">
      <c r="A104" s="71"/>
      <c r="B104" s="71"/>
      <c r="C104" s="71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</row>
    <row r="105" spans="1:26" ht="15.75" customHeight="1" x14ac:dyDescent="0.25">
      <c r="A105" s="71"/>
      <c r="B105" s="71"/>
      <c r="C105" s="71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</row>
    <row r="106" spans="1:26" ht="15.75" customHeight="1" x14ac:dyDescent="0.25">
      <c r="A106" s="71"/>
      <c r="B106" s="71"/>
      <c r="C106" s="71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</row>
    <row r="107" spans="1:26" ht="15.75" customHeight="1" x14ac:dyDescent="0.25">
      <c r="A107" s="71"/>
      <c r="B107" s="71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</row>
    <row r="108" spans="1:26" ht="15.75" customHeight="1" x14ac:dyDescent="0.25">
      <c r="A108" s="71"/>
      <c r="B108" s="71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</row>
    <row r="109" spans="1:26" ht="15.75" customHeight="1" x14ac:dyDescent="0.25">
      <c r="A109" s="71"/>
      <c r="B109" s="71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</row>
    <row r="110" spans="1:26" ht="15.75" customHeight="1" x14ac:dyDescent="0.25">
      <c r="A110" s="71"/>
      <c r="B110" s="71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</row>
    <row r="111" spans="1:26" ht="15.75" customHeight="1" x14ac:dyDescent="0.25">
      <c r="A111" s="71"/>
      <c r="B111" s="71"/>
      <c r="C111" s="71"/>
      <c r="D111" s="71"/>
      <c r="E111" s="71"/>
      <c r="F111" s="71"/>
      <c r="G111" s="71"/>
      <c r="H111" s="71"/>
      <c r="I111" s="71"/>
      <c r="J111" s="7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</row>
    <row r="112" spans="1:26" ht="15.75" customHeight="1" x14ac:dyDescent="0.25">
      <c r="A112" s="71"/>
      <c r="B112" s="71"/>
      <c r="C112" s="71"/>
      <c r="D112" s="71"/>
      <c r="E112" s="71"/>
      <c r="F112" s="71"/>
      <c r="G112" s="71"/>
      <c r="H112" s="71"/>
      <c r="I112" s="71"/>
      <c r="J112" s="71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</row>
    <row r="113" spans="1:26" ht="15.75" customHeight="1" x14ac:dyDescent="0.25">
      <c r="A113" s="71"/>
      <c r="B113" s="71"/>
      <c r="C113" s="71"/>
      <c r="D113" s="71"/>
      <c r="E113" s="71"/>
      <c r="F113" s="71"/>
      <c r="G113" s="71"/>
      <c r="H113" s="71"/>
      <c r="I113" s="71"/>
      <c r="J113" s="71"/>
      <c r="K113" s="71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</row>
    <row r="114" spans="1:26" ht="15.75" customHeight="1" x14ac:dyDescent="0.25">
      <c r="A114" s="71"/>
      <c r="B114" s="71"/>
      <c r="C114" s="71"/>
      <c r="D114" s="71"/>
      <c r="E114" s="71"/>
      <c r="F114" s="71"/>
      <c r="G114" s="71"/>
      <c r="H114" s="71"/>
      <c r="I114" s="71"/>
      <c r="J114" s="71"/>
      <c r="K114" s="71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</row>
    <row r="115" spans="1:26" ht="15.75" customHeight="1" x14ac:dyDescent="0.25">
      <c r="A115" s="71"/>
      <c r="B115" s="71"/>
      <c r="C115" s="71"/>
      <c r="D115" s="71"/>
      <c r="E115" s="71"/>
      <c r="F115" s="71"/>
      <c r="G115" s="71"/>
      <c r="H115" s="71"/>
      <c r="I115" s="71"/>
      <c r="J115" s="71"/>
      <c r="K115" s="71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</row>
    <row r="116" spans="1:26" ht="15.75" customHeight="1" x14ac:dyDescent="0.25">
      <c r="A116" s="71"/>
      <c r="B116" s="71"/>
      <c r="C116" s="71"/>
      <c r="D116" s="71"/>
      <c r="E116" s="71"/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</row>
    <row r="117" spans="1:26" ht="15.75" customHeight="1" x14ac:dyDescent="0.25">
      <c r="A117" s="71"/>
      <c r="B117" s="71"/>
      <c r="C117" s="71"/>
      <c r="D117" s="71"/>
      <c r="E117" s="71"/>
      <c r="F117" s="71"/>
      <c r="G117" s="71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</row>
    <row r="118" spans="1:26" ht="15.75" customHeigh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</row>
    <row r="119" spans="1:26" ht="15.75" customHeight="1" x14ac:dyDescent="0.25">
      <c r="A119" s="71"/>
      <c r="B119" s="71"/>
      <c r="C119" s="71"/>
      <c r="D119" s="71"/>
      <c r="E119" s="71"/>
      <c r="F119" s="71"/>
      <c r="G119" s="71"/>
      <c r="H119" s="71"/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</row>
    <row r="120" spans="1:26" ht="15.75" customHeight="1" x14ac:dyDescent="0.25">
      <c r="A120" s="71"/>
      <c r="B120" s="71"/>
      <c r="C120" s="71"/>
      <c r="D120" s="71"/>
      <c r="E120" s="71"/>
      <c r="F120" s="71"/>
      <c r="G120" s="71"/>
      <c r="H120" s="71"/>
      <c r="I120" s="71"/>
      <c r="J120" s="71"/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</row>
    <row r="121" spans="1:26" ht="15.75" customHeight="1" x14ac:dyDescent="0.25">
      <c r="A121" s="71"/>
      <c r="B121" s="71"/>
      <c r="C121" s="71"/>
      <c r="D121" s="71"/>
      <c r="E121" s="71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</row>
    <row r="122" spans="1:26" ht="15.75" customHeight="1" x14ac:dyDescent="0.25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</row>
    <row r="123" spans="1:26" ht="15.75" customHeight="1" x14ac:dyDescent="0.25">
      <c r="A123" s="71"/>
      <c r="B123" s="71"/>
      <c r="C123" s="71"/>
      <c r="D123" s="71"/>
      <c r="E123" s="71"/>
      <c r="F123" s="71"/>
      <c r="G123" s="71"/>
      <c r="H123" s="71"/>
      <c r="I123" s="71"/>
      <c r="J123" s="71"/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 s="71"/>
      <c r="W123" s="71"/>
      <c r="X123" s="71"/>
      <c r="Y123" s="71"/>
      <c r="Z123" s="71"/>
    </row>
    <row r="124" spans="1:26" ht="15.75" customHeight="1" x14ac:dyDescent="0.25">
      <c r="A124" s="71"/>
      <c r="B124" s="71"/>
      <c r="C124" s="71"/>
      <c r="D124" s="71"/>
      <c r="E124" s="71"/>
      <c r="F124" s="71"/>
      <c r="G124" s="71"/>
      <c r="H124" s="71"/>
      <c r="I124" s="71"/>
      <c r="J124" s="71"/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</row>
    <row r="125" spans="1:26" ht="15.75" customHeight="1" x14ac:dyDescent="0.25">
      <c r="A125" s="71"/>
      <c r="B125" s="71"/>
      <c r="C125" s="71"/>
      <c r="D125" s="71"/>
      <c r="E125" s="71"/>
      <c r="F125" s="71"/>
      <c r="G125" s="71"/>
      <c r="H125" s="71"/>
      <c r="I125" s="71"/>
      <c r="J125" s="71"/>
      <c r="K125" s="71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</row>
    <row r="126" spans="1:26" ht="15.75" customHeight="1" x14ac:dyDescent="0.25">
      <c r="A126" s="71"/>
      <c r="B126" s="71"/>
      <c r="C126" s="71"/>
      <c r="D126" s="71"/>
      <c r="E126" s="71"/>
      <c r="F126" s="71"/>
      <c r="G126" s="71"/>
      <c r="H126" s="71"/>
      <c r="I126" s="71"/>
      <c r="J126" s="71"/>
      <c r="K126" s="71"/>
      <c r="L126" s="71"/>
      <c r="M126" s="71"/>
      <c r="N126" s="71"/>
      <c r="O126" s="71"/>
      <c r="P126" s="71"/>
      <c r="Q126" s="71"/>
      <c r="R126" s="71"/>
      <c r="S126" s="71"/>
      <c r="T126" s="71"/>
      <c r="U126" s="71"/>
      <c r="V126" s="71"/>
      <c r="W126" s="71"/>
      <c r="X126" s="71"/>
      <c r="Y126" s="71"/>
      <c r="Z126" s="71"/>
    </row>
    <row r="127" spans="1:26" ht="15.75" customHeight="1" x14ac:dyDescent="0.25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</row>
    <row r="128" spans="1:26" ht="15.75" customHeigh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</row>
    <row r="129" spans="1:26" ht="15.75" customHeight="1" x14ac:dyDescent="0.25">
      <c r="A129" s="71"/>
      <c r="B129" s="71"/>
      <c r="C129" s="71"/>
      <c r="D129" s="71"/>
      <c r="E129" s="71"/>
      <c r="F129" s="71"/>
      <c r="G129" s="71"/>
      <c r="H129" s="71"/>
      <c r="I129" s="71"/>
      <c r="J129" s="71"/>
      <c r="K129" s="71"/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 s="71"/>
      <c r="X129" s="71"/>
      <c r="Y129" s="71"/>
      <c r="Z129" s="71"/>
    </row>
    <row r="130" spans="1:26" ht="15.75" customHeight="1" x14ac:dyDescent="0.25">
      <c r="A130" s="71"/>
      <c r="B130" s="71"/>
      <c r="C130" s="71"/>
      <c r="D130" s="71"/>
      <c r="E130" s="71"/>
      <c r="F130" s="71"/>
      <c r="G130" s="71"/>
      <c r="H130" s="71"/>
      <c r="I130" s="71"/>
      <c r="J130" s="71"/>
      <c r="K130" s="71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</row>
    <row r="131" spans="1:26" ht="15.75" customHeight="1" x14ac:dyDescent="0.25">
      <c r="A131" s="71"/>
      <c r="B131" s="71"/>
      <c r="C131" s="71"/>
      <c r="D131" s="71"/>
      <c r="E131" s="71"/>
      <c r="F131" s="71"/>
      <c r="G131" s="71"/>
      <c r="H131" s="71"/>
      <c r="I131" s="71"/>
      <c r="J131" s="71"/>
      <c r="K131" s="71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</row>
    <row r="132" spans="1:26" ht="15.75" customHeight="1" x14ac:dyDescent="0.25">
      <c r="A132" s="71"/>
      <c r="B132" s="71"/>
      <c r="C132" s="71"/>
      <c r="D132" s="71"/>
      <c r="E132" s="71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</row>
    <row r="133" spans="1:26" ht="15.75" customHeight="1" x14ac:dyDescent="0.25">
      <c r="A133" s="71"/>
      <c r="B133" s="71"/>
      <c r="C133" s="71"/>
      <c r="D133" s="71"/>
      <c r="E133" s="71"/>
      <c r="F133" s="71"/>
      <c r="G133" s="71"/>
      <c r="H133" s="71"/>
      <c r="I133" s="71"/>
      <c r="J133" s="71"/>
      <c r="K133" s="71"/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/>
    </row>
    <row r="134" spans="1:26" ht="15.75" customHeight="1" x14ac:dyDescent="0.25">
      <c r="A134" s="71"/>
      <c r="B134" s="71"/>
      <c r="C134" s="71"/>
      <c r="D134" s="71"/>
      <c r="E134" s="71"/>
      <c r="F134" s="71"/>
      <c r="G134" s="71"/>
      <c r="H134" s="71"/>
      <c r="I134" s="71"/>
      <c r="J134" s="71"/>
      <c r="K134" s="71"/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 s="71"/>
      <c r="X134" s="71"/>
      <c r="Y134" s="71"/>
      <c r="Z134" s="71"/>
    </row>
    <row r="135" spans="1:26" ht="15.75" customHeight="1" x14ac:dyDescent="0.25">
      <c r="A135" s="71"/>
      <c r="B135" s="71"/>
      <c r="C135" s="71"/>
      <c r="D135" s="71"/>
      <c r="E135" s="71"/>
      <c r="F135" s="71"/>
      <c r="G135" s="71"/>
      <c r="H135" s="71"/>
      <c r="I135" s="71"/>
      <c r="J135" s="71"/>
      <c r="K135" s="71"/>
      <c r="L135" s="71"/>
      <c r="M135" s="71"/>
      <c r="N135" s="71"/>
      <c r="O135" s="71"/>
      <c r="P135" s="71"/>
      <c r="Q135" s="71"/>
      <c r="R135" s="71"/>
      <c r="S135" s="71"/>
      <c r="T135" s="71"/>
      <c r="U135" s="71"/>
      <c r="V135" s="71"/>
      <c r="W135" s="71"/>
      <c r="X135" s="71"/>
      <c r="Y135" s="71"/>
      <c r="Z135" s="71"/>
    </row>
    <row r="136" spans="1:26" ht="15.75" customHeight="1" x14ac:dyDescent="0.25">
      <c r="A136" s="71"/>
      <c r="B136" s="71"/>
      <c r="C136" s="71"/>
      <c r="D136" s="71"/>
      <c r="E136" s="71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</row>
    <row r="137" spans="1:26" ht="15.75" customHeight="1" x14ac:dyDescent="0.25">
      <c r="A137" s="71"/>
      <c r="B137" s="71"/>
      <c r="C137" s="71"/>
      <c r="D137" s="71"/>
      <c r="E137" s="71"/>
      <c r="F137" s="71"/>
      <c r="G137" s="71"/>
      <c r="H137" s="71"/>
      <c r="I137" s="71"/>
      <c r="J137" s="71"/>
      <c r="K137" s="71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</row>
    <row r="138" spans="1:26" ht="15.75" customHeight="1" x14ac:dyDescent="0.25">
      <c r="A138" s="71"/>
      <c r="B138" s="71"/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</row>
    <row r="139" spans="1:26" ht="15.75" customHeight="1" x14ac:dyDescent="0.25">
      <c r="A139" s="71"/>
      <c r="B139" s="71"/>
      <c r="C139" s="71"/>
      <c r="D139" s="71"/>
      <c r="E139" s="71"/>
      <c r="F139" s="71"/>
      <c r="G139" s="71"/>
      <c r="H139" s="71"/>
      <c r="I139" s="71"/>
      <c r="J139" s="71"/>
      <c r="K139" s="71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</row>
    <row r="140" spans="1:26" ht="15.75" customHeight="1" x14ac:dyDescent="0.25">
      <c r="A140" s="71"/>
      <c r="B140" s="71"/>
      <c r="C140" s="71"/>
      <c r="D140" s="71"/>
      <c r="E140" s="71"/>
      <c r="F140" s="71"/>
      <c r="G140" s="71"/>
      <c r="H140" s="71"/>
      <c r="I140" s="71"/>
      <c r="J140" s="71"/>
      <c r="K140" s="71"/>
      <c r="L140" s="71"/>
      <c r="M140" s="71"/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</row>
    <row r="141" spans="1:26" ht="15.75" customHeight="1" x14ac:dyDescent="0.25">
      <c r="A141" s="71"/>
      <c r="B141" s="71"/>
      <c r="C141" s="71"/>
      <c r="D141" s="71"/>
      <c r="E141" s="71"/>
      <c r="F141" s="71"/>
      <c r="G141" s="71"/>
      <c r="H141" s="71"/>
      <c r="I141" s="71"/>
      <c r="J141" s="71"/>
      <c r="K141" s="71"/>
      <c r="L141" s="71"/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 s="71"/>
      <c r="Y141" s="71"/>
      <c r="Z141" s="71"/>
    </row>
    <row r="142" spans="1:26" ht="15.75" customHeight="1" x14ac:dyDescent="0.25">
      <c r="A142" s="71"/>
      <c r="B142" s="71"/>
      <c r="C142" s="71"/>
      <c r="D142" s="71"/>
      <c r="E142" s="71"/>
      <c r="F142" s="71"/>
      <c r="G142" s="71"/>
      <c r="H142" s="71"/>
      <c r="I142" s="71"/>
      <c r="J142" s="71"/>
      <c r="K142" s="71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</row>
    <row r="143" spans="1:26" ht="15.75" customHeight="1" x14ac:dyDescent="0.25">
      <c r="A143" s="71"/>
      <c r="B143" s="71"/>
      <c r="C143" s="71"/>
      <c r="D143" s="71"/>
      <c r="E143" s="71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</row>
    <row r="144" spans="1:26" ht="15.75" customHeight="1" x14ac:dyDescent="0.25">
      <c r="A144" s="71"/>
      <c r="B144" s="71"/>
      <c r="C144" s="71"/>
      <c r="D144" s="71"/>
      <c r="E144" s="71"/>
      <c r="F144" s="71"/>
      <c r="G144" s="71"/>
      <c r="H144" s="71"/>
      <c r="I144" s="71"/>
      <c r="J144" s="71"/>
      <c r="K144" s="71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</row>
    <row r="145" spans="1:26" ht="15.75" customHeight="1" x14ac:dyDescent="0.25">
      <c r="A145" s="71"/>
      <c r="B145" s="71"/>
      <c r="C145" s="71"/>
      <c r="D145" s="71"/>
      <c r="E145" s="71"/>
      <c r="F145" s="71"/>
      <c r="G145" s="71"/>
      <c r="H145" s="71"/>
      <c r="I145" s="71"/>
      <c r="J145" s="71"/>
      <c r="K145" s="71"/>
      <c r="L145" s="71"/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 s="71"/>
      <c r="Y145" s="71"/>
      <c r="Z145" s="71"/>
    </row>
    <row r="146" spans="1:26" ht="15.75" customHeight="1" x14ac:dyDescent="0.25">
      <c r="A146" s="71"/>
      <c r="B146" s="71"/>
      <c r="C146" s="71"/>
      <c r="D146" s="71"/>
      <c r="E146" s="71"/>
      <c r="F146" s="71"/>
      <c r="G146" s="71"/>
      <c r="H146" s="71"/>
      <c r="I146" s="71"/>
      <c r="J146" s="71"/>
      <c r="K146" s="71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</row>
    <row r="147" spans="1:26" ht="15.75" customHeight="1" x14ac:dyDescent="0.25">
      <c r="A147" s="71"/>
      <c r="B147" s="71"/>
      <c r="C147" s="71"/>
      <c r="D147" s="71"/>
      <c r="E147" s="71"/>
      <c r="F147" s="71"/>
      <c r="G147" s="71"/>
      <c r="H147" s="71"/>
      <c r="I147" s="71"/>
      <c r="J147" s="71"/>
      <c r="K147" s="71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</row>
    <row r="148" spans="1:26" ht="15.75" customHeight="1" x14ac:dyDescent="0.25">
      <c r="A148" s="71"/>
      <c r="B148" s="71"/>
      <c r="C148" s="71"/>
      <c r="D148" s="71"/>
      <c r="E148" s="71"/>
      <c r="F148" s="71"/>
      <c r="G148" s="71"/>
      <c r="H148" s="71"/>
      <c r="I148" s="71"/>
      <c r="J148" s="71"/>
      <c r="K148" s="71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</row>
    <row r="149" spans="1:26" ht="15.75" customHeight="1" x14ac:dyDescent="0.25">
      <c r="A149" s="71"/>
      <c r="B149" s="71"/>
      <c r="C149" s="71"/>
      <c r="D149" s="71"/>
      <c r="E149" s="71"/>
      <c r="F149" s="71"/>
      <c r="G149" s="71"/>
      <c r="H149" s="71"/>
      <c r="I149" s="71"/>
      <c r="J149" s="71"/>
      <c r="K149" s="71"/>
      <c r="L149" s="71"/>
      <c r="M149" s="71"/>
      <c r="N149" s="71"/>
      <c r="O149" s="71"/>
      <c r="P149" s="71"/>
      <c r="Q149" s="71"/>
      <c r="R149" s="71"/>
      <c r="S149" s="71"/>
      <c r="T149" s="71"/>
      <c r="U149" s="71"/>
      <c r="V149" s="71"/>
      <c r="W149" s="71"/>
      <c r="X149" s="71"/>
      <c r="Y149" s="71"/>
      <c r="Z149" s="71"/>
    </row>
    <row r="150" spans="1:26" ht="15.75" customHeight="1" x14ac:dyDescent="0.25">
      <c r="A150" s="71"/>
      <c r="B150" s="71"/>
      <c r="C150" s="71"/>
      <c r="D150" s="71"/>
      <c r="E150" s="71"/>
      <c r="F150" s="71"/>
      <c r="G150" s="71"/>
      <c r="H150" s="71"/>
      <c r="I150" s="71"/>
      <c r="J150" s="71"/>
      <c r="K150" s="71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</row>
    <row r="151" spans="1:26" ht="15.75" customHeight="1" x14ac:dyDescent="0.25">
      <c r="A151" s="71"/>
      <c r="B151" s="71"/>
      <c r="C151" s="71"/>
      <c r="D151" s="71"/>
      <c r="E151" s="71"/>
      <c r="F151" s="71"/>
      <c r="G151" s="71"/>
      <c r="H151" s="71"/>
      <c r="I151" s="71"/>
      <c r="J151" s="71"/>
      <c r="K151" s="71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</row>
    <row r="152" spans="1:26" ht="15.75" customHeight="1" x14ac:dyDescent="0.25">
      <c r="A152" s="71"/>
      <c r="B152" s="71"/>
      <c r="C152" s="71"/>
      <c r="D152" s="71"/>
      <c r="E152" s="71"/>
      <c r="F152" s="71"/>
      <c r="G152" s="71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</row>
    <row r="153" spans="1:26" ht="15.75" customHeight="1" x14ac:dyDescent="0.25">
      <c r="A153" s="71"/>
      <c r="B153" s="71"/>
      <c r="C153" s="71"/>
      <c r="D153" s="71"/>
      <c r="E153" s="71"/>
      <c r="F153" s="71"/>
      <c r="G153" s="71"/>
      <c r="H153" s="71"/>
      <c r="I153" s="71"/>
      <c r="J153" s="71"/>
      <c r="K153" s="71"/>
      <c r="L153" s="71"/>
      <c r="M153" s="71"/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 s="71"/>
      <c r="Z153" s="71"/>
    </row>
    <row r="154" spans="1:26" ht="15.75" customHeight="1" x14ac:dyDescent="0.25">
      <c r="A154" s="71"/>
      <c r="B154" s="71"/>
      <c r="C154" s="71"/>
      <c r="D154" s="71"/>
      <c r="E154" s="71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</row>
    <row r="155" spans="1:26" ht="15.75" customHeight="1" x14ac:dyDescent="0.25">
      <c r="A155" s="71"/>
      <c r="B155" s="71"/>
      <c r="C155" s="71"/>
      <c r="D155" s="71"/>
      <c r="E155" s="71"/>
      <c r="F155" s="71"/>
      <c r="G155" s="71"/>
      <c r="H155" s="71"/>
      <c r="I155" s="71"/>
      <c r="J155" s="71"/>
      <c r="K155" s="71"/>
      <c r="L155" s="71"/>
      <c r="M155" s="71"/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 s="71"/>
      <c r="Z155" s="71"/>
    </row>
    <row r="156" spans="1:26" ht="15.75" customHeight="1" x14ac:dyDescent="0.25">
      <c r="A156" s="71"/>
      <c r="B156" s="71"/>
      <c r="C156" s="71"/>
      <c r="D156" s="71"/>
      <c r="E156" s="71"/>
      <c r="F156" s="71"/>
      <c r="G156" s="71"/>
      <c r="H156" s="71"/>
      <c r="I156" s="71"/>
      <c r="J156" s="71"/>
      <c r="K156" s="71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</row>
    <row r="157" spans="1:26" ht="15.75" customHeight="1" x14ac:dyDescent="0.25">
      <c r="A157" s="71"/>
      <c r="B157" s="71"/>
      <c r="C157" s="71"/>
      <c r="D157" s="71"/>
      <c r="E157" s="71"/>
      <c r="F157" s="71"/>
      <c r="G157" s="71"/>
      <c r="H157" s="71"/>
      <c r="I157" s="71"/>
      <c r="J157" s="71"/>
      <c r="K157" s="71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</row>
    <row r="158" spans="1:26" ht="15.75" customHeight="1" x14ac:dyDescent="0.25">
      <c r="A158" s="71"/>
      <c r="B158" s="71"/>
      <c r="C158" s="71"/>
      <c r="D158" s="71"/>
      <c r="E158" s="71"/>
      <c r="F158" s="71"/>
      <c r="G158" s="71"/>
      <c r="H158" s="71"/>
      <c r="I158" s="71"/>
      <c r="J158" s="71"/>
      <c r="K158" s="71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</row>
    <row r="159" spans="1:26" ht="15.75" customHeight="1" x14ac:dyDescent="0.25">
      <c r="A159" s="71"/>
      <c r="B159" s="71"/>
      <c r="C159" s="71"/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1"/>
      <c r="S159" s="71"/>
      <c r="T159" s="71"/>
      <c r="U159" s="71"/>
      <c r="V159" s="71"/>
      <c r="W159" s="71"/>
      <c r="X159" s="71"/>
      <c r="Y159" s="71"/>
      <c r="Z159" s="71"/>
    </row>
    <row r="160" spans="1:26" ht="15.75" customHeight="1" x14ac:dyDescent="0.25">
      <c r="A160" s="71"/>
      <c r="B160" s="71"/>
      <c r="C160" s="71"/>
      <c r="D160" s="71"/>
      <c r="E160" s="71"/>
      <c r="F160" s="71"/>
      <c r="G160" s="71"/>
      <c r="H160" s="71"/>
      <c r="I160" s="71"/>
      <c r="J160" s="71"/>
      <c r="K160" s="71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</row>
    <row r="161" spans="1:26" ht="15.75" customHeight="1" x14ac:dyDescent="0.25">
      <c r="A161" s="71"/>
      <c r="B161" s="71"/>
      <c r="C161" s="71"/>
      <c r="D161" s="71"/>
      <c r="E161" s="71"/>
      <c r="F161" s="71"/>
      <c r="G161" s="71"/>
      <c r="H161" s="71"/>
      <c r="I161" s="71"/>
      <c r="J161" s="71"/>
      <c r="K161" s="71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</row>
    <row r="162" spans="1:26" ht="15.75" customHeight="1" x14ac:dyDescent="0.25">
      <c r="A162" s="71"/>
      <c r="B162" s="71"/>
      <c r="C162" s="71"/>
      <c r="D162" s="71"/>
      <c r="E162" s="71"/>
      <c r="F162" s="71"/>
      <c r="G162" s="71"/>
      <c r="H162" s="71"/>
      <c r="I162" s="71"/>
      <c r="J162" s="71"/>
      <c r="K162" s="71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</row>
    <row r="163" spans="1:26" ht="15.75" customHeight="1" x14ac:dyDescent="0.25">
      <c r="A163" s="71"/>
      <c r="B163" s="71"/>
      <c r="C163" s="71"/>
      <c r="D163" s="71"/>
      <c r="E163" s="71"/>
      <c r="F163" s="71"/>
      <c r="G163" s="71"/>
      <c r="H163" s="71"/>
      <c r="I163" s="71"/>
      <c r="J163" s="71"/>
      <c r="K163" s="71"/>
      <c r="L163" s="71"/>
      <c r="M163" s="71"/>
      <c r="N163" s="71"/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 s="71"/>
    </row>
    <row r="164" spans="1:26" ht="15.75" customHeight="1" x14ac:dyDescent="0.25">
      <c r="A164" s="71"/>
      <c r="B164" s="71"/>
      <c r="C164" s="71"/>
      <c r="D164" s="71"/>
      <c r="E164" s="71"/>
      <c r="F164" s="71"/>
      <c r="G164" s="71"/>
      <c r="H164" s="71"/>
      <c r="I164" s="71"/>
      <c r="J164" s="71"/>
      <c r="K164" s="71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</row>
    <row r="165" spans="1:26" ht="15.75" customHeight="1" x14ac:dyDescent="0.25">
      <c r="A165" s="71"/>
      <c r="B165" s="71"/>
      <c r="C165" s="71"/>
      <c r="D165" s="71"/>
      <c r="E165" s="71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</row>
    <row r="166" spans="1:26" ht="15.75" customHeight="1" x14ac:dyDescent="0.25">
      <c r="A166" s="71"/>
      <c r="B166" s="71"/>
      <c r="C166" s="71"/>
      <c r="D166" s="71"/>
      <c r="E166" s="71"/>
      <c r="F166" s="71"/>
      <c r="G166" s="71"/>
      <c r="H166" s="71"/>
      <c r="I166" s="71"/>
      <c r="J166" s="71"/>
      <c r="K166" s="71"/>
      <c r="L166" s="71"/>
      <c r="M166" s="71"/>
      <c r="N166" s="71"/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 s="71"/>
    </row>
    <row r="167" spans="1:26" ht="15.75" customHeight="1" x14ac:dyDescent="0.25">
      <c r="A167" s="71"/>
      <c r="B167" s="71"/>
      <c r="C167" s="71"/>
      <c r="D167" s="71"/>
      <c r="E167" s="71"/>
      <c r="F167" s="71"/>
      <c r="G167" s="71"/>
      <c r="H167" s="71"/>
      <c r="I167" s="71"/>
      <c r="J167" s="71"/>
      <c r="K167" s="71"/>
      <c r="L167" s="71"/>
      <c r="M167" s="71"/>
      <c r="N167" s="71"/>
      <c r="O167" s="71"/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</row>
    <row r="168" spans="1:26" ht="15.75" customHeight="1" x14ac:dyDescent="0.25">
      <c r="A168" s="71"/>
      <c r="B168" s="71"/>
      <c r="C168" s="71"/>
      <c r="D168" s="71"/>
      <c r="E168" s="71"/>
      <c r="F168" s="71"/>
      <c r="G168" s="71"/>
      <c r="H168" s="71"/>
      <c r="I168" s="71"/>
      <c r="J168" s="71"/>
      <c r="K168" s="71"/>
      <c r="L168" s="71"/>
      <c r="M168" s="71"/>
      <c r="N168" s="71"/>
      <c r="O168" s="71"/>
      <c r="P168" s="71"/>
      <c r="Q168" s="71"/>
      <c r="R168" s="71"/>
      <c r="S168" s="71"/>
      <c r="T168" s="71"/>
      <c r="U168" s="71"/>
      <c r="V168" s="71"/>
      <c r="W168" s="71"/>
      <c r="X168" s="71"/>
      <c r="Y168" s="71"/>
      <c r="Z168" s="71"/>
    </row>
    <row r="169" spans="1:26" ht="15.75" customHeight="1" x14ac:dyDescent="0.25">
      <c r="A169" s="71"/>
      <c r="B169" s="71"/>
      <c r="C169" s="71"/>
      <c r="D169" s="71"/>
      <c r="E169" s="71"/>
      <c r="F169" s="71"/>
      <c r="G169" s="71"/>
      <c r="H169" s="71"/>
      <c r="I169" s="71"/>
      <c r="J169" s="71"/>
      <c r="K169" s="71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</row>
    <row r="170" spans="1:26" ht="15.75" customHeight="1" x14ac:dyDescent="0.25">
      <c r="A170" s="71"/>
      <c r="B170" s="71"/>
      <c r="C170" s="71"/>
      <c r="D170" s="71"/>
      <c r="E170" s="71"/>
      <c r="F170" s="71"/>
      <c r="G170" s="71"/>
      <c r="H170" s="71"/>
      <c r="I170" s="71"/>
      <c r="J170" s="71"/>
      <c r="K170" s="71"/>
      <c r="L170" s="71"/>
      <c r="M170" s="71"/>
      <c r="N170" s="71"/>
      <c r="O170" s="71"/>
      <c r="P170" s="71"/>
      <c r="Q170" s="71"/>
      <c r="R170" s="71"/>
      <c r="S170" s="71"/>
      <c r="T170" s="71"/>
      <c r="U170" s="71"/>
      <c r="V170" s="71"/>
      <c r="W170" s="71"/>
      <c r="X170" s="71"/>
      <c r="Y170" s="71"/>
      <c r="Z170" s="71"/>
    </row>
    <row r="171" spans="1:26" ht="15.75" customHeight="1" x14ac:dyDescent="0.25">
      <c r="A171" s="71"/>
      <c r="B171" s="71"/>
      <c r="C171" s="71"/>
      <c r="D171" s="71"/>
      <c r="E171" s="71"/>
      <c r="F171" s="71"/>
      <c r="G171" s="71"/>
      <c r="H171" s="71"/>
      <c r="I171" s="71"/>
      <c r="J171" s="71"/>
      <c r="K171" s="71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</row>
    <row r="172" spans="1:26" ht="15.75" customHeight="1" x14ac:dyDescent="0.25">
      <c r="A172" s="71"/>
      <c r="B172" s="71"/>
      <c r="C172" s="71"/>
      <c r="D172" s="71"/>
      <c r="E172" s="71"/>
      <c r="F172" s="71"/>
      <c r="G172" s="71"/>
      <c r="H172" s="71"/>
      <c r="I172" s="71"/>
      <c r="J172" s="71"/>
      <c r="K172" s="71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</row>
    <row r="173" spans="1:26" ht="15.75" customHeight="1" x14ac:dyDescent="0.25">
      <c r="A173" s="71"/>
      <c r="B173" s="71"/>
      <c r="C173" s="71"/>
      <c r="D173" s="71"/>
      <c r="E173" s="71"/>
      <c r="F173" s="71"/>
      <c r="G173" s="71"/>
      <c r="H173" s="71"/>
      <c r="I173" s="71"/>
      <c r="J173" s="71"/>
      <c r="K173" s="71"/>
      <c r="L173" s="71"/>
      <c r="M173" s="71"/>
      <c r="N173" s="71"/>
      <c r="O173" s="71"/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</row>
    <row r="174" spans="1:26" ht="15.75" customHeight="1" x14ac:dyDescent="0.25">
      <c r="A174" s="71"/>
      <c r="B174" s="71"/>
      <c r="C174" s="71"/>
      <c r="D174" s="71"/>
      <c r="E174" s="71"/>
      <c r="F174" s="71"/>
      <c r="G174" s="71"/>
      <c r="H174" s="71"/>
      <c r="I174" s="71"/>
      <c r="J174" s="71"/>
      <c r="K174" s="71"/>
      <c r="L174" s="71"/>
      <c r="M174" s="71"/>
      <c r="N174" s="71"/>
      <c r="O174" s="71"/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</row>
    <row r="175" spans="1:26" ht="15.75" customHeight="1" x14ac:dyDescent="0.25">
      <c r="A175" s="71"/>
      <c r="B175" s="71"/>
      <c r="C175" s="71"/>
      <c r="D175" s="71"/>
      <c r="E175" s="71"/>
      <c r="F175" s="71"/>
      <c r="G175" s="71"/>
      <c r="H175" s="71"/>
      <c r="I175" s="71"/>
      <c r="J175" s="71"/>
      <c r="K175" s="71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</row>
    <row r="176" spans="1:26" ht="15.75" customHeight="1" x14ac:dyDescent="0.25">
      <c r="A176" s="71"/>
      <c r="B176" s="71"/>
      <c r="C176" s="71"/>
      <c r="D176" s="71"/>
      <c r="E176" s="71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</row>
    <row r="177" spans="1:26" ht="15.75" customHeight="1" x14ac:dyDescent="0.25">
      <c r="A177" s="71"/>
      <c r="B177" s="71"/>
      <c r="C177" s="71"/>
      <c r="D177" s="71"/>
      <c r="E177" s="71"/>
      <c r="F177" s="71"/>
      <c r="G177" s="71"/>
      <c r="H177" s="71"/>
      <c r="I177" s="71"/>
      <c r="J177" s="71"/>
      <c r="K177" s="71"/>
      <c r="L177" s="71"/>
      <c r="M177" s="71"/>
      <c r="N177" s="71"/>
      <c r="O177" s="71"/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</row>
    <row r="178" spans="1:26" ht="15.75" customHeight="1" x14ac:dyDescent="0.25">
      <c r="A178" s="71"/>
      <c r="B178" s="71"/>
      <c r="C178" s="71"/>
      <c r="D178" s="71"/>
      <c r="E178" s="71"/>
      <c r="F178" s="71"/>
      <c r="G178" s="71"/>
      <c r="H178" s="71"/>
      <c r="I178" s="71"/>
      <c r="J178" s="71"/>
      <c r="K178" s="71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</row>
    <row r="179" spans="1:26" ht="15.75" customHeight="1" x14ac:dyDescent="0.25">
      <c r="A179" s="71"/>
      <c r="B179" s="71"/>
      <c r="C179" s="71"/>
      <c r="D179" s="71"/>
      <c r="E179" s="71"/>
      <c r="F179" s="71"/>
      <c r="G179" s="71"/>
      <c r="H179" s="71"/>
      <c r="I179" s="71"/>
      <c r="J179" s="71"/>
      <c r="K179" s="71"/>
      <c r="L179" s="71"/>
      <c r="M179" s="71"/>
      <c r="N179" s="71"/>
      <c r="O179" s="71"/>
      <c r="P179" s="71"/>
      <c r="Q179" s="71"/>
      <c r="R179" s="71"/>
      <c r="S179" s="71"/>
      <c r="T179" s="71"/>
      <c r="U179" s="71"/>
      <c r="V179" s="71"/>
      <c r="W179" s="71"/>
      <c r="X179" s="71"/>
      <c r="Y179" s="71"/>
      <c r="Z179" s="71"/>
    </row>
    <row r="180" spans="1:26" ht="15.75" customHeight="1" x14ac:dyDescent="0.25">
      <c r="A180" s="71"/>
      <c r="B180" s="71"/>
      <c r="C180" s="71"/>
      <c r="D180" s="71"/>
      <c r="E180" s="71"/>
      <c r="F180" s="71"/>
      <c r="G180" s="71"/>
      <c r="H180" s="71"/>
      <c r="I180" s="71"/>
      <c r="J180" s="71"/>
      <c r="K180" s="71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</row>
    <row r="181" spans="1:26" ht="15.75" customHeight="1" x14ac:dyDescent="0.25">
      <c r="A181" s="71"/>
      <c r="B181" s="71"/>
      <c r="C181" s="71"/>
      <c r="D181" s="71"/>
      <c r="E181" s="71"/>
      <c r="F181" s="71"/>
      <c r="G181" s="71"/>
      <c r="H181" s="71"/>
      <c r="I181" s="71"/>
      <c r="J181" s="71"/>
      <c r="K181" s="71"/>
      <c r="L181" s="71"/>
      <c r="M181" s="71"/>
      <c r="N181" s="71"/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</row>
    <row r="182" spans="1:26" ht="15.75" customHeight="1" x14ac:dyDescent="0.25">
      <c r="A182" s="71"/>
      <c r="B182" s="71"/>
      <c r="C182" s="71"/>
      <c r="D182" s="71"/>
      <c r="E182" s="71"/>
      <c r="F182" s="71"/>
      <c r="G182" s="71"/>
      <c r="H182" s="71"/>
      <c r="I182" s="71"/>
      <c r="J182" s="71"/>
      <c r="K182" s="71"/>
      <c r="L182" s="71"/>
      <c r="M182" s="71"/>
      <c r="N182" s="71"/>
      <c r="O182" s="71"/>
      <c r="P182" s="71"/>
      <c r="Q182" s="71"/>
      <c r="R182" s="71"/>
      <c r="S182" s="71"/>
      <c r="T182" s="71"/>
      <c r="U182" s="71"/>
      <c r="V182" s="71"/>
      <c r="W182" s="71"/>
      <c r="X182" s="71"/>
      <c r="Y182" s="71"/>
      <c r="Z182" s="71"/>
    </row>
    <row r="183" spans="1:26" ht="15.75" customHeight="1" x14ac:dyDescent="0.25">
      <c r="A183" s="71"/>
      <c r="B183" s="71"/>
      <c r="C183" s="71"/>
      <c r="D183" s="71"/>
      <c r="E183" s="71"/>
      <c r="F183" s="7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T183" s="71"/>
      <c r="U183" s="71"/>
      <c r="V183" s="71"/>
      <c r="W183" s="71"/>
      <c r="X183" s="71"/>
      <c r="Y183" s="71"/>
      <c r="Z183" s="71"/>
    </row>
    <row r="184" spans="1:26" ht="15.75" customHeight="1" x14ac:dyDescent="0.25">
      <c r="A184" s="71"/>
      <c r="B184" s="71"/>
      <c r="C184" s="71"/>
      <c r="D184" s="71"/>
      <c r="E184" s="71"/>
      <c r="F184" s="71"/>
      <c r="G184" s="71"/>
      <c r="H184" s="71"/>
      <c r="I184" s="71"/>
      <c r="J184" s="71"/>
      <c r="K184" s="71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</row>
    <row r="185" spans="1:26" ht="15.75" customHeight="1" x14ac:dyDescent="0.25">
      <c r="A185" s="71"/>
      <c r="B185" s="71"/>
      <c r="C185" s="71"/>
      <c r="D185" s="71"/>
      <c r="E185" s="71"/>
      <c r="F185" s="71"/>
      <c r="G185" s="71"/>
      <c r="H185" s="71"/>
      <c r="I185" s="71"/>
      <c r="J185" s="71"/>
      <c r="K185" s="71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</row>
    <row r="186" spans="1:26" ht="15.75" customHeight="1" x14ac:dyDescent="0.25">
      <c r="A186" s="71"/>
      <c r="B186" s="71"/>
      <c r="C186" s="71"/>
      <c r="D186" s="71"/>
      <c r="E186" s="71"/>
      <c r="F186" s="71"/>
      <c r="G186" s="71"/>
      <c r="H186" s="71"/>
      <c r="I186" s="71"/>
      <c r="J186" s="71"/>
      <c r="K186" s="71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</row>
    <row r="187" spans="1:26" ht="15.75" customHeight="1" x14ac:dyDescent="0.25">
      <c r="A187" s="71"/>
      <c r="B187" s="71"/>
      <c r="C187" s="71"/>
      <c r="D187" s="71"/>
      <c r="E187" s="71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</row>
    <row r="188" spans="1:26" ht="15.75" customHeight="1" x14ac:dyDescent="0.25">
      <c r="A188" s="71"/>
      <c r="B188" s="71"/>
      <c r="C188" s="71"/>
      <c r="D188" s="71"/>
      <c r="E188" s="71"/>
      <c r="F188" s="71"/>
      <c r="G188" s="71"/>
      <c r="H188" s="71"/>
      <c r="I188" s="71"/>
      <c r="J188" s="71"/>
      <c r="K188" s="71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</row>
    <row r="189" spans="1:26" ht="15.75" customHeight="1" x14ac:dyDescent="0.25">
      <c r="A189" s="71"/>
      <c r="B189" s="71"/>
      <c r="C189" s="71"/>
      <c r="D189" s="71"/>
      <c r="E189" s="71"/>
      <c r="F189" s="71"/>
      <c r="G189" s="71"/>
      <c r="H189" s="71"/>
      <c r="I189" s="71"/>
      <c r="J189" s="71"/>
      <c r="K189" s="71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</row>
    <row r="190" spans="1:26" ht="15.75" customHeight="1" x14ac:dyDescent="0.25">
      <c r="A190" s="71"/>
      <c r="B190" s="71"/>
      <c r="C190" s="71"/>
      <c r="D190" s="71"/>
      <c r="E190" s="71"/>
      <c r="F190" s="71"/>
      <c r="G190" s="71"/>
      <c r="H190" s="71"/>
      <c r="I190" s="71"/>
      <c r="J190" s="71"/>
      <c r="K190" s="71"/>
      <c r="L190" s="71"/>
      <c r="M190" s="71"/>
      <c r="N190" s="71"/>
      <c r="O190" s="71"/>
      <c r="P190" s="71"/>
      <c r="Q190" s="71"/>
      <c r="R190" s="71"/>
      <c r="S190" s="71"/>
      <c r="T190" s="71"/>
      <c r="U190" s="71"/>
      <c r="V190" s="71"/>
      <c r="W190" s="71"/>
      <c r="X190" s="71"/>
      <c r="Y190" s="71"/>
      <c r="Z190" s="71"/>
    </row>
    <row r="191" spans="1:26" ht="15.75" customHeight="1" x14ac:dyDescent="0.25">
      <c r="A191" s="71"/>
      <c r="B191" s="71"/>
      <c r="C191" s="71"/>
      <c r="D191" s="71"/>
      <c r="E191" s="71"/>
      <c r="F191" s="71"/>
      <c r="G191" s="71"/>
      <c r="H191" s="71"/>
      <c r="I191" s="71"/>
      <c r="J191" s="71"/>
      <c r="K191" s="71"/>
      <c r="L191" s="71"/>
      <c r="M191" s="71"/>
      <c r="N191" s="71"/>
      <c r="O191" s="71"/>
      <c r="P191" s="71"/>
      <c r="Q191" s="71"/>
      <c r="R191" s="71"/>
      <c r="S191" s="71"/>
      <c r="T191" s="71"/>
      <c r="U191" s="71"/>
      <c r="V191" s="71"/>
      <c r="W191" s="71"/>
      <c r="X191" s="71"/>
      <c r="Y191" s="71"/>
      <c r="Z191" s="71"/>
    </row>
    <row r="192" spans="1:26" ht="15.75" customHeight="1" x14ac:dyDescent="0.25">
      <c r="A192" s="71"/>
      <c r="B192" s="71"/>
      <c r="C192" s="71"/>
      <c r="D192" s="71"/>
      <c r="E192" s="71"/>
      <c r="F192" s="71"/>
      <c r="G192" s="71"/>
      <c r="H192" s="71"/>
      <c r="I192" s="71"/>
      <c r="J192" s="71"/>
      <c r="K192" s="71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</row>
    <row r="193" spans="1:26" ht="15.75" customHeight="1" x14ac:dyDescent="0.25">
      <c r="A193" s="71"/>
      <c r="B193" s="71"/>
      <c r="C193" s="71"/>
      <c r="D193" s="71"/>
      <c r="E193" s="7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</row>
    <row r="194" spans="1:26" ht="15.75" customHeight="1" x14ac:dyDescent="0.25">
      <c r="A194" s="71"/>
      <c r="B194" s="71"/>
      <c r="C194" s="71"/>
      <c r="D194" s="71"/>
      <c r="E194" s="71"/>
      <c r="F194" s="71"/>
      <c r="G194" s="71"/>
      <c r="H194" s="71"/>
      <c r="I194" s="71"/>
      <c r="J194" s="71"/>
      <c r="K194" s="71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</row>
    <row r="195" spans="1:26" ht="15.75" customHeight="1" x14ac:dyDescent="0.25">
      <c r="A195" s="71"/>
      <c r="B195" s="71"/>
      <c r="C195" s="71"/>
      <c r="D195" s="71"/>
      <c r="E195" s="71"/>
      <c r="F195" s="71"/>
      <c r="G195" s="71"/>
      <c r="H195" s="71"/>
      <c r="I195" s="71"/>
      <c r="J195" s="71"/>
      <c r="K195" s="71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</row>
    <row r="196" spans="1:26" ht="15.75" customHeight="1" x14ac:dyDescent="0.25">
      <c r="A196" s="71"/>
      <c r="B196" s="71"/>
      <c r="C196" s="71"/>
      <c r="D196" s="71"/>
      <c r="E196" s="71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</row>
    <row r="197" spans="1:26" ht="15.75" customHeight="1" x14ac:dyDescent="0.25">
      <c r="A197" s="71"/>
      <c r="B197" s="71"/>
      <c r="C197" s="71"/>
      <c r="D197" s="71"/>
      <c r="E197" s="71"/>
      <c r="F197" s="71"/>
      <c r="G197" s="71"/>
      <c r="H197" s="71"/>
      <c r="I197" s="71"/>
      <c r="J197" s="71"/>
      <c r="K197" s="71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</row>
    <row r="198" spans="1:26" ht="15.75" customHeight="1" x14ac:dyDescent="0.25">
      <c r="A198" s="71"/>
      <c r="B198" s="71"/>
      <c r="C198" s="71"/>
      <c r="D198" s="71"/>
      <c r="E198" s="71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</row>
    <row r="199" spans="1:26" ht="15.75" customHeight="1" x14ac:dyDescent="0.25">
      <c r="A199" s="71"/>
      <c r="B199" s="71"/>
      <c r="C199" s="71"/>
      <c r="D199" s="71"/>
      <c r="E199" s="71"/>
      <c r="F199" s="71"/>
      <c r="G199" s="71"/>
      <c r="H199" s="71"/>
      <c r="I199" s="71"/>
      <c r="J199" s="71"/>
      <c r="K199" s="71"/>
      <c r="L199" s="71"/>
      <c r="M199" s="71"/>
      <c r="N199" s="71"/>
      <c r="O199" s="71"/>
      <c r="P199" s="71"/>
      <c r="Q199" s="71"/>
      <c r="R199" s="71"/>
      <c r="S199" s="71"/>
      <c r="T199" s="71"/>
      <c r="U199" s="71"/>
      <c r="V199" s="71"/>
      <c r="W199" s="71"/>
      <c r="X199" s="71"/>
      <c r="Y199" s="71"/>
      <c r="Z199" s="71"/>
    </row>
    <row r="200" spans="1:26" ht="15.75" customHeight="1" x14ac:dyDescent="0.25">
      <c r="A200" s="71"/>
      <c r="B200" s="71"/>
      <c r="C200" s="71"/>
      <c r="D200" s="71"/>
      <c r="E200" s="71"/>
      <c r="F200" s="71"/>
      <c r="G200" s="71"/>
      <c r="H200" s="71"/>
      <c r="I200" s="71"/>
      <c r="J200" s="71"/>
      <c r="K200" s="71"/>
      <c r="L200" s="71"/>
      <c r="M200" s="71"/>
      <c r="N200" s="71"/>
      <c r="O200" s="71"/>
      <c r="P200" s="71"/>
      <c r="Q200" s="71"/>
      <c r="R200" s="71"/>
      <c r="S200" s="71"/>
      <c r="T200" s="71"/>
      <c r="U200" s="71"/>
      <c r="V200" s="71"/>
      <c r="W200" s="71"/>
      <c r="X200" s="71"/>
      <c r="Y200" s="71"/>
      <c r="Z200" s="71"/>
    </row>
    <row r="201" spans="1:26" ht="15.75" customHeight="1" x14ac:dyDescent="0.25">
      <c r="A201" s="71"/>
      <c r="B201" s="71"/>
      <c r="C201" s="71"/>
      <c r="D201" s="71"/>
      <c r="E201" s="71"/>
      <c r="F201" s="71"/>
      <c r="G201" s="71"/>
      <c r="H201" s="71"/>
      <c r="I201" s="71"/>
      <c r="J201" s="71"/>
      <c r="K201" s="71"/>
      <c r="L201" s="71"/>
      <c r="M201" s="71"/>
      <c r="N201" s="71"/>
      <c r="O201" s="71"/>
      <c r="P201" s="71"/>
      <c r="Q201" s="71"/>
      <c r="R201" s="71"/>
      <c r="S201" s="71"/>
      <c r="T201" s="71"/>
      <c r="U201" s="71"/>
      <c r="V201" s="71"/>
      <c r="W201" s="71"/>
      <c r="X201" s="71"/>
      <c r="Y201" s="71"/>
      <c r="Z201" s="71"/>
    </row>
    <row r="202" spans="1:26" ht="15.75" customHeight="1" x14ac:dyDescent="0.25">
      <c r="A202" s="71"/>
      <c r="B202" s="71"/>
      <c r="C202" s="71"/>
      <c r="D202" s="71"/>
      <c r="E202" s="71"/>
      <c r="F202" s="71"/>
      <c r="G202" s="71"/>
      <c r="H202" s="71"/>
      <c r="I202" s="71"/>
      <c r="J202" s="71"/>
      <c r="K202" s="71"/>
      <c r="L202" s="71"/>
      <c r="M202" s="71"/>
      <c r="N202" s="71"/>
      <c r="O202" s="71"/>
      <c r="P202" s="71"/>
      <c r="Q202" s="71"/>
      <c r="R202" s="71"/>
      <c r="S202" s="71"/>
      <c r="T202" s="71"/>
      <c r="U202" s="71"/>
      <c r="V202" s="71"/>
      <c r="W202" s="71"/>
      <c r="X202" s="71"/>
      <c r="Y202" s="71"/>
      <c r="Z202" s="71"/>
    </row>
    <row r="203" spans="1:26" ht="15.75" customHeight="1" x14ac:dyDescent="0.25">
      <c r="A203" s="71"/>
      <c r="B203" s="71"/>
      <c r="C203" s="71"/>
      <c r="D203" s="71"/>
      <c r="E203" s="71"/>
      <c r="F203" s="71"/>
      <c r="G203" s="71"/>
      <c r="H203" s="71"/>
      <c r="I203" s="71"/>
      <c r="J203" s="71"/>
      <c r="K203" s="71"/>
      <c r="L203" s="71"/>
      <c r="M203" s="71"/>
      <c r="N203" s="71"/>
      <c r="O203" s="71"/>
      <c r="P203" s="71"/>
      <c r="Q203" s="71"/>
      <c r="R203" s="71"/>
      <c r="S203" s="71"/>
      <c r="T203" s="71"/>
      <c r="U203" s="71"/>
      <c r="V203" s="71"/>
      <c r="W203" s="71"/>
      <c r="X203" s="71"/>
      <c r="Y203" s="71"/>
      <c r="Z203" s="71"/>
    </row>
    <row r="204" spans="1:26" ht="15.75" customHeight="1" x14ac:dyDescent="0.25">
      <c r="A204" s="71"/>
      <c r="B204" s="71"/>
      <c r="C204" s="71"/>
      <c r="D204" s="71"/>
      <c r="E204" s="71"/>
      <c r="F204" s="71"/>
      <c r="G204" s="71"/>
      <c r="H204" s="71"/>
      <c r="I204" s="71"/>
      <c r="J204" s="71"/>
      <c r="K204" s="71"/>
      <c r="L204" s="71"/>
      <c r="M204" s="71"/>
      <c r="N204" s="71"/>
      <c r="O204" s="71"/>
      <c r="P204" s="71"/>
      <c r="Q204" s="71"/>
      <c r="R204" s="71"/>
      <c r="S204" s="71"/>
      <c r="T204" s="71"/>
      <c r="U204" s="71"/>
      <c r="V204" s="71"/>
      <c r="W204" s="71"/>
      <c r="X204" s="71"/>
      <c r="Y204" s="71"/>
      <c r="Z204" s="71"/>
    </row>
    <row r="205" spans="1:26" ht="15.75" customHeight="1" x14ac:dyDescent="0.25">
      <c r="A205" s="71"/>
      <c r="B205" s="71"/>
      <c r="C205" s="71"/>
      <c r="D205" s="71"/>
      <c r="E205" s="71"/>
      <c r="F205" s="71"/>
      <c r="G205" s="71"/>
      <c r="H205" s="71"/>
      <c r="I205" s="71"/>
      <c r="J205" s="71"/>
      <c r="K205" s="71"/>
      <c r="L205" s="71"/>
      <c r="M205" s="71"/>
      <c r="N205" s="71"/>
      <c r="O205" s="71"/>
      <c r="P205" s="71"/>
      <c r="Q205" s="71"/>
      <c r="R205" s="71"/>
      <c r="S205" s="71"/>
      <c r="T205" s="71"/>
      <c r="U205" s="71"/>
      <c r="V205" s="71"/>
      <c r="W205" s="71"/>
      <c r="X205" s="71"/>
      <c r="Y205" s="71"/>
      <c r="Z205" s="71"/>
    </row>
    <row r="206" spans="1:26" ht="15.75" customHeight="1" x14ac:dyDescent="0.25">
      <c r="A206" s="71"/>
      <c r="B206" s="71"/>
      <c r="C206" s="71"/>
      <c r="D206" s="71"/>
      <c r="E206" s="71"/>
      <c r="F206" s="71"/>
      <c r="G206" s="71"/>
      <c r="H206" s="71"/>
      <c r="I206" s="71"/>
      <c r="J206" s="71"/>
      <c r="K206" s="71"/>
      <c r="L206" s="71"/>
      <c r="M206" s="71"/>
      <c r="N206" s="71"/>
      <c r="O206" s="71"/>
      <c r="P206" s="71"/>
      <c r="Q206" s="71"/>
      <c r="R206" s="71"/>
      <c r="S206" s="71"/>
      <c r="T206" s="71"/>
      <c r="U206" s="71"/>
      <c r="V206" s="71"/>
      <c r="W206" s="71"/>
      <c r="X206" s="71"/>
      <c r="Y206" s="71"/>
      <c r="Z206" s="71"/>
    </row>
    <row r="207" spans="1:26" ht="15.75" customHeight="1" x14ac:dyDescent="0.25">
      <c r="A207" s="71"/>
      <c r="B207" s="71"/>
      <c r="C207" s="71"/>
      <c r="D207" s="71"/>
      <c r="E207" s="71"/>
      <c r="F207" s="71"/>
      <c r="G207" s="71"/>
      <c r="H207" s="71"/>
      <c r="I207" s="71"/>
      <c r="J207" s="71"/>
      <c r="K207" s="71"/>
      <c r="L207" s="71"/>
      <c r="M207" s="71"/>
      <c r="N207" s="71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</row>
    <row r="208" spans="1:26" ht="15.75" customHeight="1" x14ac:dyDescent="0.25">
      <c r="A208" s="71"/>
      <c r="B208" s="71"/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</row>
    <row r="209" spans="1:26" ht="15.75" customHeight="1" x14ac:dyDescent="0.25">
      <c r="A209" s="71"/>
      <c r="B209" s="71"/>
      <c r="C209" s="71"/>
      <c r="D209" s="71"/>
      <c r="E209" s="71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</row>
    <row r="210" spans="1:26" ht="15.75" customHeight="1" x14ac:dyDescent="0.25">
      <c r="A210" s="71"/>
      <c r="B210" s="71"/>
      <c r="C210" s="71"/>
      <c r="D210" s="71"/>
      <c r="E210" s="71"/>
      <c r="F210" s="71"/>
      <c r="G210" s="71"/>
      <c r="H210" s="71"/>
      <c r="I210" s="71"/>
      <c r="J210" s="71"/>
      <c r="K210" s="71"/>
      <c r="L210" s="71"/>
      <c r="M210" s="71"/>
      <c r="N210" s="71"/>
      <c r="O210" s="71"/>
      <c r="P210" s="71"/>
      <c r="Q210" s="71"/>
      <c r="R210" s="71"/>
      <c r="S210" s="71"/>
      <c r="T210" s="71"/>
      <c r="U210" s="71"/>
      <c r="V210" s="71"/>
      <c r="W210" s="71"/>
      <c r="X210" s="71"/>
      <c r="Y210" s="71"/>
      <c r="Z210" s="71"/>
    </row>
    <row r="211" spans="1:26" ht="15.75" customHeight="1" x14ac:dyDescent="0.25">
      <c r="A211" s="71"/>
      <c r="B211" s="71"/>
      <c r="C211" s="71"/>
      <c r="D211" s="71"/>
      <c r="E211" s="71"/>
      <c r="F211" s="71"/>
      <c r="G211" s="71"/>
      <c r="H211" s="71"/>
      <c r="I211" s="71"/>
      <c r="J211" s="71"/>
      <c r="K211" s="71"/>
      <c r="L211" s="71"/>
      <c r="M211" s="71"/>
      <c r="N211" s="71"/>
      <c r="O211" s="71"/>
      <c r="P211" s="71"/>
      <c r="Q211" s="71"/>
      <c r="R211" s="71"/>
      <c r="S211" s="71"/>
      <c r="T211" s="71"/>
      <c r="U211" s="71"/>
      <c r="V211" s="71"/>
      <c r="W211" s="71"/>
      <c r="X211" s="71"/>
      <c r="Y211" s="71"/>
      <c r="Z211" s="71"/>
    </row>
    <row r="212" spans="1:26" ht="15.75" customHeight="1" x14ac:dyDescent="0.25">
      <c r="A212" s="71"/>
      <c r="B212" s="71"/>
      <c r="C212" s="71"/>
      <c r="D212" s="71"/>
      <c r="E212" s="71"/>
      <c r="F212" s="71"/>
      <c r="G212" s="71"/>
      <c r="H212" s="71"/>
      <c r="I212" s="71"/>
      <c r="J212" s="71"/>
      <c r="K212" s="71"/>
      <c r="L212" s="71"/>
      <c r="M212" s="71"/>
      <c r="N212" s="71"/>
      <c r="O212" s="71"/>
      <c r="P212" s="71"/>
      <c r="Q212" s="71"/>
      <c r="R212" s="71"/>
      <c r="S212" s="71"/>
      <c r="T212" s="71"/>
      <c r="U212" s="71"/>
      <c r="V212" s="71"/>
      <c r="W212" s="71"/>
      <c r="X212" s="71"/>
      <c r="Y212" s="71"/>
      <c r="Z212" s="71"/>
    </row>
    <row r="213" spans="1:26" ht="15.75" customHeight="1" x14ac:dyDescent="0.25">
      <c r="A213" s="71"/>
      <c r="B213" s="71"/>
      <c r="C213" s="71"/>
      <c r="D213" s="71"/>
      <c r="E213" s="71"/>
      <c r="F213" s="71"/>
      <c r="G213" s="71"/>
      <c r="H213" s="71"/>
      <c r="I213" s="71"/>
      <c r="J213" s="71"/>
      <c r="K213" s="71"/>
      <c r="L213" s="71"/>
      <c r="M213" s="71"/>
      <c r="N213" s="71"/>
      <c r="O213" s="71"/>
      <c r="P213" s="71"/>
      <c r="Q213" s="71"/>
      <c r="R213" s="71"/>
      <c r="S213" s="71"/>
      <c r="T213" s="71"/>
      <c r="U213" s="71"/>
      <c r="V213" s="71"/>
      <c r="W213" s="71"/>
      <c r="X213" s="71"/>
      <c r="Y213" s="71"/>
      <c r="Z213" s="71"/>
    </row>
    <row r="214" spans="1:26" ht="15.75" customHeight="1" x14ac:dyDescent="0.25">
      <c r="A214" s="71"/>
      <c r="B214" s="71"/>
      <c r="C214" s="71"/>
      <c r="D214" s="71"/>
      <c r="E214" s="71"/>
      <c r="F214" s="71"/>
      <c r="G214" s="71"/>
      <c r="H214" s="71"/>
      <c r="I214" s="71"/>
      <c r="J214" s="71"/>
      <c r="K214" s="71"/>
      <c r="L214" s="71"/>
      <c r="M214" s="71"/>
      <c r="N214" s="71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</row>
    <row r="215" spans="1:26" ht="15.75" customHeight="1" x14ac:dyDescent="0.25">
      <c r="A215" s="71"/>
      <c r="B215" s="71"/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</row>
    <row r="216" spans="1:26" ht="15.75" customHeight="1" x14ac:dyDescent="0.25">
      <c r="A216" s="71"/>
      <c r="B216" s="71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</row>
    <row r="217" spans="1:26" ht="15.75" customHeight="1" x14ac:dyDescent="0.25">
      <c r="A217" s="71"/>
      <c r="B217" s="71"/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</row>
    <row r="218" spans="1:26" ht="15.75" customHeight="1" x14ac:dyDescent="0.25">
      <c r="A218" s="71"/>
      <c r="B218" s="71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</row>
    <row r="219" spans="1:26" ht="15.75" customHeight="1" x14ac:dyDescent="0.25">
      <c r="A219" s="71"/>
      <c r="B219" s="71"/>
      <c r="C219" s="71"/>
      <c r="D219" s="71"/>
      <c r="E219" s="71"/>
      <c r="F219" s="71"/>
      <c r="G219" s="71"/>
      <c r="H219" s="71"/>
      <c r="I219" s="71"/>
      <c r="J219" s="71"/>
      <c r="K219" s="71"/>
      <c r="L219" s="71"/>
      <c r="M219" s="71"/>
      <c r="N219" s="71"/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</row>
    <row r="220" spans="1:26" ht="15.75" customHeight="1" x14ac:dyDescent="0.25">
      <c r="A220" s="71"/>
      <c r="B220" s="71"/>
      <c r="C220" s="71"/>
      <c r="D220" s="71"/>
      <c r="E220" s="71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</row>
    <row r="221" spans="1:26" ht="15.75" customHeight="1" x14ac:dyDescent="0.25">
      <c r="A221" s="71"/>
      <c r="B221" s="71"/>
      <c r="C221" s="71"/>
      <c r="D221" s="71"/>
      <c r="E221" s="71"/>
      <c r="F221" s="71"/>
      <c r="G221" s="71"/>
      <c r="H221" s="71"/>
      <c r="I221" s="71"/>
      <c r="J221" s="71"/>
      <c r="K221" s="71"/>
      <c r="L221" s="71"/>
      <c r="M221" s="71"/>
      <c r="N221" s="71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</row>
    <row r="222" spans="1:26" ht="15.75" customHeight="1" x14ac:dyDescent="0.25">
      <c r="A222" s="71"/>
      <c r="B222" s="71"/>
      <c r="C222" s="71"/>
      <c r="D222" s="71"/>
      <c r="E222" s="71"/>
      <c r="F222" s="71"/>
      <c r="G222" s="71"/>
      <c r="H222" s="71"/>
      <c r="I222" s="71"/>
      <c r="J222" s="71"/>
      <c r="K222" s="71"/>
      <c r="L222" s="71"/>
      <c r="M222" s="71"/>
      <c r="N222" s="71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</row>
    <row r="223" spans="1:26" ht="15.75" customHeight="1" x14ac:dyDescent="0.25">
      <c r="A223" s="71"/>
      <c r="B223" s="71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</row>
    <row r="224" spans="1:26" ht="15.75" customHeight="1" x14ac:dyDescent="0.25">
      <c r="A224" s="71"/>
      <c r="B224" s="71"/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</row>
    <row r="225" spans="1:26" ht="15.75" customHeight="1" x14ac:dyDescent="0.25">
      <c r="A225" s="71"/>
      <c r="B225" s="71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</row>
    <row r="226" spans="1:26" ht="15.75" customHeight="1" x14ac:dyDescent="0.25">
      <c r="A226" s="71"/>
      <c r="B226" s="71"/>
      <c r="C226" s="71"/>
      <c r="D226" s="71"/>
      <c r="E226" s="71"/>
      <c r="F226" s="71"/>
      <c r="G226" s="71"/>
      <c r="H226" s="71"/>
      <c r="I226" s="71"/>
      <c r="J226" s="71"/>
      <c r="K226" s="71"/>
      <c r="L226" s="71"/>
      <c r="M226" s="71"/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</row>
    <row r="227" spans="1:26" ht="15.75" customHeight="1" x14ac:dyDescent="0.25">
      <c r="A227" s="71"/>
      <c r="B227" s="71"/>
      <c r="C227" s="71"/>
      <c r="D227" s="71"/>
      <c r="E227" s="71"/>
      <c r="F227" s="71"/>
      <c r="G227" s="71"/>
      <c r="H227" s="71"/>
      <c r="I227" s="71"/>
      <c r="J227" s="71"/>
      <c r="K227" s="71"/>
      <c r="L227" s="71"/>
      <c r="M227" s="71"/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</row>
    <row r="228" spans="1:26" ht="15.75" customHeight="1" x14ac:dyDescent="0.25">
      <c r="A228" s="71"/>
      <c r="B228" s="71"/>
      <c r="C228" s="71"/>
      <c r="D228" s="71"/>
      <c r="E228" s="71"/>
      <c r="F228" s="71"/>
      <c r="G228" s="71"/>
      <c r="H228" s="71"/>
      <c r="I228" s="71"/>
      <c r="J228" s="71"/>
      <c r="K228" s="71"/>
      <c r="L228" s="71"/>
      <c r="M228" s="71"/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</row>
    <row r="229" spans="1:26" ht="15.75" customHeight="1" x14ac:dyDescent="0.25">
      <c r="A229" s="71"/>
      <c r="B229" s="71"/>
      <c r="C229" s="71"/>
      <c r="D229" s="71"/>
      <c r="E229" s="71"/>
      <c r="F229" s="71"/>
      <c r="G229" s="71"/>
      <c r="H229" s="71"/>
      <c r="I229" s="71"/>
      <c r="J229" s="71"/>
      <c r="K229" s="71"/>
      <c r="L229" s="71"/>
      <c r="M229" s="71"/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</row>
    <row r="230" spans="1:26" ht="15.75" customHeight="1" x14ac:dyDescent="0.25">
      <c r="A230" s="71"/>
      <c r="B230" s="71"/>
      <c r="C230" s="71"/>
      <c r="D230" s="71"/>
      <c r="E230" s="71"/>
      <c r="F230" s="71"/>
      <c r="G230" s="71"/>
      <c r="H230" s="71"/>
      <c r="I230" s="71"/>
      <c r="J230" s="71"/>
      <c r="K230" s="71"/>
      <c r="L230" s="71"/>
      <c r="M230" s="71"/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</row>
    <row r="231" spans="1:26" ht="15.75" customHeight="1" x14ac:dyDescent="0.25">
      <c r="A231" s="71"/>
      <c r="B231" s="71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</row>
    <row r="232" spans="1:26" ht="15.75" customHeight="1" x14ac:dyDescent="0.25">
      <c r="A232" s="71"/>
      <c r="B232" s="71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</row>
    <row r="233" spans="1:26" ht="15.75" customHeight="1" x14ac:dyDescent="0.25">
      <c r="A233" s="71"/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</row>
    <row r="234" spans="1:26" ht="15.75" customHeight="1" x14ac:dyDescent="0.25">
      <c r="A234" s="7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</row>
    <row r="235" spans="1:26" ht="15.75" customHeight="1" x14ac:dyDescent="0.25">
      <c r="A235" s="71"/>
      <c r="B235" s="71"/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</row>
    <row r="236" spans="1:26" ht="15.75" customHeight="1" x14ac:dyDescent="0.25">
      <c r="A236" s="71"/>
      <c r="B236" s="71"/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</row>
    <row r="237" spans="1:26" ht="15.75" customHeight="1" x14ac:dyDescent="0.25">
      <c r="A237" s="71"/>
      <c r="B237" s="71"/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</row>
    <row r="238" spans="1:26" ht="15.75" customHeight="1" x14ac:dyDescent="0.25">
      <c r="A238" s="71"/>
      <c r="B238" s="71"/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</row>
    <row r="239" spans="1:26" ht="15.75" customHeight="1" x14ac:dyDescent="0.25">
      <c r="A239" s="71"/>
      <c r="B239" s="71"/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</row>
    <row r="240" spans="1:26" ht="15.75" customHeight="1" x14ac:dyDescent="0.25">
      <c r="A240" s="7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</row>
    <row r="241" spans="1:26" ht="15.75" customHeight="1" x14ac:dyDescent="0.25">
      <c r="A241" s="71"/>
      <c r="B241" s="71"/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</row>
    <row r="242" spans="1:26" ht="15.75" customHeight="1" x14ac:dyDescent="0.25">
      <c r="A242" s="71"/>
      <c r="B242" s="71"/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</row>
    <row r="243" spans="1:26" ht="15.75" customHeight="1" x14ac:dyDescent="0.25">
      <c r="A243" s="71"/>
      <c r="B243" s="71"/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</row>
    <row r="244" spans="1:26" ht="15.75" customHeight="1" x14ac:dyDescent="0.25">
      <c r="A244" s="71"/>
      <c r="B244" s="71"/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</row>
    <row r="245" spans="1:26" ht="15.75" customHeight="1" x14ac:dyDescent="0.25">
      <c r="A245" s="7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</row>
    <row r="246" spans="1:26" ht="15.75" customHeight="1" x14ac:dyDescent="0.25">
      <c r="A246" s="71"/>
      <c r="B246" s="71"/>
      <c r="C246" s="71"/>
      <c r="D246" s="71"/>
      <c r="E246" s="71"/>
      <c r="F246" s="71"/>
      <c r="G246" s="71"/>
      <c r="H246" s="71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</row>
    <row r="247" spans="1:26" ht="15.75" customHeight="1" x14ac:dyDescent="0.25">
      <c r="A247" s="71"/>
      <c r="B247" s="71"/>
      <c r="C247" s="71"/>
      <c r="D247" s="71"/>
      <c r="E247" s="71"/>
      <c r="F247" s="71"/>
      <c r="G247" s="71"/>
      <c r="H247" s="71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</row>
    <row r="248" spans="1:26" ht="15.75" customHeight="1" x14ac:dyDescent="0.25">
      <c r="A248" s="71"/>
      <c r="B248" s="71"/>
      <c r="C248" s="71"/>
      <c r="D248" s="71"/>
      <c r="E248" s="71"/>
      <c r="F248" s="71"/>
      <c r="G248" s="71"/>
      <c r="H248" s="71"/>
      <c r="I248" s="71"/>
      <c r="J248" s="71"/>
      <c r="K248" s="71"/>
      <c r="L248" s="71"/>
      <c r="M248" s="71"/>
      <c r="N248" s="71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</row>
    <row r="249" spans="1:26" ht="15.75" customHeight="1" x14ac:dyDescent="0.25">
      <c r="A249" s="71"/>
      <c r="B249" s="71"/>
      <c r="C249" s="71"/>
      <c r="D249" s="71"/>
      <c r="E249" s="71"/>
      <c r="F249" s="71"/>
      <c r="G249" s="71"/>
      <c r="H249" s="71"/>
      <c r="I249" s="71"/>
      <c r="J249" s="71"/>
      <c r="K249" s="71"/>
      <c r="L249" s="71"/>
      <c r="M249" s="71"/>
      <c r="N249" s="71"/>
      <c r="O249" s="71"/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</row>
    <row r="250" spans="1:26" ht="15.75" customHeight="1" x14ac:dyDescent="0.25">
      <c r="A250" s="71"/>
      <c r="B250" s="71"/>
      <c r="C250" s="71"/>
      <c r="D250" s="71"/>
      <c r="E250" s="71"/>
      <c r="F250" s="71"/>
      <c r="G250" s="71"/>
      <c r="H250" s="71"/>
      <c r="I250" s="71"/>
      <c r="J250" s="71"/>
      <c r="K250" s="71"/>
      <c r="L250" s="71"/>
      <c r="M250" s="71"/>
      <c r="N250" s="71"/>
      <c r="O250" s="71"/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</row>
    <row r="251" spans="1:26" ht="15.75" customHeight="1" x14ac:dyDescent="0.25">
      <c r="A251" s="71"/>
      <c r="B251" s="71"/>
      <c r="C251" s="71"/>
      <c r="D251" s="71"/>
      <c r="E251" s="71"/>
      <c r="F251" s="71"/>
      <c r="G251" s="71"/>
      <c r="H251" s="71"/>
      <c r="I251" s="71"/>
      <c r="J251" s="71"/>
      <c r="K251" s="71"/>
      <c r="L251" s="71"/>
      <c r="M251" s="71"/>
      <c r="N251" s="71"/>
      <c r="O251" s="71"/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</row>
    <row r="252" spans="1:26" ht="15.75" customHeight="1" x14ac:dyDescent="0.25">
      <c r="A252" s="71"/>
      <c r="B252" s="71"/>
      <c r="C252" s="71"/>
      <c r="D252" s="71"/>
      <c r="E252" s="71"/>
      <c r="F252" s="71"/>
      <c r="G252" s="71"/>
      <c r="H252" s="71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</row>
    <row r="253" spans="1:26" ht="15.75" customHeight="1" x14ac:dyDescent="0.25">
      <c r="A253" s="71"/>
      <c r="B253" s="71"/>
      <c r="C253" s="71"/>
      <c r="D253" s="71"/>
      <c r="E253" s="71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</row>
    <row r="254" spans="1:26" ht="15.75" customHeight="1" x14ac:dyDescent="0.25">
      <c r="A254" s="71"/>
      <c r="B254" s="71"/>
      <c r="C254" s="71"/>
      <c r="D254" s="71"/>
      <c r="E254" s="71"/>
      <c r="F254" s="71"/>
      <c r="G254" s="71"/>
      <c r="H254" s="71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</row>
    <row r="255" spans="1:26" ht="15.75" customHeight="1" x14ac:dyDescent="0.25">
      <c r="A255" s="71"/>
      <c r="B255" s="71"/>
      <c r="C255" s="71"/>
      <c r="D255" s="71"/>
      <c r="E255" s="71"/>
      <c r="F255" s="71"/>
      <c r="G255" s="71"/>
      <c r="H255" s="71"/>
      <c r="I255" s="71"/>
      <c r="J255" s="71"/>
      <c r="K255" s="71"/>
      <c r="L255" s="71"/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</row>
    <row r="256" spans="1:26" ht="15.75" customHeight="1" x14ac:dyDescent="0.25">
      <c r="A256" s="71"/>
      <c r="B256" s="71"/>
      <c r="C256" s="71"/>
      <c r="D256" s="71"/>
      <c r="E256" s="71"/>
      <c r="F256" s="71"/>
      <c r="G256" s="71"/>
      <c r="H256" s="71"/>
      <c r="I256" s="71"/>
      <c r="J256" s="71"/>
      <c r="K256" s="71"/>
      <c r="L256" s="71"/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</row>
    <row r="257" spans="1:26" ht="15.75" customHeight="1" x14ac:dyDescent="0.25">
      <c r="A257" s="71"/>
      <c r="B257" s="71"/>
      <c r="C257" s="71"/>
      <c r="D257" s="71"/>
      <c r="E257" s="71"/>
      <c r="F257" s="71"/>
      <c r="G257" s="71"/>
      <c r="H257" s="71"/>
      <c r="I257" s="71"/>
      <c r="J257" s="71"/>
      <c r="K257" s="71"/>
      <c r="L257" s="71"/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</row>
    <row r="258" spans="1:26" ht="15.75" customHeight="1" x14ac:dyDescent="0.25">
      <c r="A258" s="71"/>
      <c r="B258" s="71"/>
      <c r="C258" s="71"/>
      <c r="D258" s="71"/>
      <c r="E258" s="71"/>
      <c r="F258" s="71"/>
      <c r="G258" s="71"/>
      <c r="H258" s="71"/>
      <c r="I258" s="71"/>
      <c r="J258" s="71"/>
      <c r="K258" s="71"/>
      <c r="L258" s="71"/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</row>
    <row r="259" spans="1:26" ht="15.75" customHeight="1" x14ac:dyDescent="0.25">
      <c r="A259" s="7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</row>
    <row r="260" spans="1:26" ht="15.75" customHeight="1" x14ac:dyDescent="0.25">
      <c r="A260" s="7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</row>
    <row r="261" spans="1:26" ht="15.75" customHeight="1" x14ac:dyDescent="0.25">
      <c r="A261" s="71"/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</row>
    <row r="262" spans="1:26" ht="15.75" customHeight="1" x14ac:dyDescent="0.25">
      <c r="A262" s="71"/>
      <c r="B262" s="71"/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</row>
    <row r="263" spans="1:26" ht="15.75" customHeight="1" x14ac:dyDescent="0.25">
      <c r="A263" s="71"/>
      <c r="B263" s="71"/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</row>
    <row r="264" spans="1:26" ht="15.75" customHeight="1" x14ac:dyDescent="0.25">
      <c r="A264" s="71"/>
      <c r="B264" s="71"/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</row>
    <row r="265" spans="1:26" ht="15.75" customHeight="1" x14ac:dyDescent="0.25">
      <c r="A265" s="71"/>
      <c r="B265" s="71"/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</row>
    <row r="266" spans="1:26" ht="15.75" customHeight="1" x14ac:dyDescent="0.25">
      <c r="A266" s="71"/>
      <c r="B266" s="71"/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</row>
    <row r="267" spans="1:26" ht="15.75" customHeight="1" x14ac:dyDescent="0.25">
      <c r="A267" s="7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</row>
    <row r="268" spans="1:26" ht="15.75" customHeight="1" x14ac:dyDescent="0.25">
      <c r="A268" s="71"/>
      <c r="B268" s="71"/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</row>
    <row r="269" spans="1:26" ht="15.75" customHeight="1" x14ac:dyDescent="0.25">
      <c r="A269" s="71"/>
      <c r="B269" s="71"/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</row>
    <row r="270" spans="1:26" ht="15.75" customHeight="1" x14ac:dyDescent="0.25">
      <c r="A270" s="71"/>
      <c r="B270" s="71"/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</row>
    <row r="271" spans="1:26" ht="15.75" customHeight="1" x14ac:dyDescent="0.25">
      <c r="A271" s="71"/>
      <c r="B271" s="71"/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</row>
    <row r="272" spans="1:26" ht="15.75" customHeight="1" x14ac:dyDescent="0.25">
      <c r="A272" s="7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</row>
    <row r="273" spans="1:26" ht="15.75" customHeight="1" x14ac:dyDescent="0.25">
      <c r="A273" s="71"/>
      <c r="B273" s="71"/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</row>
    <row r="274" spans="1:26" ht="15.75" customHeight="1" x14ac:dyDescent="0.25">
      <c r="A274" s="71"/>
      <c r="B274" s="7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</row>
    <row r="275" spans="1:26" ht="15.75" customHeight="1" x14ac:dyDescent="0.25">
      <c r="A275" s="71"/>
      <c r="B275" s="71"/>
      <c r="C275" s="71"/>
      <c r="D275" s="71"/>
      <c r="E275" s="71"/>
      <c r="F275" s="71"/>
      <c r="G275" s="71"/>
      <c r="H275" s="71"/>
      <c r="I275" s="71"/>
      <c r="J275" s="71"/>
      <c r="K275" s="71"/>
      <c r="L275" s="71"/>
      <c r="M275" s="71"/>
      <c r="N275" s="71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</row>
    <row r="276" spans="1:26" ht="15.75" customHeight="1" x14ac:dyDescent="0.25">
      <c r="A276" s="71"/>
      <c r="B276" s="71"/>
      <c r="C276" s="71"/>
      <c r="D276" s="71"/>
      <c r="E276" s="71"/>
      <c r="F276" s="71"/>
      <c r="G276" s="71"/>
      <c r="H276" s="71"/>
      <c r="I276" s="71"/>
      <c r="J276" s="71"/>
      <c r="K276" s="71"/>
      <c r="L276" s="71"/>
      <c r="M276" s="71"/>
      <c r="N276" s="71"/>
      <c r="O276" s="71"/>
      <c r="P276" s="71"/>
      <c r="Q276" s="71"/>
      <c r="R276" s="71"/>
      <c r="S276" s="71"/>
      <c r="T276" s="71"/>
      <c r="U276" s="71"/>
      <c r="V276" s="71"/>
      <c r="W276" s="71"/>
      <c r="X276" s="71"/>
      <c r="Y276" s="71"/>
      <c r="Z276" s="71"/>
    </row>
    <row r="277" spans="1:26" ht="15.75" customHeight="1" x14ac:dyDescent="0.25">
      <c r="A277" s="71"/>
      <c r="B277" s="71"/>
      <c r="C277" s="71"/>
      <c r="D277" s="71"/>
      <c r="E277" s="71"/>
      <c r="F277" s="71"/>
      <c r="G277" s="71"/>
      <c r="H277" s="71"/>
      <c r="I277" s="71"/>
      <c r="J277" s="71"/>
      <c r="K277" s="71"/>
      <c r="L277" s="71"/>
      <c r="M277" s="71"/>
      <c r="N277" s="71"/>
      <c r="O277" s="71"/>
      <c r="P277" s="71"/>
      <c r="Q277" s="71"/>
      <c r="R277" s="71"/>
      <c r="S277" s="71"/>
      <c r="T277" s="71"/>
      <c r="U277" s="71"/>
      <c r="V277" s="71"/>
      <c r="W277" s="71"/>
      <c r="X277" s="71"/>
      <c r="Y277" s="71"/>
      <c r="Z277" s="71"/>
    </row>
    <row r="278" spans="1:26" ht="15.75" customHeight="1" x14ac:dyDescent="0.25">
      <c r="A278" s="71"/>
      <c r="B278" s="71"/>
      <c r="C278" s="71"/>
      <c r="D278" s="71"/>
      <c r="E278" s="71"/>
      <c r="F278" s="71"/>
      <c r="G278" s="71"/>
      <c r="H278" s="71"/>
      <c r="I278" s="71"/>
      <c r="J278" s="71"/>
      <c r="K278" s="71"/>
      <c r="L278" s="71"/>
      <c r="M278" s="71"/>
      <c r="N278" s="71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</row>
    <row r="279" spans="1:26" ht="15.75" customHeight="1" x14ac:dyDescent="0.25">
      <c r="A279" s="7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</row>
    <row r="280" spans="1:26" ht="15.75" customHeight="1" x14ac:dyDescent="0.25">
      <c r="A280" s="71"/>
      <c r="B280" s="71"/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</row>
    <row r="281" spans="1:26" ht="15.75" customHeight="1" x14ac:dyDescent="0.25">
      <c r="A281" s="7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</row>
    <row r="282" spans="1:26" ht="15.75" customHeight="1" x14ac:dyDescent="0.25">
      <c r="A282" s="71"/>
      <c r="B282" s="71"/>
      <c r="C282" s="71"/>
      <c r="D282" s="71"/>
      <c r="E282" s="71"/>
      <c r="F282" s="71"/>
      <c r="G282" s="71"/>
      <c r="H282" s="71"/>
      <c r="I282" s="71"/>
      <c r="J282" s="71"/>
      <c r="K282" s="71"/>
      <c r="L282" s="71"/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</row>
    <row r="283" spans="1:26" ht="15.75" customHeight="1" x14ac:dyDescent="0.25">
      <c r="A283" s="71"/>
      <c r="B283" s="71"/>
      <c r="C283" s="71"/>
      <c r="D283" s="71"/>
      <c r="E283" s="71"/>
      <c r="F283" s="71"/>
      <c r="G283" s="71"/>
      <c r="H283" s="71"/>
      <c r="I283" s="71"/>
      <c r="J283" s="71"/>
      <c r="K283" s="71"/>
      <c r="L283" s="71"/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</row>
    <row r="284" spans="1:26" ht="15.75" customHeight="1" x14ac:dyDescent="0.25">
      <c r="A284" s="71"/>
      <c r="B284" s="71"/>
      <c r="C284" s="71"/>
      <c r="D284" s="71"/>
      <c r="E284" s="71"/>
      <c r="F284" s="71"/>
      <c r="G284" s="71"/>
      <c r="H284" s="71"/>
      <c r="I284" s="71"/>
      <c r="J284" s="71"/>
      <c r="K284" s="71"/>
      <c r="L284" s="71"/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</row>
    <row r="285" spans="1:26" ht="15.75" customHeight="1" x14ac:dyDescent="0.25">
      <c r="A285" s="71"/>
      <c r="B285" s="71"/>
      <c r="C285" s="71"/>
      <c r="D285" s="71"/>
      <c r="E285" s="71"/>
      <c r="F285" s="71"/>
      <c r="G285" s="71"/>
      <c r="H285" s="71"/>
      <c r="I285" s="71"/>
      <c r="J285" s="71"/>
      <c r="K285" s="71"/>
      <c r="L285" s="71"/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</row>
    <row r="286" spans="1:26" ht="15.75" customHeight="1" x14ac:dyDescent="0.25">
      <c r="A286" s="7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</row>
    <row r="287" spans="1:26" ht="15.75" customHeight="1" x14ac:dyDescent="0.25">
      <c r="A287" s="7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</row>
    <row r="288" spans="1:26" ht="15.75" customHeight="1" x14ac:dyDescent="0.25">
      <c r="A288" s="71"/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</row>
    <row r="289" spans="1:26" ht="15.75" customHeight="1" x14ac:dyDescent="0.25">
      <c r="A289" s="71"/>
      <c r="B289" s="71"/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</row>
    <row r="290" spans="1:26" ht="15.75" customHeight="1" x14ac:dyDescent="0.25">
      <c r="A290" s="71"/>
      <c r="B290" s="71"/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</row>
    <row r="291" spans="1:26" ht="15.75" customHeight="1" x14ac:dyDescent="0.25">
      <c r="A291" s="71"/>
      <c r="B291" s="71"/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</row>
    <row r="292" spans="1:26" ht="15.75" customHeight="1" x14ac:dyDescent="0.25">
      <c r="A292" s="71"/>
      <c r="B292" s="71"/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</row>
    <row r="293" spans="1:26" ht="15.75" customHeight="1" x14ac:dyDescent="0.25">
      <c r="A293" s="71"/>
      <c r="B293" s="71"/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</row>
    <row r="294" spans="1:26" ht="15.75" customHeight="1" x14ac:dyDescent="0.25">
      <c r="A294" s="7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</row>
    <row r="295" spans="1:26" ht="15.75" customHeight="1" x14ac:dyDescent="0.25">
      <c r="A295" s="71"/>
      <c r="B295" s="71"/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</row>
    <row r="296" spans="1:26" ht="15.75" customHeight="1" x14ac:dyDescent="0.25">
      <c r="A296" s="71"/>
      <c r="B296" s="71"/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</row>
    <row r="297" spans="1:26" ht="15.75" customHeight="1" x14ac:dyDescent="0.25">
      <c r="A297" s="71"/>
      <c r="B297" s="71"/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</row>
    <row r="298" spans="1:26" ht="15.75" customHeight="1" x14ac:dyDescent="0.25">
      <c r="A298" s="71"/>
      <c r="B298" s="71"/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</row>
    <row r="299" spans="1:26" ht="15.75" customHeight="1" x14ac:dyDescent="0.25">
      <c r="A299" s="71"/>
      <c r="B299" s="71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</row>
    <row r="300" spans="1:26" ht="15.75" customHeight="1" x14ac:dyDescent="0.25">
      <c r="A300" s="71"/>
      <c r="B300" s="71"/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</row>
    <row r="301" spans="1:26" ht="15.75" customHeight="1" x14ac:dyDescent="0.25">
      <c r="A301" s="71"/>
      <c r="B301" s="71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</row>
    <row r="302" spans="1:26" ht="15.75" customHeight="1" x14ac:dyDescent="0.25">
      <c r="A302" s="71"/>
      <c r="B302" s="71"/>
      <c r="C302" s="71"/>
      <c r="D302" s="71"/>
      <c r="E302" s="71"/>
      <c r="F302" s="71"/>
      <c r="G302" s="71"/>
      <c r="H302" s="71"/>
      <c r="I302" s="71"/>
      <c r="J302" s="71"/>
      <c r="K302" s="71"/>
      <c r="L302" s="71"/>
      <c r="M302" s="71"/>
      <c r="N302" s="71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</row>
    <row r="303" spans="1:26" ht="15.75" customHeight="1" x14ac:dyDescent="0.25">
      <c r="A303" s="71"/>
      <c r="B303" s="71"/>
      <c r="C303" s="71"/>
      <c r="D303" s="71"/>
      <c r="E303" s="71"/>
      <c r="F303" s="71"/>
      <c r="G303" s="71"/>
      <c r="H303" s="71"/>
      <c r="I303" s="71"/>
      <c r="J303" s="71"/>
      <c r="K303" s="71"/>
      <c r="L303" s="71"/>
      <c r="M303" s="71"/>
      <c r="N303" s="71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</row>
    <row r="304" spans="1:26" ht="15.75" customHeight="1" x14ac:dyDescent="0.25">
      <c r="A304" s="71"/>
      <c r="B304" s="71"/>
      <c r="C304" s="71"/>
      <c r="D304" s="71"/>
      <c r="E304" s="71"/>
      <c r="F304" s="71"/>
      <c r="G304" s="71"/>
      <c r="H304" s="71"/>
      <c r="I304" s="71"/>
      <c r="J304" s="71"/>
      <c r="K304" s="71"/>
      <c r="L304" s="71"/>
      <c r="M304" s="71"/>
      <c r="N304" s="71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</row>
    <row r="305" spans="1:26" ht="15.75" customHeight="1" x14ac:dyDescent="0.25">
      <c r="A305" s="71"/>
      <c r="B305" s="71"/>
      <c r="C305" s="71"/>
      <c r="D305" s="71"/>
      <c r="E305" s="71"/>
      <c r="F305" s="71"/>
      <c r="G305" s="71"/>
      <c r="H305" s="71"/>
      <c r="I305" s="71"/>
      <c r="J305" s="71"/>
      <c r="K305" s="71"/>
      <c r="L305" s="71"/>
      <c r="M305" s="71"/>
      <c r="N305" s="71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</row>
    <row r="306" spans="1:26" ht="15.75" customHeight="1" x14ac:dyDescent="0.25">
      <c r="A306" s="7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</row>
    <row r="307" spans="1:26" ht="15.75" customHeight="1" x14ac:dyDescent="0.25">
      <c r="A307" s="71"/>
      <c r="B307" s="71"/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</row>
    <row r="308" spans="1:26" ht="15.75" customHeight="1" x14ac:dyDescent="0.25">
      <c r="A308" s="71"/>
      <c r="B308" s="7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</row>
    <row r="309" spans="1:26" ht="15.75" customHeight="1" x14ac:dyDescent="0.25">
      <c r="A309" s="71"/>
      <c r="B309" s="71"/>
      <c r="C309" s="71"/>
      <c r="D309" s="71"/>
      <c r="E309" s="71"/>
      <c r="F309" s="71"/>
      <c r="G309" s="71"/>
      <c r="H309" s="71"/>
      <c r="I309" s="71"/>
      <c r="J309" s="71"/>
      <c r="K309" s="71"/>
      <c r="L309" s="71"/>
      <c r="M309" s="71"/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</row>
    <row r="310" spans="1:26" ht="15.75" customHeight="1" x14ac:dyDescent="0.25">
      <c r="A310" s="71"/>
      <c r="B310" s="71"/>
      <c r="C310" s="71"/>
      <c r="D310" s="71"/>
      <c r="E310" s="71"/>
      <c r="F310" s="71"/>
      <c r="G310" s="71"/>
      <c r="H310" s="71"/>
      <c r="I310" s="71"/>
      <c r="J310" s="71"/>
      <c r="K310" s="71"/>
      <c r="L310" s="71"/>
      <c r="M310" s="71"/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</row>
    <row r="311" spans="1:26" ht="15.75" customHeight="1" x14ac:dyDescent="0.25">
      <c r="A311" s="71"/>
      <c r="B311" s="71"/>
      <c r="C311" s="71"/>
      <c r="D311" s="71"/>
      <c r="E311" s="71"/>
      <c r="F311" s="71"/>
      <c r="G311" s="71"/>
      <c r="H311" s="71"/>
      <c r="I311" s="71"/>
      <c r="J311" s="71"/>
      <c r="K311" s="71"/>
      <c r="L311" s="71"/>
      <c r="M311" s="71"/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</row>
    <row r="312" spans="1:26" ht="15.75" customHeight="1" x14ac:dyDescent="0.25">
      <c r="A312" s="71"/>
      <c r="B312" s="71"/>
      <c r="C312" s="71"/>
      <c r="D312" s="71"/>
      <c r="E312" s="71"/>
      <c r="F312" s="71"/>
      <c r="G312" s="71"/>
      <c r="H312" s="71"/>
      <c r="I312" s="71"/>
      <c r="J312" s="71"/>
      <c r="K312" s="71"/>
      <c r="L312" s="71"/>
      <c r="M312" s="71"/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</row>
    <row r="313" spans="1:26" ht="15.75" customHeight="1" x14ac:dyDescent="0.25">
      <c r="A313" s="7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</row>
    <row r="314" spans="1:26" ht="15.75" customHeight="1" x14ac:dyDescent="0.25">
      <c r="A314" s="7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</row>
    <row r="315" spans="1:26" ht="15.75" customHeight="1" x14ac:dyDescent="0.25">
      <c r="A315" s="71"/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</row>
    <row r="316" spans="1:26" ht="15.75" customHeight="1" x14ac:dyDescent="0.25">
      <c r="A316" s="71"/>
      <c r="B316" s="71"/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</row>
    <row r="317" spans="1:26" ht="15.75" customHeight="1" x14ac:dyDescent="0.25">
      <c r="A317" s="71"/>
      <c r="B317" s="7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</row>
    <row r="318" spans="1:26" ht="15.75" customHeight="1" x14ac:dyDescent="0.25">
      <c r="A318" s="71"/>
      <c r="B318" s="7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</row>
    <row r="319" spans="1:26" ht="15.75" customHeight="1" x14ac:dyDescent="0.25">
      <c r="A319" s="71"/>
      <c r="B319" s="7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</row>
    <row r="320" spans="1:26" ht="15.75" customHeight="1" x14ac:dyDescent="0.25">
      <c r="A320" s="71"/>
      <c r="B320" s="7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</row>
    <row r="321" spans="1:26" ht="15.75" customHeight="1" x14ac:dyDescent="0.25">
      <c r="A321" s="7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</row>
    <row r="322" spans="1:26" ht="15.75" customHeight="1" x14ac:dyDescent="0.25">
      <c r="A322" s="71"/>
      <c r="B322" s="7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</row>
    <row r="323" spans="1:26" ht="15.75" customHeight="1" x14ac:dyDescent="0.25">
      <c r="A323" s="71"/>
      <c r="B323" s="7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</row>
    <row r="324" spans="1:26" ht="15.75" customHeight="1" x14ac:dyDescent="0.25">
      <c r="A324" s="71"/>
      <c r="B324" s="7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</row>
    <row r="325" spans="1:26" ht="15.75" customHeight="1" x14ac:dyDescent="0.25">
      <c r="A325" s="71"/>
      <c r="B325" s="7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</row>
    <row r="326" spans="1:26" ht="15.75" customHeight="1" x14ac:dyDescent="0.25">
      <c r="A326" s="71"/>
      <c r="B326" s="7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</row>
    <row r="327" spans="1:26" ht="15.75" customHeight="1" x14ac:dyDescent="0.25">
      <c r="A327" s="71"/>
      <c r="B327" s="7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</row>
    <row r="328" spans="1:26" ht="15.75" customHeight="1" x14ac:dyDescent="0.25">
      <c r="A328" s="7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</row>
    <row r="329" spans="1:26" ht="15.75" customHeight="1" x14ac:dyDescent="0.25">
      <c r="A329" s="7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</row>
    <row r="330" spans="1:26" ht="15.75" customHeight="1" x14ac:dyDescent="0.25">
      <c r="A330" s="7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</row>
    <row r="331" spans="1:26" ht="15.75" customHeight="1" x14ac:dyDescent="0.25">
      <c r="A331" s="7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</row>
    <row r="332" spans="1:26" ht="15.75" customHeight="1" x14ac:dyDescent="0.25">
      <c r="A332" s="7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</row>
    <row r="333" spans="1:26" ht="15.75" customHeight="1" x14ac:dyDescent="0.25">
      <c r="A333" s="7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</row>
    <row r="334" spans="1:26" ht="15.75" customHeight="1" x14ac:dyDescent="0.25">
      <c r="A334" s="7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</row>
    <row r="335" spans="1:26" ht="15.75" customHeight="1" x14ac:dyDescent="0.25">
      <c r="A335" s="7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</row>
    <row r="336" spans="1:26" ht="15.75" customHeight="1" x14ac:dyDescent="0.25">
      <c r="A336" s="71"/>
      <c r="B336" s="71"/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</row>
    <row r="337" spans="1:26" ht="15.75" customHeight="1" x14ac:dyDescent="0.25">
      <c r="A337" s="71"/>
      <c r="B337" s="71"/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</row>
    <row r="338" spans="1:26" ht="15.75" customHeight="1" x14ac:dyDescent="0.25">
      <c r="A338" s="71"/>
      <c r="B338" s="7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</row>
    <row r="339" spans="1:26" ht="15.75" customHeight="1" x14ac:dyDescent="0.25">
      <c r="A339" s="71"/>
      <c r="B339" s="71"/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</row>
    <row r="340" spans="1:26" ht="15.75" customHeight="1" x14ac:dyDescent="0.25">
      <c r="A340" s="71"/>
      <c r="B340" s="7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</row>
    <row r="341" spans="1:26" ht="15.75" customHeight="1" x14ac:dyDescent="0.25">
      <c r="A341" s="71"/>
      <c r="B341" s="71"/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</row>
    <row r="342" spans="1:26" ht="15.75" customHeight="1" x14ac:dyDescent="0.25">
      <c r="A342" s="7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</row>
    <row r="343" spans="1:26" ht="15.75" customHeight="1" x14ac:dyDescent="0.25">
      <c r="A343" s="71"/>
      <c r="B343" s="71"/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</row>
    <row r="344" spans="1:26" ht="15.75" customHeight="1" x14ac:dyDescent="0.25">
      <c r="A344" s="7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</row>
    <row r="345" spans="1:26" ht="15.75" customHeight="1" x14ac:dyDescent="0.25">
      <c r="A345" s="71"/>
      <c r="B345" s="71"/>
      <c r="C345" s="71"/>
      <c r="D345" s="71"/>
      <c r="E345" s="71"/>
      <c r="F345" s="71"/>
      <c r="G345" s="71"/>
      <c r="H345" s="71"/>
      <c r="I345" s="71"/>
      <c r="J345" s="71"/>
      <c r="K345" s="71"/>
      <c r="L345" s="71"/>
      <c r="M345" s="71"/>
      <c r="N345" s="71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</row>
    <row r="346" spans="1:26" ht="15.75" customHeight="1" x14ac:dyDescent="0.25">
      <c r="A346" s="71"/>
      <c r="B346" s="71"/>
      <c r="C346" s="71"/>
      <c r="D346" s="71"/>
      <c r="E346" s="71"/>
      <c r="F346" s="71"/>
      <c r="G346" s="71"/>
      <c r="H346" s="71"/>
      <c r="I346" s="71"/>
      <c r="J346" s="71"/>
      <c r="K346" s="71"/>
      <c r="L346" s="71"/>
      <c r="M346" s="71"/>
      <c r="N346" s="71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</row>
    <row r="347" spans="1:26" ht="15.75" customHeight="1" x14ac:dyDescent="0.25">
      <c r="A347" s="71"/>
      <c r="B347" s="71"/>
      <c r="C347" s="71"/>
      <c r="D347" s="71"/>
      <c r="E347" s="71"/>
      <c r="F347" s="71"/>
      <c r="G347" s="71"/>
      <c r="H347" s="71"/>
      <c r="I347" s="71"/>
      <c r="J347" s="71"/>
      <c r="K347" s="71"/>
      <c r="L347" s="71"/>
      <c r="M347" s="71"/>
      <c r="N347" s="71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</row>
    <row r="348" spans="1:26" ht="15.75" customHeight="1" x14ac:dyDescent="0.25">
      <c r="A348" s="71"/>
      <c r="B348" s="71"/>
      <c r="C348" s="71"/>
      <c r="D348" s="71"/>
      <c r="E348" s="71"/>
      <c r="F348" s="71"/>
      <c r="G348" s="71"/>
      <c r="H348" s="71"/>
      <c r="I348" s="71"/>
      <c r="J348" s="71"/>
      <c r="K348" s="71"/>
      <c r="L348" s="71"/>
      <c r="M348" s="71"/>
      <c r="N348" s="71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</row>
    <row r="349" spans="1:26" ht="15.75" customHeight="1" x14ac:dyDescent="0.25">
      <c r="A349" s="71"/>
      <c r="B349" s="71"/>
      <c r="C349" s="71"/>
      <c r="D349" s="71"/>
      <c r="E349" s="71"/>
      <c r="F349" s="71"/>
      <c r="G349" s="71"/>
      <c r="H349" s="71"/>
      <c r="I349" s="71"/>
      <c r="J349" s="71"/>
      <c r="K349" s="71"/>
      <c r="L349" s="71"/>
      <c r="M349" s="71"/>
      <c r="N349" s="71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</row>
    <row r="350" spans="1:26" ht="15.75" customHeight="1" x14ac:dyDescent="0.25">
      <c r="A350" s="71"/>
      <c r="B350" s="71"/>
      <c r="C350" s="71"/>
      <c r="D350" s="71"/>
      <c r="E350" s="71"/>
      <c r="F350" s="71"/>
      <c r="G350" s="71"/>
      <c r="H350" s="71"/>
      <c r="I350" s="71"/>
      <c r="J350" s="71"/>
      <c r="K350" s="71"/>
      <c r="L350" s="71"/>
      <c r="M350" s="71"/>
      <c r="N350" s="71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</row>
    <row r="351" spans="1:26" ht="15.75" customHeight="1" x14ac:dyDescent="0.25">
      <c r="A351" s="71"/>
      <c r="B351" s="71"/>
      <c r="C351" s="71"/>
      <c r="D351" s="71"/>
      <c r="E351" s="71"/>
      <c r="F351" s="71"/>
      <c r="G351" s="71"/>
      <c r="H351" s="71"/>
      <c r="I351" s="71"/>
      <c r="J351" s="71"/>
      <c r="K351" s="71"/>
      <c r="L351" s="71"/>
      <c r="M351" s="71"/>
      <c r="N351" s="71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</row>
    <row r="352" spans="1:26" ht="15.75" customHeight="1" x14ac:dyDescent="0.25">
      <c r="A352" s="71"/>
      <c r="B352" s="71"/>
      <c r="C352" s="71"/>
      <c r="D352" s="71"/>
      <c r="E352" s="71"/>
      <c r="F352" s="71"/>
      <c r="G352" s="71"/>
      <c r="H352" s="71"/>
      <c r="I352" s="71"/>
      <c r="J352" s="71"/>
      <c r="K352" s="71"/>
      <c r="L352" s="71"/>
      <c r="M352" s="71"/>
      <c r="N352" s="71"/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</row>
    <row r="353" spans="1:26" ht="15.75" customHeight="1" x14ac:dyDescent="0.25">
      <c r="A353" s="71"/>
      <c r="B353" s="71"/>
      <c r="C353" s="71"/>
      <c r="D353" s="71"/>
      <c r="E353" s="71"/>
      <c r="F353" s="71"/>
      <c r="G353" s="71"/>
      <c r="H353" s="71"/>
      <c r="I353" s="71"/>
      <c r="J353" s="71"/>
      <c r="K353" s="71"/>
      <c r="L353" s="71"/>
      <c r="M353" s="71"/>
      <c r="N353" s="71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</row>
    <row r="354" spans="1:26" ht="15.75" customHeight="1" x14ac:dyDescent="0.25">
      <c r="A354" s="71"/>
      <c r="B354" s="71"/>
      <c r="C354" s="71"/>
      <c r="D354" s="71"/>
      <c r="E354" s="71"/>
      <c r="F354" s="71"/>
      <c r="G354" s="71"/>
      <c r="H354" s="71"/>
      <c r="I354" s="71"/>
      <c r="J354" s="71"/>
      <c r="K354" s="71"/>
      <c r="L354" s="71"/>
      <c r="M354" s="71"/>
      <c r="N354" s="71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</row>
    <row r="355" spans="1:26" ht="15.75" customHeight="1" x14ac:dyDescent="0.25">
      <c r="A355" s="71"/>
      <c r="B355" s="71"/>
      <c r="C355" s="71"/>
      <c r="D355" s="71"/>
      <c r="E355" s="71"/>
      <c r="F355" s="71"/>
      <c r="G355" s="71"/>
      <c r="H355" s="71"/>
      <c r="I355" s="71"/>
      <c r="J355" s="71"/>
      <c r="K355" s="71"/>
      <c r="L355" s="71"/>
      <c r="M355" s="71"/>
      <c r="N355" s="71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</row>
    <row r="356" spans="1:26" ht="15.75" customHeight="1" x14ac:dyDescent="0.25">
      <c r="A356" s="71"/>
      <c r="B356" s="71"/>
      <c r="C356" s="71"/>
      <c r="D356" s="71"/>
      <c r="E356" s="71"/>
      <c r="F356" s="71"/>
      <c r="G356" s="71"/>
      <c r="H356" s="71"/>
      <c r="I356" s="71"/>
      <c r="J356" s="71"/>
      <c r="K356" s="71"/>
      <c r="L356" s="71"/>
      <c r="M356" s="71"/>
      <c r="N356" s="71"/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</row>
    <row r="357" spans="1:26" ht="15.75" customHeight="1" x14ac:dyDescent="0.25">
      <c r="A357" s="71"/>
      <c r="B357" s="7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</row>
    <row r="358" spans="1:26" ht="15.75" customHeight="1" x14ac:dyDescent="0.25">
      <c r="A358" s="71"/>
      <c r="B358" s="71"/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</row>
    <row r="359" spans="1:26" ht="15.75" customHeight="1" x14ac:dyDescent="0.25">
      <c r="A359" s="71"/>
      <c r="B359" s="71"/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</row>
    <row r="360" spans="1:26" ht="15.75" customHeight="1" x14ac:dyDescent="0.25">
      <c r="A360" s="71"/>
      <c r="B360" s="7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</row>
    <row r="361" spans="1:26" ht="15.75" customHeight="1" x14ac:dyDescent="0.25">
      <c r="A361" s="7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</row>
    <row r="362" spans="1:26" ht="15.75" customHeight="1" x14ac:dyDescent="0.25">
      <c r="A362" s="7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</row>
    <row r="363" spans="1:26" ht="15.75" customHeight="1" x14ac:dyDescent="0.25">
      <c r="A363" s="71"/>
      <c r="B363" s="7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</row>
    <row r="364" spans="1:26" ht="15.75" customHeight="1" x14ac:dyDescent="0.25">
      <c r="A364" s="71"/>
      <c r="B364" s="7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</row>
    <row r="365" spans="1:26" ht="15.75" customHeight="1" x14ac:dyDescent="0.25">
      <c r="A365" s="71"/>
      <c r="B365" s="7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</row>
    <row r="366" spans="1:26" ht="15.75" customHeight="1" x14ac:dyDescent="0.25">
      <c r="A366" s="71"/>
      <c r="B366" s="7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</row>
    <row r="367" spans="1:26" ht="15.75" customHeight="1" x14ac:dyDescent="0.25">
      <c r="A367" s="7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</row>
    <row r="368" spans="1:26" ht="15.75" customHeight="1" x14ac:dyDescent="0.25">
      <c r="A368" s="7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</row>
    <row r="369" spans="1:26" ht="15.75" customHeight="1" x14ac:dyDescent="0.25">
      <c r="A369" s="7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</row>
    <row r="370" spans="1:26" ht="15.75" customHeight="1" x14ac:dyDescent="0.25">
      <c r="A370" s="7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</row>
    <row r="371" spans="1:26" ht="15.75" customHeight="1" x14ac:dyDescent="0.25">
      <c r="A371" s="7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</row>
    <row r="372" spans="1:26" ht="15.75" customHeight="1" x14ac:dyDescent="0.25">
      <c r="A372" s="71"/>
      <c r="B372" s="7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</row>
    <row r="373" spans="1:26" ht="15.75" customHeight="1" x14ac:dyDescent="0.25">
      <c r="A373" s="71"/>
      <c r="B373" s="7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</row>
    <row r="374" spans="1:26" ht="15.75" customHeight="1" x14ac:dyDescent="0.25">
      <c r="A374" s="7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</row>
    <row r="375" spans="1:26" ht="15.75" customHeight="1" x14ac:dyDescent="0.25">
      <c r="A375" s="71"/>
      <c r="B375" s="71"/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</row>
    <row r="376" spans="1:26" ht="15.75" customHeight="1" x14ac:dyDescent="0.25">
      <c r="A376" s="7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</row>
    <row r="377" spans="1:26" ht="15.75" customHeight="1" x14ac:dyDescent="0.25">
      <c r="A377" s="71"/>
      <c r="B377" s="7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</row>
    <row r="378" spans="1:26" ht="15.75" customHeight="1" x14ac:dyDescent="0.25">
      <c r="A378" s="71"/>
      <c r="B378" s="7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</row>
    <row r="379" spans="1:26" ht="15.75" customHeight="1" x14ac:dyDescent="0.25">
      <c r="A379" s="7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</row>
    <row r="380" spans="1:26" ht="15.75" customHeight="1" x14ac:dyDescent="0.25">
      <c r="A380" s="7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</row>
    <row r="381" spans="1:26" ht="15.75" customHeight="1" x14ac:dyDescent="0.25">
      <c r="A381" s="7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</row>
    <row r="382" spans="1:26" ht="15.75" customHeight="1" x14ac:dyDescent="0.25">
      <c r="A382" s="7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</row>
    <row r="383" spans="1:26" ht="15.75" customHeight="1" x14ac:dyDescent="0.25">
      <c r="A383" s="7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</row>
    <row r="384" spans="1:26" ht="15.75" customHeight="1" x14ac:dyDescent="0.25">
      <c r="A384" s="7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</row>
    <row r="385" spans="1:26" ht="15.75" customHeight="1" x14ac:dyDescent="0.25">
      <c r="A385" s="7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</row>
    <row r="386" spans="1:26" ht="15.75" customHeight="1" x14ac:dyDescent="0.25">
      <c r="A386" s="7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</row>
    <row r="387" spans="1:26" ht="15.75" customHeight="1" x14ac:dyDescent="0.25">
      <c r="A387" s="7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</row>
    <row r="388" spans="1:26" ht="15.75" customHeight="1" x14ac:dyDescent="0.25">
      <c r="A388" s="7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</row>
    <row r="389" spans="1:26" ht="15.75" customHeight="1" x14ac:dyDescent="0.25">
      <c r="A389" s="7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</row>
    <row r="390" spans="1:26" ht="15.75" customHeight="1" x14ac:dyDescent="0.25">
      <c r="A390" s="7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</row>
    <row r="391" spans="1:26" ht="15.75" customHeight="1" x14ac:dyDescent="0.25">
      <c r="A391" s="7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</row>
    <row r="392" spans="1:26" ht="15.75" customHeight="1" x14ac:dyDescent="0.25">
      <c r="A392" s="71"/>
      <c r="B392" s="7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</row>
    <row r="393" spans="1:26" ht="15.75" customHeight="1" x14ac:dyDescent="0.25">
      <c r="A393" s="7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</row>
    <row r="394" spans="1:26" ht="15.75" customHeight="1" x14ac:dyDescent="0.25">
      <c r="A394" s="7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</row>
    <row r="395" spans="1:26" ht="15.75" customHeight="1" x14ac:dyDescent="0.25">
      <c r="A395" s="7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</row>
    <row r="396" spans="1:26" ht="15.75" customHeight="1" x14ac:dyDescent="0.25">
      <c r="A396" s="7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</row>
    <row r="397" spans="1:26" ht="15.75" customHeight="1" x14ac:dyDescent="0.25">
      <c r="A397" s="71"/>
      <c r="B397" s="71"/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</row>
    <row r="398" spans="1:26" ht="15.75" customHeight="1" x14ac:dyDescent="0.25">
      <c r="A398" s="7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</row>
    <row r="399" spans="1:26" ht="15.75" customHeight="1" x14ac:dyDescent="0.25">
      <c r="A399" s="71"/>
      <c r="B399" s="71"/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</row>
    <row r="400" spans="1:26" ht="15.75" customHeight="1" x14ac:dyDescent="0.25">
      <c r="A400" s="71"/>
      <c r="B400" s="71"/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</row>
    <row r="401" spans="1:26" ht="15.75" customHeight="1" x14ac:dyDescent="0.25">
      <c r="A401" s="7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</row>
    <row r="402" spans="1:26" ht="15.75" customHeight="1" x14ac:dyDescent="0.25">
      <c r="A402" s="71"/>
      <c r="B402" s="71"/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</row>
    <row r="403" spans="1:26" ht="15.75" customHeight="1" x14ac:dyDescent="0.25">
      <c r="A403" s="71"/>
      <c r="B403" s="71"/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</row>
    <row r="404" spans="1:26" ht="15.75" customHeight="1" x14ac:dyDescent="0.25">
      <c r="A404" s="71"/>
      <c r="B404" s="71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</row>
    <row r="405" spans="1:26" ht="15.75" customHeight="1" x14ac:dyDescent="0.25">
      <c r="A405" s="71"/>
      <c r="B405" s="71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</row>
    <row r="406" spans="1:26" ht="15.75" customHeight="1" x14ac:dyDescent="0.25">
      <c r="A406" s="71"/>
      <c r="B406" s="71"/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</row>
    <row r="407" spans="1:26" ht="15.75" customHeight="1" x14ac:dyDescent="0.25">
      <c r="A407" s="71"/>
      <c r="B407" s="71"/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</row>
    <row r="408" spans="1:26" ht="15.75" customHeight="1" x14ac:dyDescent="0.25">
      <c r="A408" s="71"/>
      <c r="B408" s="71"/>
      <c r="C408" s="71"/>
      <c r="D408" s="71"/>
      <c r="E408" s="71"/>
      <c r="F408" s="71"/>
      <c r="G408" s="71"/>
      <c r="H408" s="71"/>
      <c r="I408" s="71"/>
      <c r="J408" s="71"/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</row>
    <row r="409" spans="1:26" ht="15.75" customHeight="1" x14ac:dyDescent="0.25">
      <c r="A409" s="71"/>
      <c r="B409" s="71"/>
      <c r="C409" s="71"/>
      <c r="D409" s="71"/>
      <c r="E409" s="71"/>
      <c r="F409" s="71"/>
      <c r="G409" s="71"/>
      <c r="H409" s="71"/>
      <c r="I409" s="71"/>
      <c r="J409" s="71"/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</row>
    <row r="410" spans="1:26" ht="15.75" customHeight="1" x14ac:dyDescent="0.25">
      <c r="A410" s="71"/>
      <c r="B410" s="71"/>
      <c r="C410" s="71"/>
      <c r="D410" s="71"/>
      <c r="E410" s="71"/>
      <c r="F410" s="71"/>
      <c r="G410" s="71"/>
      <c r="H410" s="71"/>
      <c r="I410" s="71"/>
      <c r="J410" s="71"/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</row>
    <row r="411" spans="1:26" ht="15.75" customHeight="1" x14ac:dyDescent="0.25">
      <c r="A411" s="71"/>
      <c r="B411" s="71"/>
      <c r="C411" s="71"/>
      <c r="D411" s="71"/>
      <c r="E411" s="71"/>
      <c r="F411" s="71"/>
      <c r="G411" s="71"/>
      <c r="H411" s="71"/>
      <c r="I411" s="71"/>
      <c r="J411" s="71"/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</row>
    <row r="412" spans="1:26" ht="15.75" customHeight="1" x14ac:dyDescent="0.25">
      <c r="A412" s="71"/>
      <c r="B412" s="71"/>
      <c r="C412" s="71"/>
      <c r="D412" s="71"/>
      <c r="E412" s="71"/>
      <c r="F412" s="71"/>
      <c r="G412" s="71"/>
      <c r="H412" s="71"/>
      <c r="I412" s="71"/>
      <c r="J412" s="7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</row>
    <row r="413" spans="1:26" ht="15.75" customHeight="1" x14ac:dyDescent="0.25">
      <c r="A413" s="71"/>
      <c r="B413" s="71"/>
      <c r="C413" s="71"/>
      <c r="D413" s="71"/>
      <c r="E413" s="71"/>
      <c r="F413" s="71"/>
      <c r="G413" s="71"/>
      <c r="H413" s="71"/>
      <c r="I413" s="71"/>
      <c r="J413" s="7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</row>
    <row r="414" spans="1:26" ht="15.75" customHeight="1" x14ac:dyDescent="0.25">
      <c r="A414" s="71"/>
      <c r="B414" s="71"/>
      <c r="C414" s="71"/>
      <c r="D414" s="71"/>
      <c r="E414" s="71"/>
      <c r="F414" s="71"/>
      <c r="G414" s="71"/>
      <c r="H414" s="71"/>
      <c r="I414" s="71"/>
      <c r="J414" s="7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</row>
    <row r="415" spans="1:26" ht="15.75" customHeight="1" x14ac:dyDescent="0.25">
      <c r="A415" s="71"/>
      <c r="B415" s="71"/>
      <c r="C415" s="71"/>
      <c r="D415" s="71"/>
      <c r="E415" s="71"/>
      <c r="F415" s="71"/>
      <c r="G415" s="71"/>
      <c r="H415" s="71"/>
      <c r="I415" s="71"/>
      <c r="J415" s="7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</row>
    <row r="416" spans="1:26" ht="15.75" customHeight="1" x14ac:dyDescent="0.25">
      <c r="A416" s="71"/>
      <c r="B416" s="71"/>
      <c r="C416" s="71"/>
      <c r="D416" s="71"/>
      <c r="E416" s="71"/>
      <c r="F416" s="71"/>
      <c r="G416" s="71"/>
      <c r="H416" s="71"/>
      <c r="I416" s="71"/>
      <c r="J416" s="7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</row>
    <row r="417" spans="1:26" ht="15.75" customHeight="1" x14ac:dyDescent="0.25">
      <c r="A417" s="71"/>
      <c r="B417" s="71"/>
      <c r="C417" s="71"/>
      <c r="D417" s="71"/>
      <c r="E417" s="71"/>
      <c r="F417" s="71"/>
      <c r="G417" s="71"/>
      <c r="H417" s="71"/>
      <c r="I417" s="71"/>
      <c r="J417" s="7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</row>
    <row r="418" spans="1:26" ht="15.75" customHeight="1" x14ac:dyDescent="0.25">
      <c r="A418" s="71"/>
      <c r="B418" s="71"/>
      <c r="C418" s="71"/>
      <c r="D418" s="71"/>
      <c r="E418" s="71"/>
      <c r="F418" s="71"/>
      <c r="G418" s="71"/>
      <c r="H418" s="71"/>
      <c r="I418" s="71"/>
      <c r="J418" s="7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</row>
    <row r="419" spans="1:26" ht="15.75" customHeight="1" x14ac:dyDescent="0.25">
      <c r="A419" s="71"/>
      <c r="B419" s="71"/>
      <c r="C419" s="71"/>
      <c r="D419" s="71"/>
      <c r="E419" s="71"/>
      <c r="F419" s="71"/>
      <c r="G419" s="71"/>
      <c r="H419" s="71"/>
      <c r="I419" s="71"/>
      <c r="J419" s="7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</row>
    <row r="420" spans="1:26" ht="15.75" customHeight="1" x14ac:dyDescent="0.25">
      <c r="A420" s="71"/>
      <c r="B420" s="71"/>
      <c r="C420" s="71"/>
      <c r="D420" s="71"/>
      <c r="E420" s="71"/>
      <c r="F420" s="71"/>
      <c r="G420" s="71"/>
      <c r="H420" s="71"/>
      <c r="I420" s="71"/>
      <c r="J420" s="7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</row>
    <row r="421" spans="1:26" ht="15.75" customHeight="1" x14ac:dyDescent="0.25">
      <c r="A421" s="71"/>
      <c r="B421" s="71"/>
      <c r="C421" s="71"/>
      <c r="D421" s="71"/>
      <c r="E421" s="71"/>
      <c r="F421" s="71"/>
      <c r="G421" s="71"/>
      <c r="H421" s="71"/>
      <c r="I421" s="71"/>
      <c r="J421" s="7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</row>
    <row r="422" spans="1:26" ht="15.75" customHeight="1" x14ac:dyDescent="0.25">
      <c r="A422" s="71"/>
      <c r="B422" s="71"/>
      <c r="C422" s="71"/>
      <c r="D422" s="71"/>
      <c r="E422" s="71"/>
      <c r="F422" s="71"/>
      <c r="G422" s="71"/>
      <c r="H422" s="71"/>
      <c r="I422" s="71"/>
      <c r="J422" s="7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</row>
    <row r="423" spans="1:26" ht="15.75" customHeight="1" x14ac:dyDescent="0.25">
      <c r="A423" s="71"/>
      <c r="B423" s="71"/>
      <c r="C423" s="71"/>
      <c r="D423" s="71"/>
      <c r="E423" s="71"/>
      <c r="F423" s="71"/>
      <c r="G423" s="71"/>
      <c r="H423" s="71"/>
      <c r="I423" s="71"/>
      <c r="J423" s="7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</row>
    <row r="424" spans="1:26" ht="15.75" customHeight="1" x14ac:dyDescent="0.25">
      <c r="A424" s="71"/>
      <c r="B424" s="71"/>
      <c r="C424" s="71"/>
      <c r="D424" s="71"/>
      <c r="E424" s="71"/>
      <c r="F424" s="71"/>
      <c r="G424" s="71"/>
      <c r="H424" s="71"/>
      <c r="I424" s="71"/>
      <c r="J424" s="7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</row>
    <row r="425" spans="1:26" ht="15.75" customHeight="1" x14ac:dyDescent="0.25">
      <c r="A425" s="71"/>
      <c r="B425" s="71"/>
      <c r="C425" s="71"/>
      <c r="D425" s="71"/>
      <c r="E425" s="71"/>
      <c r="F425" s="71"/>
      <c r="G425" s="71"/>
      <c r="H425" s="71"/>
      <c r="I425" s="71"/>
      <c r="J425" s="7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</row>
    <row r="426" spans="1:26" ht="15.75" customHeight="1" x14ac:dyDescent="0.25">
      <c r="A426" s="71"/>
      <c r="B426" s="71"/>
      <c r="C426" s="71"/>
      <c r="D426" s="71"/>
      <c r="E426" s="71"/>
      <c r="F426" s="71"/>
      <c r="G426" s="71"/>
      <c r="H426" s="71"/>
      <c r="I426" s="71"/>
      <c r="J426" s="7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</row>
    <row r="427" spans="1:26" ht="15.75" customHeight="1" x14ac:dyDescent="0.25">
      <c r="A427" s="71"/>
      <c r="B427" s="71"/>
      <c r="C427" s="71"/>
      <c r="D427" s="71"/>
      <c r="E427" s="71"/>
      <c r="F427" s="71"/>
      <c r="G427" s="71"/>
      <c r="H427" s="71"/>
      <c r="I427" s="71"/>
      <c r="J427" s="7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</row>
    <row r="428" spans="1:26" ht="15.75" customHeight="1" x14ac:dyDescent="0.25">
      <c r="A428" s="71"/>
      <c r="B428" s="71"/>
      <c r="C428" s="71"/>
      <c r="D428" s="71"/>
      <c r="E428" s="71"/>
      <c r="F428" s="71"/>
      <c r="G428" s="71"/>
      <c r="H428" s="71"/>
      <c r="I428" s="71"/>
      <c r="J428" s="7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</row>
    <row r="429" spans="1:26" ht="15.75" customHeight="1" x14ac:dyDescent="0.25">
      <c r="A429" s="71"/>
      <c r="B429" s="71"/>
      <c r="C429" s="71"/>
      <c r="D429" s="71"/>
      <c r="E429" s="71"/>
      <c r="F429" s="71"/>
      <c r="G429" s="71"/>
      <c r="H429" s="71"/>
      <c r="I429" s="71"/>
      <c r="J429" s="7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</row>
    <row r="430" spans="1:26" ht="15.75" customHeight="1" x14ac:dyDescent="0.25">
      <c r="A430" s="71"/>
      <c r="B430" s="71"/>
      <c r="C430" s="71"/>
      <c r="D430" s="71"/>
      <c r="E430" s="71"/>
      <c r="F430" s="71"/>
      <c r="G430" s="71"/>
      <c r="H430" s="71"/>
      <c r="I430" s="71"/>
      <c r="J430" s="7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</row>
    <row r="431" spans="1:26" ht="15.75" customHeight="1" x14ac:dyDescent="0.25">
      <c r="A431" s="71"/>
      <c r="B431" s="71"/>
      <c r="C431" s="71"/>
      <c r="D431" s="71"/>
      <c r="E431" s="71"/>
      <c r="F431" s="71"/>
      <c r="G431" s="71"/>
      <c r="H431" s="71"/>
      <c r="I431" s="71"/>
      <c r="J431" s="7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</row>
    <row r="432" spans="1:26" ht="15.75" customHeight="1" x14ac:dyDescent="0.25">
      <c r="A432" s="71"/>
      <c r="B432" s="71"/>
      <c r="C432" s="71"/>
      <c r="D432" s="71"/>
      <c r="E432" s="71"/>
      <c r="F432" s="71"/>
      <c r="G432" s="71"/>
      <c r="H432" s="71"/>
      <c r="I432" s="71"/>
      <c r="J432" s="7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</row>
    <row r="433" spans="1:26" ht="15.75" customHeight="1" x14ac:dyDescent="0.25">
      <c r="A433" s="71"/>
      <c r="B433" s="71"/>
      <c r="C433" s="71"/>
      <c r="D433" s="71"/>
      <c r="E433" s="71"/>
      <c r="F433" s="71"/>
      <c r="G433" s="71"/>
      <c r="H433" s="71"/>
      <c r="I433" s="71"/>
      <c r="J433" s="7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</row>
    <row r="434" spans="1:26" ht="15.75" customHeight="1" x14ac:dyDescent="0.25">
      <c r="A434" s="71"/>
      <c r="B434" s="71"/>
      <c r="C434" s="71"/>
      <c r="D434" s="71"/>
      <c r="E434" s="71"/>
      <c r="F434" s="71"/>
      <c r="G434" s="71"/>
      <c r="H434" s="71"/>
      <c r="I434" s="71"/>
      <c r="J434" s="7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</row>
    <row r="435" spans="1:26" ht="15.75" customHeight="1" x14ac:dyDescent="0.25">
      <c r="A435" s="71"/>
      <c r="B435" s="71"/>
      <c r="C435" s="71"/>
      <c r="D435" s="71"/>
      <c r="E435" s="71"/>
      <c r="F435" s="71"/>
      <c r="G435" s="71"/>
      <c r="H435" s="71"/>
      <c r="I435" s="71"/>
      <c r="J435" s="7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</row>
    <row r="436" spans="1:26" ht="15.75" customHeight="1" x14ac:dyDescent="0.25">
      <c r="A436" s="71"/>
      <c r="B436" s="71"/>
      <c r="C436" s="71"/>
      <c r="D436" s="71"/>
      <c r="E436" s="71"/>
      <c r="F436" s="71"/>
      <c r="G436" s="71"/>
      <c r="H436" s="71"/>
      <c r="I436" s="71"/>
      <c r="J436" s="7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</row>
    <row r="437" spans="1:26" ht="15.75" customHeight="1" x14ac:dyDescent="0.25">
      <c r="A437" s="71"/>
      <c r="B437" s="71"/>
      <c r="C437" s="71"/>
      <c r="D437" s="71"/>
      <c r="E437" s="71"/>
      <c r="F437" s="71"/>
      <c r="G437" s="71"/>
      <c r="H437" s="71"/>
      <c r="I437" s="71"/>
      <c r="J437" s="7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</row>
    <row r="438" spans="1:26" ht="15.75" customHeight="1" x14ac:dyDescent="0.25">
      <c r="A438" s="71"/>
      <c r="B438" s="71"/>
      <c r="C438" s="71"/>
      <c r="D438" s="71"/>
      <c r="E438" s="71"/>
      <c r="F438" s="71"/>
      <c r="G438" s="71"/>
      <c r="H438" s="71"/>
      <c r="I438" s="71"/>
      <c r="J438" s="7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</row>
    <row r="439" spans="1:26" ht="15.75" customHeight="1" x14ac:dyDescent="0.25">
      <c r="A439" s="71"/>
      <c r="B439" s="71"/>
      <c r="C439" s="71"/>
      <c r="D439" s="71"/>
      <c r="E439" s="71"/>
      <c r="F439" s="71"/>
      <c r="G439" s="71"/>
      <c r="H439" s="71"/>
      <c r="I439" s="71"/>
      <c r="J439" s="7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</row>
    <row r="440" spans="1:26" ht="15.75" customHeight="1" x14ac:dyDescent="0.25">
      <c r="A440" s="71"/>
      <c r="B440" s="71"/>
      <c r="C440" s="71"/>
      <c r="D440" s="71"/>
      <c r="E440" s="71"/>
      <c r="F440" s="71"/>
      <c r="G440" s="71"/>
      <c r="H440" s="71"/>
      <c r="I440" s="71"/>
      <c r="J440" s="7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</row>
    <row r="441" spans="1:26" ht="15.75" customHeight="1" x14ac:dyDescent="0.25">
      <c r="A441" s="71"/>
      <c r="B441" s="71"/>
      <c r="C441" s="71"/>
      <c r="D441" s="71"/>
      <c r="E441" s="71"/>
      <c r="F441" s="71"/>
      <c r="G441" s="71"/>
      <c r="H441" s="71"/>
      <c r="I441" s="71"/>
      <c r="J441" s="7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</row>
    <row r="442" spans="1:26" ht="15.75" customHeight="1" x14ac:dyDescent="0.25">
      <c r="A442" s="71"/>
      <c r="B442" s="71"/>
      <c r="C442" s="71"/>
      <c r="D442" s="71"/>
      <c r="E442" s="71"/>
      <c r="F442" s="71"/>
      <c r="G442" s="71"/>
      <c r="H442" s="71"/>
      <c r="I442" s="71"/>
      <c r="J442" s="7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</row>
    <row r="443" spans="1:26" ht="15.75" customHeight="1" x14ac:dyDescent="0.25">
      <c r="A443" s="71"/>
      <c r="B443" s="71"/>
      <c r="C443" s="71"/>
      <c r="D443" s="71"/>
      <c r="E443" s="71"/>
      <c r="F443" s="71"/>
      <c r="G443" s="71"/>
      <c r="H443" s="71"/>
      <c r="I443" s="71"/>
      <c r="J443" s="7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</row>
    <row r="444" spans="1:26" ht="15.75" customHeight="1" x14ac:dyDescent="0.25">
      <c r="A444" s="71"/>
      <c r="B444" s="71"/>
      <c r="C444" s="71"/>
      <c r="D444" s="71"/>
      <c r="E444" s="71"/>
      <c r="F444" s="71"/>
      <c r="G444" s="71"/>
      <c r="H444" s="71"/>
      <c r="I444" s="71"/>
      <c r="J444" s="7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</row>
    <row r="445" spans="1:26" ht="15.75" customHeight="1" x14ac:dyDescent="0.25">
      <c r="A445" s="71"/>
      <c r="B445" s="71"/>
      <c r="C445" s="71"/>
      <c r="D445" s="71"/>
      <c r="E445" s="71"/>
      <c r="F445" s="71"/>
      <c r="G445" s="71"/>
      <c r="H445" s="71"/>
      <c r="I445" s="71"/>
      <c r="J445" s="7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</row>
    <row r="446" spans="1:26" ht="15.75" customHeight="1" x14ac:dyDescent="0.25">
      <c r="A446" s="71"/>
      <c r="B446" s="71"/>
      <c r="C446" s="71"/>
      <c r="D446" s="71"/>
      <c r="E446" s="71"/>
      <c r="F446" s="71"/>
      <c r="G446" s="71"/>
      <c r="H446" s="71"/>
      <c r="I446" s="71"/>
      <c r="J446" s="7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</row>
    <row r="447" spans="1:26" ht="15.75" customHeight="1" x14ac:dyDescent="0.25">
      <c r="A447" s="71"/>
      <c r="B447" s="71"/>
      <c r="C447" s="71"/>
      <c r="D447" s="71"/>
      <c r="E447" s="71"/>
      <c r="F447" s="71"/>
      <c r="G447" s="71"/>
      <c r="H447" s="71"/>
      <c r="I447" s="71"/>
      <c r="J447" s="7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</row>
    <row r="448" spans="1:26" ht="15.75" customHeight="1" x14ac:dyDescent="0.25">
      <c r="A448" s="71"/>
      <c r="B448" s="71"/>
      <c r="C448" s="71"/>
      <c r="D448" s="71"/>
      <c r="E448" s="71"/>
      <c r="F448" s="71"/>
      <c r="G448" s="71"/>
      <c r="H448" s="71"/>
      <c r="I448" s="71"/>
      <c r="J448" s="7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</row>
    <row r="449" spans="1:26" ht="15.75" customHeight="1" x14ac:dyDescent="0.25">
      <c r="A449" s="71"/>
      <c r="B449" s="71"/>
      <c r="C449" s="71"/>
      <c r="D449" s="71"/>
      <c r="E449" s="71"/>
      <c r="F449" s="71"/>
      <c r="G449" s="71"/>
      <c r="H449" s="71"/>
      <c r="I449" s="71"/>
      <c r="J449" s="7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</row>
    <row r="450" spans="1:26" ht="15.75" customHeight="1" x14ac:dyDescent="0.25">
      <c r="A450" s="71"/>
      <c r="B450" s="71"/>
      <c r="C450" s="71"/>
      <c r="D450" s="71"/>
      <c r="E450" s="71"/>
      <c r="F450" s="71"/>
      <c r="G450" s="71"/>
      <c r="H450" s="71"/>
      <c r="I450" s="71"/>
      <c r="J450" s="7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</row>
    <row r="451" spans="1:26" ht="15.75" customHeight="1" x14ac:dyDescent="0.25">
      <c r="A451" s="71"/>
      <c r="B451" s="71"/>
      <c r="C451" s="71"/>
      <c r="D451" s="71"/>
      <c r="E451" s="71"/>
      <c r="F451" s="71"/>
      <c r="G451" s="71"/>
      <c r="H451" s="71"/>
      <c r="I451" s="71"/>
      <c r="J451" s="7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</row>
    <row r="452" spans="1:26" ht="15.75" customHeight="1" x14ac:dyDescent="0.25">
      <c r="A452" s="71"/>
      <c r="B452" s="71"/>
      <c r="C452" s="71"/>
      <c r="D452" s="71"/>
      <c r="E452" s="71"/>
      <c r="F452" s="71"/>
      <c r="G452" s="71"/>
      <c r="H452" s="71"/>
      <c r="I452" s="71"/>
      <c r="J452" s="7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</row>
    <row r="453" spans="1:26" ht="15.75" customHeight="1" x14ac:dyDescent="0.25">
      <c r="A453" s="71"/>
      <c r="B453" s="71"/>
      <c r="C453" s="71"/>
      <c r="D453" s="71"/>
      <c r="E453" s="71"/>
      <c r="F453" s="71"/>
      <c r="G453" s="71"/>
      <c r="H453" s="71"/>
      <c r="I453" s="71"/>
      <c r="J453" s="7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</row>
    <row r="454" spans="1:26" ht="15.75" customHeight="1" x14ac:dyDescent="0.25">
      <c r="A454" s="71"/>
      <c r="B454" s="71"/>
      <c r="C454" s="71"/>
      <c r="D454" s="71"/>
      <c r="E454" s="71"/>
      <c r="F454" s="71"/>
      <c r="G454" s="71"/>
      <c r="H454" s="71"/>
      <c r="I454" s="71"/>
      <c r="J454" s="7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</row>
    <row r="455" spans="1:26" ht="15.75" customHeight="1" x14ac:dyDescent="0.25">
      <c r="A455" s="71"/>
      <c r="B455" s="71"/>
      <c r="C455" s="71"/>
      <c r="D455" s="71"/>
      <c r="E455" s="71"/>
      <c r="F455" s="71"/>
      <c r="G455" s="71"/>
      <c r="H455" s="71"/>
      <c r="I455" s="71"/>
      <c r="J455" s="7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</row>
    <row r="456" spans="1:26" ht="15.75" customHeight="1" x14ac:dyDescent="0.25">
      <c r="A456" s="71"/>
      <c r="B456" s="71"/>
      <c r="C456" s="71"/>
      <c r="D456" s="71"/>
      <c r="E456" s="71"/>
      <c r="F456" s="71"/>
      <c r="G456" s="71"/>
      <c r="H456" s="71"/>
      <c r="I456" s="71"/>
      <c r="J456" s="7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</row>
    <row r="457" spans="1:26" ht="15.75" customHeight="1" x14ac:dyDescent="0.25">
      <c r="A457" s="71"/>
      <c r="B457" s="71"/>
      <c r="C457" s="71"/>
      <c r="D457" s="71"/>
      <c r="E457" s="71"/>
      <c r="F457" s="71"/>
      <c r="G457" s="71"/>
      <c r="H457" s="71"/>
      <c r="I457" s="71"/>
      <c r="J457" s="7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</row>
    <row r="458" spans="1:26" ht="15.75" customHeight="1" x14ac:dyDescent="0.25">
      <c r="A458" s="71"/>
      <c r="B458" s="71"/>
      <c r="C458" s="71"/>
      <c r="D458" s="71"/>
      <c r="E458" s="71"/>
      <c r="F458" s="71"/>
      <c r="G458" s="71"/>
      <c r="H458" s="71"/>
      <c r="I458" s="71"/>
      <c r="J458" s="7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</row>
    <row r="459" spans="1:26" ht="15.75" customHeight="1" x14ac:dyDescent="0.25">
      <c r="A459" s="71"/>
      <c r="B459" s="71"/>
      <c r="C459" s="71"/>
      <c r="D459" s="71"/>
      <c r="E459" s="71"/>
      <c r="F459" s="71"/>
      <c r="G459" s="71"/>
      <c r="H459" s="71"/>
      <c r="I459" s="71"/>
      <c r="J459" s="7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</row>
    <row r="460" spans="1:26" ht="15.75" customHeight="1" x14ac:dyDescent="0.25">
      <c r="A460" s="71"/>
      <c r="B460" s="71"/>
      <c r="C460" s="71"/>
      <c r="D460" s="71"/>
      <c r="E460" s="71"/>
      <c r="F460" s="71"/>
      <c r="G460" s="71"/>
      <c r="H460" s="71"/>
      <c r="I460" s="71"/>
      <c r="J460" s="7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</row>
    <row r="461" spans="1:26" ht="15.75" customHeight="1" x14ac:dyDescent="0.25">
      <c r="A461" s="71"/>
      <c r="B461" s="71"/>
      <c r="C461" s="71"/>
      <c r="D461" s="71"/>
      <c r="E461" s="71"/>
      <c r="F461" s="71"/>
      <c r="G461" s="71"/>
      <c r="H461" s="71"/>
      <c r="I461" s="71"/>
      <c r="J461" s="7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</row>
    <row r="462" spans="1:26" ht="15.75" customHeight="1" x14ac:dyDescent="0.25">
      <c r="A462" s="71"/>
      <c r="B462" s="71"/>
      <c r="C462" s="71"/>
      <c r="D462" s="71"/>
      <c r="E462" s="71"/>
      <c r="F462" s="71"/>
      <c r="G462" s="71"/>
      <c r="H462" s="71"/>
      <c r="I462" s="71"/>
      <c r="J462" s="7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</row>
    <row r="463" spans="1:26" ht="15.75" customHeight="1" x14ac:dyDescent="0.25">
      <c r="A463" s="71"/>
      <c r="B463" s="71"/>
      <c r="C463" s="71"/>
      <c r="D463" s="71"/>
      <c r="E463" s="71"/>
      <c r="F463" s="71"/>
      <c r="G463" s="71"/>
      <c r="H463" s="71"/>
      <c r="I463" s="71"/>
      <c r="J463" s="7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</row>
    <row r="464" spans="1:26" ht="15.75" customHeight="1" x14ac:dyDescent="0.25">
      <c r="A464" s="71"/>
      <c r="B464" s="71"/>
      <c r="C464" s="71"/>
      <c r="D464" s="71"/>
      <c r="E464" s="71"/>
      <c r="F464" s="71"/>
      <c r="G464" s="71"/>
      <c r="H464" s="71"/>
      <c r="I464" s="71"/>
      <c r="J464" s="7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</row>
    <row r="465" spans="1:26" ht="15.75" customHeight="1" x14ac:dyDescent="0.25">
      <c r="A465" s="71"/>
      <c r="B465" s="71"/>
      <c r="C465" s="71"/>
      <c r="D465" s="71"/>
      <c r="E465" s="71"/>
      <c r="F465" s="71"/>
      <c r="G465" s="71"/>
      <c r="H465" s="71"/>
      <c r="I465" s="71"/>
      <c r="J465" s="7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</row>
    <row r="466" spans="1:26" ht="15.75" customHeight="1" x14ac:dyDescent="0.25">
      <c r="A466" s="71"/>
      <c r="B466" s="71"/>
      <c r="C466" s="71"/>
      <c r="D466" s="71"/>
      <c r="E466" s="71"/>
      <c r="F466" s="71"/>
      <c r="G466" s="71"/>
      <c r="H466" s="71"/>
      <c r="I466" s="71"/>
      <c r="J466" s="7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</row>
    <row r="467" spans="1:26" ht="15.75" customHeight="1" x14ac:dyDescent="0.25">
      <c r="A467" s="71"/>
      <c r="B467" s="71"/>
      <c r="C467" s="71"/>
      <c r="D467" s="71"/>
      <c r="E467" s="71"/>
      <c r="F467" s="71"/>
      <c r="G467" s="71"/>
      <c r="H467" s="71"/>
      <c r="I467" s="71"/>
      <c r="J467" s="7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</row>
    <row r="468" spans="1:26" ht="15.75" customHeight="1" x14ac:dyDescent="0.25">
      <c r="A468" s="71"/>
      <c r="B468" s="71"/>
      <c r="C468" s="71"/>
      <c r="D468" s="71"/>
      <c r="E468" s="71"/>
      <c r="F468" s="71"/>
      <c r="G468" s="71"/>
      <c r="H468" s="71"/>
      <c r="I468" s="71"/>
      <c r="J468" s="7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</row>
    <row r="469" spans="1:26" ht="15.75" customHeight="1" x14ac:dyDescent="0.25">
      <c r="A469" s="71"/>
      <c r="B469" s="71"/>
      <c r="C469" s="71"/>
      <c r="D469" s="71"/>
      <c r="E469" s="71"/>
      <c r="F469" s="71"/>
      <c r="G469" s="71"/>
      <c r="H469" s="71"/>
      <c r="I469" s="71"/>
      <c r="J469" s="7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</row>
    <row r="470" spans="1:26" ht="15.75" customHeight="1" x14ac:dyDescent="0.25">
      <c r="A470" s="71"/>
      <c r="B470" s="71"/>
      <c r="C470" s="71"/>
      <c r="D470" s="71"/>
      <c r="E470" s="71"/>
      <c r="F470" s="71"/>
      <c r="G470" s="71"/>
      <c r="H470" s="71"/>
      <c r="I470" s="71"/>
      <c r="J470" s="7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</row>
    <row r="471" spans="1:26" ht="15.75" customHeight="1" x14ac:dyDescent="0.25">
      <c r="A471" s="71"/>
      <c r="B471" s="71"/>
      <c r="C471" s="71"/>
      <c r="D471" s="71"/>
      <c r="E471" s="71"/>
      <c r="F471" s="71"/>
      <c r="G471" s="71"/>
      <c r="H471" s="71"/>
      <c r="I471" s="71"/>
      <c r="J471" s="7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</row>
    <row r="472" spans="1:26" ht="15.75" customHeight="1" x14ac:dyDescent="0.25">
      <c r="A472" s="71"/>
      <c r="B472" s="71"/>
      <c r="C472" s="71"/>
      <c r="D472" s="71"/>
      <c r="E472" s="71"/>
      <c r="F472" s="71"/>
      <c r="G472" s="71"/>
      <c r="H472" s="71"/>
      <c r="I472" s="71"/>
      <c r="J472" s="7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</row>
    <row r="473" spans="1:26" ht="15.75" customHeight="1" x14ac:dyDescent="0.25">
      <c r="A473" s="71"/>
      <c r="B473" s="71"/>
      <c r="C473" s="71"/>
      <c r="D473" s="71"/>
      <c r="E473" s="71"/>
      <c r="F473" s="71"/>
      <c r="G473" s="71"/>
      <c r="H473" s="71"/>
      <c r="I473" s="71"/>
      <c r="J473" s="7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</row>
    <row r="474" spans="1:26" ht="15.75" customHeight="1" x14ac:dyDescent="0.25">
      <c r="A474" s="71"/>
      <c r="B474" s="71"/>
      <c r="C474" s="71"/>
      <c r="D474" s="71"/>
      <c r="E474" s="71"/>
      <c r="F474" s="71"/>
      <c r="G474" s="71"/>
      <c r="H474" s="71"/>
      <c r="I474" s="71"/>
      <c r="J474" s="7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</row>
    <row r="475" spans="1:26" ht="15.75" customHeight="1" x14ac:dyDescent="0.25">
      <c r="A475" s="71"/>
      <c r="B475" s="71"/>
      <c r="C475" s="71"/>
      <c r="D475" s="71"/>
      <c r="E475" s="71"/>
      <c r="F475" s="71"/>
      <c r="G475" s="71"/>
      <c r="H475" s="71"/>
      <c r="I475" s="71"/>
      <c r="J475" s="7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</row>
    <row r="476" spans="1:26" ht="15.75" customHeight="1" x14ac:dyDescent="0.25">
      <c r="A476" s="71"/>
      <c r="B476" s="71"/>
      <c r="C476" s="71"/>
      <c r="D476" s="71"/>
      <c r="E476" s="71"/>
      <c r="F476" s="71"/>
      <c r="G476" s="71"/>
      <c r="H476" s="71"/>
      <c r="I476" s="71"/>
      <c r="J476" s="7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</row>
    <row r="477" spans="1:26" ht="15.75" customHeight="1" x14ac:dyDescent="0.25">
      <c r="A477" s="71"/>
      <c r="B477" s="71"/>
      <c r="C477" s="71"/>
      <c r="D477" s="71"/>
      <c r="E477" s="71"/>
      <c r="F477" s="71"/>
      <c r="G477" s="71"/>
      <c r="H477" s="71"/>
      <c r="I477" s="71"/>
      <c r="J477" s="7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</row>
    <row r="478" spans="1:26" ht="15.75" customHeight="1" x14ac:dyDescent="0.25">
      <c r="A478" s="71"/>
      <c r="B478" s="71"/>
      <c r="C478" s="71"/>
      <c r="D478" s="71"/>
      <c r="E478" s="71"/>
      <c r="F478" s="71"/>
      <c r="G478" s="71"/>
      <c r="H478" s="71"/>
      <c r="I478" s="71"/>
      <c r="J478" s="7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</row>
    <row r="479" spans="1:26" ht="15.75" customHeight="1" x14ac:dyDescent="0.25">
      <c r="A479" s="71"/>
      <c r="B479" s="71"/>
      <c r="C479" s="71"/>
      <c r="D479" s="71"/>
      <c r="E479" s="71"/>
      <c r="F479" s="71"/>
      <c r="G479" s="71"/>
      <c r="H479" s="71"/>
      <c r="I479" s="71"/>
      <c r="J479" s="7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</row>
    <row r="480" spans="1:26" ht="15.75" customHeight="1" x14ac:dyDescent="0.25">
      <c r="A480" s="71"/>
      <c r="B480" s="71"/>
      <c r="C480" s="71"/>
      <c r="D480" s="71"/>
      <c r="E480" s="71"/>
      <c r="F480" s="71"/>
      <c r="G480" s="71"/>
      <c r="H480" s="71"/>
      <c r="I480" s="71"/>
      <c r="J480" s="7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</row>
    <row r="481" spans="1:26" ht="15.75" customHeight="1" x14ac:dyDescent="0.25">
      <c r="A481" s="71"/>
      <c r="B481" s="71"/>
      <c r="C481" s="71"/>
      <c r="D481" s="71"/>
      <c r="E481" s="71"/>
      <c r="F481" s="71"/>
      <c r="G481" s="71"/>
      <c r="H481" s="71"/>
      <c r="I481" s="71"/>
      <c r="J481" s="7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</row>
    <row r="482" spans="1:26" ht="15.75" customHeight="1" x14ac:dyDescent="0.25">
      <c r="A482" s="71"/>
      <c r="B482" s="71"/>
      <c r="C482" s="71"/>
      <c r="D482" s="71"/>
      <c r="E482" s="71"/>
      <c r="F482" s="71"/>
      <c r="G482" s="71"/>
      <c r="H482" s="71"/>
      <c r="I482" s="71"/>
      <c r="J482" s="7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</row>
    <row r="483" spans="1:26" ht="15.75" customHeight="1" x14ac:dyDescent="0.25">
      <c r="A483" s="71"/>
      <c r="B483" s="71"/>
      <c r="C483" s="71"/>
      <c r="D483" s="71"/>
      <c r="E483" s="71"/>
      <c r="F483" s="71"/>
      <c r="G483" s="71"/>
      <c r="H483" s="71"/>
      <c r="I483" s="71"/>
      <c r="J483" s="7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</row>
    <row r="484" spans="1:26" ht="15.75" customHeight="1" x14ac:dyDescent="0.25">
      <c r="A484" s="71"/>
      <c r="B484" s="71"/>
      <c r="C484" s="71"/>
      <c r="D484" s="71"/>
      <c r="E484" s="71"/>
      <c r="F484" s="71"/>
      <c r="G484" s="71"/>
      <c r="H484" s="71"/>
      <c r="I484" s="71"/>
      <c r="J484" s="7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</row>
    <row r="485" spans="1:26" ht="15.75" customHeight="1" x14ac:dyDescent="0.25">
      <c r="A485" s="71"/>
      <c r="B485" s="71"/>
      <c r="C485" s="71"/>
      <c r="D485" s="71"/>
      <c r="E485" s="71"/>
      <c r="F485" s="71"/>
      <c r="G485" s="71"/>
      <c r="H485" s="71"/>
      <c r="I485" s="71"/>
      <c r="J485" s="7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</row>
    <row r="486" spans="1:26" ht="15.75" customHeight="1" x14ac:dyDescent="0.25">
      <c r="A486" s="71"/>
      <c r="B486" s="71"/>
      <c r="C486" s="71"/>
      <c r="D486" s="71"/>
      <c r="E486" s="71"/>
      <c r="F486" s="71"/>
      <c r="G486" s="71"/>
      <c r="H486" s="71"/>
      <c r="I486" s="71"/>
      <c r="J486" s="7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</row>
    <row r="487" spans="1:26" ht="15.75" customHeight="1" x14ac:dyDescent="0.25">
      <c r="A487" s="71"/>
      <c r="B487" s="71"/>
      <c r="C487" s="71"/>
      <c r="D487" s="71"/>
      <c r="E487" s="71"/>
      <c r="F487" s="71"/>
      <c r="G487" s="71"/>
      <c r="H487" s="71"/>
      <c r="I487" s="71"/>
      <c r="J487" s="7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</row>
    <row r="488" spans="1:26" ht="15.75" customHeight="1" x14ac:dyDescent="0.25">
      <c r="A488" s="71"/>
      <c r="B488" s="71"/>
      <c r="C488" s="71"/>
      <c r="D488" s="71"/>
      <c r="E488" s="71"/>
      <c r="F488" s="71"/>
      <c r="G488" s="71"/>
      <c r="H488" s="71"/>
      <c r="I488" s="71"/>
      <c r="J488" s="7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</row>
    <row r="489" spans="1:26" ht="15.75" customHeight="1" x14ac:dyDescent="0.25">
      <c r="A489" s="71"/>
      <c r="B489" s="71"/>
      <c r="C489" s="71"/>
      <c r="D489" s="71"/>
      <c r="E489" s="71"/>
      <c r="F489" s="71"/>
      <c r="G489" s="71"/>
      <c r="H489" s="71"/>
      <c r="I489" s="71"/>
      <c r="J489" s="7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</row>
    <row r="490" spans="1:26" ht="15.75" customHeight="1" x14ac:dyDescent="0.25">
      <c r="A490" s="71"/>
      <c r="B490" s="71"/>
      <c r="C490" s="71"/>
      <c r="D490" s="71"/>
      <c r="E490" s="71"/>
      <c r="F490" s="71"/>
      <c r="G490" s="71"/>
      <c r="H490" s="71"/>
      <c r="I490" s="71"/>
      <c r="J490" s="7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</row>
    <row r="491" spans="1:26" ht="15.75" customHeight="1" x14ac:dyDescent="0.25">
      <c r="A491" s="71"/>
      <c r="B491" s="71"/>
      <c r="C491" s="71"/>
      <c r="D491" s="71"/>
      <c r="E491" s="71"/>
      <c r="F491" s="71"/>
      <c r="G491" s="71"/>
      <c r="H491" s="71"/>
      <c r="I491" s="71"/>
      <c r="J491" s="7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</row>
    <row r="492" spans="1:26" ht="15.75" customHeight="1" x14ac:dyDescent="0.25">
      <c r="A492" s="71"/>
      <c r="B492" s="71"/>
      <c r="C492" s="71"/>
      <c r="D492" s="71"/>
      <c r="E492" s="71"/>
      <c r="F492" s="71"/>
      <c r="G492" s="71"/>
      <c r="H492" s="71"/>
      <c r="I492" s="71"/>
      <c r="J492" s="7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</row>
    <row r="493" spans="1:26" ht="15.75" customHeight="1" x14ac:dyDescent="0.25">
      <c r="A493" s="71"/>
      <c r="B493" s="71"/>
      <c r="C493" s="71"/>
      <c r="D493" s="71"/>
      <c r="E493" s="71"/>
      <c r="F493" s="71"/>
      <c r="G493" s="71"/>
      <c r="H493" s="71"/>
      <c r="I493" s="71"/>
      <c r="J493" s="7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</row>
    <row r="494" spans="1:26" ht="15.75" customHeight="1" x14ac:dyDescent="0.25">
      <c r="A494" s="71"/>
      <c r="B494" s="71"/>
      <c r="C494" s="71"/>
      <c r="D494" s="71"/>
      <c r="E494" s="71"/>
      <c r="F494" s="71"/>
      <c r="G494" s="71"/>
      <c r="H494" s="71"/>
      <c r="I494" s="71"/>
      <c r="J494" s="7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</row>
    <row r="495" spans="1:26" ht="15.75" customHeight="1" x14ac:dyDescent="0.25">
      <c r="A495" s="71"/>
      <c r="B495" s="71"/>
      <c r="C495" s="71"/>
      <c r="D495" s="71"/>
      <c r="E495" s="71"/>
      <c r="F495" s="71"/>
      <c r="G495" s="71"/>
      <c r="H495" s="71"/>
      <c r="I495" s="71"/>
      <c r="J495" s="7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</row>
    <row r="496" spans="1:26" ht="15.75" customHeight="1" x14ac:dyDescent="0.25">
      <c r="A496" s="71"/>
      <c r="B496" s="71"/>
      <c r="C496" s="71"/>
      <c r="D496" s="71"/>
      <c r="E496" s="71"/>
      <c r="F496" s="71"/>
      <c r="G496" s="71"/>
      <c r="H496" s="71"/>
      <c r="I496" s="71"/>
      <c r="J496" s="7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</row>
    <row r="497" spans="1:26" ht="15.75" customHeight="1" x14ac:dyDescent="0.25">
      <c r="A497" s="71"/>
      <c r="B497" s="71"/>
      <c r="C497" s="71"/>
      <c r="D497" s="71"/>
      <c r="E497" s="71"/>
      <c r="F497" s="71"/>
      <c r="G497" s="71"/>
      <c r="H497" s="71"/>
      <c r="I497" s="71"/>
      <c r="J497" s="7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</row>
    <row r="498" spans="1:26" ht="15.75" customHeight="1" x14ac:dyDescent="0.25">
      <c r="A498" s="71"/>
      <c r="B498" s="71"/>
      <c r="C498" s="71"/>
      <c r="D498" s="71"/>
      <c r="E498" s="71"/>
      <c r="F498" s="71"/>
      <c r="G498" s="71"/>
      <c r="H498" s="71"/>
      <c r="I498" s="71"/>
      <c r="J498" s="7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</row>
    <row r="499" spans="1:26" ht="15.75" customHeight="1" x14ac:dyDescent="0.25">
      <c r="A499" s="71"/>
      <c r="B499" s="71"/>
      <c r="C499" s="71"/>
      <c r="D499" s="71"/>
      <c r="E499" s="71"/>
      <c r="F499" s="71"/>
      <c r="G499" s="71"/>
      <c r="H499" s="71"/>
      <c r="I499" s="71"/>
      <c r="J499" s="7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</row>
    <row r="500" spans="1:26" ht="15.75" customHeight="1" x14ac:dyDescent="0.25">
      <c r="A500" s="71"/>
      <c r="B500" s="71"/>
      <c r="C500" s="71"/>
      <c r="D500" s="71"/>
      <c r="E500" s="71"/>
      <c r="F500" s="71"/>
      <c r="G500" s="71"/>
      <c r="H500" s="71"/>
      <c r="I500" s="71"/>
      <c r="J500" s="7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</row>
    <row r="501" spans="1:26" ht="15.75" customHeight="1" x14ac:dyDescent="0.25">
      <c r="A501" s="71"/>
      <c r="B501" s="71"/>
      <c r="C501" s="71"/>
      <c r="D501" s="71"/>
      <c r="E501" s="71"/>
      <c r="F501" s="71"/>
      <c r="G501" s="71"/>
      <c r="H501" s="71"/>
      <c r="I501" s="71"/>
      <c r="J501" s="7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</row>
    <row r="502" spans="1:26" ht="15.75" customHeight="1" x14ac:dyDescent="0.25">
      <c r="A502" s="71"/>
      <c r="B502" s="71"/>
      <c r="C502" s="71"/>
      <c r="D502" s="71"/>
      <c r="E502" s="71"/>
      <c r="F502" s="71"/>
      <c r="G502" s="71"/>
      <c r="H502" s="71"/>
      <c r="I502" s="71"/>
      <c r="J502" s="7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</row>
    <row r="503" spans="1:26" ht="15.75" customHeight="1" x14ac:dyDescent="0.25">
      <c r="A503" s="71"/>
      <c r="B503" s="71"/>
      <c r="C503" s="71"/>
      <c r="D503" s="71"/>
      <c r="E503" s="71"/>
      <c r="F503" s="71"/>
      <c r="G503" s="71"/>
      <c r="H503" s="71"/>
      <c r="I503" s="71"/>
      <c r="J503" s="7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</row>
    <row r="504" spans="1:26" ht="15.75" customHeight="1" x14ac:dyDescent="0.25">
      <c r="A504" s="71"/>
      <c r="B504" s="71"/>
      <c r="C504" s="71"/>
      <c r="D504" s="71"/>
      <c r="E504" s="71"/>
      <c r="F504" s="71"/>
      <c r="G504" s="71"/>
      <c r="H504" s="71"/>
      <c r="I504" s="71"/>
      <c r="J504" s="7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</row>
    <row r="505" spans="1:26" ht="15.75" customHeight="1" x14ac:dyDescent="0.25">
      <c r="A505" s="71"/>
      <c r="B505" s="71"/>
      <c r="C505" s="71"/>
      <c r="D505" s="71"/>
      <c r="E505" s="71"/>
      <c r="F505" s="71"/>
      <c r="G505" s="71"/>
      <c r="H505" s="71"/>
      <c r="I505" s="71"/>
      <c r="J505" s="7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</row>
    <row r="506" spans="1:26" ht="15.75" customHeight="1" x14ac:dyDescent="0.25">
      <c r="A506" s="71"/>
      <c r="B506" s="71"/>
      <c r="C506" s="71"/>
      <c r="D506" s="71"/>
      <c r="E506" s="71"/>
      <c r="F506" s="71"/>
      <c r="G506" s="71"/>
      <c r="H506" s="71"/>
      <c r="I506" s="71"/>
      <c r="J506" s="7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</row>
    <row r="507" spans="1:26" ht="15.75" customHeight="1" x14ac:dyDescent="0.25">
      <c r="A507" s="71"/>
      <c r="B507" s="71"/>
      <c r="C507" s="71"/>
      <c r="D507" s="71"/>
      <c r="E507" s="71"/>
      <c r="F507" s="71"/>
      <c r="G507" s="71"/>
      <c r="H507" s="71"/>
      <c r="I507" s="71"/>
      <c r="J507" s="7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</row>
    <row r="508" spans="1:26" ht="15.75" customHeight="1" x14ac:dyDescent="0.25">
      <c r="A508" s="71"/>
      <c r="B508" s="71"/>
      <c r="C508" s="71"/>
      <c r="D508" s="71"/>
      <c r="E508" s="71"/>
      <c r="F508" s="71"/>
      <c r="G508" s="71"/>
      <c r="H508" s="71"/>
      <c r="I508" s="71"/>
      <c r="J508" s="7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</row>
    <row r="509" spans="1:26" ht="15.75" customHeight="1" x14ac:dyDescent="0.25">
      <c r="A509" s="71"/>
      <c r="B509" s="71"/>
      <c r="C509" s="71"/>
      <c r="D509" s="71"/>
      <c r="E509" s="71"/>
      <c r="F509" s="71"/>
      <c r="G509" s="71"/>
      <c r="H509" s="71"/>
      <c r="I509" s="71"/>
      <c r="J509" s="7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</row>
    <row r="510" spans="1:26" ht="15.75" customHeight="1" x14ac:dyDescent="0.25">
      <c r="A510" s="71"/>
      <c r="B510" s="71"/>
      <c r="C510" s="71"/>
      <c r="D510" s="71"/>
      <c r="E510" s="71"/>
      <c r="F510" s="71"/>
      <c r="G510" s="71"/>
      <c r="H510" s="71"/>
      <c r="I510" s="71"/>
      <c r="J510" s="7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</row>
    <row r="511" spans="1:26" ht="15.75" customHeight="1" x14ac:dyDescent="0.25">
      <c r="A511" s="71"/>
      <c r="B511" s="71"/>
      <c r="C511" s="71"/>
      <c r="D511" s="71"/>
      <c r="E511" s="71"/>
      <c r="F511" s="71"/>
      <c r="G511" s="71"/>
      <c r="H511" s="71"/>
      <c r="I511" s="71"/>
      <c r="J511" s="7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</row>
    <row r="512" spans="1:26" ht="15.75" customHeight="1" x14ac:dyDescent="0.25">
      <c r="A512" s="71"/>
      <c r="B512" s="71"/>
      <c r="C512" s="71"/>
      <c r="D512" s="71"/>
      <c r="E512" s="71"/>
      <c r="F512" s="71"/>
      <c r="G512" s="71"/>
      <c r="H512" s="71"/>
      <c r="I512" s="71"/>
      <c r="J512" s="7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</row>
    <row r="513" spans="1:26" ht="15.75" customHeight="1" x14ac:dyDescent="0.25">
      <c r="A513" s="71"/>
      <c r="B513" s="71"/>
      <c r="C513" s="71"/>
      <c r="D513" s="71"/>
      <c r="E513" s="71"/>
      <c r="F513" s="71"/>
      <c r="G513" s="71"/>
      <c r="H513" s="71"/>
      <c r="I513" s="71"/>
      <c r="J513" s="7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</row>
    <row r="514" spans="1:26" ht="15.75" customHeight="1" x14ac:dyDescent="0.25">
      <c r="A514" s="71"/>
      <c r="B514" s="71"/>
      <c r="C514" s="71"/>
      <c r="D514" s="71"/>
      <c r="E514" s="71"/>
      <c r="F514" s="71"/>
      <c r="G514" s="71"/>
      <c r="H514" s="71"/>
      <c r="I514" s="71"/>
      <c r="J514" s="7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</row>
    <row r="515" spans="1:26" ht="15.75" customHeight="1" x14ac:dyDescent="0.25">
      <c r="A515" s="71"/>
      <c r="B515" s="71"/>
      <c r="C515" s="71"/>
      <c r="D515" s="71"/>
      <c r="E515" s="71"/>
      <c r="F515" s="71"/>
      <c r="G515" s="71"/>
      <c r="H515" s="71"/>
      <c r="I515" s="71"/>
      <c r="J515" s="7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</row>
    <row r="516" spans="1:26" ht="15.75" customHeight="1" x14ac:dyDescent="0.25">
      <c r="A516" s="71"/>
      <c r="B516" s="71"/>
      <c r="C516" s="71"/>
      <c r="D516" s="71"/>
      <c r="E516" s="71"/>
      <c r="F516" s="71"/>
      <c r="G516" s="71"/>
      <c r="H516" s="71"/>
      <c r="I516" s="71"/>
      <c r="J516" s="7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</row>
    <row r="517" spans="1:26" ht="15.75" customHeight="1" x14ac:dyDescent="0.25">
      <c r="A517" s="71"/>
      <c r="B517" s="71"/>
      <c r="C517" s="71"/>
      <c r="D517" s="71"/>
      <c r="E517" s="71"/>
      <c r="F517" s="71"/>
      <c r="G517" s="71"/>
      <c r="H517" s="71"/>
      <c r="I517" s="71"/>
      <c r="J517" s="7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</row>
    <row r="518" spans="1:26" ht="15.75" customHeight="1" x14ac:dyDescent="0.25">
      <c r="A518" s="71"/>
      <c r="B518" s="71"/>
      <c r="C518" s="71"/>
      <c r="D518" s="71"/>
      <c r="E518" s="71"/>
      <c r="F518" s="71"/>
      <c r="G518" s="71"/>
      <c r="H518" s="71"/>
      <c r="I518" s="71"/>
      <c r="J518" s="7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</row>
    <row r="519" spans="1:26" ht="15.75" customHeight="1" x14ac:dyDescent="0.25">
      <c r="A519" s="71"/>
      <c r="B519" s="71"/>
      <c r="C519" s="71"/>
      <c r="D519" s="71"/>
      <c r="E519" s="71"/>
      <c r="F519" s="71"/>
      <c r="G519" s="71"/>
      <c r="H519" s="71"/>
      <c r="I519" s="71"/>
      <c r="J519" s="7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</row>
    <row r="520" spans="1:26" ht="15.75" customHeight="1" x14ac:dyDescent="0.25">
      <c r="A520" s="71"/>
      <c r="B520" s="71"/>
      <c r="C520" s="71"/>
      <c r="D520" s="71"/>
      <c r="E520" s="71"/>
      <c r="F520" s="71"/>
      <c r="G520" s="71"/>
      <c r="H520" s="71"/>
      <c r="I520" s="71"/>
      <c r="J520" s="7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</row>
    <row r="521" spans="1:26" ht="15.75" customHeight="1" x14ac:dyDescent="0.25">
      <c r="A521" s="71"/>
      <c r="B521" s="71"/>
      <c r="C521" s="71"/>
      <c r="D521" s="71"/>
      <c r="E521" s="71"/>
      <c r="F521" s="71"/>
      <c r="G521" s="71"/>
      <c r="H521" s="71"/>
      <c r="I521" s="71"/>
      <c r="J521" s="7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</row>
    <row r="522" spans="1:26" ht="15.75" customHeight="1" x14ac:dyDescent="0.25">
      <c r="A522" s="71"/>
      <c r="B522" s="71"/>
      <c r="C522" s="71"/>
      <c r="D522" s="71"/>
      <c r="E522" s="71"/>
      <c r="F522" s="71"/>
      <c r="G522" s="71"/>
      <c r="H522" s="71"/>
      <c r="I522" s="71"/>
      <c r="J522" s="7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</row>
    <row r="523" spans="1:26" ht="15.75" customHeight="1" x14ac:dyDescent="0.25">
      <c r="A523" s="71"/>
      <c r="B523" s="71"/>
      <c r="C523" s="71"/>
      <c r="D523" s="71"/>
      <c r="E523" s="71"/>
      <c r="F523" s="71"/>
      <c r="G523" s="71"/>
      <c r="H523" s="71"/>
      <c r="I523" s="71"/>
      <c r="J523" s="7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</row>
    <row r="524" spans="1:26" ht="15.75" customHeight="1" x14ac:dyDescent="0.25">
      <c r="A524" s="71"/>
      <c r="B524" s="71"/>
      <c r="C524" s="71"/>
      <c r="D524" s="71"/>
      <c r="E524" s="71"/>
      <c r="F524" s="71"/>
      <c r="G524" s="71"/>
      <c r="H524" s="71"/>
      <c r="I524" s="71"/>
      <c r="J524" s="7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</row>
    <row r="525" spans="1:26" ht="15.75" customHeight="1" x14ac:dyDescent="0.25">
      <c r="A525" s="71"/>
      <c r="B525" s="71"/>
      <c r="C525" s="71"/>
      <c r="D525" s="71"/>
      <c r="E525" s="71"/>
      <c r="F525" s="71"/>
      <c r="G525" s="71"/>
      <c r="H525" s="71"/>
      <c r="I525" s="71"/>
      <c r="J525" s="7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</row>
    <row r="526" spans="1:26" ht="15.75" customHeight="1" x14ac:dyDescent="0.25">
      <c r="A526" s="71"/>
      <c r="B526" s="71"/>
      <c r="C526" s="71"/>
      <c r="D526" s="71"/>
      <c r="E526" s="71"/>
      <c r="F526" s="71"/>
      <c r="G526" s="71"/>
      <c r="H526" s="71"/>
      <c r="I526" s="71"/>
      <c r="J526" s="7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</row>
    <row r="527" spans="1:26" ht="15.75" customHeight="1" x14ac:dyDescent="0.25">
      <c r="A527" s="71"/>
      <c r="B527" s="71"/>
      <c r="C527" s="71"/>
      <c r="D527" s="71"/>
      <c r="E527" s="71"/>
      <c r="F527" s="71"/>
      <c r="G527" s="71"/>
      <c r="H527" s="71"/>
      <c r="I527" s="71"/>
      <c r="J527" s="7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</row>
    <row r="528" spans="1:26" ht="15.75" customHeight="1" x14ac:dyDescent="0.25">
      <c r="A528" s="71"/>
      <c r="B528" s="71"/>
      <c r="C528" s="71"/>
      <c r="D528" s="71"/>
      <c r="E528" s="71"/>
      <c r="F528" s="71"/>
      <c r="G528" s="71"/>
      <c r="H528" s="71"/>
      <c r="I528" s="71"/>
      <c r="J528" s="7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</row>
    <row r="529" spans="1:26" ht="15.75" customHeight="1" x14ac:dyDescent="0.25">
      <c r="A529" s="71"/>
      <c r="B529" s="71"/>
      <c r="C529" s="71"/>
      <c r="D529" s="71"/>
      <c r="E529" s="71"/>
      <c r="F529" s="71"/>
      <c r="G529" s="71"/>
      <c r="H529" s="71"/>
      <c r="I529" s="71"/>
      <c r="J529" s="7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</row>
    <row r="530" spans="1:26" ht="15.75" customHeight="1" x14ac:dyDescent="0.25">
      <c r="A530" s="71"/>
      <c r="B530" s="71"/>
      <c r="C530" s="71"/>
      <c r="D530" s="71"/>
      <c r="E530" s="71"/>
      <c r="F530" s="71"/>
      <c r="G530" s="71"/>
      <c r="H530" s="71"/>
      <c r="I530" s="71"/>
      <c r="J530" s="7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</row>
    <row r="531" spans="1:26" ht="15.75" customHeight="1" x14ac:dyDescent="0.25">
      <c r="A531" s="71"/>
      <c r="B531" s="71"/>
      <c r="C531" s="71"/>
      <c r="D531" s="71"/>
      <c r="E531" s="71"/>
      <c r="F531" s="71"/>
      <c r="G531" s="71"/>
      <c r="H531" s="71"/>
      <c r="I531" s="71"/>
      <c r="J531" s="7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</row>
    <row r="532" spans="1:26" ht="15.75" customHeight="1" x14ac:dyDescent="0.25">
      <c r="A532" s="71"/>
      <c r="B532" s="71"/>
      <c r="C532" s="71"/>
      <c r="D532" s="71"/>
      <c r="E532" s="71"/>
      <c r="F532" s="71"/>
      <c r="G532" s="71"/>
      <c r="H532" s="71"/>
      <c r="I532" s="71"/>
      <c r="J532" s="7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</row>
    <row r="533" spans="1:26" ht="15.75" customHeight="1" x14ac:dyDescent="0.25">
      <c r="A533" s="71"/>
      <c r="B533" s="71"/>
      <c r="C533" s="71"/>
      <c r="D533" s="71"/>
      <c r="E533" s="71"/>
      <c r="F533" s="71"/>
      <c r="G533" s="71"/>
      <c r="H533" s="71"/>
      <c r="I533" s="71"/>
      <c r="J533" s="7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</row>
    <row r="534" spans="1:26" ht="15.75" customHeight="1" x14ac:dyDescent="0.25">
      <c r="A534" s="7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</row>
    <row r="535" spans="1:26" ht="15.75" customHeight="1" x14ac:dyDescent="0.25">
      <c r="A535" s="71"/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</row>
    <row r="536" spans="1:26" ht="15.75" customHeight="1" x14ac:dyDescent="0.25">
      <c r="A536" s="71"/>
      <c r="B536" s="71"/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</row>
    <row r="537" spans="1:26" ht="15.75" customHeight="1" x14ac:dyDescent="0.25">
      <c r="A537" s="7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</row>
    <row r="538" spans="1:26" ht="15.75" customHeight="1" x14ac:dyDescent="0.25">
      <c r="A538" s="71"/>
      <c r="B538" s="71"/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</row>
    <row r="539" spans="1:26" ht="15.75" customHeight="1" x14ac:dyDescent="0.25">
      <c r="A539" s="7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</row>
    <row r="540" spans="1:26" ht="15.75" customHeight="1" x14ac:dyDescent="0.25">
      <c r="A540" s="71"/>
      <c r="B540" s="71"/>
      <c r="C540" s="71"/>
      <c r="D540" s="71"/>
      <c r="E540" s="71"/>
      <c r="F540" s="71"/>
      <c r="G540" s="71"/>
      <c r="H540" s="71"/>
      <c r="I540" s="71"/>
      <c r="J540" s="71"/>
      <c r="K540" s="71"/>
      <c r="L540" s="71"/>
      <c r="M540" s="71"/>
      <c r="N540" s="71"/>
      <c r="O540" s="71"/>
      <c r="P540" s="71"/>
      <c r="Q540" s="71"/>
      <c r="R540" s="71"/>
      <c r="S540" s="71"/>
      <c r="T540" s="71"/>
      <c r="U540" s="71"/>
      <c r="V540" s="71"/>
      <c r="W540" s="71"/>
      <c r="X540" s="71"/>
      <c r="Y540" s="71"/>
      <c r="Z540" s="71"/>
    </row>
    <row r="541" spans="1:26" ht="15.75" customHeight="1" x14ac:dyDescent="0.25">
      <c r="A541" s="71"/>
      <c r="B541" s="71"/>
      <c r="C541" s="71"/>
      <c r="D541" s="71"/>
      <c r="E541" s="71"/>
      <c r="F541" s="71"/>
      <c r="G541" s="71"/>
      <c r="H541" s="71"/>
      <c r="I541" s="71"/>
      <c r="J541" s="71"/>
      <c r="K541" s="71"/>
      <c r="L541" s="71"/>
      <c r="M541" s="71"/>
      <c r="N541" s="71"/>
      <c r="O541" s="71"/>
      <c r="P541" s="71"/>
      <c r="Q541" s="71"/>
      <c r="R541" s="71"/>
      <c r="S541" s="71"/>
      <c r="T541" s="71"/>
      <c r="U541" s="71"/>
      <c r="V541" s="71"/>
      <c r="W541" s="71"/>
      <c r="X541" s="71"/>
      <c r="Y541" s="71"/>
      <c r="Z541" s="71"/>
    </row>
    <row r="542" spans="1:26" ht="15.75" customHeight="1" x14ac:dyDescent="0.25">
      <c r="A542" s="71"/>
      <c r="B542" s="71"/>
      <c r="C542" s="71"/>
      <c r="D542" s="71"/>
      <c r="E542" s="71"/>
      <c r="F542" s="71"/>
      <c r="G542" s="71"/>
      <c r="H542" s="71"/>
      <c r="I542" s="71"/>
      <c r="J542" s="71"/>
      <c r="K542" s="71"/>
      <c r="L542" s="71"/>
      <c r="M542" s="71"/>
      <c r="N542" s="71"/>
      <c r="O542" s="71"/>
      <c r="P542" s="71"/>
      <c r="Q542" s="71"/>
      <c r="R542" s="71"/>
      <c r="S542" s="71"/>
      <c r="T542" s="71"/>
      <c r="U542" s="71"/>
      <c r="V542" s="71"/>
      <c r="W542" s="71"/>
      <c r="X542" s="71"/>
      <c r="Y542" s="71"/>
      <c r="Z542" s="71"/>
    </row>
    <row r="543" spans="1:26" ht="15.75" customHeight="1" x14ac:dyDescent="0.25">
      <c r="A543" s="71"/>
      <c r="B543" s="71"/>
      <c r="C543" s="71"/>
      <c r="D543" s="71"/>
      <c r="E543" s="71"/>
      <c r="F543" s="71"/>
      <c r="G543" s="71"/>
      <c r="H543" s="71"/>
      <c r="I543" s="71"/>
      <c r="J543" s="71"/>
      <c r="K543" s="71"/>
      <c r="L543" s="71"/>
      <c r="M543" s="71"/>
      <c r="N543" s="71"/>
      <c r="O543" s="71"/>
      <c r="P543" s="71"/>
      <c r="Q543" s="71"/>
      <c r="R543" s="71"/>
      <c r="S543" s="71"/>
      <c r="T543" s="71"/>
      <c r="U543" s="71"/>
      <c r="V543" s="71"/>
      <c r="W543" s="71"/>
      <c r="X543" s="71"/>
      <c r="Y543" s="71"/>
      <c r="Z543" s="71"/>
    </row>
    <row r="544" spans="1:26" ht="15.75" customHeight="1" x14ac:dyDescent="0.25">
      <c r="A544" s="71"/>
      <c r="B544" s="71"/>
      <c r="C544" s="71"/>
      <c r="D544" s="71"/>
      <c r="E544" s="71"/>
      <c r="F544" s="71"/>
      <c r="G544" s="71"/>
      <c r="H544" s="71"/>
      <c r="I544" s="71"/>
      <c r="J544" s="71"/>
      <c r="K544" s="71"/>
      <c r="L544" s="71"/>
      <c r="M544" s="71"/>
      <c r="N544" s="71"/>
      <c r="O544" s="71"/>
      <c r="P544" s="71"/>
      <c r="Q544" s="71"/>
      <c r="R544" s="71"/>
      <c r="S544" s="71"/>
      <c r="T544" s="71"/>
      <c r="U544" s="71"/>
      <c r="V544" s="71"/>
      <c r="W544" s="71"/>
      <c r="X544" s="71"/>
      <c r="Y544" s="71"/>
      <c r="Z544" s="71"/>
    </row>
    <row r="545" spans="1:26" ht="15.75" customHeight="1" x14ac:dyDescent="0.25">
      <c r="A545" s="71"/>
      <c r="B545" s="71"/>
      <c r="C545" s="71"/>
      <c r="D545" s="71"/>
      <c r="E545" s="71"/>
      <c r="F545" s="71"/>
      <c r="G545" s="71"/>
      <c r="H545" s="71"/>
      <c r="I545" s="71"/>
      <c r="J545" s="71"/>
      <c r="K545" s="71"/>
      <c r="L545" s="71"/>
      <c r="M545" s="71"/>
      <c r="N545" s="71"/>
      <c r="O545" s="71"/>
      <c r="P545" s="71"/>
      <c r="Q545" s="71"/>
      <c r="R545" s="71"/>
      <c r="S545" s="71"/>
      <c r="T545" s="71"/>
      <c r="U545" s="71"/>
      <c r="V545" s="71"/>
      <c r="W545" s="71"/>
      <c r="X545" s="71"/>
      <c r="Y545" s="71"/>
      <c r="Z545" s="71"/>
    </row>
    <row r="546" spans="1:26" ht="15.75" customHeight="1" x14ac:dyDescent="0.25">
      <c r="A546" s="71"/>
      <c r="B546" s="71"/>
      <c r="C546" s="71"/>
      <c r="D546" s="71"/>
      <c r="E546" s="71"/>
      <c r="F546" s="71"/>
      <c r="G546" s="71"/>
      <c r="H546" s="71"/>
      <c r="I546" s="71"/>
      <c r="J546" s="71"/>
      <c r="K546" s="71"/>
      <c r="L546" s="71"/>
      <c r="M546" s="71"/>
      <c r="N546" s="71"/>
      <c r="O546" s="71"/>
      <c r="P546" s="71"/>
      <c r="Q546" s="71"/>
      <c r="R546" s="71"/>
      <c r="S546" s="71"/>
      <c r="T546" s="71"/>
      <c r="U546" s="71"/>
      <c r="V546" s="71"/>
      <c r="W546" s="71"/>
      <c r="X546" s="71"/>
      <c r="Y546" s="71"/>
      <c r="Z546" s="71"/>
    </row>
    <row r="547" spans="1:26" ht="15.75" customHeight="1" x14ac:dyDescent="0.25">
      <c r="A547" s="7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</row>
    <row r="548" spans="1:26" ht="15.75" customHeight="1" x14ac:dyDescent="0.25">
      <c r="A548" s="71"/>
      <c r="B548" s="71"/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</row>
    <row r="549" spans="1:26" ht="15.75" customHeight="1" x14ac:dyDescent="0.25">
      <c r="A549" s="7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</row>
    <row r="550" spans="1:26" ht="15.75" customHeight="1" x14ac:dyDescent="0.25">
      <c r="A550" s="71"/>
      <c r="B550" s="71"/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</row>
    <row r="551" spans="1:26" ht="15.75" customHeight="1" x14ac:dyDescent="0.25">
      <c r="A551" s="7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</row>
    <row r="552" spans="1:26" ht="15.75" customHeight="1" x14ac:dyDescent="0.25">
      <c r="A552" s="71"/>
      <c r="B552" s="71"/>
      <c r="C552" s="71"/>
      <c r="D552" s="71"/>
      <c r="E552" s="71"/>
      <c r="F552" s="71"/>
      <c r="G552" s="71"/>
      <c r="H552" s="71"/>
      <c r="I552" s="71"/>
      <c r="J552" s="71"/>
      <c r="K552" s="71"/>
      <c r="L552" s="71"/>
      <c r="M552" s="71"/>
      <c r="N552" s="71"/>
      <c r="O552" s="71"/>
      <c r="P552" s="71"/>
      <c r="Q552" s="71"/>
      <c r="R552" s="71"/>
      <c r="S552" s="71"/>
      <c r="T552" s="71"/>
      <c r="U552" s="71"/>
      <c r="V552" s="71"/>
      <c r="W552" s="71"/>
      <c r="X552" s="71"/>
      <c r="Y552" s="71"/>
      <c r="Z552" s="71"/>
    </row>
    <row r="553" spans="1:26" ht="15.75" customHeight="1" x14ac:dyDescent="0.25">
      <c r="A553" s="71"/>
      <c r="B553" s="71"/>
      <c r="C553" s="71"/>
      <c r="D553" s="71"/>
      <c r="E553" s="71"/>
      <c r="F553" s="71"/>
      <c r="G553" s="71"/>
      <c r="H553" s="71"/>
      <c r="I553" s="71"/>
      <c r="J553" s="71"/>
      <c r="K553" s="71"/>
      <c r="L553" s="71"/>
      <c r="M553" s="71"/>
      <c r="N553" s="71"/>
      <c r="O553" s="71"/>
      <c r="P553" s="71"/>
      <c r="Q553" s="71"/>
      <c r="R553" s="71"/>
      <c r="S553" s="71"/>
      <c r="T553" s="71"/>
      <c r="U553" s="71"/>
      <c r="V553" s="71"/>
      <c r="W553" s="71"/>
      <c r="X553" s="71"/>
      <c r="Y553" s="71"/>
      <c r="Z553" s="71"/>
    </row>
    <row r="554" spans="1:26" ht="15.75" customHeight="1" x14ac:dyDescent="0.25">
      <c r="A554" s="71"/>
      <c r="B554" s="71"/>
      <c r="C554" s="71"/>
      <c r="D554" s="71"/>
      <c r="E554" s="71"/>
      <c r="F554" s="71"/>
      <c r="G554" s="71"/>
      <c r="H554" s="71"/>
      <c r="I554" s="71"/>
      <c r="J554" s="71"/>
      <c r="K554" s="71"/>
      <c r="L554" s="71"/>
      <c r="M554" s="71"/>
      <c r="N554" s="71"/>
      <c r="O554" s="71"/>
      <c r="P554" s="71"/>
      <c r="Q554" s="71"/>
      <c r="R554" s="71"/>
      <c r="S554" s="71"/>
      <c r="T554" s="71"/>
      <c r="U554" s="71"/>
      <c r="V554" s="71"/>
      <c r="W554" s="71"/>
      <c r="X554" s="71"/>
      <c r="Y554" s="71"/>
      <c r="Z554" s="71"/>
    </row>
    <row r="555" spans="1:26" ht="15.75" customHeight="1" x14ac:dyDescent="0.25">
      <c r="A555" s="71"/>
      <c r="B555" s="71"/>
      <c r="C555" s="71"/>
      <c r="D555" s="71"/>
      <c r="E555" s="71"/>
      <c r="F555" s="71"/>
      <c r="G555" s="71"/>
      <c r="H555" s="71"/>
      <c r="I555" s="71"/>
      <c r="J555" s="71"/>
      <c r="K555" s="71"/>
      <c r="L555" s="71"/>
      <c r="M555" s="71"/>
      <c r="N555" s="71"/>
      <c r="O555" s="71"/>
      <c r="P555" s="71"/>
      <c r="Q555" s="71"/>
      <c r="R555" s="71"/>
      <c r="S555" s="71"/>
      <c r="T555" s="71"/>
      <c r="U555" s="71"/>
      <c r="V555" s="71"/>
      <c r="W555" s="71"/>
      <c r="X555" s="71"/>
      <c r="Y555" s="71"/>
      <c r="Z555" s="71"/>
    </row>
    <row r="556" spans="1:26" ht="15.75" customHeight="1" x14ac:dyDescent="0.25">
      <c r="A556" s="71"/>
      <c r="B556" s="71"/>
      <c r="C556" s="71"/>
      <c r="D556" s="71"/>
      <c r="E556" s="71"/>
      <c r="F556" s="71"/>
      <c r="G556" s="71"/>
      <c r="H556" s="71"/>
      <c r="I556" s="71"/>
      <c r="J556" s="71"/>
      <c r="K556" s="71"/>
      <c r="L556" s="71"/>
      <c r="M556" s="71"/>
      <c r="N556" s="71"/>
      <c r="O556" s="71"/>
      <c r="P556" s="71"/>
      <c r="Q556" s="71"/>
      <c r="R556" s="71"/>
      <c r="S556" s="71"/>
      <c r="T556" s="71"/>
      <c r="U556" s="71"/>
      <c r="V556" s="71"/>
      <c r="W556" s="71"/>
      <c r="X556" s="71"/>
      <c r="Y556" s="71"/>
      <c r="Z556" s="71"/>
    </row>
    <row r="557" spans="1:26" ht="15.75" customHeight="1" x14ac:dyDescent="0.25">
      <c r="A557" s="71"/>
      <c r="B557" s="71"/>
      <c r="C557" s="71"/>
      <c r="D557" s="71"/>
      <c r="E557" s="71"/>
      <c r="F557" s="71"/>
      <c r="G557" s="71"/>
      <c r="H557" s="71"/>
      <c r="I557" s="71"/>
      <c r="J557" s="71"/>
      <c r="K557" s="71"/>
      <c r="L557" s="71"/>
      <c r="M557" s="71"/>
      <c r="N557" s="71"/>
      <c r="O557" s="71"/>
      <c r="P557" s="71"/>
      <c r="Q557" s="71"/>
      <c r="R557" s="71"/>
      <c r="S557" s="71"/>
      <c r="T557" s="71"/>
      <c r="U557" s="71"/>
      <c r="V557" s="71"/>
      <c r="W557" s="71"/>
      <c r="X557" s="71"/>
      <c r="Y557" s="71"/>
      <c r="Z557" s="71"/>
    </row>
    <row r="558" spans="1:26" ht="15.75" customHeight="1" x14ac:dyDescent="0.25">
      <c r="A558" s="71"/>
      <c r="B558" s="71"/>
      <c r="C558" s="71"/>
      <c r="D558" s="71"/>
      <c r="E558" s="71"/>
      <c r="F558" s="71"/>
      <c r="G558" s="71"/>
      <c r="H558" s="71"/>
      <c r="I558" s="71"/>
      <c r="J558" s="71"/>
      <c r="K558" s="71"/>
      <c r="L558" s="71"/>
      <c r="M558" s="71"/>
      <c r="N558" s="71"/>
      <c r="O558" s="71"/>
      <c r="P558" s="71"/>
      <c r="Q558" s="71"/>
      <c r="R558" s="71"/>
      <c r="S558" s="71"/>
      <c r="T558" s="71"/>
      <c r="U558" s="71"/>
      <c r="V558" s="71"/>
      <c r="W558" s="71"/>
      <c r="X558" s="71"/>
      <c r="Y558" s="71"/>
      <c r="Z558" s="71"/>
    </row>
    <row r="559" spans="1:26" ht="15.75" customHeight="1" x14ac:dyDescent="0.25">
      <c r="A559" s="71"/>
      <c r="B559" s="71"/>
      <c r="C559" s="71"/>
      <c r="D559" s="71"/>
      <c r="E559" s="71"/>
      <c r="F559" s="71"/>
      <c r="G559" s="71"/>
      <c r="H559" s="71"/>
      <c r="I559" s="71"/>
      <c r="J559" s="71"/>
      <c r="K559" s="71"/>
      <c r="L559" s="71"/>
      <c r="M559" s="71"/>
      <c r="N559" s="71"/>
      <c r="O559" s="71"/>
      <c r="P559" s="71"/>
      <c r="Q559" s="71"/>
      <c r="R559" s="71"/>
      <c r="S559" s="71"/>
      <c r="T559" s="71"/>
      <c r="U559" s="71"/>
      <c r="V559" s="71"/>
      <c r="W559" s="71"/>
      <c r="X559" s="71"/>
      <c r="Y559" s="71"/>
      <c r="Z559" s="71"/>
    </row>
    <row r="560" spans="1:26" ht="15.75" customHeight="1" x14ac:dyDescent="0.25">
      <c r="A560" s="7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</row>
    <row r="561" spans="1:26" ht="15.75" customHeight="1" x14ac:dyDescent="0.25">
      <c r="A561" s="71"/>
      <c r="B561" s="71"/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</row>
    <row r="562" spans="1:26" ht="15.75" customHeight="1" x14ac:dyDescent="0.25">
      <c r="A562" s="7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</row>
    <row r="563" spans="1:26" ht="15.75" customHeight="1" x14ac:dyDescent="0.25">
      <c r="A563" s="71"/>
      <c r="B563" s="71"/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</row>
    <row r="564" spans="1:26" ht="15.75" customHeight="1" x14ac:dyDescent="0.25">
      <c r="A564" s="7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</row>
    <row r="565" spans="1:26" ht="15.75" customHeight="1" x14ac:dyDescent="0.25">
      <c r="A565" s="71"/>
      <c r="B565" s="71"/>
      <c r="C565" s="71"/>
      <c r="D565" s="71"/>
      <c r="E565" s="71"/>
      <c r="F565" s="71"/>
      <c r="G565" s="71"/>
      <c r="H565" s="71"/>
      <c r="I565" s="71"/>
      <c r="J565" s="71"/>
      <c r="K565" s="71"/>
      <c r="L565" s="71"/>
      <c r="M565" s="71"/>
      <c r="N565" s="71"/>
      <c r="O565" s="71"/>
      <c r="P565" s="71"/>
      <c r="Q565" s="71"/>
      <c r="R565" s="71"/>
      <c r="S565" s="71"/>
      <c r="T565" s="71"/>
      <c r="U565" s="71"/>
      <c r="V565" s="71"/>
      <c r="W565" s="71"/>
      <c r="X565" s="71"/>
      <c r="Y565" s="71"/>
      <c r="Z565" s="71"/>
    </row>
    <row r="566" spans="1:26" ht="15.75" customHeight="1" x14ac:dyDescent="0.25">
      <c r="A566" s="71"/>
      <c r="B566" s="71"/>
      <c r="C566" s="71"/>
      <c r="D566" s="71"/>
      <c r="E566" s="71"/>
      <c r="F566" s="71"/>
      <c r="G566" s="71"/>
      <c r="H566" s="71"/>
      <c r="I566" s="71"/>
      <c r="J566" s="71"/>
      <c r="K566" s="71"/>
      <c r="L566" s="71"/>
      <c r="M566" s="71"/>
      <c r="N566" s="71"/>
      <c r="O566" s="71"/>
      <c r="P566" s="71"/>
      <c r="Q566" s="71"/>
      <c r="R566" s="71"/>
      <c r="S566" s="71"/>
      <c r="T566" s="71"/>
      <c r="U566" s="71"/>
      <c r="V566" s="71"/>
      <c r="W566" s="71"/>
      <c r="X566" s="71"/>
      <c r="Y566" s="71"/>
      <c r="Z566" s="71"/>
    </row>
    <row r="567" spans="1:26" ht="15.75" customHeight="1" x14ac:dyDescent="0.25">
      <c r="A567" s="71"/>
      <c r="B567" s="71"/>
      <c r="C567" s="71"/>
      <c r="D567" s="71"/>
      <c r="E567" s="71"/>
      <c r="F567" s="71"/>
      <c r="G567" s="71"/>
      <c r="H567" s="71"/>
      <c r="I567" s="71"/>
      <c r="J567" s="71"/>
      <c r="K567" s="71"/>
      <c r="L567" s="71"/>
      <c r="M567" s="71"/>
      <c r="N567" s="71"/>
      <c r="O567" s="71"/>
      <c r="P567" s="71"/>
      <c r="Q567" s="71"/>
      <c r="R567" s="71"/>
      <c r="S567" s="71"/>
      <c r="T567" s="71"/>
      <c r="U567" s="71"/>
      <c r="V567" s="71"/>
      <c r="W567" s="71"/>
      <c r="X567" s="71"/>
      <c r="Y567" s="71"/>
      <c r="Z567" s="71"/>
    </row>
    <row r="568" spans="1:26" ht="15.75" customHeight="1" x14ac:dyDescent="0.25">
      <c r="A568" s="71"/>
      <c r="B568" s="71"/>
      <c r="C568" s="71"/>
      <c r="D568" s="71"/>
      <c r="E568" s="71"/>
      <c r="F568" s="71"/>
      <c r="G568" s="71"/>
      <c r="H568" s="71"/>
      <c r="I568" s="71"/>
      <c r="J568" s="71"/>
      <c r="K568" s="71"/>
      <c r="L568" s="71"/>
      <c r="M568" s="71"/>
      <c r="N568" s="71"/>
      <c r="O568" s="71"/>
      <c r="P568" s="71"/>
      <c r="Q568" s="71"/>
      <c r="R568" s="71"/>
      <c r="S568" s="71"/>
      <c r="T568" s="71"/>
      <c r="U568" s="71"/>
      <c r="V568" s="71"/>
      <c r="W568" s="71"/>
      <c r="X568" s="71"/>
      <c r="Y568" s="71"/>
      <c r="Z568" s="71"/>
    </row>
    <row r="569" spans="1:26" ht="15.75" customHeight="1" x14ac:dyDescent="0.25">
      <c r="A569" s="71"/>
      <c r="B569" s="71"/>
      <c r="C569" s="71"/>
      <c r="D569" s="71"/>
      <c r="E569" s="71"/>
      <c r="F569" s="71"/>
      <c r="G569" s="71"/>
      <c r="H569" s="71"/>
      <c r="I569" s="71"/>
      <c r="J569" s="71"/>
      <c r="K569" s="71"/>
      <c r="L569" s="71"/>
      <c r="M569" s="71"/>
      <c r="N569" s="71"/>
      <c r="O569" s="71"/>
      <c r="P569" s="71"/>
      <c r="Q569" s="71"/>
      <c r="R569" s="71"/>
      <c r="S569" s="71"/>
      <c r="T569" s="71"/>
      <c r="U569" s="71"/>
      <c r="V569" s="71"/>
      <c r="W569" s="71"/>
      <c r="X569" s="71"/>
      <c r="Y569" s="71"/>
      <c r="Z569" s="71"/>
    </row>
    <row r="570" spans="1:26" ht="15.75" customHeight="1" x14ac:dyDescent="0.25">
      <c r="A570" s="71"/>
      <c r="B570" s="71"/>
      <c r="C570" s="71"/>
      <c r="D570" s="71"/>
      <c r="E570" s="71"/>
      <c r="F570" s="71"/>
      <c r="G570" s="71"/>
      <c r="H570" s="71"/>
      <c r="I570" s="71"/>
      <c r="J570" s="71"/>
      <c r="K570" s="71"/>
      <c r="L570" s="71"/>
      <c r="M570" s="71"/>
      <c r="N570" s="71"/>
      <c r="O570" s="71"/>
      <c r="P570" s="71"/>
      <c r="Q570" s="71"/>
      <c r="R570" s="71"/>
      <c r="S570" s="71"/>
      <c r="T570" s="71"/>
      <c r="U570" s="71"/>
      <c r="V570" s="71"/>
      <c r="W570" s="71"/>
      <c r="X570" s="71"/>
      <c r="Y570" s="71"/>
      <c r="Z570" s="71"/>
    </row>
    <row r="571" spans="1:26" ht="15.75" customHeight="1" x14ac:dyDescent="0.25">
      <c r="A571" s="71"/>
      <c r="B571" s="71"/>
      <c r="C571" s="71"/>
      <c r="D571" s="71"/>
      <c r="E571" s="71"/>
      <c r="F571" s="71"/>
      <c r="G571" s="71"/>
      <c r="H571" s="71"/>
      <c r="I571" s="71"/>
      <c r="J571" s="71"/>
      <c r="K571" s="71"/>
      <c r="L571" s="71"/>
      <c r="M571" s="71"/>
      <c r="N571" s="71"/>
      <c r="O571" s="71"/>
      <c r="P571" s="71"/>
      <c r="Q571" s="71"/>
      <c r="R571" s="71"/>
      <c r="S571" s="71"/>
      <c r="T571" s="71"/>
      <c r="U571" s="71"/>
      <c r="V571" s="71"/>
      <c r="W571" s="71"/>
      <c r="X571" s="71"/>
      <c r="Y571" s="71"/>
      <c r="Z571" s="71"/>
    </row>
    <row r="572" spans="1:26" ht="15.75" customHeight="1" x14ac:dyDescent="0.25">
      <c r="A572" s="71"/>
      <c r="B572" s="71"/>
      <c r="C572" s="71"/>
      <c r="D572" s="71"/>
      <c r="E572" s="71"/>
      <c r="F572" s="71"/>
      <c r="G572" s="71"/>
      <c r="H572" s="71"/>
      <c r="I572" s="71"/>
      <c r="J572" s="71"/>
      <c r="K572" s="71"/>
      <c r="L572" s="71"/>
      <c r="M572" s="71"/>
      <c r="N572" s="71"/>
      <c r="O572" s="71"/>
      <c r="P572" s="71"/>
      <c r="Q572" s="71"/>
      <c r="R572" s="71"/>
      <c r="S572" s="71"/>
      <c r="T572" s="71"/>
      <c r="U572" s="71"/>
      <c r="V572" s="71"/>
      <c r="W572" s="71"/>
      <c r="X572" s="71"/>
      <c r="Y572" s="71"/>
      <c r="Z572" s="71"/>
    </row>
    <row r="573" spans="1:26" ht="15.75" customHeight="1" x14ac:dyDescent="0.25">
      <c r="A573" s="71"/>
      <c r="B573" s="71"/>
      <c r="C573" s="71"/>
      <c r="D573" s="71"/>
      <c r="E573" s="71"/>
      <c r="F573" s="71"/>
      <c r="G573" s="71"/>
      <c r="H573" s="71"/>
      <c r="I573" s="71"/>
      <c r="J573" s="71"/>
      <c r="K573" s="71"/>
      <c r="L573" s="71"/>
      <c r="M573" s="71"/>
      <c r="N573" s="71"/>
      <c r="O573" s="71"/>
      <c r="P573" s="71"/>
      <c r="Q573" s="71"/>
      <c r="R573" s="71"/>
      <c r="S573" s="71"/>
      <c r="T573" s="71"/>
      <c r="U573" s="71"/>
      <c r="V573" s="71"/>
      <c r="W573" s="71"/>
      <c r="X573" s="71"/>
      <c r="Y573" s="71"/>
      <c r="Z573" s="71"/>
    </row>
    <row r="574" spans="1:26" ht="15.75" customHeight="1" x14ac:dyDescent="0.25">
      <c r="A574" s="7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</row>
    <row r="575" spans="1:26" ht="15.75" customHeight="1" x14ac:dyDescent="0.25">
      <c r="A575" s="71"/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</row>
    <row r="576" spans="1:26" ht="15.75" customHeight="1" x14ac:dyDescent="0.25">
      <c r="A576" s="71"/>
      <c r="B576" s="71"/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</row>
    <row r="577" spans="1:26" ht="15.75" customHeight="1" x14ac:dyDescent="0.25">
      <c r="A577" s="7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</row>
    <row r="578" spans="1:26" ht="15.75" customHeight="1" x14ac:dyDescent="0.25">
      <c r="A578" s="7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</row>
    <row r="579" spans="1:26" ht="15.75" customHeight="1" x14ac:dyDescent="0.25">
      <c r="A579" s="7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</row>
    <row r="580" spans="1:26" ht="15.75" customHeight="1" x14ac:dyDescent="0.25">
      <c r="A580" s="7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</row>
    <row r="581" spans="1:26" ht="15.75" customHeight="1" x14ac:dyDescent="0.25">
      <c r="A581" s="7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</row>
    <row r="582" spans="1:26" ht="15.75" customHeight="1" x14ac:dyDescent="0.25">
      <c r="A582" s="7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</row>
    <row r="583" spans="1:26" ht="15.75" customHeight="1" x14ac:dyDescent="0.25">
      <c r="A583" s="7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</row>
    <row r="584" spans="1:26" ht="15.75" customHeight="1" x14ac:dyDescent="0.25">
      <c r="A584" s="7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</row>
    <row r="585" spans="1:26" ht="15.75" customHeight="1" x14ac:dyDescent="0.25">
      <c r="A585" s="7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</row>
    <row r="586" spans="1:26" ht="15.75" customHeight="1" x14ac:dyDescent="0.25">
      <c r="A586" s="7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</row>
    <row r="587" spans="1:26" ht="15.75" customHeight="1" x14ac:dyDescent="0.25">
      <c r="A587" s="7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</row>
    <row r="588" spans="1:26" ht="15.75" customHeight="1" x14ac:dyDescent="0.25">
      <c r="A588" s="7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</row>
    <row r="589" spans="1:26" ht="15.75" customHeight="1" x14ac:dyDescent="0.25">
      <c r="A589" s="7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</row>
    <row r="590" spans="1:26" ht="15.75" customHeight="1" x14ac:dyDescent="0.25">
      <c r="A590" s="7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</row>
    <row r="591" spans="1:26" ht="15.75" customHeight="1" x14ac:dyDescent="0.25">
      <c r="A591" s="7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</row>
    <row r="592" spans="1:26" ht="15.75" customHeight="1" x14ac:dyDescent="0.25">
      <c r="A592" s="7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</row>
    <row r="593" spans="1:26" ht="15.75" customHeight="1" x14ac:dyDescent="0.25">
      <c r="A593" s="7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</row>
    <row r="594" spans="1:26" ht="15.75" customHeight="1" x14ac:dyDescent="0.25">
      <c r="A594" s="7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</row>
    <row r="595" spans="1:26" ht="15.75" customHeight="1" x14ac:dyDescent="0.25">
      <c r="A595" s="7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</row>
    <row r="596" spans="1:26" ht="15.75" customHeight="1" x14ac:dyDescent="0.25">
      <c r="A596" s="7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</row>
    <row r="597" spans="1:26" ht="15.75" customHeight="1" x14ac:dyDescent="0.25">
      <c r="A597" s="7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</row>
    <row r="598" spans="1:26" ht="15.75" customHeight="1" x14ac:dyDescent="0.25">
      <c r="A598" s="7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</row>
    <row r="599" spans="1:26" ht="15.75" customHeight="1" x14ac:dyDescent="0.25">
      <c r="A599" s="7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</row>
    <row r="600" spans="1:26" ht="15.75" customHeight="1" x14ac:dyDescent="0.25">
      <c r="A600" s="7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</row>
    <row r="601" spans="1:26" ht="15.75" customHeight="1" x14ac:dyDescent="0.25">
      <c r="A601" s="7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</row>
    <row r="602" spans="1:26" ht="15.75" customHeight="1" x14ac:dyDescent="0.25">
      <c r="A602" s="7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</row>
    <row r="603" spans="1:26" ht="15.75" customHeight="1" x14ac:dyDescent="0.25">
      <c r="A603" s="7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</row>
    <row r="604" spans="1:26" ht="15.75" customHeight="1" x14ac:dyDescent="0.25">
      <c r="A604" s="7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</row>
    <row r="605" spans="1:26" ht="15.75" customHeight="1" x14ac:dyDescent="0.25">
      <c r="A605" s="7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</row>
    <row r="606" spans="1:26" ht="15.75" customHeight="1" x14ac:dyDescent="0.25">
      <c r="A606" s="7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</row>
    <row r="607" spans="1:26" ht="15.75" customHeight="1" x14ac:dyDescent="0.25">
      <c r="A607" s="71"/>
      <c r="B607" s="71"/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</row>
    <row r="608" spans="1:26" ht="15.75" customHeight="1" x14ac:dyDescent="0.25">
      <c r="A608" s="7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</row>
    <row r="609" spans="1:26" ht="15.75" customHeight="1" x14ac:dyDescent="0.25">
      <c r="A609" s="7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</row>
    <row r="610" spans="1:26" ht="15.75" customHeight="1" x14ac:dyDescent="0.25">
      <c r="A610" s="7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</row>
    <row r="611" spans="1:26" ht="15.75" customHeight="1" x14ac:dyDescent="0.25">
      <c r="A611" s="7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</row>
    <row r="612" spans="1:26" ht="15.75" customHeight="1" x14ac:dyDescent="0.25">
      <c r="A612" s="7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</row>
    <row r="613" spans="1:26" ht="15.75" customHeight="1" x14ac:dyDescent="0.25">
      <c r="A613" s="7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</row>
    <row r="614" spans="1:26" ht="15.75" customHeight="1" x14ac:dyDescent="0.25">
      <c r="A614" s="7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</row>
    <row r="615" spans="1:26" ht="15.75" customHeight="1" x14ac:dyDescent="0.25">
      <c r="A615" s="7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</row>
    <row r="616" spans="1:26" ht="15.75" customHeight="1" x14ac:dyDescent="0.25">
      <c r="A616" s="7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</row>
    <row r="617" spans="1:26" ht="15.75" customHeight="1" x14ac:dyDescent="0.25">
      <c r="A617" s="7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</row>
    <row r="618" spans="1:26" ht="15.75" customHeight="1" x14ac:dyDescent="0.25">
      <c r="A618" s="7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</row>
    <row r="619" spans="1:26" ht="15.75" customHeight="1" x14ac:dyDescent="0.25">
      <c r="A619" s="7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</row>
    <row r="620" spans="1:26" ht="15.75" customHeight="1" x14ac:dyDescent="0.25">
      <c r="A620" s="7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</row>
    <row r="621" spans="1:26" ht="15.75" customHeight="1" x14ac:dyDescent="0.25">
      <c r="A621" s="7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</row>
    <row r="622" spans="1:26" ht="15.75" customHeight="1" x14ac:dyDescent="0.25">
      <c r="A622" s="7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</row>
    <row r="623" spans="1:26" ht="15.75" customHeight="1" x14ac:dyDescent="0.25">
      <c r="A623" s="7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</row>
    <row r="624" spans="1:26" ht="15.75" customHeight="1" x14ac:dyDescent="0.25">
      <c r="A624" s="7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</row>
    <row r="625" spans="1:26" ht="15.75" customHeight="1" x14ac:dyDescent="0.25">
      <c r="A625" s="7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</row>
    <row r="626" spans="1:26" ht="15.75" customHeight="1" x14ac:dyDescent="0.25">
      <c r="A626" s="7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</row>
    <row r="627" spans="1:26" ht="15.75" customHeight="1" x14ac:dyDescent="0.25">
      <c r="A627" s="7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</row>
    <row r="628" spans="1:26" ht="15.75" customHeight="1" x14ac:dyDescent="0.25">
      <c r="A628" s="7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</row>
    <row r="629" spans="1:26" ht="15.75" customHeight="1" x14ac:dyDescent="0.25">
      <c r="A629" s="7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</row>
    <row r="630" spans="1:26" ht="15.75" customHeight="1" x14ac:dyDescent="0.25">
      <c r="A630" s="7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</row>
    <row r="631" spans="1:26" ht="15.75" customHeight="1" x14ac:dyDescent="0.25">
      <c r="A631" s="7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</row>
    <row r="632" spans="1:26" ht="15.75" customHeight="1" x14ac:dyDescent="0.25">
      <c r="A632" s="7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</row>
    <row r="633" spans="1:26" ht="15.75" customHeight="1" x14ac:dyDescent="0.25">
      <c r="A633" s="7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</row>
    <row r="634" spans="1:26" ht="15.75" customHeight="1" x14ac:dyDescent="0.25">
      <c r="A634" s="7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</row>
    <row r="635" spans="1:26" ht="15.75" customHeight="1" x14ac:dyDescent="0.25">
      <c r="A635" s="7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</row>
    <row r="636" spans="1:26" ht="15.75" customHeight="1" x14ac:dyDescent="0.25">
      <c r="A636" s="7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</row>
    <row r="637" spans="1:26" ht="15.75" customHeight="1" x14ac:dyDescent="0.25">
      <c r="A637" s="7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</row>
    <row r="638" spans="1:26" ht="15.75" customHeight="1" x14ac:dyDescent="0.25">
      <c r="A638" s="7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</row>
    <row r="639" spans="1:26" ht="15.75" customHeight="1" x14ac:dyDescent="0.25">
      <c r="A639" s="7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</row>
    <row r="640" spans="1:26" ht="15.75" customHeight="1" x14ac:dyDescent="0.25">
      <c r="A640" s="7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</row>
    <row r="641" spans="1:26" ht="15.75" customHeight="1" x14ac:dyDescent="0.25">
      <c r="A641" s="7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</row>
    <row r="642" spans="1:26" ht="15.75" customHeight="1" x14ac:dyDescent="0.25">
      <c r="A642" s="7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</row>
    <row r="643" spans="1:26" ht="15.75" customHeight="1" x14ac:dyDescent="0.25">
      <c r="A643" s="7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</row>
    <row r="644" spans="1:26" ht="15.75" customHeight="1" x14ac:dyDescent="0.25">
      <c r="A644" s="7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</row>
    <row r="645" spans="1:26" ht="15.75" customHeight="1" x14ac:dyDescent="0.25">
      <c r="A645" s="7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</row>
    <row r="646" spans="1:26" ht="15.75" customHeight="1" x14ac:dyDescent="0.25">
      <c r="A646" s="7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</row>
    <row r="647" spans="1:26" ht="15.75" customHeight="1" x14ac:dyDescent="0.25">
      <c r="A647" s="7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</row>
    <row r="648" spans="1:26" ht="15.75" customHeight="1" x14ac:dyDescent="0.25">
      <c r="A648" s="7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</row>
    <row r="649" spans="1:26" ht="15.75" customHeight="1" x14ac:dyDescent="0.25">
      <c r="A649" s="7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</row>
    <row r="650" spans="1:26" ht="15.75" customHeight="1" x14ac:dyDescent="0.25">
      <c r="A650" s="7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</row>
    <row r="651" spans="1:26" ht="15.75" customHeight="1" x14ac:dyDescent="0.25">
      <c r="A651" s="7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</row>
    <row r="652" spans="1:26" ht="15.75" customHeight="1" x14ac:dyDescent="0.25">
      <c r="A652" s="7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</row>
    <row r="653" spans="1:26" ht="15.75" customHeight="1" x14ac:dyDescent="0.25">
      <c r="A653" s="7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</row>
    <row r="654" spans="1:26" ht="15.75" customHeight="1" x14ac:dyDescent="0.25">
      <c r="A654" s="7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</row>
    <row r="655" spans="1:26" ht="15.75" customHeight="1" x14ac:dyDescent="0.25">
      <c r="A655" s="7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</row>
    <row r="656" spans="1:26" ht="15.75" customHeight="1" x14ac:dyDescent="0.25">
      <c r="A656" s="7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</row>
    <row r="657" spans="1:26" ht="15.75" customHeight="1" x14ac:dyDescent="0.25">
      <c r="A657" s="7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</row>
    <row r="658" spans="1:26" ht="15.75" customHeight="1" x14ac:dyDescent="0.25">
      <c r="A658" s="7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</row>
    <row r="659" spans="1:26" ht="15.75" customHeight="1" x14ac:dyDescent="0.25">
      <c r="A659" s="7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</row>
    <row r="660" spans="1:26" ht="15.75" customHeight="1" x14ac:dyDescent="0.25">
      <c r="A660" s="7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</row>
    <row r="661" spans="1:26" ht="15.75" customHeight="1" x14ac:dyDescent="0.25">
      <c r="A661" s="7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</row>
    <row r="662" spans="1:26" ht="15.75" customHeight="1" x14ac:dyDescent="0.25">
      <c r="A662" s="7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</row>
    <row r="663" spans="1:26" ht="15.75" customHeight="1" x14ac:dyDescent="0.25">
      <c r="A663" s="7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</row>
    <row r="664" spans="1:26" ht="15.75" customHeight="1" x14ac:dyDescent="0.25">
      <c r="A664" s="7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</row>
    <row r="665" spans="1:26" ht="15.75" customHeight="1" x14ac:dyDescent="0.25">
      <c r="A665" s="7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</row>
    <row r="666" spans="1:26" ht="15.75" customHeight="1" x14ac:dyDescent="0.25">
      <c r="A666" s="7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</row>
    <row r="667" spans="1:26" ht="15.75" customHeight="1" x14ac:dyDescent="0.25">
      <c r="A667" s="7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</row>
    <row r="668" spans="1:26" ht="15.75" customHeight="1" x14ac:dyDescent="0.25">
      <c r="A668" s="7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</row>
    <row r="669" spans="1:26" ht="15.75" customHeight="1" x14ac:dyDescent="0.25">
      <c r="A669" s="7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</row>
    <row r="670" spans="1:26" ht="15.75" customHeight="1" x14ac:dyDescent="0.25">
      <c r="A670" s="7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</row>
    <row r="671" spans="1:26" ht="15.75" customHeight="1" x14ac:dyDescent="0.25">
      <c r="A671" s="7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</row>
    <row r="672" spans="1:26" ht="15.75" customHeight="1" x14ac:dyDescent="0.25">
      <c r="A672" s="7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</row>
    <row r="673" spans="1:26" ht="15.75" customHeight="1" x14ac:dyDescent="0.25">
      <c r="A673" s="7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</row>
    <row r="674" spans="1:26" ht="15.75" customHeight="1" x14ac:dyDescent="0.25">
      <c r="A674" s="7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</row>
    <row r="675" spans="1:26" ht="15.75" customHeight="1" x14ac:dyDescent="0.25">
      <c r="A675" s="7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</row>
    <row r="676" spans="1:26" ht="15.75" customHeight="1" x14ac:dyDescent="0.25">
      <c r="A676" s="7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</row>
    <row r="677" spans="1:26" ht="15.75" customHeight="1" x14ac:dyDescent="0.25">
      <c r="A677" s="7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</row>
    <row r="678" spans="1:26" ht="15.75" customHeight="1" x14ac:dyDescent="0.25">
      <c r="A678" s="7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</row>
    <row r="679" spans="1:26" ht="15.75" customHeight="1" x14ac:dyDescent="0.25">
      <c r="A679" s="7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</row>
    <row r="680" spans="1:26" ht="15.75" customHeight="1" x14ac:dyDescent="0.25">
      <c r="A680" s="7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</row>
    <row r="681" spans="1:26" ht="15.75" customHeight="1" x14ac:dyDescent="0.25">
      <c r="A681" s="7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</row>
    <row r="682" spans="1:26" ht="15.75" customHeight="1" x14ac:dyDescent="0.25">
      <c r="A682" s="7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</row>
    <row r="683" spans="1:26" ht="15.75" customHeight="1" x14ac:dyDescent="0.25">
      <c r="A683" s="7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</row>
    <row r="684" spans="1:26" ht="15.75" customHeight="1" x14ac:dyDescent="0.25">
      <c r="A684" s="7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</row>
    <row r="685" spans="1:26" ht="15.75" customHeight="1" x14ac:dyDescent="0.25">
      <c r="A685" s="7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</row>
    <row r="686" spans="1:26" ht="15.75" customHeight="1" x14ac:dyDescent="0.25">
      <c r="A686" s="7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</row>
    <row r="687" spans="1:26" ht="15.75" customHeight="1" x14ac:dyDescent="0.25">
      <c r="A687" s="7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</row>
    <row r="688" spans="1:26" ht="15.75" customHeight="1" x14ac:dyDescent="0.25">
      <c r="A688" s="7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</row>
    <row r="689" spans="1:26" ht="15.75" customHeight="1" x14ac:dyDescent="0.25">
      <c r="A689" s="7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</row>
    <row r="690" spans="1:26" ht="15.75" customHeight="1" x14ac:dyDescent="0.25">
      <c r="A690" s="7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</row>
    <row r="691" spans="1:26" ht="15.75" customHeight="1" x14ac:dyDescent="0.25">
      <c r="A691" s="7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</row>
    <row r="692" spans="1:26" ht="15.75" customHeight="1" x14ac:dyDescent="0.25">
      <c r="A692" s="7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</row>
    <row r="693" spans="1:26" ht="15.75" customHeight="1" x14ac:dyDescent="0.25">
      <c r="A693" s="7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</row>
    <row r="694" spans="1:26" ht="15.75" customHeight="1" x14ac:dyDescent="0.25">
      <c r="A694" s="7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</row>
    <row r="695" spans="1:26" ht="15.75" customHeight="1" x14ac:dyDescent="0.25">
      <c r="A695" s="7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</row>
    <row r="696" spans="1:26" ht="15.75" customHeight="1" x14ac:dyDescent="0.25">
      <c r="A696" s="7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</row>
    <row r="697" spans="1:26" ht="15.75" customHeight="1" x14ac:dyDescent="0.25">
      <c r="A697" s="7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</row>
    <row r="698" spans="1:26" ht="15.75" customHeight="1" x14ac:dyDescent="0.25">
      <c r="A698" s="7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</row>
    <row r="699" spans="1:26" ht="15.75" customHeight="1" x14ac:dyDescent="0.25">
      <c r="A699" s="7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</row>
    <row r="700" spans="1:26" ht="15.75" customHeight="1" x14ac:dyDescent="0.25">
      <c r="A700" s="7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</row>
    <row r="701" spans="1:26" ht="15.75" customHeight="1" x14ac:dyDescent="0.25">
      <c r="A701" s="7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</row>
    <row r="702" spans="1:26" ht="15.75" customHeight="1" x14ac:dyDescent="0.25">
      <c r="A702" s="7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</row>
    <row r="703" spans="1:26" ht="15.75" customHeight="1" x14ac:dyDescent="0.25">
      <c r="A703" s="7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</row>
    <row r="704" spans="1:26" ht="15.75" customHeight="1" x14ac:dyDescent="0.25">
      <c r="A704" s="7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</row>
    <row r="705" spans="1:26" ht="15.75" customHeight="1" x14ac:dyDescent="0.25">
      <c r="A705" s="7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</row>
    <row r="706" spans="1:26" ht="15.75" customHeight="1" x14ac:dyDescent="0.25">
      <c r="A706" s="7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</row>
    <row r="707" spans="1:26" ht="15.75" customHeight="1" x14ac:dyDescent="0.25">
      <c r="A707" s="7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</row>
    <row r="708" spans="1:26" ht="15.75" customHeight="1" x14ac:dyDescent="0.25">
      <c r="A708" s="7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</row>
    <row r="709" spans="1:26" ht="15.75" customHeight="1" x14ac:dyDescent="0.25">
      <c r="A709" s="7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</row>
    <row r="710" spans="1:26" ht="15.75" customHeight="1" x14ac:dyDescent="0.25">
      <c r="A710" s="7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</row>
    <row r="711" spans="1:26" ht="15.75" customHeight="1" x14ac:dyDescent="0.25">
      <c r="A711" s="7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</row>
    <row r="712" spans="1:26" ht="15.75" customHeight="1" x14ac:dyDescent="0.25">
      <c r="A712" s="7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</row>
    <row r="713" spans="1:26" ht="15.75" customHeight="1" x14ac:dyDescent="0.25">
      <c r="A713" s="7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</row>
    <row r="714" spans="1:26" ht="15.75" customHeight="1" x14ac:dyDescent="0.25">
      <c r="A714" s="7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</row>
    <row r="715" spans="1:26" ht="15.75" customHeight="1" x14ac:dyDescent="0.25">
      <c r="A715" s="7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</row>
    <row r="716" spans="1:26" ht="15.75" customHeight="1" x14ac:dyDescent="0.25">
      <c r="A716" s="7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</row>
    <row r="717" spans="1:26" ht="15.75" customHeight="1" x14ac:dyDescent="0.25">
      <c r="A717" s="7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</row>
    <row r="718" spans="1:26" ht="15.75" customHeight="1" x14ac:dyDescent="0.25">
      <c r="A718" s="7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</row>
    <row r="719" spans="1:26" ht="15.75" customHeight="1" x14ac:dyDescent="0.25">
      <c r="A719" s="7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</row>
    <row r="720" spans="1:26" ht="15.75" customHeight="1" x14ac:dyDescent="0.25">
      <c r="A720" s="7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</row>
    <row r="721" spans="1:26" ht="15.75" customHeight="1" x14ac:dyDescent="0.25">
      <c r="A721" s="7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</row>
    <row r="722" spans="1:26" ht="15.75" customHeight="1" x14ac:dyDescent="0.25">
      <c r="A722" s="7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</row>
    <row r="723" spans="1:26" ht="15.75" customHeight="1" x14ac:dyDescent="0.25">
      <c r="A723" s="7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</row>
    <row r="724" spans="1:26" ht="15.75" customHeight="1" x14ac:dyDescent="0.25">
      <c r="A724" s="7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</row>
    <row r="725" spans="1:26" ht="15.75" customHeight="1" x14ac:dyDescent="0.25">
      <c r="A725" s="7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</row>
    <row r="726" spans="1:26" ht="15.75" customHeight="1" x14ac:dyDescent="0.25">
      <c r="A726" s="7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</row>
    <row r="727" spans="1:26" ht="15.75" customHeight="1" x14ac:dyDescent="0.25">
      <c r="A727" s="7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</row>
    <row r="728" spans="1:26" ht="15.75" customHeight="1" x14ac:dyDescent="0.25">
      <c r="A728" s="7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</row>
    <row r="729" spans="1:26" ht="15.75" customHeight="1" x14ac:dyDescent="0.25">
      <c r="A729" s="7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</row>
    <row r="730" spans="1:26" ht="15.75" customHeight="1" x14ac:dyDescent="0.25">
      <c r="A730" s="7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</row>
    <row r="731" spans="1:26" ht="15.75" customHeight="1" x14ac:dyDescent="0.25">
      <c r="A731" s="7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</row>
    <row r="732" spans="1:26" ht="15.75" customHeight="1" x14ac:dyDescent="0.25">
      <c r="A732" s="7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</row>
    <row r="733" spans="1:26" ht="15.75" customHeight="1" x14ac:dyDescent="0.25">
      <c r="A733" s="7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</row>
    <row r="734" spans="1:26" ht="15.75" customHeight="1" x14ac:dyDescent="0.25">
      <c r="A734" s="7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</row>
    <row r="735" spans="1:26" ht="15.75" customHeight="1" x14ac:dyDescent="0.25">
      <c r="A735" s="7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</row>
    <row r="736" spans="1:26" ht="15.75" customHeight="1" x14ac:dyDescent="0.25">
      <c r="A736" s="7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</row>
    <row r="737" spans="1:26" ht="15.75" customHeight="1" x14ac:dyDescent="0.25">
      <c r="A737" s="7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</row>
    <row r="738" spans="1:26" ht="15.75" customHeight="1" x14ac:dyDescent="0.25">
      <c r="A738" s="7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</row>
    <row r="739" spans="1:26" ht="15.75" customHeight="1" x14ac:dyDescent="0.25">
      <c r="A739" s="7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</row>
    <row r="740" spans="1:26" ht="15.75" customHeight="1" x14ac:dyDescent="0.25">
      <c r="A740" s="7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</row>
    <row r="741" spans="1:26" ht="15.75" customHeight="1" x14ac:dyDescent="0.25">
      <c r="A741" s="7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</row>
    <row r="742" spans="1:26" ht="15.75" customHeight="1" x14ac:dyDescent="0.25">
      <c r="A742" s="7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</row>
    <row r="743" spans="1:26" ht="15.75" customHeight="1" x14ac:dyDescent="0.25">
      <c r="A743" s="7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</row>
    <row r="744" spans="1:26" ht="15.75" customHeight="1" x14ac:dyDescent="0.25">
      <c r="A744" s="7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</row>
    <row r="745" spans="1:26" ht="15.75" customHeight="1" x14ac:dyDescent="0.25">
      <c r="A745" s="7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</row>
    <row r="746" spans="1:26" ht="15.75" customHeight="1" x14ac:dyDescent="0.25">
      <c r="A746" s="7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</row>
    <row r="747" spans="1:26" ht="15.75" customHeight="1" x14ac:dyDescent="0.25">
      <c r="A747" s="7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</row>
    <row r="748" spans="1:26" ht="15.75" customHeight="1" x14ac:dyDescent="0.25">
      <c r="A748" s="7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</row>
    <row r="749" spans="1:26" ht="15.75" customHeight="1" x14ac:dyDescent="0.25">
      <c r="A749" s="7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</row>
    <row r="750" spans="1:26" ht="15.75" customHeight="1" x14ac:dyDescent="0.25">
      <c r="A750" s="7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</row>
    <row r="751" spans="1:26" ht="15.75" customHeight="1" x14ac:dyDescent="0.25">
      <c r="A751" s="7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</row>
    <row r="752" spans="1:26" ht="15.75" customHeight="1" x14ac:dyDescent="0.25">
      <c r="A752" s="7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</row>
    <row r="753" spans="1:26" ht="15.75" customHeight="1" x14ac:dyDescent="0.25">
      <c r="A753" s="7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</row>
    <row r="754" spans="1:26" ht="15.75" customHeight="1" x14ac:dyDescent="0.25">
      <c r="A754" s="7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</row>
    <row r="755" spans="1:26" ht="15.75" customHeight="1" x14ac:dyDescent="0.25">
      <c r="A755" s="7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</row>
    <row r="756" spans="1:26" ht="15.75" customHeight="1" x14ac:dyDescent="0.25">
      <c r="A756" s="7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</row>
    <row r="757" spans="1:26" ht="15.75" customHeight="1" x14ac:dyDescent="0.25">
      <c r="A757" s="7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</row>
    <row r="758" spans="1:26" ht="15.75" customHeight="1" x14ac:dyDescent="0.25">
      <c r="A758" s="7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</row>
    <row r="759" spans="1:26" ht="15.75" customHeight="1" x14ac:dyDescent="0.25">
      <c r="A759" s="7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</row>
    <row r="760" spans="1:26" ht="15.75" customHeight="1" x14ac:dyDescent="0.25">
      <c r="A760" s="7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</row>
    <row r="761" spans="1:26" ht="15.75" customHeight="1" x14ac:dyDescent="0.25">
      <c r="A761" s="7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</row>
    <row r="762" spans="1:26" ht="15.75" customHeight="1" x14ac:dyDescent="0.25">
      <c r="A762" s="7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</row>
    <row r="763" spans="1:26" ht="15.75" customHeight="1" x14ac:dyDescent="0.25">
      <c r="A763" s="7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</row>
    <row r="764" spans="1:26" ht="15.75" customHeight="1" x14ac:dyDescent="0.25">
      <c r="A764" s="7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</row>
    <row r="765" spans="1:26" ht="15.75" customHeight="1" x14ac:dyDescent="0.25">
      <c r="A765" s="7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</row>
    <row r="766" spans="1:26" ht="15.75" customHeight="1" x14ac:dyDescent="0.25">
      <c r="A766" s="7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</row>
    <row r="767" spans="1:26" ht="15.75" customHeight="1" x14ac:dyDescent="0.25">
      <c r="A767" s="7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</row>
    <row r="768" spans="1:26" ht="15.75" customHeight="1" x14ac:dyDescent="0.25">
      <c r="A768" s="7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</row>
    <row r="769" spans="1:26" ht="15.75" customHeight="1" x14ac:dyDescent="0.25">
      <c r="A769" s="7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</row>
    <row r="770" spans="1:26" ht="15.75" customHeight="1" x14ac:dyDescent="0.25">
      <c r="A770" s="7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</row>
    <row r="771" spans="1:26" ht="15.75" customHeight="1" x14ac:dyDescent="0.25">
      <c r="A771" s="7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</row>
    <row r="772" spans="1:26" ht="15.75" customHeight="1" x14ac:dyDescent="0.25">
      <c r="A772" s="71"/>
      <c r="B772" s="71"/>
      <c r="C772" s="71"/>
      <c r="D772" s="71"/>
      <c r="E772" s="71"/>
      <c r="F772" s="71"/>
      <c r="G772" s="71"/>
      <c r="H772" s="71"/>
      <c r="I772" s="71"/>
      <c r="J772" s="71"/>
      <c r="K772" s="71"/>
      <c r="L772" s="71"/>
      <c r="M772" s="71"/>
      <c r="N772" s="71"/>
      <c r="O772" s="71"/>
      <c r="P772" s="71"/>
      <c r="Q772" s="71"/>
      <c r="R772" s="71"/>
      <c r="S772" s="71"/>
      <c r="T772" s="71"/>
      <c r="U772" s="71"/>
      <c r="V772" s="71"/>
      <c r="W772" s="71"/>
      <c r="X772" s="71"/>
      <c r="Y772" s="71"/>
      <c r="Z772" s="71"/>
    </row>
    <row r="773" spans="1:26" ht="15.75" customHeight="1" x14ac:dyDescent="0.25">
      <c r="A773" s="71"/>
      <c r="B773" s="71"/>
      <c r="C773" s="71"/>
      <c r="D773" s="71"/>
      <c r="E773" s="71"/>
      <c r="F773" s="71"/>
      <c r="G773" s="71"/>
      <c r="H773" s="71"/>
      <c r="I773" s="71"/>
      <c r="J773" s="71"/>
      <c r="K773" s="71"/>
      <c r="L773" s="71"/>
      <c r="M773" s="71"/>
      <c r="N773" s="71"/>
      <c r="O773" s="71"/>
      <c r="P773" s="71"/>
      <c r="Q773" s="71"/>
      <c r="R773" s="71"/>
      <c r="S773" s="71"/>
      <c r="T773" s="71"/>
      <c r="U773" s="71"/>
      <c r="V773" s="71"/>
      <c r="W773" s="71"/>
      <c r="X773" s="71"/>
      <c r="Y773" s="71"/>
      <c r="Z773" s="71"/>
    </row>
    <row r="774" spans="1:26" ht="15.75" customHeight="1" x14ac:dyDescent="0.25">
      <c r="A774" s="71"/>
      <c r="B774" s="71"/>
      <c r="C774" s="71"/>
      <c r="D774" s="71"/>
      <c r="E774" s="71"/>
      <c r="F774" s="71"/>
      <c r="G774" s="71"/>
      <c r="H774" s="71"/>
      <c r="I774" s="71"/>
      <c r="J774" s="71"/>
      <c r="K774" s="71"/>
      <c r="L774" s="71"/>
      <c r="M774" s="71"/>
      <c r="N774" s="71"/>
      <c r="O774" s="71"/>
      <c r="P774" s="71"/>
      <c r="Q774" s="71"/>
      <c r="R774" s="71"/>
      <c r="S774" s="71"/>
      <c r="T774" s="71"/>
      <c r="U774" s="71"/>
      <c r="V774" s="71"/>
      <c r="W774" s="71"/>
      <c r="X774" s="71"/>
      <c r="Y774" s="71"/>
      <c r="Z774" s="71"/>
    </row>
    <row r="775" spans="1:26" ht="15.75" customHeight="1" x14ac:dyDescent="0.25">
      <c r="A775" s="71"/>
      <c r="B775" s="71"/>
      <c r="C775" s="71"/>
      <c r="D775" s="71"/>
      <c r="E775" s="71"/>
      <c r="F775" s="71"/>
      <c r="G775" s="71"/>
      <c r="H775" s="71"/>
      <c r="I775" s="71"/>
      <c r="J775" s="71"/>
      <c r="K775" s="71"/>
      <c r="L775" s="71"/>
      <c r="M775" s="71"/>
      <c r="N775" s="71"/>
      <c r="O775" s="71"/>
      <c r="P775" s="71"/>
      <c r="Q775" s="71"/>
      <c r="R775" s="71"/>
      <c r="S775" s="71"/>
      <c r="T775" s="71"/>
      <c r="U775" s="71"/>
      <c r="V775" s="71"/>
      <c r="W775" s="71"/>
      <c r="X775" s="71"/>
      <c r="Y775" s="71"/>
      <c r="Z775" s="71"/>
    </row>
    <row r="776" spans="1:26" ht="15.75" customHeight="1" x14ac:dyDescent="0.25">
      <c r="A776" s="71"/>
      <c r="B776" s="71"/>
      <c r="C776" s="71"/>
      <c r="D776" s="71"/>
      <c r="E776" s="71"/>
      <c r="F776" s="71"/>
      <c r="G776" s="71"/>
      <c r="H776" s="71"/>
      <c r="I776" s="71"/>
      <c r="J776" s="71"/>
      <c r="K776" s="71"/>
      <c r="L776" s="71"/>
      <c r="M776" s="71"/>
      <c r="N776" s="71"/>
      <c r="O776" s="71"/>
      <c r="P776" s="71"/>
      <c r="Q776" s="71"/>
      <c r="R776" s="71"/>
      <c r="S776" s="71"/>
      <c r="T776" s="71"/>
      <c r="U776" s="71"/>
      <c r="V776" s="71"/>
      <c r="W776" s="71"/>
      <c r="X776" s="71"/>
      <c r="Y776" s="71"/>
      <c r="Z776" s="71"/>
    </row>
    <row r="777" spans="1:26" ht="15.75" customHeight="1" x14ac:dyDescent="0.25">
      <c r="A777" s="71"/>
      <c r="B777" s="71"/>
      <c r="C777" s="71"/>
      <c r="D777" s="71"/>
      <c r="E777" s="71"/>
      <c r="F777" s="71"/>
      <c r="G777" s="71"/>
      <c r="H777" s="71"/>
      <c r="I777" s="71"/>
      <c r="J777" s="71"/>
      <c r="K777" s="71"/>
      <c r="L777" s="71"/>
      <c r="M777" s="71"/>
      <c r="N777" s="71"/>
      <c r="O777" s="71"/>
      <c r="P777" s="71"/>
      <c r="Q777" s="71"/>
      <c r="R777" s="71"/>
      <c r="S777" s="71"/>
      <c r="T777" s="71"/>
      <c r="U777" s="71"/>
      <c r="V777" s="71"/>
      <c r="W777" s="71"/>
      <c r="X777" s="71"/>
      <c r="Y777" s="71"/>
      <c r="Z777" s="71"/>
    </row>
    <row r="778" spans="1:26" ht="15.75" customHeight="1" x14ac:dyDescent="0.25">
      <c r="A778" s="71"/>
      <c r="B778" s="71"/>
      <c r="C778" s="71"/>
      <c r="D778" s="71"/>
      <c r="E778" s="71"/>
      <c r="F778" s="71"/>
      <c r="G778" s="71"/>
      <c r="H778" s="71"/>
      <c r="I778" s="71"/>
      <c r="J778" s="71"/>
      <c r="K778" s="71"/>
      <c r="L778" s="71"/>
      <c r="M778" s="71"/>
      <c r="N778" s="71"/>
      <c r="O778" s="71"/>
      <c r="P778" s="71"/>
      <c r="Q778" s="71"/>
      <c r="R778" s="71"/>
      <c r="S778" s="71"/>
      <c r="T778" s="71"/>
      <c r="U778" s="71"/>
      <c r="V778" s="71"/>
      <c r="W778" s="71"/>
      <c r="X778" s="71"/>
      <c r="Y778" s="71"/>
      <c r="Z778" s="71"/>
    </row>
    <row r="779" spans="1:26" ht="15.75" customHeight="1" x14ac:dyDescent="0.25">
      <c r="A779" s="71"/>
      <c r="B779" s="71"/>
      <c r="C779" s="71"/>
      <c r="D779" s="71"/>
      <c r="E779" s="71"/>
      <c r="F779" s="71"/>
      <c r="G779" s="71"/>
      <c r="H779" s="71"/>
      <c r="I779" s="71"/>
      <c r="J779" s="71"/>
      <c r="K779" s="71"/>
      <c r="L779" s="71"/>
      <c r="M779" s="71"/>
      <c r="N779" s="71"/>
      <c r="O779" s="71"/>
      <c r="P779" s="71"/>
      <c r="Q779" s="71"/>
      <c r="R779" s="71"/>
      <c r="S779" s="71"/>
      <c r="T779" s="71"/>
      <c r="U779" s="71"/>
      <c r="V779" s="71"/>
      <c r="W779" s="71"/>
      <c r="X779" s="71"/>
      <c r="Y779" s="71"/>
      <c r="Z779" s="71"/>
    </row>
    <row r="780" spans="1:26" ht="15.75" customHeight="1" x14ac:dyDescent="0.25">
      <c r="A780" s="71"/>
      <c r="B780" s="71"/>
      <c r="C780" s="71"/>
      <c r="D780" s="71"/>
      <c r="E780" s="71"/>
      <c r="F780" s="71"/>
      <c r="G780" s="71"/>
      <c r="H780" s="71"/>
      <c r="I780" s="71"/>
      <c r="J780" s="71"/>
      <c r="K780" s="71"/>
      <c r="L780" s="71"/>
      <c r="M780" s="71"/>
      <c r="N780" s="71"/>
      <c r="O780" s="71"/>
      <c r="P780" s="71"/>
      <c r="Q780" s="71"/>
      <c r="R780" s="71"/>
      <c r="S780" s="71"/>
      <c r="T780" s="71"/>
      <c r="U780" s="71"/>
      <c r="V780" s="71"/>
      <c r="W780" s="71"/>
      <c r="X780" s="71"/>
      <c r="Y780" s="71"/>
      <c r="Z780" s="71"/>
    </row>
    <row r="781" spans="1:26" ht="15.75" customHeight="1" x14ac:dyDescent="0.25">
      <c r="A781" s="71"/>
      <c r="B781" s="71"/>
      <c r="C781" s="71"/>
      <c r="D781" s="71"/>
      <c r="E781" s="71"/>
      <c r="F781" s="71"/>
      <c r="G781" s="71"/>
      <c r="H781" s="71"/>
      <c r="I781" s="71"/>
      <c r="J781" s="71"/>
      <c r="K781" s="71"/>
      <c r="L781" s="71"/>
      <c r="M781" s="71"/>
      <c r="N781" s="71"/>
      <c r="O781" s="71"/>
      <c r="P781" s="71"/>
      <c r="Q781" s="71"/>
      <c r="R781" s="71"/>
      <c r="S781" s="71"/>
      <c r="T781" s="71"/>
      <c r="U781" s="71"/>
      <c r="V781" s="71"/>
      <c r="W781" s="71"/>
      <c r="X781" s="71"/>
      <c r="Y781" s="71"/>
      <c r="Z781" s="71"/>
    </row>
    <row r="782" spans="1:26" ht="15.75" customHeight="1" x14ac:dyDescent="0.25">
      <c r="A782" s="71"/>
      <c r="B782" s="71"/>
      <c r="C782" s="71"/>
      <c r="D782" s="71"/>
      <c r="E782" s="71"/>
      <c r="F782" s="71"/>
      <c r="G782" s="71"/>
      <c r="H782" s="71"/>
      <c r="I782" s="71"/>
      <c r="J782" s="71"/>
      <c r="K782" s="71"/>
      <c r="L782" s="71"/>
      <c r="M782" s="71"/>
      <c r="N782" s="71"/>
      <c r="O782" s="71"/>
      <c r="P782" s="71"/>
      <c r="Q782" s="71"/>
      <c r="R782" s="71"/>
      <c r="S782" s="71"/>
      <c r="T782" s="71"/>
      <c r="U782" s="71"/>
      <c r="V782" s="71"/>
      <c r="W782" s="71"/>
      <c r="X782" s="71"/>
      <c r="Y782" s="71"/>
      <c r="Z782" s="71"/>
    </row>
    <row r="783" spans="1:26" ht="15.75" customHeight="1" x14ac:dyDescent="0.25">
      <c r="A783" s="71"/>
      <c r="B783" s="71"/>
      <c r="C783" s="71"/>
      <c r="D783" s="71"/>
      <c r="E783" s="71"/>
      <c r="F783" s="71"/>
      <c r="G783" s="71"/>
      <c r="H783" s="71"/>
      <c r="I783" s="71"/>
      <c r="J783" s="71"/>
      <c r="K783" s="71"/>
      <c r="L783" s="71"/>
      <c r="M783" s="71"/>
      <c r="N783" s="71"/>
      <c r="O783" s="71"/>
      <c r="P783" s="71"/>
      <c r="Q783" s="71"/>
      <c r="R783" s="71"/>
      <c r="S783" s="71"/>
      <c r="T783" s="71"/>
      <c r="U783" s="71"/>
      <c r="V783" s="71"/>
      <c r="W783" s="71"/>
      <c r="X783" s="71"/>
      <c r="Y783" s="71"/>
      <c r="Z783" s="71"/>
    </row>
    <row r="784" spans="1:26" ht="15.75" customHeight="1" x14ac:dyDescent="0.25">
      <c r="A784" s="71"/>
      <c r="B784" s="71"/>
      <c r="C784" s="71"/>
      <c r="D784" s="71"/>
      <c r="E784" s="71"/>
      <c r="F784" s="71"/>
      <c r="G784" s="71"/>
      <c r="H784" s="71"/>
      <c r="I784" s="71"/>
      <c r="J784" s="71"/>
      <c r="K784" s="71"/>
      <c r="L784" s="71"/>
      <c r="M784" s="71"/>
      <c r="N784" s="71"/>
      <c r="O784" s="71"/>
      <c r="P784" s="71"/>
      <c r="Q784" s="71"/>
      <c r="R784" s="71"/>
      <c r="S784" s="71"/>
      <c r="T784" s="71"/>
      <c r="U784" s="71"/>
      <c r="V784" s="71"/>
      <c r="W784" s="71"/>
      <c r="X784" s="71"/>
      <c r="Y784" s="71"/>
      <c r="Z784" s="71"/>
    </row>
    <row r="785" spans="1:26" ht="15.75" customHeight="1" x14ac:dyDescent="0.25">
      <c r="A785" s="71"/>
      <c r="B785" s="71"/>
      <c r="C785" s="71"/>
      <c r="D785" s="71"/>
      <c r="E785" s="71"/>
      <c r="F785" s="71"/>
      <c r="G785" s="71"/>
      <c r="H785" s="71"/>
      <c r="I785" s="71"/>
      <c r="J785" s="71"/>
      <c r="K785" s="71"/>
      <c r="L785" s="71"/>
      <c r="M785" s="71"/>
      <c r="N785" s="71"/>
      <c r="O785" s="71"/>
      <c r="P785" s="71"/>
      <c r="Q785" s="71"/>
      <c r="R785" s="71"/>
      <c r="S785" s="71"/>
      <c r="T785" s="71"/>
      <c r="U785" s="71"/>
      <c r="V785" s="71"/>
      <c r="W785" s="71"/>
      <c r="X785" s="71"/>
      <c r="Y785" s="71"/>
      <c r="Z785" s="71"/>
    </row>
    <row r="786" spans="1:26" ht="15.75" customHeight="1" x14ac:dyDescent="0.25">
      <c r="A786" s="71"/>
      <c r="B786" s="71"/>
      <c r="C786" s="71"/>
      <c r="D786" s="71"/>
      <c r="E786" s="71"/>
      <c r="F786" s="71"/>
      <c r="G786" s="71"/>
      <c r="H786" s="71"/>
      <c r="I786" s="71"/>
      <c r="J786" s="71"/>
      <c r="K786" s="71"/>
      <c r="L786" s="71"/>
      <c r="M786" s="71"/>
      <c r="N786" s="71"/>
      <c r="O786" s="71"/>
      <c r="P786" s="71"/>
      <c r="Q786" s="71"/>
      <c r="R786" s="71"/>
      <c r="S786" s="71"/>
      <c r="T786" s="71"/>
      <c r="U786" s="71"/>
      <c r="V786" s="71"/>
      <c r="W786" s="71"/>
      <c r="X786" s="71"/>
      <c r="Y786" s="71"/>
      <c r="Z786" s="71"/>
    </row>
    <row r="787" spans="1:26" ht="15.75" customHeight="1" x14ac:dyDescent="0.25">
      <c r="A787" s="71"/>
      <c r="B787" s="71"/>
      <c r="C787" s="71"/>
      <c r="D787" s="71"/>
      <c r="E787" s="71"/>
      <c r="F787" s="71"/>
      <c r="G787" s="71"/>
      <c r="H787" s="71"/>
      <c r="I787" s="71"/>
      <c r="J787" s="71"/>
      <c r="K787" s="71"/>
      <c r="L787" s="71"/>
      <c r="M787" s="71"/>
      <c r="N787" s="71"/>
      <c r="O787" s="71"/>
      <c r="P787" s="71"/>
      <c r="Q787" s="71"/>
      <c r="R787" s="71"/>
      <c r="S787" s="71"/>
      <c r="T787" s="71"/>
      <c r="U787" s="71"/>
      <c r="V787" s="71"/>
      <c r="W787" s="71"/>
      <c r="X787" s="71"/>
      <c r="Y787" s="71"/>
      <c r="Z787" s="71"/>
    </row>
    <row r="788" spans="1:26" ht="15.75" customHeight="1" x14ac:dyDescent="0.25">
      <c r="A788" s="71"/>
      <c r="B788" s="71"/>
      <c r="C788" s="71"/>
      <c r="D788" s="71"/>
      <c r="E788" s="71"/>
      <c r="F788" s="71"/>
      <c r="G788" s="71"/>
      <c r="H788" s="71"/>
      <c r="I788" s="71"/>
      <c r="J788" s="71"/>
      <c r="K788" s="71"/>
      <c r="L788" s="71"/>
      <c r="M788" s="71"/>
      <c r="N788" s="71"/>
      <c r="O788" s="71"/>
      <c r="P788" s="71"/>
      <c r="Q788" s="71"/>
      <c r="R788" s="71"/>
      <c r="S788" s="71"/>
      <c r="T788" s="71"/>
      <c r="U788" s="71"/>
      <c r="V788" s="71"/>
      <c r="W788" s="71"/>
      <c r="X788" s="71"/>
      <c r="Y788" s="71"/>
      <c r="Z788" s="71"/>
    </row>
    <row r="789" spans="1:26" ht="15.75" customHeight="1" x14ac:dyDescent="0.25">
      <c r="A789" s="71"/>
      <c r="B789" s="71"/>
      <c r="C789" s="71"/>
      <c r="D789" s="71"/>
      <c r="E789" s="71"/>
      <c r="F789" s="71"/>
      <c r="G789" s="71"/>
      <c r="H789" s="71"/>
      <c r="I789" s="71"/>
      <c r="J789" s="71"/>
      <c r="K789" s="71"/>
      <c r="L789" s="71"/>
      <c r="M789" s="71"/>
      <c r="N789" s="71"/>
      <c r="O789" s="71"/>
      <c r="P789" s="71"/>
      <c r="Q789" s="71"/>
      <c r="R789" s="71"/>
      <c r="S789" s="71"/>
      <c r="T789" s="71"/>
      <c r="U789" s="71"/>
      <c r="V789" s="71"/>
      <c r="W789" s="71"/>
      <c r="X789" s="71"/>
      <c r="Y789" s="71"/>
      <c r="Z789" s="71"/>
    </row>
    <row r="790" spans="1:26" ht="15.75" customHeight="1" x14ac:dyDescent="0.25">
      <c r="A790" s="71"/>
      <c r="B790" s="71"/>
      <c r="C790" s="71"/>
      <c r="D790" s="71"/>
      <c r="E790" s="71"/>
      <c r="F790" s="71"/>
      <c r="G790" s="71"/>
      <c r="H790" s="71"/>
      <c r="I790" s="71"/>
      <c r="J790" s="71"/>
      <c r="K790" s="71"/>
      <c r="L790" s="71"/>
      <c r="M790" s="71"/>
      <c r="N790" s="71"/>
      <c r="O790" s="71"/>
      <c r="P790" s="71"/>
      <c r="Q790" s="71"/>
      <c r="R790" s="71"/>
      <c r="S790" s="71"/>
      <c r="T790" s="71"/>
      <c r="U790" s="71"/>
      <c r="V790" s="71"/>
      <c r="W790" s="71"/>
      <c r="X790" s="71"/>
      <c r="Y790" s="71"/>
      <c r="Z790" s="71"/>
    </row>
    <row r="791" spans="1:26" ht="15.75" customHeight="1" x14ac:dyDescent="0.25">
      <c r="A791" s="71"/>
      <c r="B791" s="71"/>
      <c r="C791" s="71"/>
      <c r="D791" s="71"/>
      <c r="E791" s="71"/>
      <c r="F791" s="71"/>
      <c r="G791" s="71"/>
      <c r="H791" s="71"/>
      <c r="I791" s="71"/>
      <c r="J791" s="71"/>
      <c r="K791" s="71"/>
      <c r="L791" s="71"/>
      <c r="M791" s="71"/>
      <c r="N791" s="71"/>
      <c r="O791" s="71"/>
      <c r="P791" s="71"/>
      <c r="Q791" s="71"/>
      <c r="R791" s="71"/>
      <c r="S791" s="71"/>
      <c r="T791" s="71"/>
      <c r="U791" s="71"/>
      <c r="V791" s="71"/>
      <c r="W791" s="71"/>
      <c r="X791" s="71"/>
      <c r="Y791" s="71"/>
      <c r="Z791" s="71"/>
    </row>
    <row r="792" spans="1:26" ht="15.75" customHeight="1" x14ac:dyDescent="0.25">
      <c r="A792" s="71"/>
      <c r="B792" s="71"/>
      <c r="C792" s="71"/>
      <c r="D792" s="71"/>
      <c r="E792" s="71"/>
      <c r="F792" s="71"/>
      <c r="G792" s="71"/>
      <c r="H792" s="71"/>
      <c r="I792" s="71"/>
      <c r="J792" s="71"/>
      <c r="K792" s="71"/>
      <c r="L792" s="71"/>
      <c r="M792" s="71"/>
      <c r="N792" s="71"/>
      <c r="O792" s="71"/>
      <c r="P792" s="71"/>
      <c r="Q792" s="71"/>
      <c r="R792" s="71"/>
      <c r="S792" s="71"/>
      <c r="T792" s="71"/>
      <c r="U792" s="71"/>
      <c r="V792" s="71"/>
      <c r="W792" s="71"/>
      <c r="X792" s="71"/>
      <c r="Y792" s="71"/>
      <c r="Z792" s="71"/>
    </row>
    <row r="793" spans="1:26" ht="15.75" customHeight="1" x14ac:dyDescent="0.25">
      <c r="A793" s="71"/>
      <c r="B793" s="71"/>
      <c r="C793" s="71"/>
      <c r="D793" s="71"/>
      <c r="E793" s="71"/>
      <c r="F793" s="71"/>
      <c r="G793" s="71"/>
      <c r="H793" s="71"/>
      <c r="I793" s="71"/>
      <c r="J793" s="71"/>
      <c r="K793" s="71"/>
      <c r="L793" s="71"/>
      <c r="M793" s="71"/>
      <c r="N793" s="71"/>
      <c r="O793" s="71"/>
      <c r="P793" s="71"/>
      <c r="Q793" s="71"/>
      <c r="R793" s="71"/>
      <c r="S793" s="71"/>
      <c r="T793" s="71"/>
      <c r="U793" s="71"/>
      <c r="V793" s="71"/>
      <c r="W793" s="71"/>
      <c r="X793" s="71"/>
      <c r="Y793" s="71"/>
      <c r="Z793" s="71"/>
    </row>
    <row r="794" spans="1:26" ht="15.75" customHeight="1" x14ac:dyDescent="0.25">
      <c r="A794" s="71"/>
      <c r="B794" s="71"/>
      <c r="C794" s="71"/>
      <c r="D794" s="71"/>
      <c r="E794" s="71"/>
      <c r="F794" s="71"/>
      <c r="G794" s="71"/>
      <c r="H794" s="71"/>
      <c r="I794" s="71"/>
      <c r="J794" s="71"/>
      <c r="K794" s="71"/>
      <c r="L794" s="71"/>
      <c r="M794" s="71"/>
      <c r="N794" s="71"/>
      <c r="O794" s="71"/>
      <c r="P794" s="71"/>
      <c r="Q794" s="71"/>
      <c r="R794" s="71"/>
      <c r="S794" s="71"/>
      <c r="T794" s="71"/>
      <c r="U794" s="71"/>
      <c r="V794" s="71"/>
      <c r="W794" s="71"/>
      <c r="X794" s="71"/>
      <c r="Y794" s="71"/>
      <c r="Z794" s="71"/>
    </row>
    <row r="795" spans="1:26" ht="15.75" customHeight="1" x14ac:dyDescent="0.25">
      <c r="A795" s="71"/>
      <c r="B795" s="71"/>
      <c r="C795" s="71"/>
      <c r="D795" s="71"/>
      <c r="E795" s="71"/>
      <c r="F795" s="71"/>
      <c r="G795" s="71"/>
      <c r="H795" s="71"/>
      <c r="I795" s="71"/>
      <c r="J795" s="71"/>
      <c r="K795" s="71"/>
      <c r="L795" s="71"/>
      <c r="M795" s="71"/>
      <c r="N795" s="71"/>
      <c r="O795" s="71"/>
      <c r="P795" s="71"/>
      <c r="Q795" s="71"/>
      <c r="R795" s="71"/>
      <c r="S795" s="71"/>
      <c r="T795" s="71"/>
      <c r="U795" s="71"/>
      <c r="V795" s="71"/>
      <c r="W795" s="71"/>
      <c r="X795" s="71"/>
      <c r="Y795" s="71"/>
      <c r="Z795" s="71"/>
    </row>
    <row r="796" spans="1:26" ht="15.75" customHeight="1" x14ac:dyDescent="0.25">
      <c r="A796" s="71"/>
      <c r="B796" s="71"/>
      <c r="C796" s="71"/>
      <c r="D796" s="71"/>
      <c r="E796" s="71"/>
      <c r="F796" s="71"/>
      <c r="G796" s="71"/>
      <c r="H796" s="71"/>
      <c r="I796" s="71"/>
      <c r="J796" s="71"/>
      <c r="K796" s="71"/>
      <c r="L796" s="71"/>
      <c r="M796" s="71"/>
      <c r="N796" s="71"/>
      <c r="O796" s="71"/>
      <c r="P796" s="71"/>
      <c r="Q796" s="71"/>
      <c r="R796" s="71"/>
      <c r="S796" s="71"/>
      <c r="T796" s="71"/>
      <c r="U796" s="71"/>
      <c r="V796" s="71"/>
      <c r="W796" s="71"/>
      <c r="X796" s="71"/>
      <c r="Y796" s="71"/>
      <c r="Z796" s="71"/>
    </row>
    <row r="797" spans="1:26" ht="15.75" customHeight="1" x14ac:dyDescent="0.25">
      <c r="A797" s="71"/>
      <c r="B797" s="71"/>
      <c r="C797" s="71"/>
      <c r="D797" s="71"/>
      <c r="E797" s="71"/>
      <c r="F797" s="71"/>
      <c r="G797" s="71"/>
      <c r="H797" s="71"/>
      <c r="I797" s="71"/>
      <c r="J797" s="71"/>
      <c r="K797" s="71"/>
      <c r="L797" s="71"/>
      <c r="M797" s="71"/>
      <c r="N797" s="71"/>
      <c r="O797" s="71"/>
      <c r="P797" s="71"/>
      <c r="Q797" s="71"/>
      <c r="R797" s="71"/>
      <c r="S797" s="71"/>
      <c r="T797" s="71"/>
      <c r="U797" s="71"/>
      <c r="V797" s="71"/>
      <c r="W797" s="71"/>
      <c r="X797" s="71"/>
      <c r="Y797" s="71"/>
      <c r="Z797" s="71"/>
    </row>
    <row r="798" spans="1:26" ht="15.75" customHeight="1" x14ac:dyDescent="0.25">
      <c r="A798" s="71"/>
      <c r="B798" s="71"/>
      <c r="C798" s="71"/>
      <c r="D798" s="71"/>
      <c r="E798" s="71"/>
      <c r="F798" s="71"/>
      <c r="G798" s="71"/>
      <c r="H798" s="71"/>
      <c r="I798" s="71"/>
      <c r="J798" s="71"/>
      <c r="K798" s="71"/>
      <c r="L798" s="71"/>
      <c r="M798" s="71"/>
      <c r="N798" s="71"/>
      <c r="O798" s="71"/>
      <c r="P798" s="71"/>
      <c r="Q798" s="71"/>
      <c r="R798" s="71"/>
      <c r="S798" s="71"/>
      <c r="T798" s="71"/>
      <c r="U798" s="71"/>
      <c r="V798" s="71"/>
      <c r="W798" s="71"/>
      <c r="X798" s="71"/>
      <c r="Y798" s="71"/>
      <c r="Z798" s="71"/>
    </row>
    <row r="799" spans="1:26" ht="15.75" customHeight="1" x14ac:dyDescent="0.25">
      <c r="A799" s="71"/>
      <c r="B799" s="71"/>
      <c r="C799" s="71"/>
      <c r="D799" s="71"/>
      <c r="E799" s="71"/>
      <c r="F799" s="71"/>
      <c r="G799" s="71"/>
      <c r="H799" s="71"/>
      <c r="I799" s="71"/>
      <c r="J799" s="71"/>
      <c r="K799" s="71"/>
      <c r="L799" s="71"/>
      <c r="M799" s="71"/>
      <c r="N799" s="71"/>
      <c r="O799" s="71"/>
      <c r="P799" s="71"/>
      <c r="Q799" s="71"/>
      <c r="R799" s="71"/>
      <c r="S799" s="71"/>
      <c r="T799" s="71"/>
      <c r="U799" s="71"/>
      <c r="V799" s="71"/>
      <c r="W799" s="71"/>
      <c r="X799" s="71"/>
      <c r="Y799" s="71"/>
      <c r="Z799" s="71"/>
    </row>
    <row r="800" spans="1:26" ht="15.75" customHeight="1" x14ac:dyDescent="0.25">
      <c r="A800" s="71"/>
      <c r="B800" s="71"/>
      <c r="C800" s="71"/>
      <c r="D800" s="71"/>
      <c r="E800" s="71"/>
      <c r="F800" s="71"/>
      <c r="G800" s="71"/>
      <c r="H800" s="71"/>
      <c r="I800" s="71"/>
      <c r="J800" s="71"/>
      <c r="K800" s="71"/>
      <c r="L800" s="71"/>
      <c r="M800" s="71"/>
      <c r="N800" s="71"/>
      <c r="O800" s="71"/>
      <c r="P800" s="71"/>
      <c r="Q800" s="71"/>
      <c r="R800" s="71"/>
      <c r="S800" s="71"/>
      <c r="T800" s="71"/>
      <c r="U800" s="71"/>
      <c r="V800" s="71"/>
      <c r="W800" s="71"/>
      <c r="X800" s="71"/>
      <c r="Y800" s="71"/>
      <c r="Z800" s="71"/>
    </row>
    <row r="801" spans="1:26" ht="15.75" customHeight="1" x14ac:dyDescent="0.25">
      <c r="A801" s="71"/>
      <c r="B801" s="71"/>
      <c r="C801" s="71"/>
      <c r="D801" s="71"/>
      <c r="E801" s="71"/>
      <c r="F801" s="71"/>
      <c r="G801" s="71"/>
      <c r="H801" s="71"/>
      <c r="I801" s="71"/>
      <c r="J801" s="71"/>
      <c r="K801" s="71"/>
      <c r="L801" s="71"/>
      <c r="M801" s="71"/>
      <c r="N801" s="71"/>
      <c r="O801" s="71"/>
      <c r="P801" s="71"/>
      <c r="Q801" s="71"/>
      <c r="R801" s="71"/>
      <c r="S801" s="71"/>
      <c r="T801" s="71"/>
      <c r="U801" s="71"/>
      <c r="V801" s="71"/>
      <c r="W801" s="71"/>
      <c r="X801" s="71"/>
      <c r="Y801" s="71"/>
      <c r="Z801" s="71"/>
    </row>
    <row r="802" spans="1:26" ht="15.75" customHeight="1" x14ac:dyDescent="0.25">
      <c r="A802" s="71"/>
      <c r="B802" s="71"/>
      <c r="C802" s="71"/>
      <c r="D802" s="71"/>
      <c r="E802" s="71"/>
      <c r="F802" s="71"/>
      <c r="G802" s="71"/>
      <c r="H802" s="71"/>
      <c r="I802" s="71"/>
      <c r="J802" s="71"/>
      <c r="K802" s="71"/>
      <c r="L802" s="71"/>
      <c r="M802" s="71"/>
      <c r="N802" s="71"/>
      <c r="O802" s="71"/>
      <c r="P802" s="71"/>
      <c r="Q802" s="71"/>
      <c r="R802" s="71"/>
      <c r="S802" s="71"/>
      <c r="T802" s="71"/>
      <c r="U802" s="71"/>
      <c r="V802" s="71"/>
      <c r="W802" s="71"/>
      <c r="X802" s="71"/>
      <c r="Y802" s="71"/>
      <c r="Z802" s="71"/>
    </row>
    <row r="803" spans="1:26" ht="15.75" customHeight="1" x14ac:dyDescent="0.25">
      <c r="A803" s="71"/>
      <c r="B803" s="71"/>
      <c r="C803" s="71"/>
      <c r="D803" s="71"/>
      <c r="E803" s="71"/>
      <c r="F803" s="71"/>
      <c r="G803" s="71"/>
      <c r="H803" s="71"/>
      <c r="I803" s="71"/>
      <c r="J803" s="71"/>
      <c r="K803" s="71"/>
      <c r="L803" s="71"/>
      <c r="M803" s="71"/>
      <c r="N803" s="71"/>
      <c r="O803" s="71"/>
      <c r="P803" s="71"/>
      <c r="Q803" s="71"/>
      <c r="R803" s="71"/>
      <c r="S803" s="71"/>
      <c r="T803" s="71"/>
      <c r="U803" s="71"/>
      <c r="V803" s="71"/>
      <c r="W803" s="71"/>
      <c r="X803" s="71"/>
      <c r="Y803" s="71"/>
      <c r="Z803" s="71"/>
    </row>
    <row r="804" spans="1:26" ht="15.75" customHeight="1" x14ac:dyDescent="0.25">
      <c r="A804" s="71"/>
      <c r="B804" s="71"/>
      <c r="C804" s="71"/>
      <c r="D804" s="71"/>
      <c r="E804" s="71"/>
      <c r="F804" s="71"/>
      <c r="G804" s="71"/>
      <c r="H804" s="71"/>
      <c r="I804" s="71"/>
      <c r="J804" s="71"/>
      <c r="K804" s="71"/>
      <c r="L804" s="71"/>
      <c r="M804" s="71"/>
      <c r="N804" s="71"/>
      <c r="O804" s="71"/>
      <c r="P804" s="71"/>
      <c r="Q804" s="71"/>
      <c r="R804" s="71"/>
      <c r="S804" s="71"/>
      <c r="T804" s="71"/>
      <c r="U804" s="71"/>
      <c r="V804" s="71"/>
      <c r="W804" s="71"/>
      <c r="X804" s="71"/>
      <c r="Y804" s="71"/>
      <c r="Z804" s="71"/>
    </row>
    <row r="805" spans="1:26" ht="15.75" customHeight="1" x14ac:dyDescent="0.25">
      <c r="A805" s="71"/>
      <c r="B805" s="71"/>
      <c r="C805" s="71"/>
      <c r="D805" s="71"/>
      <c r="E805" s="71"/>
      <c r="F805" s="71"/>
      <c r="G805" s="71"/>
      <c r="H805" s="71"/>
      <c r="I805" s="71"/>
      <c r="J805" s="71"/>
      <c r="K805" s="71"/>
      <c r="L805" s="71"/>
      <c r="M805" s="71"/>
      <c r="N805" s="71"/>
      <c r="O805" s="71"/>
      <c r="P805" s="71"/>
      <c r="Q805" s="71"/>
      <c r="R805" s="71"/>
      <c r="S805" s="71"/>
      <c r="T805" s="71"/>
      <c r="U805" s="71"/>
      <c r="V805" s="71"/>
      <c r="W805" s="71"/>
      <c r="X805" s="71"/>
      <c r="Y805" s="71"/>
      <c r="Z805" s="71"/>
    </row>
    <row r="806" spans="1:26" ht="15.75" customHeight="1" x14ac:dyDescent="0.25">
      <c r="A806" s="71"/>
      <c r="B806" s="71"/>
      <c r="C806" s="71"/>
      <c r="D806" s="71"/>
      <c r="E806" s="71"/>
      <c r="F806" s="71"/>
      <c r="G806" s="71"/>
      <c r="H806" s="71"/>
      <c r="I806" s="71"/>
      <c r="J806" s="71"/>
      <c r="K806" s="71"/>
      <c r="L806" s="71"/>
      <c r="M806" s="71"/>
      <c r="N806" s="71"/>
      <c r="O806" s="71"/>
      <c r="P806" s="71"/>
      <c r="Q806" s="71"/>
      <c r="R806" s="71"/>
      <c r="S806" s="71"/>
      <c r="T806" s="71"/>
      <c r="U806" s="71"/>
      <c r="V806" s="71"/>
      <c r="W806" s="71"/>
      <c r="X806" s="71"/>
      <c r="Y806" s="71"/>
      <c r="Z806" s="71"/>
    </row>
    <row r="807" spans="1:26" ht="15.75" customHeight="1" x14ac:dyDescent="0.25">
      <c r="A807" s="71"/>
      <c r="B807" s="71"/>
      <c r="C807" s="71"/>
      <c r="D807" s="71"/>
      <c r="E807" s="71"/>
      <c r="F807" s="71"/>
      <c r="G807" s="71"/>
      <c r="H807" s="71"/>
      <c r="I807" s="71"/>
      <c r="J807" s="71"/>
      <c r="K807" s="71"/>
      <c r="L807" s="71"/>
      <c r="M807" s="71"/>
      <c r="N807" s="71"/>
      <c r="O807" s="71"/>
      <c r="P807" s="71"/>
      <c r="Q807" s="71"/>
      <c r="R807" s="71"/>
      <c r="S807" s="71"/>
      <c r="T807" s="71"/>
      <c r="U807" s="71"/>
      <c r="V807" s="71"/>
      <c r="W807" s="71"/>
      <c r="X807" s="71"/>
      <c r="Y807" s="71"/>
      <c r="Z807" s="71"/>
    </row>
    <row r="808" spans="1:26" ht="15.75" customHeight="1" x14ac:dyDescent="0.25">
      <c r="A808" s="71"/>
      <c r="B808" s="71"/>
      <c r="C808" s="71"/>
      <c r="D808" s="71"/>
      <c r="E808" s="71"/>
      <c r="F808" s="71"/>
      <c r="G808" s="71"/>
      <c r="H808" s="71"/>
      <c r="I808" s="71"/>
      <c r="J808" s="71"/>
      <c r="K808" s="71"/>
      <c r="L808" s="71"/>
      <c r="M808" s="71"/>
      <c r="N808" s="71"/>
      <c r="O808" s="71"/>
      <c r="P808" s="71"/>
      <c r="Q808" s="71"/>
      <c r="R808" s="71"/>
      <c r="S808" s="71"/>
      <c r="T808" s="71"/>
      <c r="U808" s="71"/>
      <c r="V808" s="71"/>
      <c r="W808" s="71"/>
      <c r="X808" s="71"/>
      <c r="Y808" s="71"/>
      <c r="Z808" s="71"/>
    </row>
    <row r="809" spans="1:26" ht="15.75" customHeight="1" x14ac:dyDescent="0.25">
      <c r="A809" s="71"/>
      <c r="B809" s="71"/>
      <c r="C809" s="71"/>
      <c r="D809" s="71"/>
      <c r="E809" s="71"/>
      <c r="F809" s="71"/>
      <c r="G809" s="71"/>
      <c r="H809" s="71"/>
      <c r="I809" s="71"/>
      <c r="J809" s="71"/>
      <c r="K809" s="71"/>
      <c r="L809" s="71"/>
      <c r="M809" s="71"/>
      <c r="N809" s="71"/>
      <c r="O809" s="71"/>
      <c r="P809" s="71"/>
      <c r="Q809" s="71"/>
      <c r="R809" s="71"/>
      <c r="S809" s="71"/>
      <c r="T809" s="71"/>
      <c r="U809" s="71"/>
      <c r="V809" s="71"/>
      <c r="W809" s="71"/>
      <c r="X809" s="71"/>
      <c r="Y809" s="71"/>
      <c r="Z809" s="71"/>
    </row>
    <row r="810" spans="1:26" ht="15.75" customHeight="1" x14ac:dyDescent="0.25">
      <c r="A810" s="71"/>
      <c r="B810" s="71"/>
      <c r="C810" s="71"/>
      <c r="D810" s="71"/>
      <c r="E810" s="71"/>
      <c r="F810" s="71"/>
      <c r="G810" s="71"/>
      <c r="H810" s="71"/>
      <c r="I810" s="71"/>
      <c r="J810" s="71"/>
      <c r="K810" s="71"/>
      <c r="L810" s="71"/>
      <c r="M810" s="71"/>
      <c r="N810" s="71"/>
      <c r="O810" s="71"/>
      <c r="P810" s="71"/>
      <c r="Q810" s="71"/>
      <c r="R810" s="71"/>
      <c r="S810" s="71"/>
      <c r="T810" s="71"/>
      <c r="U810" s="71"/>
      <c r="V810" s="71"/>
      <c r="W810" s="71"/>
      <c r="X810" s="71"/>
      <c r="Y810" s="71"/>
      <c r="Z810" s="71"/>
    </row>
    <row r="811" spans="1:26" ht="15.75" customHeight="1" x14ac:dyDescent="0.25">
      <c r="A811" s="71"/>
      <c r="B811" s="71"/>
      <c r="C811" s="71"/>
      <c r="D811" s="71"/>
      <c r="E811" s="71"/>
      <c r="F811" s="71"/>
      <c r="G811" s="71"/>
      <c r="H811" s="71"/>
      <c r="I811" s="71"/>
      <c r="J811" s="71"/>
      <c r="K811" s="71"/>
      <c r="L811" s="71"/>
      <c r="M811" s="71"/>
      <c r="N811" s="71"/>
      <c r="O811" s="71"/>
      <c r="P811" s="71"/>
      <c r="Q811" s="71"/>
      <c r="R811" s="71"/>
      <c r="S811" s="71"/>
      <c r="T811" s="71"/>
      <c r="U811" s="71"/>
      <c r="V811" s="71"/>
      <c r="W811" s="71"/>
      <c r="X811" s="71"/>
      <c r="Y811" s="71"/>
      <c r="Z811" s="71"/>
    </row>
    <row r="812" spans="1:26" ht="15.75" customHeight="1" x14ac:dyDescent="0.25">
      <c r="A812" s="71"/>
      <c r="B812" s="71"/>
      <c r="C812" s="71"/>
      <c r="D812" s="71"/>
      <c r="E812" s="71"/>
      <c r="F812" s="71"/>
      <c r="G812" s="71"/>
      <c r="H812" s="71"/>
      <c r="I812" s="71"/>
      <c r="J812" s="71"/>
      <c r="K812" s="71"/>
      <c r="L812" s="71"/>
      <c r="M812" s="71"/>
      <c r="N812" s="71"/>
      <c r="O812" s="71"/>
      <c r="P812" s="71"/>
      <c r="Q812" s="71"/>
      <c r="R812" s="71"/>
      <c r="S812" s="71"/>
      <c r="T812" s="71"/>
      <c r="U812" s="71"/>
      <c r="V812" s="71"/>
      <c r="W812" s="71"/>
      <c r="X812" s="71"/>
      <c r="Y812" s="71"/>
      <c r="Z812" s="71"/>
    </row>
    <row r="813" spans="1:26" ht="15.75" customHeight="1" x14ac:dyDescent="0.25">
      <c r="A813" s="71"/>
      <c r="B813" s="71"/>
      <c r="C813" s="71"/>
      <c r="D813" s="71"/>
      <c r="E813" s="71"/>
      <c r="F813" s="71"/>
      <c r="G813" s="71"/>
      <c r="H813" s="71"/>
      <c r="I813" s="71"/>
      <c r="J813" s="71"/>
      <c r="K813" s="71"/>
      <c r="L813" s="71"/>
      <c r="M813" s="71"/>
      <c r="N813" s="71"/>
      <c r="O813" s="71"/>
      <c r="P813" s="71"/>
      <c r="Q813" s="71"/>
      <c r="R813" s="71"/>
      <c r="S813" s="71"/>
      <c r="T813" s="71"/>
      <c r="U813" s="71"/>
      <c r="V813" s="71"/>
      <c r="W813" s="71"/>
      <c r="X813" s="71"/>
      <c r="Y813" s="71"/>
      <c r="Z813" s="71"/>
    </row>
    <row r="814" spans="1:26" ht="15.75" customHeight="1" x14ac:dyDescent="0.25">
      <c r="A814" s="71"/>
      <c r="B814" s="71"/>
      <c r="C814" s="71"/>
      <c r="D814" s="71"/>
      <c r="E814" s="71"/>
      <c r="F814" s="71"/>
      <c r="G814" s="71"/>
      <c r="H814" s="71"/>
      <c r="I814" s="71"/>
      <c r="J814" s="71"/>
      <c r="K814" s="71"/>
      <c r="L814" s="71"/>
      <c r="M814" s="71"/>
      <c r="N814" s="71"/>
      <c r="O814" s="71"/>
      <c r="P814" s="71"/>
      <c r="Q814" s="71"/>
      <c r="R814" s="71"/>
      <c r="S814" s="71"/>
      <c r="T814" s="71"/>
      <c r="U814" s="71"/>
      <c r="V814" s="71"/>
      <c r="W814" s="71"/>
      <c r="X814" s="71"/>
      <c r="Y814" s="71"/>
      <c r="Z814" s="71"/>
    </row>
    <row r="815" spans="1:26" ht="15.75" customHeight="1" x14ac:dyDescent="0.25">
      <c r="A815" s="71"/>
      <c r="B815" s="71"/>
      <c r="C815" s="71"/>
      <c r="D815" s="71"/>
      <c r="E815" s="71"/>
      <c r="F815" s="71"/>
      <c r="G815" s="71"/>
      <c r="H815" s="71"/>
      <c r="I815" s="71"/>
      <c r="J815" s="71"/>
      <c r="K815" s="71"/>
      <c r="L815" s="71"/>
      <c r="M815" s="71"/>
      <c r="N815" s="71"/>
      <c r="O815" s="71"/>
      <c r="P815" s="71"/>
      <c r="Q815" s="71"/>
      <c r="R815" s="71"/>
      <c r="S815" s="71"/>
      <c r="T815" s="71"/>
      <c r="U815" s="71"/>
      <c r="V815" s="71"/>
      <c r="W815" s="71"/>
      <c r="X815" s="71"/>
      <c r="Y815" s="71"/>
      <c r="Z815" s="71"/>
    </row>
    <row r="816" spans="1:26" ht="15.75" customHeight="1" x14ac:dyDescent="0.25">
      <c r="A816" s="71"/>
      <c r="B816" s="71"/>
      <c r="C816" s="71"/>
      <c r="D816" s="71"/>
      <c r="E816" s="71"/>
      <c r="F816" s="71"/>
      <c r="G816" s="71"/>
      <c r="H816" s="71"/>
      <c r="I816" s="71"/>
      <c r="J816" s="71"/>
      <c r="K816" s="71"/>
      <c r="L816" s="71"/>
      <c r="M816" s="71"/>
      <c r="N816" s="71"/>
      <c r="O816" s="71"/>
      <c r="P816" s="71"/>
      <c r="Q816" s="71"/>
      <c r="R816" s="71"/>
      <c r="S816" s="71"/>
      <c r="T816" s="71"/>
      <c r="U816" s="71"/>
      <c r="V816" s="71"/>
      <c r="W816" s="71"/>
      <c r="X816" s="71"/>
      <c r="Y816" s="71"/>
      <c r="Z816" s="71"/>
    </row>
    <row r="817" spans="1:26" ht="15.75" customHeight="1" x14ac:dyDescent="0.25">
      <c r="A817" s="71"/>
      <c r="B817" s="71"/>
      <c r="C817" s="71"/>
      <c r="D817" s="71"/>
      <c r="E817" s="71"/>
      <c r="F817" s="71"/>
      <c r="G817" s="71"/>
      <c r="H817" s="71"/>
      <c r="I817" s="71"/>
      <c r="J817" s="71"/>
      <c r="K817" s="71"/>
      <c r="L817" s="71"/>
      <c r="M817" s="71"/>
      <c r="N817" s="71"/>
      <c r="O817" s="71"/>
      <c r="P817" s="71"/>
      <c r="Q817" s="71"/>
      <c r="R817" s="71"/>
      <c r="S817" s="71"/>
      <c r="T817" s="71"/>
      <c r="U817" s="71"/>
      <c r="V817" s="71"/>
      <c r="W817" s="71"/>
      <c r="X817" s="71"/>
      <c r="Y817" s="71"/>
      <c r="Z817" s="71"/>
    </row>
    <row r="818" spans="1:26" ht="15.75" customHeight="1" x14ac:dyDescent="0.25">
      <c r="A818" s="71"/>
      <c r="B818" s="71"/>
      <c r="C818" s="71"/>
      <c r="D818" s="71"/>
      <c r="E818" s="71"/>
      <c r="F818" s="71"/>
      <c r="G818" s="71"/>
      <c r="H818" s="71"/>
      <c r="I818" s="71"/>
      <c r="J818" s="71"/>
      <c r="K818" s="71"/>
      <c r="L818" s="71"/>
      <c r="M818" s="71"/>
      <c r="N818" s="71"/>
      <c r="O818" s="71"/>
      <c r="P818" s="71"/>
      <c r="Q818" s="71"/>
      <c r="R818" s="71"/>
      <c r="S818" s="71"/>
      <c r="T818" s="71"/>
      <c r="U818" s="71"/>
      <c r="V818" s="71"/>
      <c r="W818" s="71"/>
      <c r="X818" s="71"/>
      <c r="Y818" s="71"/>
      <c r="Z818" s="71"/>
    </row>
    <row r="819" spans="1:26" ht="15.75" customHeight="1" x14ac:dyDescent="0.25">
      <c r="A819" s="71"/>
      <c r="B819" s="71"/>
      <c r="C819" s="71"/>
      <c r="D819" s="71"/>
      <c r="E819" s="71"/>
      <c r="F819" s="71"/>
      <c r="G819" s="71"/>
      <c r="H819" s="71"/>
      <c r="I819" s="71"/>
      <c r="J819" s="71"/>
      <c r="K819" s="71"/>
      <c r="L819" s="71"/>
      <c r="M819" s="71"/>
      <c r="N819" s="71"/>
      <c r="O819" s="71"/>
      <c r="P819" s="71"/>
      <c r="Q819" s="71"/>
      <c r="R819" s="71"/>
      <c r="S819" s="71"/>
      <c r="T819" s="71"/>
      <c r="U819" s="71"/>
      <c r="V819" s="71"/>
      <c r="W819" s="71"/>
      <c r="X819" s="71"/>
      <c r="Y819" s="71"/>
      <c r="Z819" s="71"/>
    </row>
    <row r="820" spans="1:26" ht="15.75" customHeight="1" x14ac:dyDescent="0.25">
      <c r="A820" s="71"/>
      <c r="B820" s="71"/>
      <c r="C820" s="71"/>
      <c r="D820" s="71"/>
      <c r="E820" s="71"/>
      <c r="F820" s="71"/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</row>
    <row r="821" spans="1:26" ht="15.75" customHeight="1" x14ac:dyDescent="0.25">
      <c r="A821" s="71"/>
      <c r="B821" s="71"/>
      <c r="C821" s="71"/>
      <c r="D821" s="71"/>
      <c r="E821" s="71"/>
      <c r="F821" s="71"/>
      <c r="G821" s="71"/>
      <c r="H821" s="71"/>
      <c r="I821" s="71"/>
      <c r="J821" s="71"/>
      <c r="K821" s="71"/>
      <c r="L821" s="71"/>
      <c r="M821" s="71"/>
      <c r="N821" s="71"/>
      <c r="O821" s="71"/>
      <c r="P821" s="71"/>
      <c r="Q821" s="71"/>
      <c r="R821" s="71"/>
      <c r="S821" s="71"/>
      <c r="T821" s="71"/>
      <c r="U821" s="71"/>
      <c r="V821" s="71"/>
      <c r="W821" s="71"/>
      <c r="X821" s="71"/>
      <c r="Y821" s="71"/>
      <c r="Z821" s="71"/>
    </row>
    <row r="822" spans="1:26" ht="15.75" customHeight="1" x14ac:dyDescent="0.25">
      <c r="A822" s="71"/>
      <c r="B822" s="71"/>
      <c r="C822" s="71"/>
      <c r="D822" s="71"/>
      <c r="E822" s="71"/>
      <c r="F822" s="71"/>
      <c r="G822" s="71"/>
      <c r="H822" s="71"/>
      <c r="I822" s="71"/>
      <c r="J822" s="71"/>
      <c r="K822" s="71"/>
      <c r="L822" s="71"/>
      <c r="M822" s="71"/>
      <c r="N822" s="71"/>
      <c r="O822" s="71"/>
      <c r="P822" s="71"/>
      <c r="Q822" s="71"/>
      <c r="R822" s="71"/>
      <c r="S822" s="71"/>
      <c r="T822" s="71"/>
      <c r="U822" s="71"/>
      <c r="V822" s="71"/>
      <c r="W822" s="71"/>
      <c r="X822" s="71"/>
      <c r="Y822" s="71"/>
      <c r="Z822" s="71"/>
    </row>
    <row r="823" spans="1:26" ht="15.75" customHeight="1" x14ac:dyDescent="0.25">
      <c r="A823" s="71"/>
      <c r="B823" s="71"/>
      <c r="C823" s="71"/>
      <c r="D823" s="71"/>
      <c r="E823" s="71"/>
      <c r="F823" s="71"/>
      <c r="G823" s="71"/>
      <c r="H823" s="71"/>
      <c r="I823" s="71"/>
      <c r="J823" s="71"/>
      <c r="K823" s="71"/>
      <c r="L823" s="71"/>
      <c r="M823" s="71"/>
      <c r="N823" s="71"/>
      <c r="O823" s="71"/>
      <c r="P823" s="71"/>
      <c r="Q823" s="71"/>
      <c r="R823" s="71"/>
      <c r="S823" s="71"/>
      <c r="T823" s="71"/>
      <c r="U823" s="71"/>
      <c r="V823" s="71"/>
      <c r="W823" s="71"/>
      <c r="X823" s="71"/>
      <c r="Y823" s="71"/>
      <c r="Z823" s="71"/>
    </row>
    <row r="824" spans="1:26" ht="15.75" customHeight="1" x14ac:dyDescent="0.25">
      <c r="A824" s="71"/>
      <c r="B824" s="71"/>
      <c r="C824" s="71"/>
      <c r="D824" s="71"/>
      <c r="E824" s="71"/>
      <c r="F824" s="71"/>
      <c r="G824" s="71"/>
      <c r="H824" s="71"/>
      <c r="I824" s="71"/>
      <c r="J824" s="71"/>
      <c r="K824" s="71"/>
      <c r="L824" s="71"/>
      <c r="M824" s="71"/>
      <c r="N824" s="71"/>
      <c r="O824" s="71"/>
      <c r="P824" s="71"/>
      <c r="Q824" s="71"/>
      <c r="R824" s="71"/>
      <c r="S824" s="71"/>
      <c r="T824" s="71"/>
      <c r="U824" s="71"/>
      <c r="V824" s="71"/>
      <c r="W824" s="71"/>
      <c r="X824" s="71"/>
      <c r="Y824" s="71"/>
      <c r="Z824" s="71"/>
    </row>
    <row r="825" spans="1:26" ht="15.75" customHeight="1" x14ac:dyDescent="0.25">
      <c r="A825" s="71"/>
      <c r="B825" s="71"/>
      <c r="C825" s="71"/>
      <c r="D825" s="71"/>
      <c r="E825" s="71"/>
      <c r="F825" s="71"/>
      <c r="G825" s="71"/>
      <c r="H825" s="71"/>
      <c r="I825" s="71"/>
      <c r="J825" s="71"/>
      <c r="K825" s="71"/>
      <c r="L825" s="71"/>
      <c r="M825" s="71"/>
      <c r="N825" s="71"/>
      <c r="O825" s="71"/>
      <c r="P825" s="71"/>
      <c r="Q825" s="71"/>
      <c r="R825" s="71"/>
      <c r="S825" s="71"/>
      <c r="T825" s="71"/>
      <c r="U825" s="71"/>
      <c r="V825" s="71"/>
      <c r="W825" s="71"/>
      <c r="X825" s="71"/>
      <c r="Y825" s="71"/>
      <c r="Z825" s="71"/>
    </row>
    <row r="826" spans="1:26" ht="15.75" customHeight="1" x14ac:dyDescent="0.25">
      <c r="A826" s="71"/>
      <c r="B826" s="71"/>
      <c r="C826" s="71"/>
      <c r="D826" s="71"/>
      <c r="E826" s="71"/>
      <c r="F826" s="71"/>
      <c r="G826" s="71"/>
      <c r="H826" s="71"/>
      <c r="I826" s="71"/>
      <c r="J826" s="71"/>
      <c r="K826" s="71"/>
      <c r="L826" s="71"/>
      <c r="M826" s="71"/>
      <c r="N826" s="71"/>
      <c r="O826" s="71"/>
      <c r="P826" s="71"/>
      <c r="Q826" s="71"/>
      <c r="R826" s="71"/>
      <c r="S826" s="71"/>
      <c r="T826" s="71"/>
      <c r="U826" s="71"/>
      <c r="V826" s="71"/>
      <c r="W826" s="71"/>
      <c r="X826" s="71"/>
      <c r="Y826" s="71"/>
      <c r="Z826" s="71"/>
    </row>
    <row r="827" spans="1:26" ht="15.75" customHeight="1" x14ac:dyDescent="0.25">
      <c r="A827" s="71"/>
      <c r="B827" s="71"/>
      <c r="C827" s="71"/>
      <c r="D827" s="71"/>
      <c r="E827" s="71"/>
      <c r="F827" s="71"/>
      <c r="G827" s="71"/>
      <c r="H827" s="71"/>
      <c r="I827" s="71"/>
      <c r="J827" s="71"/>
      <c r="K827" s="71"/>
      <c r="L827" s="71"/>
      <c r="M827" s="71"/>
      <c r="N827" s="71"/>
      <c r="O827" s="71"/>
      <c r="P827" s="71"/>
      <c r="Q827" s="71"/>
      <c r="R827" s="71"/>
      <c r="S827" s="71"/>
      <c r="T827" s="71"/>
      <c r="U827" s="71"/>
      <c r="V827" s="71"/>
      <c r="W827" s="71"/>
      <c r="X827" s="71"/>
      <c r="Y827" s="71"/>
      <c r="Z827" s="71"/>
    </row>
    <row r="828" spans="1:26" ht="15.75" customHeight="1" x14ac:dyDescent="0.25">
      <c r="A828" s="71"/>
      <c r="B828" s="71"/>
      <c r="C828" s="71"/>
      <c r="D828" s="71"/>
      <c r="E828" s="71"/>
      <c r="F828" s="71"/>
      <c r="G828" s="71"/>
      <c r="H828" s="71"/>
      <c r="I828" s="71"/>
      <c r="J828" s="71"/>
      <c r="K828" s="71"/>
      <c r="L828" s="71"/>
      <c r="M828" s="71"/>
      <c r="N828" s="71"/>
      <c r="O828" s="71"/>
      <c r="P828" s="71"/>
      <c r="Q828" s="71"/>
      <c r="R828" s="71"/>
      <c r="S828" s="71"/>
      <c r="T828" s="71"/>
      <c r="U828" s="71"/>
      <c r="V828" s="71"/>
      <c r="W828" s="71"/>
      <c r="X828" s="71"/>
      <c r="Y828" s="71"/>
      <c r="Z828" s="71"/>
    </row>
    <row r="829" spans="1:26" ht="15.75" customHeight="1" x14ac:dyDescent="0.25">
      <c r="A829" s="71"/>
      <c r="B829" s="71"/>
      <c r="C829" s="71"/>
      <c r="D829" s="71"/>
      <c r="E829" s="71"/>
      <c r="F829" s="71"/>
      <c r="G829" s="71"/>
      <c r="H829" s="71"/>
      <c r="I829" s="71"/>
      <c r="J829" s="71"/>
      <c r="K829" s="71"/>
      <c r="L829" s="71"/>
      <c r="M829" s="71"/>
      <c r="N829" s="71"/>
      <c r="O829" s="71"/>
      <c r="P829" s="71"/>
      <c r="Q829" s="71"/>
      <c r="R829" s="71"/>
      <c r="S829" s="71"/>
      <c r="T829" s="71"/>
      <c r="U829" s="71"/>
      <c r="V829" s="71"/>
      <c r="W829" s="71"/>
      <c r="X829" s="71"/>
      <c r="Y829" s="71"/>
      <c r="Z829" s="71"/>
    </row>
    <row r="830" spans="1:26" ht="15.75" customHeight="1" x14ac:dyDescent="0.25">
      <c r="A830" s="71"/>
      <c r="B830" s="71"/>
      <c r="C830" s="71"/>
      <c r="D830" s="71"/>
      <c r="E830" s="71"/>
      <c r="F830" s="71"/>
      <c r="G830" s="71"/>
      <c r="H830" s="71"/>
      <c r="I830" s="71"/>
      <c r="J830" s="71"/>
      <c r="K830" s="71"/>
      <c r="L830" s="71"/>
      <c r="M830" s="71"/>
      <c r="N830" s="71"/>
      <c r="O830" s="71"/>
      <c r="P830" s="71"/>
      <c r="Q830" s="71"/>
      <c r="R830" s="71"/>
      <c r="S830" s="71"/>
      <c r="T830" s="71"/>
      <c r="U830" s="71"/>
      <c r="V830" s="71"/>
      <c r="W830" s="71"/>
      <c r="X830" s="71"/>
      <c r="Y830" s="71"/>
      <c r="Z830" s="71"/>
    </row>
    <row r="831" spans="1:26" ht="15.75" customHeight="1" x14ac:dyDescent="0.25">
      <c r="A831" s="71"/>
      <c r="B831" s="71"/>
      <c r="C831" s="71"/>
      <c r="D831" s="71"/>
      <c r="E831" s="71"/>
      <c r="F831" s="71"/>
      <c r="G831" s="71"/>
      <c r="H831" s="71"/>
      <c r="I831" s="71"/>
      <c r="J831" s="71"/>
      <c r="K831" s="71"/>
      <c r="L831" s="71"/>
      <c r="M831" s="71"/>
      <c r="N831" s="71"/>
      <c r="O831" s="71"/>
      <c r="P831" s="71"/>
      <c r="Q831" s="71"/>
      <c r="R831" s="71"/>
      <c r="S831" s="71"/>
      <c r="T831" s="71"/>
      <c r="U831" s="71"/>
      <c r="V831" s="71"/>
      <c r="W831" s="71"/>
      <c r="X831" s="71"/>
      <c r="Y831" s="71"/>
      <c r="Z831" s="71"/>
    </row>
    <row r="832" spans="1:26" ht="15.75" customHeight="1" x14ac:dyDescent="0.25">
      <c r="A832" s="71"/>
      <c r="B832" s="71"/>
      <c r="C832" s="71"/>
      <c r="D832" s="71"/>
      <c r="E832" s="71"/>
      <c r="F832" s="71"/>
      <c r="G832" s="71"/>
      <c r="H832" s="71"/>
      <c r="I832" s="71"/>
      <c r="J832" s="71"/>
      <c r="K832" s="71"/>
      <c r="L832" s="71"/>
      <c r="M832" s="71"/>
      <c r="N832" s="71"/>
      <c r="O832" s="71"/>
      <c r="P832" s="71"/>
      <c r="Q832" s="71"/>
      <c r="R832" s="71"/>
      <c r="S832" s="71"/>
      <c r="T832" s="71"/>
      <c r="U832" s="71"/>
      <c r="V832" s="71"/>
      <c r="W832" s="71"/>
      <c r="X832" s="71"/>
      <c r="Y832" s="71"/>
      <c r="Z832" s="71"/>
    </row>
    <row r="833" spans="1:26" ht="15.75" customHeight="1" x14ac:dyDescent="0.25">
      <c r="A833" s="71"/>
      <c r="B833" s="71"/>
      <c r="C833" s="71"/>
      <c r="D833" s="71"/>
      <c r="E833" s="71"/>
      <c r="F833" s="71"/>
      <c r="G833" s="71"/>
      <c r="H833" s="71"/>
      <c r="I833" s="71"/>
      <c r="J833" s="71"/>
      <c r="K833" s="71"/>
      <c r="L833" s="71"/>
      <c r="M833" s="71"/>
      <c r="N833" s="71"/>
      <c r="O833" s="71"/>
      <c r="P833" s="71"/>
      <c r="Q833" s="71"/>
      <c r="R833" s="71"/>
      <c r="S833" s="71"/>
      <c r="T833" s="71"/>
      <c r="U833" s="71"/>
      <c r="V833" s="71"/>
      <c r="W833" s="71"/>
      <c r="X833" s="71"/>
      <c r="Y833" s="71"/>
      <c r="Z833" s="71"/>
    </row>
    <row r="834" spans="1:26" ht="15.75" customHeight="1" x14ac:dyDescent="0.25">
      <c r="A834" s="71"/>
      <c r="B834" s="71"/>
      <c r="C834" s="71"/>
      <c r="D834" s="71"/>
      <c r="E834" s="71"/>
      <c r="F834" s="71"/>
      <c r="G834" s="71"/>
      <c r="H834" s="71"/>
      <c r="I834" s="71"/>
      <c r="J834" s="71"/>
      <c r="K834" s="71"/>
      <c r="L834" s="71"/>
      <c r="M834" s="71"/>
      <c r="N834" s="71"/>
      <c r="O834" s="71"/>
      <c r="P834" s="71"/>
      <c r="Q834" s="71"/>
      <c r="R834" s="71"/>
      <c r="S834" s="71"/>
      <c r="T834" s="71"/>
      <c r="U834" s="71"/>
      <c r="V834" s="71"/>
      <c r="W834" s="71"/>
      <c r="X834" s="71"/>
      <c r="Y834" s="71"/>
      <c r="Z834" s="71"/>
    </row>
    <row r="835" spans="1:26" ht="15.75" customHeight="1" x14ac:dyDescent="0.25">
      <c r="A835" s="71"/>
      <c r="B835" s="71"/>
      <c r="C835" s="71"/>
      <c r="D835" s="71"/>
      <c r="E835" s="71"/>
      <c r="F835" s="71"/>
      <c r="G835" s="71"/>
      <c r="H835" s="71"/>
      <c r="I835" s="71"/>
      <c r="J835" s="71"/>
      <c r="K835" s="71"/>
      <c r="L835" s="71"/>
      <c r="M835" s="71"/>
      <c r="N835" s="71"/>
      <c r="O835" s="71"/>
      <c r="P835" s="71"/>
      <c r="Q835" s="71"/>
      <c r="R835" s="71"/>
      <c r="S835" s="71"/>
      <c r="T835" s="71"/>
      <c r="U835" s="71"/>
      <c r="V835" s="71"/>
      <c r="W835" s="71"/>
      <c r="X835" s="71"/>
      <c r="Y835" s="71"/>
      <c r="Z835" s="71"/>
    </row>
    <row r="836" spans="1:26" ht="15.75" customHeight="1" x14ac:dyDescent="0.25">
      <c r="A836" s="71"/>
      <c r="B836" s="71"/>
      <c r="C836" s="71"/>
      <c r="D836" s="71"/>
      <c r="E836" s="71"/>
      <c r="F836" s="71"/>
      <c r="G836" s="71"/>
      <c r="H836" s="71"/>
      <c r="I836" s="71"/>
      <c r="J836" s="71"/>
      <c r="K836" s="71"/>
      <c r="L836" s="71"/>
      <c r="M836" s="71"/>
      <c r="N836" s="71"/>
      <c r="O836" s="71"/>
      <c r="P836" s="71"/>
      <c r="Q836" s="71"/>
      <c r="R836" s="71"/>
      <c r="S836" s="71"/>
      <c r="T836" s="71"/>
      <c r="U836" s="71"/>
      <c r="V836" s="71"/>
      <c r="W836" s="71"/>
      <c r="X836" s="71"/>
      <c r="Y836" s="71"/>
      <c r="Z836" s="71"/>
    </row>
    <row r="837" spans="1:26" ht="15.75" customHeight="1" x14ac:dyDescent="0.25">
      <c r="A837" s="71"/>
      <c r="B837" s="71"/>
      <c r="C837" s="71"/>
      <c r="D837" s="71"/>
      <c r="E837" s="71"/>
      <c r="F837" s="71"/>
      <c r="G837" s="71"/>
      <c r="H837" s="71"/>
      <c r="I837" s="71"/>
      <c r="J837" s="71"/>
      <c r="K837" s="71"/>
      <c r="L837" s="71"/>
      <c r="M837" s="71"/>
      <c r="N837" s="71"/>
      <c r="O837" s="71"/>
      <c r="P837" s="71"/>
      <c r="Q837" s="71"/>
      <c r="R837" s="71"/>
      <c r="S837" s="71"/>
      <c r="T837" s="71"/>
      <c r="U837" s="71"/>
      <c r="V837" s="71"/>
      <c r="W837" s="71"/>
      <c r="X837" s="71"/>
      <c r="Y837" s="71"/>
      <c r="Z837" s="71"/>
    </row>
    <row r="838" spans="1:26" ht="15.75" customHeight="1" x14ac:dyDescent="0.25">
      <c r="A838" s="71"/>
      <c r="B838" s="71"/>
      <c r="C838" s="71"/>
      <c r="D838" s="71"/>
      <c r="E838" s="71"/>
      <c r="F838" s="71"/>
      <c r="G838" s="71"/>
      <c r="H838" s="71"/>
      <c r="I838" s="71"/>
      <c r="J838" s="71"/>
      <c r="K838" s="71"/>
      <c r="L838" s="71"/>
      <c r="M838" s="71"/>
      <c r="N838" s="71"/>
      <c r="O838" s="71"/>
      <c r="P838" s="71"/>
      <c r="Q838" s="71"/>
      <c r="R838" s="71"/>
      <c r="S838" s="71"/>
      <c r="T838" s="71"/>
      <c r="U838" s="71"/>
      <c r="V838" s="71"/>
      <c r="W838" s="71"/>
      <c r="X838" s="71"/>
      <c r="Y838" s="71"/>
      <c r="Z838" s="71"/>
    </row>
    <row r="839" spans="1:26" ht="15.75" customHeight="1" x14ac:dyDescent="0.25">
      <c r="A839" s="71"/>
      <c r="B839" s="71"/>
      <c r="C839" s="71"/>
      <c r="D839" s="71"/>
      <c r="E839" s="71"/>
      <c r="F839" s="71"/>
      <c r="G839" s="71"/>
      <c r="H839" s="71"/>
      <c r="I839" s="71"/>
      <c r="J839" s="71"/>
      <c r="K839" s="71"/>
      <c r="L839" s="71"/>
      <c r="M839" s="71"/>
      <c r="N839" s="71"/>
      <c r="O839" s="71"/>
      <c r="P839" s="71"/>
      <c r="Q839" s="71"/>
      <c r="R839" s="71"/>
      <c r="S839" s="71"/>
      <c r="T839" s="71"/>
      <c r="U839" s="71"/>
      <c r="V839" s="71"/>
      <c r="W839" s="71"/>
      <c r="X839" s="71"/>
      <c r="Y839" s="71"/>
      <c r="Z839" s="71"/>
    </row>
    <row r="840" spans="1:26" ht="15.75" customHeight="1" x14ac:dyDescent="0.25">
      <c r="A840" s="71"/>
      <c r="B840" s="71"/>
      <c r="C840" s="71"/>
      <c r="D840" s="71"/>
      <c r="E840" s="71"/>
      <c r="F840" s="71"/>
      <c r="G840" s="71"/>
      <c r="H840" s="71"/>
      <c r="I840" s="71"/>
      <c r="J840" s="71"/>
      <c r="K840" s="71"/>
      <c r="L840" s="71"/>
      <c r="M840" s="71"/>
      <c r="N840" s="71"/>
      <c r="O840" s="71"/>
      <c r="P840" s="71"/>
      <c r="Q840" s="71"/>
      <c r="R840" s="71"/>
      <c r="S840" s="71"/>
      <c r="T840" s="71"/>
      <c r="U840" s="71"/>
      <c r="V840" s="71"/>
      <c r="W840" s="71"/>
      <c r="X840" s="71"/>
      <c r="Y840" s="71"/>
      <c r="Z840" s="71"/>
    </row>
    <row r="841" spans="1:26" ht="15.75" customHeight="1" x14ac:dyDescent="0.25">
      <c r="A841" s="71"/>
      <c r="B841" s="71"/>
      <c r="C841" s="71"/>
      <c r="D841" s="71"/>
      <c r="E841" s="71"/>
      <c r="F841" s="71"/>
      <c r="G841" s="71"/>
      <c r="H841" s="71"/>
      <c r="I841" s="71"/>
      <c r="J841" s="71"/>
      <c r="K841" s="71"/>
      <c r="L841" s="71"/>
      <c r="M841" s="71"/>
      <c r="N841" s="71"/>
      <c r="O841" s="71"/>
      <c r="P841" s="71"/>
      <c r="Q841" s="71"/>
      <c r="R841" s="71"/>
      <c r="S841" s="71"/>
      <c r="T841" s="71"/>
      <c r="U841" s="71"/>
      <c r="V841" s="71"/>
      <c r="W841" s="71"/>
      <c r="X841" s="71"/>
      <c r="Y841" s="71"/>
      <c r="Z841" s="71"/>
    </row>
    <row r="842" spans="1:26" ht="15.75" customHeight="1" x14ac:dyDescent="0.25">
      <c r="A842" s="71"/>
      <c r="B842" s="71"/>
      <c r="C842" s="71"/>
      <c r="D842" s="71"/>
      <c r="E842" s="71"/>
      <c r="F842" s="71"/>
      <c r="G842" s="71"/>
      <c r="H842" s="71"/>
      <c r="I842" s="71"/>
      <c r="J842" s="71"/>
      <c r="K842" s="71"/>
      <c r="L842" s="71"/>
      <c r="M842" s="71"/>
      <c r="N842" s="71"/>
      <c r="O842" s="71"/>
      <c r="P842" s="71"/>
      <c r="Q842" s="71"/>
      <c r="R842" s="71"/>
      <c r="S842" s="71"/>
      <c r="T842" s="71"/>
      <c r="U842" s="71"/>
      <c r="V842" s="71"/>
      <c r="W842" s="71"/>
      <c r="X842" s="71"/>
      <c r="Y842" s="71"/>
      <c r="Z842" s="71"/>
    </row>
    <row r="843" spans="1:26" ht="15.75" customHeight="1" x14ac:dyDescent="0.25">
      <c r="A843" s="71"/>
      <c r="B843" s="71"/>
      <c r="C843" s="71"/>
      <c r="D843" s="71"/>
      <c r="E843" s="71"/>
      <c r="F843" s="71"/>
      <c r="G843" s="71"/>
      <c r="H843" s="71"/>
      <c r="I843" s="71"/>
      <c r="J843" s="71"/>
      <c r="K843" s="71"/>
      <c r="L843" s="71"/>
      <c r="M843" s="71"/>
      <c r="N843" s="71"/>
      <c r="O843" s="71"/>
      <c r="P843" s="71"/>
      <c r="Q843" s="71"/>
      <c r="R843" s="71"/>
      <c r="S843" s="71"/>
      <c r="T843" s="71"/>
      <c r="U843" s="71"/>
      <c r="V843" s="71"/>
      <c r="W843" s="71"/>
      <c r="X843" s="71"/>
      <c r="Y843" s="71"/>
      <c r="Z843" s="71"/>
    </row>
    <row r="844" spans="1:26" ht="15.75" customHeight="1" x14ac:dyDescent="0.25">
      <c r="A844" s="71"/>
      <c r="B844" s="71"/>
      <c r="C844" s="71"/>
      <c r="D844" s="71"/>
      <c r="E844" s="71"/>
      <c r="F844" s="71"/>
      <c r="G844" s="71"/>
      <c r="H844" s="71"/>
      <c r="I844" s="71"/>
      <c r="J844" s="71"/>
      <c r="K844" s="71"/>
      <c r="L844" s="71"/>
      <c r="M844" s="71"/>
      <c r="N844" s="71"/>
      <c r="O844" s="71"/>
      <c r="P844" s="71"/>
      <c r="Q844" s="71"/>
      <c r="R844" s="71"/>
      <c r="S844" s="71"/>
      <c r="T844" s="71"/>
      <c r="U844" s="71"/>
      <c r="V844" s="71"/>
      <c r="W844" s="71"/>
      <c r="X844" s="71"/>
      <c r="Y844" s="71"/>
      <c r="Z844" s="71"/>
    </row>
    <row r="845" spans="1:26" ht="15.75" customHeight="1" x14ac:dyDescent="0.25">
      <c r="A845" s="71"/>
      <c r="B845" s="71"/>
      <c r="C845" s="71"/>
      <c r="D845" s="71"/>
      <c r="E845" s="71"/>
      <c r="F845" s="71"/>
      <c r="G845" s="71"/>
      <c r="H845" s="71"/>
      <c r="I845" s="71"/>
      <c r="J845" s="71"/>
      <c r="K845" s="71"/>
      <c r="L845" s="71"/>
      <c r="M845" s="71"/>
      <c r="N845" s="71"/>
      <c r="O845" s="71"/>
      <c r="P845" s="71"/>
      <c r="Q845" s="71"/>
      <c r="R845" s="71"/>
      <c r="S845" s="71"/>
      <c r="T845" s="71"/>
      <c r="U845" s="71"/>
      <c r="V845" s="71"/>
      <c r="W845" s="71"/>
      <c r="X845" s="71"/>
      <c r="Y845" s="71"/>
      <c r="Z845" s="71"/>
    </row>
    <row r="846" spans="1:26" ht="15.75" customHeight="1" x14ac:dyDescent="0.25">
      <c r="A846" s="71"/>
      <c r="B846" s="71"/>
      <c r="C846" s="71"/>
      <c r="D846" s="71"/>
      <c r="E846" s="71"/>
      <c r="F846" s="71"/>
      <c r="G846" s="71"/>
      <c r="H846" s="71"/>
      <c r="I846" s="71"/>
      <c r="J846" s="71"/>
      <c r="K846" s="71"/>
      <c r="L846" s="71"/>
      <c r="M846" s="71"/>
      <c r="N846" s="71"/>
      <c r="O846" s="71"/>
      <c r="P846" s="71"/>
      <c r="Q846" s="71"/>
      <c r="R846" s="71"/>
      <c r="S846" s="71"/>
      <c r="T846" s="71"/>
      <c r="U846" s="71"/>
      <c r="V846" s="71"/>
      <c r="W846" s="71"/>
      <c r="X846" s="71"/>
      <c r="Y846" s="71"/>
      <c r="Z846" s="71"/>
    </row>
    <row r="847" spans="1:26" ht="15.75" customHeight="1" x14ac:dyDescent="0.25">
      <c r="A847" s="71"/>
      <c r="B847" s="71"/>
      <c r="C847" s="71"/>
      <c r="D847" s="71"/>
      <c r="E847" s="71"/>
      <c r="F847" s="71"/>
      <c r="G847" s="71"/>
      <c r="H847" s="71"/>
      <c r="I847" s="71"/>
      <c r="J847" s="71"/>
      <c r="K847" s="71"/>
      <c r="L847" s="71"/>
      <c r="M847" s="71"/>
      <c r="N847" s="71"/>
      <c r="O847" s="71"/>
      <c r="P847" s="71"/>
      <c r="Q847" s="71"/>
      <c r="R847" s="71"/>
      <c r="S847" s="71"/>
      <c r="T847" s="71"/>
      <c r="U847" s="71"/>
      <c r="V847" s="71"/>
      <c r="W847" s="71"/>
      <c r="X847" s="71"/>
      <c r="Y847" s="71"/>
      <c r="Z847" s="71"/>
    </row>
    <row r="848" spans="1:26" ht="15.75" customHeight="1" x14ac:dyDescent="0.25">
      <c r="A848" s="71"/>
      <c r="B848" s="71"/>
      <c r="C848" s="71"/>
      <c r="D848" s="71"/>
      <c r="E848" s="71"/>
      <c r="F848" s="71"/>
      <c r="G848" s="71"/>
      <c r="H848" s="71"/>
      <c r="I848" s="71"/>
      <c r="J848" s="71"/>
      <c r="K848" s="71"/>
      <c r="L848" s="71"/>
      <c r="M848" s="71"/>
      <c r="N848" s="71"/>
      <c r="O848" s="71"/>
      <c r="P848" s="71"/>
      <c r="Q848" s="71"/>
      <c r="R848" s="71"/>
      <c r="S848" s="71"/>
      <c r="T848" s="71"/>
      <c r="U848" s="71"/>
      <c r="V848" s="71"/>
      <c r="W848" s="71"/>
      <c r="X848" s="71"/>
      <c r="Y848" s="71"/>
      <c r="Z848" s="71"/>
    </row>
    <row r="849" spans="1:26" ht="15.75" customHeight="1" x14ac:dyDescent="0.25">
      <c r="A849" s="71"/>
      <c r="B849" s="71"/>
      <c r="C849" s="71"/>
      <c r="D849" s="71"/>
      <c r="E849" s="71"/>
      <c r="F849" s="71"/>
      <c r="G849" s="71"/>
      <c r="H849" s="71"/>
      <c r="I849" s="71"/>
      <c r="J849" s="71"/>
      <c r="K849" s="71"/>
      <c r="L849" s="71"/>
      <c r="M849" s="71"/>
      <c r="N849" s="71"/>
      <c r="O849" s="71"/>
      <c r="P849" s="71"/>
      <c r="Q849" s="71"/>
      <c r="R849" s="71"/>
      <c r="S849" s="71"/>
      <c r="T849" s="71"/>
      <c r="U849" s="71"/>
      <c r="V849" s="71"/>
      <c r="W849" s="71"/>
      <c r="X849" s="71"/>
      <c r="Y849" s="71"/>
      <c r="Z849" s="71"/>
    </row>
    <row r="850" spans="1:26" ht="15.75" customHeight="1" x14ac:dyDescent="0.25">
      <c r="A850" s="71"/>
      <c r="B850" s="71"/>
      <c r="C850" s="71"/>
      <c r="D850" s="71"/>
      <c r="E850" s="71"/>
      <c r="F850" s="71"/>
      <c r="G850" s="71"/>
      <c r="H850" s="71"/>
      <c r="I850" s="71"/>
      <c r="J850" s="71"/>
      <c r="K850" s="71"/>
      <c r="L850" s="71"/>
      <c r="M850" s="71"/>
      <c r="N850" s="71"/>
      <c r="O850" s="71"/>
      <c r="P850" s="71"/>
      <c r="Q850" s="71"/>
      <c r="R850" s="71"/>
      <c r="S850" s="71"/>
      <c r="T850" s="71"/>
      <c r="U850" s="71"/>
      <c r="V850" s="71"/>
      <c r="W850" s="71"/>
      <c r="X850" s="71"/>
      <c r="Y850" s="71"/>
      <c r="Z850" s="71"/>
    </row>
    <row r="851" spans="1:26" ht="15.75" customHeight="1" x14ac:dyDescent="0.25">
      <c r="A851" s="71"/>
      <c r="B851" s="71"/>
      <c r="C851" s="71"/>
      <c r="D851" s="71"/>
      <c r="E851" s="71"/>
      <c r="F851" s="71"/>
      <c r="G851" s="71"/>
      <c r="H851" s="71"/>
      <c r="I851" s="71"/>
      <c r="J851" s="71"/>
      <c r="K851" s="71"/>
      <c r="L851" s="71"/>
      <c r="M851" s="71"/>
      <c r="N851" s="71"/>
      <c r="O851" s="71"/>
      <c r="P851" s="71"/>
      <c r="Q851" s="71"/>
      <c r="R851" s="71"/>
      <c r="S851" s="71"/>
      <c r="T851" s="71"/>
      <c r="U851" s="71"/>
      <c r="V851" s="71"/>
      <c r="W851" s="71"/>
      <c r="X851" s="71"/>
      <c r="Y851" s="71"/>
      <c r="Z851" s="71"/>
    </row>
    <row r="852" spans="1:26" ht="15.75" customHeight="1" x14ac:dyDescent="0.25">
      <c r="A852" s="71"/>
      <c r="B852" s="71"/>
      <c r="C852" s="71"/>
      <c r="D852" s="71"/>
      <c r="E852" s="71"/>
      <c r="F852" s="71"/>
      <c r="G852" s="71"/>
      <c r="H852" s="71"/>
      <c r="I852" s="71"/>
      <c r="J852" s="71"/>
      <c r="K852" s="71"/>
      <c r="L852" s="71"/>
      <c r="M852" s="71"/>
      <c r="N852" s="71"/>
      <c r="O852" s="71"/>
      <c r="P852" s="71"/>
      <c r="Q852" s="71"/>
      <c r="R852" s="71"/>
      <c r="S852" s="71"/>
      <c r="T852" s="71"/>
      <c r="U852" s="71"/>
      <c r="V852" s="71"/>
      <c r="W852" s="71"/>
      <c r="X852" s="71"/>
      <c r="Y852" s="71"/>
      <c r="Z852" s="71"/>
    </row>
    <row r="853" spans="1:26" ht="15.75" customHeight="1" x14ac:dyDescent="0.25">
      <c r="A853" s="71"/>
      <c r="B853" s="71"/>
      <c r="C853" s="71"/>
      <c r="D853" s="71"/>
      <c r="E853" s="71"/>
      <c r="F853" s="71"/>
      <c r="G853" s="71"/>
      <c r="H853" s="71"/>
      <c r="I853" s="71"/>
      <c r="J853" s="71"/>
      <c r="K853" s="71"/>
      <c r="L853" s="71"/>
      <c r="M853" s="71"/>
      <c r="N853" s="71"/>
      <c r="O853" s="71"/>
      <c r="P853" s="71"/>
      <c r="Q853" s="71"/>
      <c r="R853" s="71"/>
      <c r="S853" s="71"/>
      <c r="T853" s="71"/>
      <c r="U853" s="71"/>
      <c r="V853" s="71"/>
      <c r="W853" s="71"/>
      <c r="X853" s="71"/>
      <c r="Y853" s="71"/>
      <c r="Z853" s="71"/>
    </row>
    <row r="854" spans="1:26" ht="15.75" customHeight="1" x14ac:dyDescent="0.25">
      <c r="A854" s="71"/>
      <c r="B854" s="71"/>
      <c r="C854" s="71"/>
      <c r="D854" s="71"/>
      <c r="E854" s="71"/>
      <c r="F854" s="71"/>
      <c r="G854" s="71"/>
      <c r="H854" s="71"/>
      <c r="I854" s="71"/>
      <c r="J854" s="71"/>
      <c r="K854" s="71"/>
      <c r="L854" s="71"/>
      <c r="M854" s="71"/>
      <c r="N854" s="71"/>
      <c r="O854" s="71"/>
      <c r="P854" s="71"/>
      <c r="Q854" s="71"/>
      <c r="R854" s="71"/>
      <c r="S854" s="71"/>
      <c r="T854" s="71"/>
      <c r="U854" s="71"/>
      <c r="V854" s="71"/>
      <c r="W854" s="71"/>
      <c r="X854" s="71"/>
      <c r="Y854" s="71"/>
      <c r="Z854" s="71"/>
    </row>
    <row r="855" spans="1:26" ht="15.75" customHeight="1" x14ac:dyDescent="0.25">
      <c r="A855" s="71"/>
      <c r="B855" s="71"/>
      <c r="C855" s="71"/>
      <c r="D855" s="71"/>
      <c r="E855" s="71"/>
      <c r="F855" s="71"/>
      <c r="G855" s="71"/>
      <c r="H855" s="71"/>
      <c r="I855" s="71"/>
      <c r="J855" s="71"/>
      <c r="K855" s="71"/>
      <c r="L855" s="71"/>
      <c r="M855" s="71"/>
      <c r="N855" s="71"/>
      <c r="O855" s="71"/>
      <c r="P855" s="71"/>
      <c r="Q855" s="71"/>
      <c r="R855" s="71"/>
      <c r="S855" s="71"/>
      <c r="T855" s="71"/>
      <c r="U855" s="71"/>
      <c r="V855" s="71"/>
      <c r="W855" s="71"/>
      <c r="X855" s="71"/>
      <c r="Y855" s="71"/>
      <c r="Z855" s="71"/>
    </row>
    <row r="856" spans="1:26" ht="15.75" customHeight="1" x14ac:dyDescent="0.25">
      <c r="A856" s="71"/>
      <c r="B856" s="71"/>
      <c r="C856" s="71"/>
      <c r="D856" s="71"/>
      <c r="E856" s="71"/>
      <c r="F856" s="71"/>
      <c r="G856" s="71"/>
      <c r="H856" s="71"/>
      <c r="I856" s="71"/>
      <c r="J856" s="71"/>
      <c r="K856" s="71"/>
      <c r="L856" s="71"/>
      <c r="M856" s="71"/>
      <c r="N856" s="71"/>
      <c r="O856" s="71"/>
      <c r="P856" s="71"/>
      <c r="Q856" s="71"/>
      <c r="R856" s="71"/>
      <c r="S856" s="71"/>
      <c r="T856" s="71"/>
      <c r="U856" s="71"/>
      <c r="V856" s="71"/>
      <c r="W856" s="71"/>
      <c r="X856" s="71"/>
      <c r="Y856" s="71"/>
      <c r="Z856" s="71"/>
    </row>
    <row r="857" spans="1:26" ht="15.75" customHeight="1" x14ac:dyDescent="0.25">
      <c r="A857" s="71"/>
      <c r="B857" s="71"/>
      <c r="C857" s="71"/>
      <c r="D857" s="71"/>
      <c r="E857" s="71"/>
      <c r="F857" s="71"/>
      <c r="G857" s="71"/>
      <c r="H857" s="71"/>
      <c r="I857" s="71"/>
      <c r="J857" s="71"/>
      <c r="K857" s="71"/>
      <c r="L857" s="71"/>
      <c r="M857" s="71"/>
      <c r="N857" s="71"/>
      <c r="O857" s="71"/>
      <c r="P857" s="71"/>
      <c r="Q857" s="71"/>
      <c r="R857" s="71"/>
      <c r="S857" s="71"/>
      <c r="T857" s="71"/>
      <c r="U857" s="71"/>
      <c r="V857" s="71"/>
      <c r="W857" s="71"/>
      <c r="X857" s="71"/>
      <c r="Y857" s="71"/>
      <c r="Z857" s="71"/>
    </row>
    <row r="858" spans="1:26" ht="15.75" customHeight="1" x14ac:dyDescent="0.25">
      <c r="A858" s="71"/>
      <c r="B858" s="71"/>
      <c r="C858" s="71"/>
      <c r="D858" s="71"/>
      <c r="E858" s="71"/>
      <c r="F858" s="71"/>
      <c r="G858" s="71"/>
      <c r="H858" s="71"/>
      <c r="I858" s="71"/>
      <c r="J858" s="71"/>
      <c r="K858" s="71"/>
      <c r="L858" s="71"/>
      <c r="M858" s="71"/>
      <c r="N858" s="71"/>
      <c r="O858" s="71"/>
      <c r="P858" s="71"/>
      <c r="Q858" s="71"/>
      <c r="R858" s="71"/>
      <c r="S858" s="71"/>
      <c r="T858" s="71"/>
      <c r="U858" s="71"/>
      <c r="V858" s="71"/>
      <c r="W858" s="71"/>
      <c r="X858" s="71"/>
      <c r="Y858" s="71"/>
      <c r="Z858" s="71"/>
    </row>
    <row r="859" spans="1:26" ht="15.75" customHeight="1" x14ac:dyDescent="0.25">
      <c r="A859" s="71"/>
      <c r="B859" s="71"/>
      <c r="C859" s="71"/>
      <c r="D859" s="71"/>
      <c r="E859" s="71"/>
      <c r="F859" s="71"/>
      <c r="G859" s="71"/>
      <c r="H859" s="71"/>
      <c r="I859" s="71"/>
      <c r="J859" s="71"/>
      <c r="K859" s="71"/>
      <c r="L859" s="71"/>
      <c r="M859" s="71"/>
      <c r="N859" s="71"/>
      <c r="O859" s="71"/>
      <c r="P859" s="71"/>
      <c r="Q859" s="71"/>
      <c r="R859" s="71"/>
      <c r="S859" s="71"/>
      <c r="T859" s="71"/>
      <c r="U859" s="71"/>
      <c r="V859" s="71"/>
      <c r="W859" s="71"/>
      <c r="X859" s="71"/>
      <c r="Y859" s="71"/>
      <c r="Z859" s="71"/>
    </row>
    <row r="860" spans="1:26" ht="15.75" customHeight="1" x14ac:dyDescent="0.25">
      <c r="A860" s="71"/>
      <c r="B860" s="71"/>
      <c r="C860" s="71"/>
      <c r="D860" s="71"/>
      <c r="E860" s="71"/>
      <c r="F860" s="71"/>
      <c r="G860" s="71"/>
      <c r="H860" s="71"/>
      <c r="I860" s="71"/>
      <c r="J860" s="71"/>
      <c r="K860" s="71"/>
      <c r="L860" s="71"/>
      <c r="M860" s="71"/>
      <c r="N860" s="71"/>
      <c r="O860" s="71"/>
      <c r="P860" s="71"/>
      <c r="Q860" s="71"/>
      <c r="R860" s="71"/>
      <c r="S860" s="71"/>
      <c r="T860" s="71"/>
      <c r="U860" s="71"/>
      <c r="V860" s="71"/>
      <c r="W860" s="71"/>
      <c r="X860" s="71"/>
      <c r="Y860" s="71"/>
      <c r="Z860" s="71"/>
    </row>
    <row r="861" spans="1:26" ht="15.75" customHeight="1" x14ac:dyDescent="0.25">
      <c r="A861" s="71"/>
      <c r="B861" s="71"/>
      <c r="C861" s="71"/>
      <c r="D861" s="71"/>
      <c r="E861" s="71"/>
      <c r="F861" s="71"/>
      <c r="G861" s="71"/>
      <c r="H861" s="71"/>
      <c r="I861" s="71"/>
      <c r="J861" s="71"/>
      <c r="K861" s="71"/>
      <c r="L861" s="71"/>
      <c r="M861" s="71"/>
      <c r="N861" s="71"/>
      <c r="O861" s="71"/>
      <c r="P861" s="71"/>
      <c r="Q861" s="71"/>
      <c r="R861" s="71"/>
      <c r="S861" s="71"/>
      <c r="T861" s="71"/>
      <c r="U861" s="71"/>
      <c r="V861" s="71"/>
      <c r="W861" s="71"/>
      <c r="X861" s="71"/>
      <c r="Y861" s="71"/>
      <c r="Z861" s="71"/>
    </row>
    <row r="862" spans="1:26" ht="15.75" customHeight="1" x14ac:dyDescent="0.25">
      <c r="A862" s="71"/>
      <c r="B862" s="71"/>
      <c r="C862" s="71"/>
      <c r="D862" s="71"/>
      <c r="E862" s="71"/>
      <c r="F862" s="71"/>
      <c r="G862" s="71"/>
      <c r="H862" s="71"/>
      <c r="I862" s="71"/>
      <c r="J862" s="71"/>
      <c r="K862" s="71"/>
      <c r="L862" s="71"/>
      <c r="M862" s="71"/>
      <c r="N862" s="71"/>
      <c r="O862" s="71"/>
      <c r="P862" s="71"/>
      <c r="Q862" s="71"/>
      <c r="R862" s="71"/>
      <c r="S862" s="71"/>
      <c r="T862" s="71"/>
      <c r="U862" s="71"/>
      <c r="V862" s="71"/>
      <c r="W862" s="71"/>
      <c r="X862" s="71"/>
      <c r="Y862" s="71"/>
      <c r="Z862" s="71"/>
    </row>
    <row r="863" spans="1:26" ht="15.75" customHeight="1" x14ac:dyDescent="0.25">
      <c r="A863" s="71"/>
      <c r="B863" s="71"/>
      <c r="C863" s="71"/>
      <c r="D863" s="71"/>
      <c r="E863" s="71"/>
      <c r="F863" s="71"/>
      <c r="G863" s="71"/>
      <c r="H863" s="71"/>
      <c r="I863" s="71"/>
      <c r="J863" s="71"/>
      <c r="K863" s="71"/>
      <c r="L863" s="71"/>
      <c r="M863" s="71"/>
      <c r="N863" s="71"/>
      <c r="O863" s="71"/>
      <c r="P863" s="71"/>
      <c r="Q863" s="71"/>
      <c r="R863" s="71"/>
      <c r="S863" s="71"/>
      <c r="T863" s="71"/>
      <c r="U863" s="71"/>
      <c r="V863" s="71"/>
      <c r="W863" s="71"/>
      <c r="X863" s="71"/>
      <c r="Y863" s="71"/>
      <c r="Z863" s="71"/>
    </row>
    <row r="864" spans="1:26" ht="15.75" customHeight="1" x14ac:dyDescent="0.25">
      <c r="A864" s="71"/>
      <c r="B864" s="71"/>
      <c r="C864" s="71"/>
      <c r="D864" s="71"/>
      <c r="E864" s="71"/>
      <c r="F864" s="71"/>
      <c r="G864" s="71"/>
      <c r="H864" s="71"/>
      <c r="I864" s="71"/>
      <c r="J864" s="71"/>
      <c r="K864" s="71"/>
      <c r="L864" s="71"/>
      <c r="M864" s="71"/>
      <c r="N864" s="71"/>
      <c r="O864" s="71"/>
      <c r="P864" s="71"/>
      <c r="Q864" s="71"/>
      <c r="R864" s="71"/>
      <c r="S864" s="71"/>
      <c r="T864" s="71"/>
      <c r="U864" s="71"/>
      <c r="V864" s="71"/>
      <c r="W864" s="71"/>
      <c r="X864" s="71"/>
      <c r="Y864" s="71"/>
      <c r="Z864" s="71"/>
    </row>
    <row r="865" spans="1:26" ht="15.75" customHeight="1" x14ac:dyDescent="0.25">
      <c r="A865" s="71"/>
      <c r="B865" s="71"/>
      <c r="C865" s="71"/>
      <c r="D865" s="71"/>
      <c r="E865" s="71"/>
      <c r="F865" s="71"/>
      <c r="G865" s="71"/>
      <c r="H865" s="71"/>
      <c r="I865" s="71"/>
      <c r="J865" s="71"/>
      <c r="K865" s="71"/>
      <c r="L865" s="71"/>
      <c r="M865" s="71"/>
      <c r="N865" s="71"/>
      <c r="O865" s="71"/>
      <c r="P865" s="71"/>
      <c r="Q865" s="71"/>
      <c r="R865" s="71"/>
      <c r="S865" s="71"/>
      <c r="T865" s="71"/>
      <c r="U865" s="71"/>
      <c r="V865" s="71"/>
      <c r="W865" s="71"/>
      <c r="X865" s="71"/>
      <c r="Y865" s="71"/>
      <c r="Z865" s="71"/>
    </row>
    <row r="866" spans="1:26" ht="15.75" customHeight="1" x14ac:dyDescent="0.25">
      <c r="A866" s="71"/>
      <c r="B866" s="71"/>
      <c r="C866" s="71"/>
      <c r="D866" s="71"/>
      <c r="E866" s="71"/>
      <c r="F866" s="71"/>
      <c r="G866" s="71"/>
      <c r="H866" s="71"/>
      <c r="I866" s="71"/>
      <c r="J866" s="71"/>
      <c r="K866" s="71"/>
      <c r="L866" s="71"/>
      <c r="M866" s="71"/>
      <c r="N866" s="71"/>
      <c r="O866" s="71"/>
      <c r="P866" s="71"/>
      <c r="Q866" s="71"/>
      <c r="R866" s="71"/>
      <c r="S866" s="71"/>
      <c r="T866" s="71"/>
      <c r="U866" s="71"/>
      <c r="V866" s="71"/>
      <c r="W866" s="71"/>
      <c r="X866" s="71"/>
      <c r="Y866" s="71"/>
      <c r="Z866" s="71"/>
    </row>
    <row r="867" spans="1:26" ht="15.75" customHeight="1" x14ac:dyDescent="0.25">
      <c r="A867" s="71"/>
      <c r="B867" s="71"/>
      <c r="C867" s="71"/>
      <c r="D867" s="71"/>
      <c r="E867" s="71"/>
      <c r="F867" s="71"/>
      <c r="G867" s="71"/>
      <c r="H867" s="71"/>
      <c r="I867" s="71"/>
      <c r="J867" s="71"/>
      <c r="K867" s="71"/>
      <c r="L867" s="71"/>
      <c r="M867" s="71"/>
      <c r="N867" s="71"/>
      <c r="O867" s="71"/>
      <c r="P867" s="71"/>
      <c r="Q867" s="71"/>
      <c r="R867" s="71"/>
      <c r="S867" s="71"/>
      <c r="T867" s="71"/>
      <c r="U867" s="71"/>
      <c r="V867" s="71"/>
      <c r="W867" s="71"/>
      <c r="X867" s="71"/>
      <c r="Y867" s="71"/>
      <c r="Z867" s="71"/>
    </row>
    <row r="868" spans="1:26" ht="15.75" customHeight="1" x14ac:dyDescent="0.25">
      <c r="A868" s="71"/>
      <c r="B868" s="71"/>
      <c r="C868" s="71"/>
      <c r="D868" s="71"/>
      <c r="E868" s="71"/>
      <c r="F868" s="71"/>
      <c r="G868" s="71"/>
      <c r="H868" s="71"/>
      <c r="I868" s="71"/>
      <c r="J868" s="71"/>
      <c r="K868" s="71"/>
      <c r="L868" s="71"/>
      <c r="M868" s="71"/>
      <c r="N868" s="71"/>
      <c r="O868" s="71"/>
      <c r="P868" s="71"/>
      <c r="Q868" s="71"/>
      <c r="R868" s="71"/>
      <c r="S868" s="71"/>
      <c r="T868" s="71"/>
      <c r="U868" s="71"/>
      <c r="V868" s="71"/>
      <c r="W868" s="71"/>
      <c r="X868" s="71"/>
      <c r="Y868" s="71"/>
      <c r="Z868" s="71"/>
    </row>
    <row r="869" spans="1:26" ht="15.75" customHeight="1" x14ac:dyDescent="0.25">
      <c r="A869" s="71"/>
      <c r="B869" s="71"/>
      <c r="C869" s="71"/>
      <c r="D869" s="71"/>
      <c r="E869" s="71"/>
      <c r="F869" s="71"/>
      <c r="G869" s="71"/>
      <c r="H869" s="71"/>
      <c r="I869" s="71"/>
      <c r="J869" s="71"/>
      <c r="K869" s="71"/>
      <c r="L869" s="71"/>
      <c r="M869" s="71"/>
      <c r="N869" s="71"/>
      <c r="O869" s="71"/>
      <c r="P869" s="71"/>
      <c r="Q869" s="71"/>
      <c r="R869" s="71"/>
      <c r="S869" s="71"/>
      <c r="T869" s="71"/>
      <c r="U869" s="71"/>
      <c r="V869" s="71"/>
      <c r="W869" s="71"/>
      <c r="X869" s="71"/>
      <c r="Y869" s="71"/>
      <c r="Z869" s="71"/>
    </row>
    <row r="870" spans="1:26" ht="15.75" customHeight="1" x14ac:dyDescent="0.25">
      <c r="A870" s="71"/>
      <c r="B870" s="71"/>
      <c r="C870" s="71"/>
      <c r="D870" s="71"/>
      <c r="E870" s="71"/>
      <c r="F870" s="71"/>
      <c r="G870" s="71"/>
      <c r="H870" s="71"/>
      <c r="I870" s="71"/>
      <c r="J870" s="71"/>
      <c r="K870" s="71"/>
      <c r="L870" s="71"/>
      <c r="M870" s="71"/>
      <c r="N870" s="71"/>
      <c r="O870" s="71"/>
      <c r="P870" s="71"/>
      <c r="Q870" s="71"/>
      <c r="R870" s="71"/>
      <c r="S870" s="71"/>
      <c r="T870" s="71"/>
      <c r="U870" s="71"/>
      <c r="V870" s="71"/>
      <c r="W870" s="71"/>
      <c r="X870" s="71"/>
      <c r="Y870" s="71"/>
      <c r="Z870" s="71"/>
    </row>
    <row r="871" spans="1:26" ht="15.75" customHeight="1" x14ac:dyDescent="0.25">
      <c r="A871" s="71"/>
      <c r="B871" s="71"/>
      <c r="C871" s="71"/>
      <c r="D871" s="71"/>
      <c r="E871" s="71"/>
      <c r="F871" s="71"/>
      <c r="G871" s="71"/>
      <c r="H871" s="71"/>
      <c r="I871" s="71"/>
      <c r="J871" s="71"/>
      <c r="K871" s="71"/>
      <c r="L871" s="71"/>
      <c r="M871" s="71"/>
      <c r="N871" s="71"/>
      <c r="O871" s="71"/>
      <c r="P871" s="71"/>
      <c r="Q871" s="71"/>
      <c r="R871" s="71"/>
      <c r="S871" s="71"/>
      <c r="T871" s="71"/>
      <c r="U871" s="71"/>
      <c r="V871" s="71"/>
      <c r="W871" s="71"/>
      <c r="X871" s="71"/>
      <c r="Y871" s="71"/>
      <c r="Z871" s="71"/>
    </row>
    <row r="872" spans="1:26" ht="15.75" customHeight="1" x14ac:dyDescent="0.25">
      <c r="A872" s="71"/>
      <c r="B872" s="71"/>
      <c r="C872" s="71"/>
      <c r="D872" s="71"/>
      <c r="E872" s="71"/>
      <c r="F872" s="71"/>
      <c r="G872" s="71"/>
      <c r="H872" s="71"/>
      <c r="I872" s="71"/>
      <c r="J872" s="71"/>
      <c r="K872" s="71"/>
      <c r="L872" s="71"/>
      <c r="M872" s="71"/>
      <c r="N872" s="71"/>
      <c r="O872" s="71"/>
      <c r="P872" s="71"/>
      <c r="Q872" s="71"/>
      <c r="R872" s="71"/>
      <c r="S872" s="71"/>
      <c r="T872" s="71"/>
      <c r="U872" s="71"/>
      <c r="V872" s="71"/>
      <c r="W872" s="71"/>
      <c r="X872" s="71"/>
      <c r="Y872" s="71"/>
      <c r="Z872" s="71"/>
    </row>
    <row r="873" spans="1:26" ht="15.75" customHeight="1" x14ac:dyDescent="0.25">
      <c r="A873" s="71"/>
      <c r="B873" s="71"/>
      <c r="C873" s="71"/>
      <c r="D873" s="71"/>
      <c r="E873" s="71"/>
      <c r="F873" s="71"/>
      <c r="G873" s="71"/>
      <c r="H873" s="71"/>
      <c r="I873" s="71"/>
      <c r="J873" s="71"/>
      <c r="K873" s="71"/>
      <c r="L873" s="71"/>
      <c r="M873" s="71"/>
      <c r="N873" s="71"/>
      <c r="O873" s="71"/>
      <c r="P873" s="71"/>
      <c r="Q873" s="71"/>
      <c r="R873" s="71"/>
      <c r="S873" s="71"/>
      <c r="T873" s="71"/>
      <c r="U873" s="71"/>
      <c r="V873" s="71"/>
      <c r="W873" s="71"/>
      <c r="X873" s="71"/>
      <c r="Y873" s="71"/>
      <c r="Z873" s="71"/>
    </row>
    <row r="874" spans="1:26" ht="15.75" customHeight="1" x14ac:dyDescent="0.25">
      <c r="A874" s="71"/>
      <c r="B874" s="71"/>
      <c r="C874" s="71"/>
      <c r="D874" s="71"/>
      <c r="E874" s="71"/>
      <c r="F874" s="71"/>
      <c r="G874" s="71"/>
      <c r="H874" s="71"/>
      <c r="I874" s="71"/>
      <c r="J874" s="71"/>
      <c r="K874" s="71"/>
      <c r="L874" s="71"/>
      <c r="M874" s="71"/>
      <c r="N874" s="71"/>
      <c r="O874" s="71"/>
      <c r="P874" s="71"/>
      <c r="Q874" s="71"/>
      <c r="R874" s="71"/>
      <c r="S874" s="71"/>
      <c r="T874" s="71"/>
      <c r="U874" s="71"/>
      <c r="V874" s="71"/>
      <c r="W874" s="71"/>
      <c r="X874" s="71"/>
      <c r="Y874" s="71"/>
      <c r="Z874" s="71"/>
    </row>
    <row r="875" spans="1:26" ht="15.75" customHeight="1" x14ac:dyDescent="0.25">
      <c r="A875" s="71"/>
      <c r="B875" s="71"/>
      <c r="C875" s="71"/>
      <c r="D875" s="71"/>
      <c r="E875" s="71"/>
      <c r="F875" s="71"/>
      <c r="G875" s="71"/>
      <c r="H875" s="71"/>
      <c r="I875" s="71"/>
      <c r="J875" s="71"/>
      <c r="K875" s="71"/>
      <c r="L875" s="71"/>
      <c r="M875" s="71"/>
      <c r="N875" s="71"/>
      <c r="O875" s="71"/>
      <c r="P875" s="71"/>
      <c r="Q875" s="71"/>
      <c r="R875" s="71"/>
      <c r="S875" s="71"/>
      <c r="T875" s="71"/>
      <c r="U875" s="71"/>
      <c r="V875" s="71"/>
      <c r="W875" s="71"/>
      <c r="X875" s="71"/>
      <c r="Y875" s="71"/>
      <c r="Z875" s="71"/>
    </row>
    <row r="876" spans="1:26" ht="15.75" customHeight="1" x14ac:dyDescent="0.25">
      <c r="A876" s="71"/>
      <c r="B876" s="71"/>
      <c r="C876" s="71"/>
      <c r="D876" s="71"/>
      <c r="E876" s="71"/>
      <c r="F876" s="71"/>
      <c r="G876" s="71"/>
      <c r="H876" s="71"/>
      <c r="I876" s="71"/>
      <c r="J876" s="71"/>
      <c r="K876" s="71"/>
      <c r="L876" s="71"/>
      <c r="M876" s="71"/>
      <c r="N876" s="71"/>
      <c r="O876" s="71"/>
      <c r="P876" s="71"/>
      <c r="Q876" s="71"/>
      <c r="R876" s="71"/>
      <c r="S876" s="71"/>
      <c r="T876" s="71"/>
      <c r="U876" s="71"/>
      <c r="V876" s="71"/>
      <c r="W876" s="71"/>
      <c r="X876" s="71"/>
      <c r="Y876" s="71"/>
      <c r="Z876" s="71"/>
    </row>
    <row r="877" spans="1:26" ht="15.75" customHeight="1" x14ac:dyDescent="0.25">
      <c r="A877" s="71"/>
      <c r="B877" s="71"/>
      <c r="C877" s="71"/>
      <c r="D877" s="71"/>
      <c r="E877" s="71"/>
      <c r="F877" s="71"/>
      <c r="G877" s="71"/>
      <c r="H877" s="71"/>
      <c r="I877" s="71"/>
      <c r="J877" s="71"/>
      <c r="K877" s="71"/>
      <c r="L877" s="71"/>
      <c r="M877" s="71"/>
      <c r="N877" s="71"/>
      <c r="O877" s="71"/>
      <c r="P877" s="71"/>
      <c r="Q877" s="71"/>
      <c r="R877" s="71"/>
      <c r="S877" s="71"/>
      <c r="T877" s="71"/>
      <c r="U877" s="71"/>
      <c r="V877" s="71"/>
      <c r="W877" s="71"/>
      <c r="X877" s="71"/>
      <c r="Y877" s="71"/>
      <c r="Z877" s="71"/>
    </row>
    <row r="878" spans="1:26" ht="15.75" customHeight="1" x14ac:dyDescent="0.25">
      <c r="A878" s="71"/>
      <c r="B878" s="71"/>
      <c r="C878" s="71"/>
      <c r="D878" s="71"/>
      <c r="E878" s="71"/>
      <c r="F878" s="71"/>
      <c r="G878" s="71"/>
      <c r="H878" s="71"/>
      <c r="I878" s="71"/>
      <c r="J878" s="71"/>
      <c r="K878" s="71"/>
      <c r="L878" s="71"/>
      <c r="M878" s="71"/>
      <c r="N878" s="71"/>
      <c r="O878" s="71"/>
      <c r="P878" s="71"/>
      <c r="Q878" s="71"/>
      <c r="R878" s="71"/>
      <c r="S878" s="71"/>
      <c r="T878" s="71"/>
      <c r="U878" s="71"/>
      <c r="V878" s="71"/>
      <c r="W878" s="71"/>
      <c r="X878" s="71"/>
      <c r="Y878" s="71"/>
      <c r="Z878" s="71"/>
    </row>
    <row r="879" spans="1:26" ht="15.75" customHeight="1" x14ac:dyDescent="0.25">
      <c r="A879" s="71"/>
      <c r="B879" s="71"/>
      <c r="C879" s="71"/>
      <c r="D879" s="71"/>
      <c r="E879" s="71"/>
      <c r="F879" s="71"/>
      <c r="G879" s="71"/>
      <c r="H879" s="71"/>
      <c r="I879" s="71"/>
      <c r="J879" s="71"/>
      <c r="K879" s="71"/>
      <c r="L879" s="71"/>
      <c r="M879" s="71"/>
      <c r="N879" s="71"/>
      <c r="O879" s="71"/>
      <c r="P879" s="71"/>
      <c r="Q879" s="71"/>
      <c r="R879" s="71"/>
      <c r="S879" s="71"/>
      <c r="T879" s="71"/>
      <c r="U879" s="71"/>
      <c r="V879" s="71"/>
      <c r="W879" s="71"/>
      <c r="X879" s="71"/>
      <c r="Y879" s="71"/>
      <c r="Z879" s="71"/>
    </row>
    <row r="880" spans="1:26" ht="15.75" customHeight="1" x14ac:dyDescent="0.25">
      <c r="A880" s="71"/>
      <c r="B880" s="71"/>
      <c r="C880" s="71"/>
      <c r="D880" s="71"/>
      <c r="E880" s="71"/>
      <c r="F880" s="71"/>
      <c r="G880" s="71"/>
      <c r="H880" s="71"/>
      <c r="I880" s="71"/>
      <c r="J880" s="71"/>
      <c r="K880" s="71"/>
      <c r="L880" s="71"/>
      <c r="M880" s="71"/>
      <c r="N880" s="71"/>
      <c r="O880" s="71"/>
      <c r="P880" s="71"/>
      <c r="Q880" s="71"/>
      <c r="R880" s="71"/>
      <c r="S880" s="71"/>
      <c r="T880" s="71"/>
      <c r="U880" s="71"/>
      <c r="V880" s="71"/>
      <c r="W880" s="71"/>
      <c r="X880" s="71"/>
      <c r="Y880" s="71"/>
      <c r="Z880" s="71"/>
    </row>
    <row r="881" spans="1:26" ht="15.75" customHeight="1" x14ac:dyDescent="0.25">
      <c r="A881" s="71"/>
      <c r="B881" s="71"/>
      <c r="C881" s="71"/>
      <c r="D881" s="71"/>
      <c r="E881" s="71"/>
      <c r="F881" s="71"/>
      <c r="G881" s="71"/>
      <c r="H881" s="71"/>
      <c r="I881" s="71"/>
      <c r="J881" s="71"/>
      <c r="K881" s="71"/>
      <c r="L881" s="71"/>
      <c r="M881" s="71"/>
      <c r="N881" s="71"/>
      <c r="O881" s="71"/>
      <c r="P881" s="71"/>
      <c r="Q881" s="71"/>
      <c r="R881" s="71"/>
      <c r="S881" s="71"/>
      <c r="T881" s="71"/>
      <c r="U881" s="71"/>
      <c r="V881" s="71"/>
      <c r="W881" s="71"/>
      <c r="X881" s="71"/>
      <c r="Y881" s="71"/>
      <c r="Z881" s="71"/>
    </row>
    <row r="882" spans="1:26" ht="15.75" customHeight="1" x14ac:dyDescent="0.25">
      <c r="A882" s="71"/>
      <c r="B882" s="71"/>
      <c r="C882" s="71"/>
      <c r="D882" s="71"/>
      <c r="E882" s="71"/>
      <c r="F882" s="71"/>
      <c r="G882" s="71"/>
      <c r="H882" s="71"/>
      <c r="I882" s="71"/>
      <c r="J882" s="71"/>
      <c r="K882" s="71"/>
      <c r="L882" s="71"/>
      <c r="M882" s="71"/>
      <c r="N882" s="71"/>
      <c r="O882" s="71"/>
      <c r="P882" s="71"/>
      <c r="Q882" s="71"/>
      <c r="R882" s="71"/>
      <c r="S882" s="71"/>
      <c r="T882" s="71"/>
      <c r="U882" s="71"/>
      <c r="V882" s="71"/>
      <c r="W882" s="71"/>
      <c r="X882" s="71"/>
      <c r="Y882" s="71"/>
      <c r="Z882" s="71"/>
    </row>
    <row r="883" spans="1:26" ht="15.75" customHeight="1" x14ac:dyDescent="0.25">
      <c r="A883" s="71"/>
      <c r="B883" s="71"/>
      <c r="C883" s="71"/>
      <c r="D883" s="71"/>
      <c r="E883" s="71"/>
      <c r="F883" s="71"/>
      <c r="G883" s="71"/>
      <c r="H883" s="71"/>
      <c r="I883" s="71"/>
      <c r="J883" s="71"/>
      <c r="K883" s="71"/>
      <c r="L883" s="71"/>
      <c r="M883" s="71"/>
      <c r="N883" s="71"/>
      <c r="O883" s="71"/>
      <c r="P883" s="71"/>
      <c r="Q883" s="71"/>
      <c r="R883" s="71"/>
      <c r="S883" s="71"/>
      <c r="T883" s="71"/>
      <c r="U883" s="71"/>
      <c r="V883" s="71"/>
      <c r="W883" s="71"/>
      <c r="X883" s="71"/>
      <c r="Y883" s="71"/>
      <c r="Z883" s="71"/>
    </row>
    <row r="884" spans="1:26" ht="15.75" customHeight="1" x14ac:dyDescent="0.25">
      <c r="A884" s="71"/>
      <c r="B884" s="71"/>
      <c r="C884" s="71"/>
      <c r="D884" s="71"/>
      <c r="E884" s="71"/>
      <c r="F884" s="71"/>
      <c r="G884" s="71"/>
      <c r="H884" s="71"/>
      <c r="I884" s="71"/>
      <c r="J884" s="71"/>
      <c r="K884" s="71"/>
      <c r="L884" s="71"/>
      <c r="M884" s="71"/>
      <c r="N884" s="71"/>
      <c r="O884" s="71"/>
      <c r="P884" s="71"/>
      <c r="Q884" s="71"/>
      <c r="R884" s="71"/>
      <c r="S884" s="71"/>
      <c r="T884" s="71"/>
      <c r="U884" s="71"/>
      <c r="V884" s="71"/>
      <c r="W884" s="71"/>
      <c r="X884" s="71"/>
      <c r="Y884" s="71"/>
      <c r="Z884" s="71"/>
    </row>
    <row r="885" spans="1:26" ht="15.75" customHeight="1" x14ac:dyDescent="0.25">
      <c r="A885" s="71"/>
      <c r="B885" s="71"/>
      <c r="C885" s="71"/>
      <c r="D885" s="71"/>
      <c r="E885" s="71"/>
      <c r="F885" s="71"/>
      <c r="G885" s="71"/>
      <c r="H885" s="71"/>
      <c r="I885" s="71"/>
      <c r="J885" s="71"/>
      <c r="K885" s="71"/>
      <c r="L885" s="71"/>
      <c r="M885" s="71"/>
      <c r="N885" s="71"/>
      <c r="O885" s="71"/>
      <c r="P885" s="71"/>
      <c r="Q885" s="71"/>
      <c r="R885" s="71"/>
      <c r="S885" s="71"/>
      <c r="T885" s="71"/>
      <c r="U885" s="71"/>
      <c r="V885" s="71"/>
      <c r="W885" s="71"/>
      <c r="X885" s="71"/>
      <c r="Y885" s="71"/>
      <c r="Z885" s="71"/>
    </row>
    <row r="886" spans="1:26" ht="15.75" customHeight="1" x14ac:dyDescent="0.25">
      <c r="A886" s="71"/>
      <c r="B886" s="71"/>
      <c r="C886" s="71"/>
      <c r="D886" s="71"/>
      <c r="E886" s="71"/>
      <c r="F886" s="71"/>
      <c r="G886" s="71"/>
      <c r="H886" s="71"/>
      <c r="I886" s="71"/>
      <c r="J886" s="71"/>
      <c r="K886" s="71"/>
      <c r="L886" s="71"/>
      <c r="M886" s="71"/>
      <c r="N886" s="71"/>
      <c r="O886" s="71"/>
      <c r="P886" s="71"/>
      <c r="Q886" s="71"/>
      <c r="R886" s="71"/>
      <c r="S886" s="71"/>
      <c r="T886" s="71"/>
      <c r="U886" s="71"/>
      <c r="V886" s="71"/>
      <c r="W886" s="71"/>
      <c r="X886" s="71"/>
      <c r="Y886" s="71"/>
      <c r="Z886" s="71"/>
    </row>
    <row r="887" spans="1:26" ht="15.75" customHeight="1" x14ac:dyDescent="0.25">
      <c r="A887" s="71"/>
      <c r="B887" s="71"/>
      <c r="C887" s="71"/>
      <c r="D887" s="71"/>
      <c r="E887" s="71"/>
      <c r="F887" s="71"/>
      <c r="G887" s="71"/>
      <c r="H887" s="71"/>
      <c r="I887" s="71"/>
      <c r="J887" s="71"/>
      <c r="K887" s="71"/>
      <c r="L887" s="71"/>
      <c r="M887" s="71"/>
      <c r="N887" s="71"/>
      <c r="O887" s="71"/>
      <c r="P887" s="71"/>
      <c r="Q887" s="71"/>
      <c r="R887" s="71"/>
      <c r="S887" s="71"/>
      <c r="T887" s="71"/>
      <c r="U887" s="71"/>
      <c r="V887" s="71"/>
      <c r="W887" s="71"/>
      <c r="X887" s="71"/>
      <c r="Y887" s="71"/>
      <c r="Z887" s="71"/>
    </row>
    <row r="888" spans="1:26" ht="15.75" customHeight="1" x14ac:dyDescent="0.25">
      <c r="A888" s="71"/>
      <c r="B888" s="71"/>
      <c r="C888" s="71"/>
      <c r="D888" s="71"/>
      <c r="E888" s="71"/>
      <c r="F888" s="71"/>
      <c r="G888" s="71"/>
      <c r="H888" s="71"/>
      <c r="I888" s="71"/>
      <c r="J888" s="71"/>
      <c r="K888" s="71"/>
      <c r="L888" s="71"/>
      <c r="M888" s="71"/>
      <c r="N888" s="71"/>
      <c r="O888" s="71"/>
      <c r="P888" s="71"/>
      <c r="Q888" s="71"/>
      <c r="R888" s="71"/>
      <c r="S888" s="71"/>
      <c r="T888" s="71"/>
      <c r="U888" s="71"/>
      <c r="V888" s="71"/>
      <c r="W888" s="71"/>
      <c r="X888" s="71"/>
      <c r="Y888" s="71"/>
      <c r="Z888" s="71"/>
    </row>
    <row r="889" spans="1:26" ht="15.75" customHeight="1" x14ac:dyDescent="0.25">
      <c r="A889" s="71"/>
      <c r="B889" s="71"/>
      <c r="C889" s="71"/>
      <c r="D889" s="71"/>
      <c r="E889" s="71"/>
      <c r="F889" s="71"/>
      <c r="G889" s="71"/>
      <c r="H889" s="71"/>
      <c r="I889" s="71"/>
      <c r="J889" s="71"/>
      <c r="K889" s="71"/>
      <c r="L889" s="71"/>
      <c r="M889" s="71"/>
      <c r="N889" s="71"/>
      <c r="O889" s="71"/>
      <c r="P889" s="71"/>
      <c r="Q889" s="71"/>
      <c r="R889" s="71"/>
      <c r="S889" s="71"/>
      <c r="T889" s="71"/>
      <c r="U889" s="71"/>
      <c r="V889" s="71"/>
      <c r="W889" s="71"/>
      <c r="X889" s="71"/>
      <c r="Y889" s="71"/>
      <c r="Z889" s="71"/>
    </row>
    <row r="890" spans="1:26" ht="15.75" customHeight="1" x14ac:dyDescent="0.25">
      <c r="A890" s="71"/>
      <c r="B890" s="71"/>
      <c r="C890" s="71"/>
      <c r="D890" s="71"/>
      <c r="E890" s="71"/>
      <c r="F890" s="71"/>
      <c r="G890" s="71"/>
      <c r="H890" s="71"/>
      <c r="I890" s="71"/>
      <c r="J890" s="71"/>
      <c r="K890" s="71"/>
      <c r="L890" s="71"/>
      <c r="M890" s="71"/>
      <c r="N890" s="71"/>
      <c r="O890" s="71"/>
      <c r="P890" s="71"/>
      <c r="Q890" s="71"/>
      <c r="R890" s="71"/>
      <c r="S890" s="71"/>
      <c r="T890" s="71"/>
      <c r="U890" s="71"/>
      <c r="V890" s="71"/>
      <c r="W890" s="71"/>
      <c r="X890" s="71"/>
      <c r="Y890" s="71"/>
      <c r="Z890" s="71"/>
    </row>
    <row r="891" spans="1:26" ht="15.75" customHeight="1" x14ac:dyDescent="0.25">
      <c r="A891" s="71"/>
      <c r="B891" s="71"/>
      <c r="C891" s="71"/>
      <c r="D891" s="71"/>
      <c r="E891" s="71"/>
      <c r="F891" s="71"/>
      <c r="G891" s="71"/>
      <c r="H891" s="71"/>
      <c r="I891" s="71"/>
      <c r="J891" s="71"/>
      <c r="K891" s="71"/>
      <c r="L891" s="71"/>
      <c r="M891" s="71"/>
      <c r="N891" s="71"/>
      <c r="O891" s="71"/>
      <c r="P891" s="71"/>
      <c r="Q891" s="71"/>
      <c r="R891" s="71"/>
      <c r="S891" s="71"/>
      <c r="T891" s="71"/>
      <c r="U891" s="71"/>
      <c r="V891" s="71"/>
      <c r="W891" s="71"/>
      <c r="X891" s="71"/>
      <c r="Y891" s="71"/>
      <c r="Z891" s="71"/>
    </row>
    <row r="892" spans="1:26" ht="15.75" customHeight="1" x14ac:dyDescent="0.25">
      <c r="A892" s="71"/>
      <c r="B892" s="71"/>
      <c r="C892" s="71"/>
      <c r="D892" s="71"/>
      <c r="E892" s="71"/>
      <c r="F892" s="71"/>
      <c r="G892" s="71"/>
      <c r="H892" s="71"/>
      <c r="I892" s="71"/>
      <c r="J892" s="71"/>
      <c r="K892" s="71"/>
      <c r="L892" s="71"/>
      <c r="M892" s="71"/>
      <c r="N892" s="71"/>
      <c r="O892" s="71"/>
      <c r="P892" s="71"/>
      <c r="Q892" s="71"/>
      <c r="R892" s="71"/>
      <c r="S892" s="71"/>
      <c r="T892" s="71"/>
      <c r="U892" s="71"/>
      <c r="V892" s="71"/>
      <c r="W892" s="71"/>
      <c r="X892" s="71"/>
      <c r="Y892" s="71"/>
      <c r="Z892" s="71"/>
    </row>
    <row r="893" spans="1:26" ht="15.75" customHeight="1" x14ac:dyDescent="0.25">
      <c r="A893" s="71"/>
      <c r="B893" s="71"/>
      <c r="C893" s="71"/>
      <c r="D893" s="71"/>
      <c r="E893" s="71"/>
      <c r="F893" s="71"/>
      <c r="G893" s="71"/>
      <c r="H893" s="71"/>
      <c r="I893" s="71"/>
      <c r="J893" s="71"/>
      <c r="K893" s="71"/>
      <c r="L893" s="71"/>
      <c r="M893" s="71"/>
      <c r="N893" s="71"/>
      <c r="O893" s="71"/>
      <c r="P893" s="71"/>
      <c r="Q893" s="71"/>
      <c r="R893" s="71"/>
      <c r="S893" s="71"/>
      <c r="T893" s="71"/>
      <c r="U893" s="71"/>
      <c r="V893" s="71"/>
      <c r="W893" s="71"/>
      <c r="X893" s="71"/>
      <c r="Y893" s="71"/>
      <c r="Z893" s="71"/>
    </row>
    <row r="894" spans="1:26" ht="15.75" customHeight="1" x14ac:dyDescent="0.25">
      <c r="A894" s="71"/>
      <c r="B894" s="71"/>
      <c r="C894" s="71"/>
      <c r="D894" s="71"/>
      <c r="E894" s="71"/>
      <c r="F894" s="71"/>
      <c r="G894" s="71"/>
      <c r="H894" s="71"/>
      <c r="I894" s="71"/>
      <c r="J894" s="71"/>
      <c r="K894" s="71"/>
      <c r="L894" s="71"/>
      <c r="M894" s="71"/>
      <c r="N894" s="71"/>
      <c r="O894" s="71"/>
      <c r="P894" s="71"/>
      <c r="Q894" s="71"/>
      <c r="R894" s="71"/>
      <c r="S894" s="71"/>
      <c r="T894" s="71"/>
      <c r="U894" s="71"/>
      <c r="V894" s="71"/>
      <c r="W894" s="71"/>
      <c r="X894" s="71"/>
      <c r="Y894" s="71"/>
      <c r="Z894" s="71"/>
    </row>
    <row r="895" spans="1:26" ht="15.75" customHeight="1" x14ac:dyDescent="0.25">
      <c r="A895" s="71"/>
      <c r="B895" s="71"/>
      <c r="C895" s="71"/>
      <c r="D895" s="71"/>
      <c r="E895" s="71"/>
      <c r="F895" s="71"/>
      <c r="G895" s="71"/>
      <c r="H895" s="71"/>
      <c r="I895" s="71"/>
      <c r="J895" s="71"/>
      <c r="K895" s="71"/>
      <c r="L895" s="71"/>
      <c r="M895" s="71"/>
      <c r="N895" s="71"/>
      <c r="O895" s="71"/>
      <c r="P895" s="71"/>
      <c r="Q895" s="71"/>
      <c r="R895" s="71"/>
      <c r="S895" s="71"/>
      <c r="T895" s="71"/>
      <c r="U895" s="71"/>
      <c r="V895" s="71"/>
      <c r="W895" s="71"/>
      <c r="X895" s="71"/>
      <c r="Y895" s="71"/>
      <c r="Z895" s="71"/>
    </row>
    <row r="896" spans="1:26" ht="15.75" customHeight="1" x14ac:dyDescent="0.25">
      <c r="A896" s="71"/>
      <c r="B896" s="71"/>
      <c r="C896" s="71"/>
      <c r="D896" s="71"/>
      <c r="E896" s="71"/>
      <c r="F896" s="71"/>
      <c r="G896" s="71"/>
      <c r="H896" s="71"/>
      <c r="I896" s="71"/>
      <c r="J896" s="71"/>
      <c r="K896" s="71"/>
      <c r="L896" s="71"/>
      <c r="M896" s="71"/>
      <c r="N896" s="71"/>
      <c r="O896" s="71"/>
      <c r="P896" s="71"/>
      <c r="Q896" s="71"/>
      <c r="R896" s="71"/>
      <c r="S896" s="71"/>
      <c r="T896" s="71"/>
      <c r="U896" s="71"/>
      <c r="V896" s="71"/>
      <c r="W896" s="71"/>
      <c r="X896" s="71"/>
      <c r="Y896" s="71"/>
      <c r="Z896" s="71"/>
    </row>
    <row r="897" spans="1:26" ht="15.75" customHeight="1" x14ac:dyDescent="0.25">
      <c r="A897" s="71"/>
      <c r="B897" s="71"/>
      <c r="C897" s="71"/>
      <c r="D897" s="71"/>
      <c r="E897" s="71"/>
      <c r="F897" s="71"/>
      <c r="G897" s="71"/>
      <c r="H897" s="71"/>
      <c r="I897" s="71"/>
      <c r="J897" s="71"/>
      <c r="K897" s="71"/>
      <c r="L897" s="71"/>
      <c r="M897" s="71"/>
      <c r="N897" s="71"/>
      <c r="O897" s="71"/>
      <c r="P897" s="71"/>
      <c r="Q897" s="71"/>
      <c r="R897" s="71"/>
      <c r="S897" s="71"/>
      <c r="T897" s="71"/>
      <c r="U897" s="71"/>
      <c r="V897" s="71"/>
      <c r="W897" s="71"/>
      <c r="X897" s="71"/>
      <c r="Y897" s="71"/>
      <c r="Z897" s="71"/>
    </row>
    <row r="898" spans="1:26" ht="15.75" customHeight="1" x14ac:dyDescent="0.25">
      <c r="A898" s="71"/>
      <c r="B898" s="71"/>
      <c r="C898" s="71"/>
      <c r="D898" s="71"/>
      <c r="E898" s="71"/>
      <c r="F898" s="71"/>
      <c r="G898" s="71"/>
      <c r="H898" s="71"/>
      <c r="I898" s="71"/>
      <c r="J898" s="71"/>
      <c r="K898" s="71"/>
      <c r="L898" s="71"/>
      <c r="M898" s="71"/>
      <c r="N898" s="71"/>
      <c r="O898" s="71"/>
      <c r="P898" s="71"/>
      <c r="Q898" s="71"/>
      <c r="R898" s="71"/>
      <c r="S898" s="71"/>
      <c r="T898" s="71"/>
      <c r="U898" s="71"/>
      <c r="V898" s="71"/>
      <c r="W898" s="71"/>
      <c r="X898" s="71"/>
      <c r="Y898" s="71"/>
      <c r="Z898" s="71"/>
    </row>
    <row r="899" spans="1:26" ht="15.75" customHeight="1" x14ac:dyDescent="0.25">
      <c r="A899" s="71"/>
      <c r="B899" s="71"/>
      <c r="C899" s="71"/>
      <c r="D899" s="71"/>
      <c r="E899" s="71"/>
      <c r="F899" s="71"/>
      <c r="G899" s="71"/>
      <c r="H899" s="71"/>
      <c r="I899" s="71"/>
      <c r="J899" s="71"/>
      <c r="K899" s="71"/>
      <c r="L899" s="71"/>
      <c r="M899" s="71"/>
      <c r="N899" s="71"/>
      <c r="O899" s="71"/>
      <c r="P899" s="71"/>
      <c r="Q899" s="71"/>
      <c r="R899" s="71"/>
      <c r="S899" s="71"/>
      <c r="T899" s="71"/>
      <c r="U899" s="71"/>
      <c r="V899" s="71"/>
      <c r="W899" s="71"/>
      <c r="X899" s="71"/>
      <c r="Y899" s="71"/>
      <c r="Z899" s="71"/>
    </row>
    <row r="900" spans="1:26" ht="15.75" customHeight="1" x14ac:dyDescent="0.25">
      <c r="A900" s="71"/>
      <c r="B900" s="71"/>
      <c r="C900" s="71"/>
      <c r="D900" s="71"/>
      <c r="E900" s="71"/>
      <c r="F900" s="71"/>
      <c r="G900" s="71"/>
      <c r="H900" s="71"/>
      <c r="I900" s="71"/>
      <c r="J900" s="71"/>
      <c r="K900" s="71"/>
      <c r="L900" s="71"/>
      <c r="M900" s="71"/>
      <c r="N900" s="71"/>
      <c r="O900" s="71"/>
      <c r="P900" s="71"/>
      <c r="Q900" s="71"/>
      <c r="R900" s="71"/>
      <c r="S900" s="71"/>
      <c r="T900" s="71"/>
      <c r="U900" s="71"/>
      <c r="V900" s="71"/>
      <c r="W900" s="71"/>
      <c r="X900" s="71"/>
      <c r="Y900" s="71"/>
      <c r="Z900" s="71"/>
    </row>
    <row r="901" spans="1:26" ht="15.75" customHeight="1" x14ac:dyDescent="0.25">
      <c r="A901" s="71"/>
      <c r="B901" s="71"/>
      <c r="C901" s="71"/>
      <c r="D901" s="71"/>
      <c r="E901" s="71"/>
      <c r="F901" s="71"/>
      <c r="G901" s="71"/>
      <c r="H901" s="71"/>
      <c r="I901" s="71"/>
      <c r="J901" s="71"/>
      <c r="K901" s="71"/>
      <c r="L901" s="71"/>
      <c r="M901" s="71"/>
      <c r="N901" s="71"/>
      <c r="O901" s="71"/>
      <c r="P901" s="71"/>
      <c r="Q901" s="71"/>
      <c r="R901" s="71"/>
      <c r="S901" s="71"/>
      <c r="T901" s="71"/>
      <c r="U901" s="71"/>
      <c r="V901" s="71"/>
      <c r="W901" s="71"/>
      <c r="X901" s="71"/>
      <c r="Y901" s="71"/>
      <c r="Z901" s="71"/>
    </row>
    <row r="902" spans="1:26" ht="15.75" customHeight="1" x14ac:dyDescent="0.25">
      <c r="A902" s="71"/>
      <c r="B902" s="71"/>
      <c r="C902" s="71"/>
      <c r="D902" s="71"/>
      <c r="E902" s="71"/>
      <c r="F902" s="71"/>
      <c r="G902" s="71"/>
      <c r="H902" s="71"/>
      <c r="I902" s="71"/>
      <c r="J902" s="71"/>
      <c r="K902" s="71"/>
      <c r="L902" s="71"/>
      <c r="M902" s="71"/>
      <c r="N902" s="71"/>
      <c r="O902" s="71"/>
      <c r="P902" s="71"/>
      <c r="Q902" s="71"/>
      <c r="R902" s="71"/>
      <c r="S902" s="71"/>
      <c r="T902" s="71"/>
      <c r="U902" s="71"/>
      <c r="V902" s="71"/>
      <c r="W902" s="71"/>
      <c r="X902" s="71"/>
      <c r="Y902" s="71"/>
      <c r="Z902" s="71"/>
    </row>
    <row r="903" spans="1:26" ht="15.75" customHeight="1" x14ac:dyDescent="0.25">
      <c r="A903" s="71"/>
      <c r="B903" s="71"/>
      <c r="C903" s="71"/>
      <c r="D903" s="71"/>
      <c r="E903" s="71"/>
      <c r="F903" s="71"/>
      <c r="G903" s="71"/>
      <c r="H903" s="71"/>
      <c r="I903" s="71"/>
      <c r="J903" s="71"/>
      <c r="K903" s="71"/>
      <c r="L903" s="71"/>
      <c r="M903" s="71"/>
      <c r="N903" s="71"/>
      <c r="O903" s="71"/>
      <c r="P903" s="71"/>
      <c r="Q903" s="71"/>
      <c r="R903" s="71"/>
      <c r="S903" s="71"/>
      <c r="T903" s="71"/>
      <c r="U903" s="71"/>
      <c r="V903" s="71"/>
      <c r="W903" s="71"/>
      <c r="X903" s="71"/>
      <c r="Y903" s="71"/>
      <c r="Z903" s="71"/>
    </row>
    <row r="904" spans="1:26" ht="15.75" customHeight="1" x14ac:dyDescent="0.25">
      <c r="A904" s="71"/>
      <c r="B904" s="71"/>
      <c r="C904" s="71"/>
      <c r="D904" s="71"/>
      <c r="E904" s="71"/>
      <c r="F904" s="71"/>
      <c r="G904" s="71"/>
      <c r="H904" s="71"/>
      <c r="I904" s="71"/>
      <c r="J904" s="71"/>
      <c r="K904" s="71"/>
      <c r="L904" s="71"/>
      <c r="M904" s="71"/>
      <c r="N904" s="71"/>
      <c r="O904" s="71"/>
      <c r="P904" s="71"/>
      <c r="Q904" s="71"/>
      <c r="R904" s="71"/>
      <c r="S904" s="71"/>
      <c r="T904" s="71"/>
      <c r="U904" s="71"/>
      <c r="V904" s="71"/>
      <c r="W904" s="71"/>
      <c r="X904" s="71"/>
      <c r="Y904" s="71"/>
      <c r="Z904" s="71"/>
    </row>
    <row r="905" spans="1:26" ht="15.75" customHeight="1" x14ac:dyDescent="0.25">
      <c r="A905" s="71"/>
      <c r="B905" s="71"/>
      <c r="C905" s="71"/>
      <c r="D905" s="71"/>
      <c r="E905" s="71"/>
      <c r="F905" s="71"/>
      <c r="G905" s="71"/>
      <c r="H905" s="71"/>
      <c r="I905" s="71"/>
      <c r="J905" s="71"/>
      <c r="K905" s="71"/>
      <c r="L905" s="71"/>
      <c r="M905" s="71"/>
      <c r="N905" s="71"/>
      <c r="O905" s="71"/>
      <c r="P905" s="71"/>
      <c r="Q905" s="71"/>
      <c r="R905" s="71"/>
      <c r="S905" s="71"/>
      <c r="T905" s="71"/>
      <c r="U905" s="71"/>
      <c r="V905" s="71"/>
      <c r="W905" s="71"/>
      <c r="X905" s="71"/>
      <c r="Y905" s="71"/>
      <c r="Z905" s="71"/>
    </row>
    <row r="906" spans="1:26" ht="15.75" customHeight="1" x14ac:dyDescent="0.25">
      <c r="A906" s="71"/>
      <c r="B906" s="71"/>
      <c r="C906" s="71"/>
      <c r="D906" s="71"/>
      <c r="E906" s="71"/>
      <c r="F906" s="71"/>
      <c r="G906" s="71"/>
      <c r="H906" s="71"/>
      <c r="I906" s="71"/>
      <c r="J906" s="71"/>
      <c r="K906" s="71"/>
      <c r="L906" s="71"/>
      <c r="M906" s="71"/>
      <c r="N906" s="71"/>
      <c r="O906" s="71"/>
      <c r="P906" s="71"/>
      <c r="Q906" s="71"/>
      <c r="R906" s="71"/>
      <c r="S906" s="71"/>
      <c r="T906" s="71"/>
      <c r="U906" s="71"/>
      <c r="V906" s="71"/>
      <c r="W906" s="71"/>
      <c r="X906" s="71"/>
      <c r="Y906" s="71"/>
      <c r="Z906" s="71"/>
    </row>
    <row r="907" spans="1:26" ht="15.75" customHeight="1" x14ac:dyDescent="0.25">
      <c r="A907" s="71"/>
      <c r="B907" s="71"/>
      <c r="C907" s="71"/>
      <c r="D907" s="71"/>
      <c r="E907" s="71"/>
      <c r="F907" s="71"/>
      <c r="G907" s="71"/>
      <c r="H907" s="71"/>
      <c r="I907" s="71"/>
      <c r="J907" s="71"/>
      <c r="K907" s="71"/>
      <c r="L907" s="71"/>
      <c r="M907" s="71"/>
      <c r="N907" s="71"/>
      <c r="O907" s="71"/>
      <c r="P907" s="71"/>
      <c r="Q907" s="71"/>
      <c r="R907" s="71"/>
      <c r="S907" s="71"/>
      <c r="T907" s="71"/>
      <c r="U907" s="71"/>
      <c r="V907" s="71"/>
      <c r="W907" s="71"/>
      <c r="X907" s="71"/>
      <c r="Y907" s="71"/>
      <c r="Z907" s="71"/>
    </row>
    <row r="908" spans="1:26" ht="15.75" customHeight="1" x14ac:dyDescent="0.25">
      <c r="A908" s="71"/>
      <c r="B908" s="71"/>
      <c r="C908" s="71"/>
      <c r="D908" s="71"/>
      <c r="E908" s="71"/>
      <c r="F908" s="71"/>
      <c r="G908" s="71"/>
      <c r="H908" s="71"/>
      <c r="I908" s="71"/>
      <c r="J908" s="71"/>
      <c r="K908" s="71"/>
      <c r="L908" s="71"/>
      <c r="M908" s="71"/>
      <c r="N908" s="71"/>
      <c r="O908" s="71"/>
      <c r="P908" s="71"/>
      <c r="Q908" s="71"/>
      <c r="R908" s="71"/>
      <c r="S908" s="71"/>
      <c r="T908" s="71"/>
      <c r="U908" s="71"/>
      <c r="V908" s="71"/>
      <c r="W908" s="71"/>
      <c r="X908" s="71"/>
      <c r="Y908" s="71"/>
      <c r="Z908" s="71"/>
    </row>
    <row r="909" spans="1:26" ht="15.75" customHeight="1" x14ac:dyDescent="0.25">
      <c r="A909" s="71"/>
      <c r="B909" s="71"/>
      <c r="C909" s="71"/>
      <c r="D909" s="71"/>
      <c r="E909" s="71"/>
      <c r="F909" s="71"/>
      <c r="G909" s="71"/>
      <c r="H909" s="71"/>
      <c r="I909" s="71"/>
      <c r="J909" s="71"/>
      <c r="K909" s="71"/>
      <c r="L909" s="71"/>
      <c r="M909" s="71"/>
      <c r="N909" s="71"/>
      <c r="O909" s="71"/>
      <c r="P909" s="71"/>
      <c r="Q909" s="71"/>
      <c r="R909" s="71"/>
      <c r="S909" s="71"/>
      <c r="T909" s="71"/>
      <c r="U909" s="71"/>
      <c r="V909" s="71"/>
      <c r="W909" s="71"/>
      <c r="X909" s="71"/>
      <c r="Y909" s="71"/>
      <c r="Z909" s="71"/>
    </row>
    <row r="910" spans="1:26" ht="15.75" customHeight="1" x14ac:dyDescent="0.25">
      <c r="A910" s="71"/>
      <c r="B910" s="71"/>
      <c r="C910" s="71"/>
      <c r="D910" s="71"/>
      <c r="E910" s="71"/>
      <c r="F910" s="71"/>
      <c r="G910" s="71"/>
      <c r="H910" s="71"/>
      <c r="I910" s="71"/>
      <c r="J910" s="71"/>
      <c r="K910" s="71"/>
      <c r="L910" s="71"/>
      <c r="M910" s="71"/>
      <c r="N910" s="71"/>
      <c r="O910" s="71"/>
      <c r="P910" s="71"/>
      <c r="Q910" s="71"/>
      <c r="R910" s="71"/>
      <c r="S910" s="71"/>
      <c r="T910" s="71"/>
      <c r="U910" s="71"/>
      <c r="V910" s="71"/>
      <c r="W910" s="71"/>
      <c r="X910" s="71"/>
      <c r="Y910" s="71"/>
      <c r="Z910" s="71"/>
    </row>
    <row r="911" spans="1:26" ht="15.75" customHeight="1" x14ac:dyDescent="0.25">
      <c r="A911" s="71"/>
      <c r="B911" s="71"/>
      <c r="C911" s="71"/>
      <c r="D911" s="71"/>
      <c r="E911" s="71"/>
      <c r="F911" s="71"/>
      <c r="G911" s="71"/>
      <c r="H911" s="71"/>
      <c r="I911" s="71"/>
      <c r="J911" s="71"/>
      <c r="K911" s="71"/>
      <c r="L911" s="71"/>
      <c r="M911" s="71"/>
      <c r="N911" s="71"/>
      <c r="O911" s="71"/>
      <c r="P911" s="71"/>
      <c r="Q911" s="71"/>
      <c r="R911" s="71"/>
      <c r="S911" s="71"/>
      <c r="T911" s="71"/>
      <c r="U911" s="71"/>
      <c r="V911" s="71"/>
      <c r="W911" s="71"/>
      <c r="X911" s="71"/>
      <c r="Y911" s="71"/>
      <c r="Z911" s="71"/>
    </row>
    <row r="912" spans="1:26" ht="15.75" customHeight="1" x14ac:dyDescent="0.25">
      <c r="A912" s="71"/>
      <c r="B912" s="71"/>
      <c r="C912" s="71"/>
      <c r="D912" s="71"/>
      <c r="E912" s="71"/>
      <c r="F912" s="71"/>
      <c r="G912" s="71"/>
      <c r="H912" s="71"/>
      <c r="I912" s="71"/>
      <c r="J912" s="71"/>
      <c r="K912" s="71"/>
      <c r="L912" s="71"/>
      <c r="M912" s="71"/>
      <c r="N912" s="71"/>
      <c r="O912" s="71"/>
      <c r="P912" s="71"/>
      <c r="Q912" s="71"/>
      <c r="R912" s="71"/>
      <c r="S912" s="71"/>
      <c r="T912" s="71"/>
      <c r="U912" s="71"/>
      <c r="V912" s="71"/>
      <c r="W912" s="71"/>
      <c r="X912" s="71"/>
      <c r="Y912" s="71"/>
      <c r="Z912" s="71"/>
    </row>
    <row r="913" spans="1:26" ht="15.75" customHeight="1" x14ac:dyDescent="0.25">
      <c r="A913" s="71"/>
      <c r="B913" s="71"/>
      <c r="C913" s="71"/>
      <c r="D913" s="71"/>
      <c r="E913" s="71"/>
      <c r="F913" s="71"/>
      <c r="G913" s="71"/>
      <c r="H913" s="71"/>
      <c r="I913" s="71"/>
      <c r="J913" s="71"/>
      <c r="K913" s="71"/>
      <c r="L913" s="71"/>
      <c r="M913" s="71"/>
      <c r="N913" s="71"/>
      <c r="O913" s="71"/>
      <c r="P913" s="71"/>
      <c r="Q913" s="71"/>
      <c r="R913" s="71"/>
      <c r="S913" s="71"/>
      <c r="T913" s="71"/>
      <c r="U913" s="71"/>
      <c r="V913" s="71"/>
      <c r="W913" s="71"/>
      <c r="X913" s="71"/>
      <c r="Y913" s="71"/>
      <c r="Z913" s="71"/>
    </row>
    <row r="914" spans="1:26" ht="15.75" customHeight="1" x14ac:dyDescent="0.25">
      <c r="A914" s="71"/>
      <c r="B914" s="71"/>
      <c r="C914" s="71"/>
      <c r="D914" s="71"/>
      <c r="E914" s="71"/>
      <c r="F914" s="71"/>
      <c r="G914" s="71"/>
      <c r="H914" s="71"/>
      <c r="I914" s="71"/>
      <c r="J914" s="71"/>
      <c r="K914" s="71"/>
      <c r="L914" s="71"/>
      <c r="M914" s="71"/>
      <c r="N914" s="71"/>
      <c r="O914" s="71"/>
      <c r="P914" s="71"/>
      <c r="Q914" s="71"/>
      <c r="R914" s="71"/>
      <c r="S914" s="71"/>
      <c r="T914" s="71"/>
      <c r="U914" s="71"/>
      <c r="V914" s="71"/>
      <c r="W914" s="71"/>
      <c r="X914" s="71"/>
      <c r="Y914" s="71"/>
      <c r="Z914" s="71"/>
    </row>
    <row r="915" spans="1:26" ht="15.75" customHeight="1" x14ac:dyDescent="0.25">
      <c r="A915" s="71"/>
      <c r="B915" s="71"/>
      <c r="C915" s="71"/>
      <c r="D915" s="71"/>
      <c r="E915" s="71"/>
      <c r="F915" s="71"/>
      <c r="G915" s="71"/>
      <c r="H915" s="71"/>
      <c r="I915" s="71"/>
      <c r="J915" s="71"/>
      <c r="K915" s="71"/>
      <c r="L915" s="71"/>
      <c r="M915" s="71"/>
      <c r="N915" s="71"/>
      <c r="O915" s="71"/>
      <c r="P915" s="71"/>
      <c r="Q915" s="71"/>
      <c r="R915" s="71"/>
      <c r="S915" s="71"/>
      <c r="T915" s="71"/>
      <c r="U915" s="71"/>
      <c r="V915" s="71"/>
      <c r="W915" s="71"/>
      <c r="X915" s="71"/>
      <c r="Y915" s="71"/>
      <c r="Z915" s="71"/>
    </row>
    <row r="916" spans="1:26" ht="15.75" customHeight="1" x14ac:dyDescent="0.25">
      <c r="A916" s="71"/>
      <c r="B916" s="71"/>
      <c r="C916" s="71"/>
      <c r="D916" s="71"/>
      <c r="E916" s="71"/>
      <c r="F916" s="71"/>
      <c r="G916" s="71"/>
      <c r="H916" s="71"/>
      <c r="I916" s="71"/>
      <c r="J916" s="71"/>
      <c r="K916" s="71"/>
      <c r="L916" s="71"/>
      <c r="M916" s="71"/>
      <c r="N916" s="71"/>
      <c r="O916" s="71"/>
      <c r="P916" s="71"/>
      <c r="Q916" s="71"/>
      <c r="R916" s="71"/>
      <c r="S916" s="71"/>
      <c r="T916" s="71"/>
      <c r="U916" s="71"/>
      <c r="V916" s="71"/>
      <c r="W916" s="71"/>
      <c r="X916" s="71"/>
      <c r="Y916" s="71"/>
      <c r="Z916" s="71"/>
    </row>
    <row r="917" spans="1:26" ht="15.75" customHeight="1" x14ac:dyDescent="0.25">
      <c r="A917" s="71"/>
      <c r="B917" s="71"/>
      <c r="C917" s="71"/>
      <c r="D917" s="71"/>
      <c r="E917" s="71"/>
      <c r="F917" s="71"/>
      <c r="G917" s="71"/>
      <c r="H917" s="71"/>
      <c r="I917" s="71"/>
      <c r="J917" s="71"/>
      <c r="K917" s="71"/>
      <c r="L917" s="71"/>
      <c r="M917" s="71"/>
      <c r="N917" s="71"/>
      <c r="O917" s="71"/>
      <c r="P917" s="71"/>
      <c r="Q917" s="71"/>
      <c r="R917" s="71"/>
      <c r="S917" s="71"/>
      <c r="T917" s="71"/>
      <c r="U917" s="71"/>
      <c r="V917" s="71"/>
      <c r="W917" s="71"/>
      <c r="X917" s="71"/>
      <c r="Y917" s="71"/>
      <c r="Z917" s="71"/>
    </row>
    <row r="918" spans="1:26" ht="15.75" customHeight="1" x14ac:dyDescent="0.25">
      <c r="A918" s="71"/>
      <c r="B918" s="71"/>
      <c r="C918" s="71"/>
      <c r="D918" s="71"/>
      <c r="E918" s="71"/>
      <c r="F918" s="71"/>
      <c r="G918" s="71"/>
      <c r="H918" s="71"/>
      <c r="I918" s="71"/>
      <c r="J918" s="71"/>
      <c r="K918" s="71"/>
      <c r="L918" s="71"/>
      <c r="M918" s="71"/>
      <c r="N918" s="71"/>
      <c r="O918" s="71"/>
      <c r="P918" s="71"/>
      <c r="Q918" s="71"/>
      <c r="R918" s="71"/>
      <c r="S918" s="71"/>
      <c r="T918" s="71"/>
      <c r="U918" s="71"/>
      <c r="V918" s="71"/>
      <c r="W918" s="71"/>
      <c r="X918" s="71"/>
      <c r="Y918" s="71"/>
      <c r="Z918" s="71"/>
    </row>
    <row r="919" spans="1:26" ht="15.75" customHeight="1" x14ac:dyDescent="0.25">
      <c r="A919" s="71"/>
      <c r="B919" s="71"/>
      <c r="C919" s="71"/>
      <c r="D919" s="71"/>
      <c r="E919" s="71"/>
      <c r="F919" s="71"/>
      <c r="G919" s="71"/>
      <c r="H919" s="71"/>
      <c r="I919" s="71"/>
      <c r="J919" s="71"/>
      <c r="K919" s="71"/>
      <c r="L919" s="71"/>
      <c r="M919" s="71"/>
      <c r="N919" s="71"/>
      <c r="O919" s="71"/>
      <c r="P919" s="71"/>
      <c r="Q919" s="71"/>
      <c r="R919" s="71"/>
      <c r="S919" s="71"/>
      <c r="T919" s="71"/>
      <c r="U919" s="71"/>
      <c r="V919" s="71"/>
      <c r="W919" s="71"/>
      <c r="X919" s="71"/>
      <c r="Y919" s="71"/>
      <c r="Z919" s="71"/>
    </row>
    <row r="920" spans="1:26" ht="15.75" customHeight="1" x14ac:dyDescent="0.25">
      <c r="A920" s="71"/>
      <c r="B920" s="71"/>
      <c r="C920" s="71"/>
      <c r="D920" s="71"/>
      <c r="E920" s="71"/>
      <c r="F920" s="71"/>
      <c r="G920" s="71"/>
      <c r="H920" s="71"/>
      <c r="I920" s="71"/>
      <c r="J920" s="71"/>
      <c r="K920" s="71"/>
      <c r="L920" s="71"/>
      <c r="M920" s="71"/>
      <c r="N920" s="71"/>
      <c r="O920" s="71"/>
      <c r="P920" s="71"/>
      <c r="Q920" s="71"/>
      <c r="R920" s="71"/>
      <c r="S920" s="71"/>
      <c r="T920" s="71"/>
      <c r="U920" s="71"/>
      <c r="V920" s="71"/>
      <c r="W920" s="71"/>
      <c r="X920" s="71"/>
      <c r="Y920" s="71"/>
      <c r="Z920" s="71"/>
    </row>
    <row r="921" spans="1:26" ht="15.75" customHeight="1" x14ac:dyDescent="0.25">
      <c r="A921" s="71"/>
      <c r="B921" s="71"/>
      <c r="C921" s="71"/>
      <c r="D921" s="71"/>
      <c r="E921" s="71"/>
      <c r="F921" s="71"/>
      <c r="G921" s="71"/>
      <c r="H921" s="71"/>
      <c r="I921" s="71"/>
      <c r="J921" s="71"/>
      <c r="K921" s="71"/>
      <c r="L921" s="71"/>
      <c r="M921" s="71"/>
      <c r="N921" s="71"/>
      <c r="O921" s="71"/>
      <c r="P921" s="71"/>
      <c r="Q921" s="71"/>
      <c r="R921" s="71"/>
      <c r="S921" s="71"/>
      <c r="T921" s="71"/>
      <c r="U921" s="71"/>
      <c r="V921" s="71"/>
      <c r="W921" s="71"/>
      <c r="X921" s="71"/>
      <c r="Y921" s="71"/>
      <c r="Z921" s="71"/>
    </row>
    <row r="922" spans="1:26" ht="15.75" customHeight="1" x14ac:dyDescent="0.25">
      <c r="A922" s="71"/>
      <c r="B922" s="71"/>
      <c r="C922" s="71"/>
      <c r="D922" s="71"/>
      <c r="E922" s="71"/>
      <c r="F922" s="71"/>
      <c r="G922" s="71"/>
      <c r="H922" s="71"/>
      <c r="I922" s="71"/>
      <c r="J922" s="71"/>
      <c r="K922" s="71"/>
      <c r="L922" s="71"/>
      <c r="M922" s="71"/>
      <c r="N922" s="71"/>
      <c r="O922" s="71"/>
      <c r="P922" s="71"/>
      <c r="Q922" s="71"/>
      <c r="R922" s="71"/>
      <c r="S922" s="71"/>
      <c r="T922" s="71"/>
      <c r="U922" s="71"/>
      <c r="V922" s="71"/>
      <c r="W922" s="71"/>
      <c r="X922" s="71"/>
      <c r="Y922" s="71"/>
      <c r="Z922" s="71"/>
    </row>
    <row r="923" spans="1:26" ht="15.75" customHeight="1" x14ac:dyDescent="0.25">
      <c r="A923" s="71"/>
      <c r="B923" s="71"/>
      <c r="C923" s="71"/>
      <c r="D923" s="71"/>
      <c r="E923" s="71"/>
      <c r="F923" s="71"/>
      <c r="G923" s="71"/>
      <c r="H923" s="71"/>
      <c r="I923" s="71"/>
      <c r="J923" s="71"/>
      <c r="K923" s="71"/>
      <c r="L923" s="71"/>
      <c r="M923" s="71"/>
      <c r="N923" s="71"/>
      <c r="O923" s="71"/>
      <c r="P923" s="71"/>
      <c r="Q923" s="71"/>
      <c r="R923" s="71"/>
      <c r="S923" s="71"/>
      <c r="T923" s="71"/>
      <c r="U923" s="71"/>
      <c r="V923" s="71"/>
      <c r="W923" s="71"/>
      <c r="X923" s="71"/>
      <c r="Y923" s="71"/>
      <c r="Z923" s="71"/>
    </row>
    <row r="924" spans="1:26" ht="15.75" customHeight="1" x14ac:dyDescent="0.25">
      <c r="A924" s="71"/>
      <c r="B924" s="71"/>
      <c r="C924" s="71"/>
      <c r="D924" s="71"/>
      <c r="E924" s="71"/>
      <c r="F924" s="71"/>
      <c r="G924" s="71"/>
      <c r="H924" s="71"/>
      <c r="I924" s="71"/>
      <c r="J924" s="71"/>
      <c r="K924" s="71"/>
      <c r="L924" s="71"/>
      <c r="M924" s="71"/>
      <c r="N924" s="71"/>
      <c r="O924" s="71"/>
      <c r="P924" s="71"/>
      <c r="Q924" s="71"/>
      <c r="R924" s="71"/>
      <c r="S924" s="71"/>
      <c r="T924" s="71"/>
      <c r="U924" s="71"/>
      <c r="V924" s="71"/>
      <c r="W924" s="71"/>
      <c r="X924" s="71"/>
      <c r="Y924" s="71"/>
      <c r="Z924" s="71"/>
    </row>
    <row r="925" spans="1:26" ht="15.75" customHeight="1" x14ac:dyDescent="0.25">
      <c r="A925" s="71"/>
      <c r="B925" s="71"/>
      <c r="C925" s="71"/>
      <c r="D925" s="71"/>
      <c r="E925" s="71"/>
      <c r="F925" s="71"/>
      <c r="G925" s="71"/>
      <c r="H925" s="71"/>
      <c r="I925" s="71"/>
      <c r="J925" s="71"/>
      <c r="K925" s="71"/>
      <c r="L925" s="71"/>
      <c r="M925" s="71"/>
      <c r="N925" s="71"/>
      <c r="O925" s="71"/>
      <c r="P925" s="71"/>
      <c r="Q925" s="71"/>
      <c r="R925" s="71"/>
      <c r="S925" s="71"/>
      <c r="T925" s="71"/>
      <c r="U925" s="71"/>
      <c r="V925" s="71"/>
      <c r="W925" s="71"/>
      <c r="X925" s="71"/>
      <c r="Y925" s="71"/>
      <c r="Z925" s="71"/>
    </row>
    <row r="926" spans="1:26" ht="15.75" customHeight="1" x14ac:dyDescent="0.25">
      <c r="A926" s="71"/>
      <c r="B926" s="71"/>
      <c r="C926" s="71"/>
      <c r="D926" s="71"/>
      <c r="E926" s="71"/>
      <c r="F926" s="71"/>
      <c r="G926" s="71"/>
      <c r="H926" s="71"/>
      <c r="I926" s="71"/>
      <c r="J926" s="71"/>
      <c r="K926" s="71"/>
      <c r="L926" s="71"/>
      <c r="M926" s="71"/>
      <c r="N926" s="71"/>
      <c r="O926" s="71"/>
      <c r="P926" s="71"/>
      <c r="Q926" s="71"/>
      <c r="R926" s="71"/>
      <c r="S926" s="71"/>
      <c r="T926" s="71"/>
      <c r="U926" s="71"/>
      <c r="V926" s="71"/>
      <c r="W926" s="71"/>
      <c r="X926" s="71"/>
      <c r="Y926" s="71"/>
      <c r="Z926" s="71"/>
    </row>
    <row r="927" spans="1:26" ht="15.75" customHeight="1" x14ac:dyDescent="0.25">
      <c r="A927" s="71"/>
      <c r="B927" s="71"/>
      <c r="C927" s="71"/>
      <c r="D927" s="71"/>
      <c r="E927" s="71"/>
      <c r="F927" s="71"/>
      <c r="G927" s="71"/>
      <c r="H927" s="71"/>
      <c r="I927" s="71"/>
      <c r="J927" s="71"/>
      <c r="K927" s="71"/>
      <c r="L927" s="71"/>
      <c r="M927" s="71"/>
      <c r="N927" s="71"/>
      <c r="O927" s="71"/>
      <c r="P927" s="71"/>
      <c r="Q927" s="71"/>
      <c r="R927" s="71"/>
      <c r="S927" s="71"/>
      <c r="T927" s="71"/>
      <c r="U927" s="71"/>
      <c r="V927" s="71"/>
      <c r="W927" s="71"/>
      <c r="X927" s="71"/>
      <c r="Y927" s="71"/>
      <c r="Z927" s="71"/>
    </row>
    <row r="928" spans="1:26" ht="15.75" customHeight="1" x14ac:dyDescent="0.25">
      <c r="A928" s="71"/>
      <c r="B928" s="71"/>
      <c r="C928" s="71"/>
      <c r="D928" s="71"/>
      <c r="E928" s="71"/>
      <c r="F928" s="71"/>
      <c r="G928" s="71"/>
      <c r="H928" s="71"/>
      <c r="I928" s="71"/>
      <c r="J928" s="71"/>
      <c r="K928" s="71"/>
      <c r="L928" s="71"/>
      <c r="M928" s="71"/>
      <c r="N928" s="71"/>
      <c r="O928" s="71"/>
      <c r="P928" s="71"/>
      <c r="Q928" s="71"/>
      <c r="R928" s="71"/>
      <c r="S928" s="71"/>
      <c r="T928" s="71"/>
      <c r="U928" s="71"/>
      <c r="V928" s="71"/>
      <c r="W928" s="71"/>
      <c r="X928" s="71"/>
      <c r="Y928" s="71"/>
      <c r="Z928" s="71"/>
    </row>
    <row r="929" spans="1:26" ht="15.75" customHeight="1" x14ac:dyDescent="0.25">
      <c r="A929" s="71"/>
      <c r="B929" s="71"/>
      <c r="C929" s="71"/>
      <c r="D929" s="71"/>
      <c r="E929" s="71"/>
      <c r="F929" s="71"/>
      <c r="G929" s="71"/>
      <c r="H929" s="71"/>
      <c r="I929" s="71"/>
      <c r="J929" s="71"/>
      <c r="K929" s="71"/>
      <c r="L929" s="71"/>
      <c r="M929" s="71"/>
      <c r="N929" s="71"/>
      <c r="O929" s="71"/>
      <c r="P929" s="71"/>
      <c r="Q929" s="71"/>
      <c r="R929" s="71"/>
      <c r="S929" s="71"/>
      <c r="T929" s="71"/>
      <c r="U929" s="71"/>
      <c r="V929" s="71"/>
      <c r="W929" s="71"/>
      <c r="X929" s="71"/>
      <c r="Y929" s="71"/>
      <c r="Z929" s="71"/>
    </row>
    <row r="930" spans="1:26" ht="15.75" customHeight="1" x14ac:dyDescent="0.25">
      <c r="A930" s="71"/>
      <c r="B930" s="71"/>
      <c r="C930" s="71"/>
      <c r="D930" s="71"/>
      <c r="E930" s="71"/>
      <c r="F930" s="71"/>
      <c r="G930" s="71"/>
      <c r="H930" s="71"/>
      <c r="I930" s="71"/>
      <c r="J930" s="71"/>
      <c r="K930" s="71"/>
      <c r="L930" s="71"/>
      <c r="M930" s="71"/>
      <c r="N930" s="71"/>
      <c r="O930" s="71"/>
      <c r="P930" s="71"/>
      <c r="Q930" s="71"/>
      <c r="R930" s="71"/>
      <c r="S930" s="71"/>
      <c r="T930" s="71"/>
      <c r="U930" s="71"/>
      <c r="V930" s="71"/>
      <c r="W930" s="71"/>
      <c r="X930" s="71"/>
      <c r="Y930" s="71"/>
      <c r="Z930" s="71"/>
    </row>
    <row r="931" spans="1:26" ht="15.75" customHeight="1" x14ac:dyDescent="0.25">
      <c r="A931" s="71"/>
      <c r="B931" s="71"/>
      <c r="C931" s="71"/>
      <c r="D931" s="71"/>
      <c r="E931" s="71"/>
      <c r="F931" s="71"/>
      <c r="G931" s="71"/>
      <c r="H931" s="71"/>
      <c r="I931" s="71"/>
      <c r="J931" s="71"/>
      <c r="K931" s="71"/>
      <c r="L931" s="71"/>
      <c r="M931" s="71"/>
      <c r="N931" s="71"/>
      <c r="O931" s="71"/>
      <c r="P931" s="71"/>
      <c r="Q931" s="71"/>
      <c r="R931" s="71"/>
      <c r="S931" s="71"/>
      <c r="T931" s="71"/>
      <c r="U931" s="71"/>
      <c r="V931" s="71"/>
      <c r="W931" s="71"/>
      <c r="X931" s="71"/>
      <c r="Y931" s="71"/>
      <c r="Z931" s="71"/>
    </row>
    <row r="932" spans="1:26" ht="15.75" customHeight="1" x14ac:dyDescent="0.25">
      <c r="A932" s="71"/>
      <c r="B932" s="71"/>
      <c r="C932" s="71"/>
      <c r="D932" s="71"/>
      <c r="E932" s="71"/>
      <c r="F932" s="71"/>
      <c r="G932" s="71"/>
      <c r="H932" s="71"/>
      <c r="I932" s="71"/>
      <c r="J932" s="71"/>
      <c r="K932" s="71"/>
      <c r="L932" s="71"/>
      <c r="M932" s="71"/>
      <c r="N932" s="71"/>
      <c r="O932" s="71"/>
      <c r="P932" s="71"/>
      <c r="Q932" s="71"/>
      <c r="R932" s="71"/>
      <c r="S932" s="71"/>
      <c r="T932" s="71"/>
      <c r="U932" s="71"/>
      <c r="V932" s="71"/>
      <c r="W932" s="71"/>
      <c r="X932" s="71"/>
      <c r="Y932" s="71"/>
      <c r="Z932" s="71"/>
    </row>
    <row r="933" spans="1:26" ht="15.75" customHeight="1" x14ac:dyDescent="0.25">
      <c r="A933" s="71"/>
      <c r="B933" s="71"/>
      <c r="C933" s="71"/>
      <c r="D933" s="71"/>
      <c r="E933" s="71"/>
      <c r="F933" s="71"/>
      <c r="G933" s="71"/>
      <c r="H933" s="71"/>
      <c r="I933" s="71"/>
      <c r="J933" s="71"/>
      <c r="K933" s="71"/>
      <c r="L933" s="71"/>
      <c r="M933" s="71"/>
      <c r="N933" s="71"/>
      <c r="O933" s="71"/>
      <c r="P933" s="71"/>
      <c r="Q933" s="71"/>
      <c r="R933" s="71"/>
      <c r="S933" s="71"/>
      <c r="T933" s="71"/>
      <c r="U933" s="71"/>
      <c r="V933" s="71"/>
      <c r="W933" s="71"/>
      <c r="X933" s="71"/>
      <c r="Y933" s="71"/>
      <c r="Z933" s="71"/>
    </row>
    <row r="934" spans="1:26" ht="15.75" customHeight="1" x14ac:dyDescent="0.25">
      <c r="A934" s="71"/>
      <c r="B934" s="71"/>
      <c r="C934" s="71"/>
      <c r="D934" s="71"/>
      <c r="E934" s="71"/>
      <c r="F934" s="71"/>
      <c r="G934" s="71"/>
      <c r="H934" s="71"/>
      <c r="I934" s="71"/>
      <c r="J934" s="71"/>
      <c r="K934" s="71"/>
      <c r="L934" s="71"/>
      <c r="M934" s="71"/>
      <c r="N934" s="71"/>
      <c r="O934" s="71"/>
      <c r="P934" s="71"/>
      <c r="Q934" s="71"/>
      <c r="R934" s="71"/>
      <c r="S934" s="71"/>
      <c r="T934" s="71"/>
      <c r="U934" s="71"/>
      <c r="V934" s="71"/>
      <c r="W934" s="71"/>
      <c r="X934" s="71"/>
      <c r="Y934" s="71"/>
      <c r="Z934" s="71"/>
    </row>
    <row r="935" spans="1:26" ht="15.75" customHeight="1" x14ac:dyDescent="0.25">
      <c r="A935" s="71"/>
      <c r="B935" s="71"/>
      <c r="C935" s="71"/>
      <c r="D935" s="71"/>
      <c r="E935" s="71"/>
      <c r="F935" s="71"/>
      <c r="G935" s="71"/>
      <c r="H935" s="71"/>
      <c r="I935" s="71"/>
      <c r="J935" s="71"/>
      <c r="K935" s="71"/>
      <c r="L935" s="71"/>
      <c r="M935" s="71"/>
      <c r="N935" s="71"/>
      <c r="O935" s="71"/>
      <c r="P935" s="71"/>
      <c r="Q935" s="71"/>
      <c r="R935" s="71"/>
      <c r="S935" s="71"/>
      <c r="T935" s="71"/>
      <c r="U935" s="71"/>
      <c r="V935" s="71"/>
      <c r="W935" s="71"/>
      <c r="X935" s="71"/>
      <c r="Y935" s="71"/>
      <c r="Z935" s="71"/>
    </row>
    <row r="936" spans="1:26" ht="15.75" customHeight="1" x14ac:dyDescent="0.25">
      <c r="A936" s="71"/>
      <c r="B936" s="71"/>
      <c r="C936" s="71"/>
      <c r="D936" s="71"/>
      <c r="E936" s="71"/>
      <c r="F936" s="71"/>
      <c r="G936" s="71"/>
      <c r="H936" s="71"/>
      <c r="I936" s="71"/>
      <c r="J936" s="71"/>
      <c r="K936" s="71"/>
      <c r="L936" s="71"/>
      <c r="M936" s="71"/>
      <c r="N936" s="71"/>
      <c r="O936" s="71"/>
      <c r="P936" s="71"/>
      <c r="Q936" s="71"/>
      <c r="R936" s="71"/>
      <c r="S936" s="71"/>
      <c r="T936" s="71"/>
      <c r="U936" s="71"/>
      <c r="V936" s="71"/>
      <c r="W936" s="71"/>
      <c r="X936" s="71"/>
      <c r="Y936" s="71"/>
      <c r="Z936" s="71"/>
    </row>
    <row r="937" spans="1:26" ht="15.75" customHeight="1" x14ac:dyDescent="0.25">
      <c r="A937" s="71"/>
      <c r="B937" s="71"/>
      <c r="C937" s="71"/>
      <c r="D937" s="71"/>
      <c r="E937" s="71"/>
      <c r="F937" s="71"/>
      <c r="G937" s="71"/>
      <c r="H937" s="71"/>
      <c r="I937" s="71"/>
      <c r="J937" s="71"/>
      <c r="K937" s="71"/>
      <c r="L937" s="71"/>
      <c r="M937" s="71"/>
      <c r="N937" s="71"/>
      <c r="O937" s="71"/>
      <c r="P937" s="71"/>
      <c r="Q937" s="71"/>
      <c r="R937" s="71"/>
      <c r="S937" s="71"/>
      <c r="T937" s="71"/>
      <c r="U937" s="71"/>
      <c r="V937" s="71"/>
      <c r="W937" s="71"/>
      <c r="X937" s="71"/>
      <c r="Y937" s="71"/>
      <c r="Z937" s="71"/>
    </row>
    <row r="938" spans="1:26" ht="15.75" customHeight="1" x14ac:dyDescent="0.25">
      <c r="A938" s="71"/>
      <c r="B938" s="71"/>
      <c r="C938" s="71"/>
      <c r="D938" s="71"/>
      <c r="E938" s="71"/>
      <c r="F938" s="71"/>
      <c r="G938" s="71"/>
      <c r="H938" s="71"/>
      <c r="I938" s="71"/>
      <c r="J938" s="71"/>
      <c r="K938" s="71"/>
      <c r="L938" s="71"/>
      <c r="M938" s="71"/>
      <c r="N938" s="71"/>
      <c r="O938" s="71"/>
      <c r="P938" s="71"/>
      <c r="Q938" s="71"/>
      <c r="R938" s="71"/>
      <c r="S938" s="71"/>
      <c r="T938" s="71"/>
      <c r="U938" s="71"/>
      <c r="V938" s="71"/>
      <c r="W938" s="71"/>
      <c r="X938" s="71"/>
      <c r="Y938" s="71"/>
      <c r="Z938" s="71"/>
    </row>
    <row r="939" spans="1:26" ht="15.75" customHeight="1" x14ac:dyDescent="0.25">
      <c r="A939" s="71"/>
      <c r="B939" s="71"/>
      <c r="C939" s="71"/>
      <c r="D939" s="71"/>
      <c r="E939" s="71"/>
      <c r="F939" s="71"/>
      <c r="G939" s="71"/>
      <c r="H939" s="71"/>
      <c r="I939" s="71"/>
      <c r="J939" s="71"/>
      <c r="K939" s="71"/>
      <c r="L939" s="71"/>
      <c r="M939" s="71"/>
      <c r="N939" s="71"/>
      <c r="O939" s="71"/>
      <c r="P939" s="71"/>
      <c r="Q939" s="71"/>
      <c r="R939" s="71"/>
      <c r="S939" s="71"/>
      <c r="T939" s="71"/>
      <c r="U939" s="71"/>
      <c r="V939" s="71"/>
      <c r="W939" s="71"/>
      <c r="X939" s="71"/>
      <c r="Y939" s="71"/>
      <c r="Z939" s="71"/>
    </row>
    <row r="940" spans="1:26" ht="15.75" customHeight="1" x14ac:dyDescent="0.25">
      <c r="A940" s="71"/>
      <c r="B940" s="71"/>
      <c r="C940" s="71"/>
      <c r="D940" s="71"/>
      <c r="E940" s="71"/>
      <c r="F940" s="71"/>
      <c r="G940" s="71"/>
      <c r="H940" s="71"/>
      <c r="I940" s="71"/>
      <c r="J940" s="71"/>
      <c r="K940" s="71"/>
      <c r="L940" s="71"/>
      <c r="M940" s="71"/>
      <c r="N940" s="71"/>
      <c r="O940" s="71"/>
      <c r="P940" s="71"/>
      <c r="Q940" s="71"/>
      <c r="R940" s="71"/>
      <c r="S940" s="71"/>
      <c r="T940" s="71"/>
      <c r="U940" s="71"/>
      <c r="V940" s="71"/>
      <c r="W940" s="71"/>
      <c r="X940" s="71"/>
      <c r="Y940" s="71"/>
      <c r="Z940" s="71"/>
    </row>
    <row r="941" spans="1:26" ht="15.75" customHeight="1" x14ac:dyDescent="0.25">
      <c r="A941" s="71"/>
      <c r="B941" s="71"/>
      <c r="C941" s="71"/>
      <c r="D941" s="71"/>
      <c r="E941" s="71"/>
      <c r="F941" s="71"/>
      <c r="G941" s="71"/>
      <c r="H941" s="71"/>
      <c r="I941" s="71"/>
      <c r="J941" s="71"/>
      <c r="K941" s="71"/>
      <c r="L941" s="71"/>
      <c r="M941" s="71"/>
      <c r="N941" s="71"/>
      <c r="O941" s="71"/>
      <c r="P941" s="71"/>
      <c r="Q941" s="71"/>
      <c r="R941" s="71"/>
      <c r="S941" s="71"/>
      <c r="T941" s="71"/>
      <c r="U941" s="71"/>
      <c r="V941" s="71"/>
      <c r="W941" s="71"/>
      <c r="X941" s="71"/>
      <c r="Y941" s="71"/>
      <c r="Z941" s="71"/>
    </row>
    <row r="942" spans="1:26" ht="15.75" customHeight="1" x14ac:dyDescent="0.25">
      <c r="A942" s="71"/>
      <c r="B942" s="71"/>
      <c r="C942" s="71"/>
      <c r="D942" s="71"/>
      <c r="E942" s="71"/>
      <c r="F942" s="71"/>
      <c r="G942" s="71"/>
      <c r="H942" s="71"/>
      <c r="I942" s="71"/>
      <c r="J942" s="71"/>
      <c r="K942" s="71"/>
      <c r="L942" s="71"/>
      <c r="M942" s="71"/>
      <c r="N942" s="71"/>
      <c r="O942" s="71"/>
      <c r="P942" s="71"/>
      <c r="Q942" s="71"/>
      <c r="R942" s="71"/>
      <c r="S942" s="71"/>
      <c r="T942" s="71"/>
      <c r="U942" s="71"/>
      <c r="V942" s="71"/>
      <c r="W942" s="71"/>
      <c r="X942" s="71"/>
      <c r="Y942" s="71"/>
      <c r="Z942" s="71"/>
    </row>
    <row r="943" spans="1:26" ht="15.75" customHeight="1" x14ac:dyDescent="0.25">
      <c r="A943" s="71"/>
      <c r="B943" s="71"/>
      <c r="C943" s="71"/>
      <c r="D943" s="71"/>
      <c r="E943" s="71"/>
      <c r="F943" s="71"/>
      <c r="G943" s="71"/>
      <c r="H943" s="71"/>
      <c r="I943" s="71"/>
      <c r="J943" s="71"/>
      <c r="K943" s="71"/>
      <c r="L943" s="71"/>
      <c r="M943" s="71"/>
      <c r="N943" s="71"/>
      <c r="O943" s="71"/>
      <c r="P943" s="71"/>
      <c r="Q943" s="71"/>
      <c r="R943" s="71"/>
      <c r="S943" s="71"/>
      <c r="T943" s="71"/>
      <c r="U943" s="71"/>
      <c r="V943" s="71"/>
      <c r="W943" s="71"/>
      <c r="X943" s="71"/>
      <c r="Y943" s="71"/>
      <c r="Z943" s="71"/>
    </row>
    <row r="944" spans="1:26" ht="15.75" customHeight="1" x14ac:dyDescent="0.25">
      <c r="A944" s="71"/>
      <c r="B944" s="71"/>
      <c r="C944" s="71"/>
      <c r="D944" s="71"/>
      <c r="E944" s="71"/>
      <c r="F944" s="71"/>
      <c r="G944" s="71"/>
      <c r="H944" s="71"/>
      <c r="I944" s="71"/>
      <c r="J944" s="71"/>
      <c r="K944" s="71"/>
      <c r="L944" s="71"/>
      <c r="M944" s="71"/>
      <c r="N944" s="71"/>
      <c r="O944" s="71"/>
      <c r="P944" s="71"/>
      <c r="Q944" s="71"/>
      <c r="R944" s="71"/>
      <c r="S944" s="71"/>
      <c r="T944" s="71"/>
      <c r="U944" s="71"/>
      <c r="V944" s="71"/>
      <c r="W944" s="71"/>
      <c r="X944" s="71"/>
      <c r="Y944" s="71"/>
      <c r="Z944" s="71"/>
    </row>
    <row r="945" spans="1:26" ht="15.75" customHeight="1" x14ac:dyDescent="0.25">
      <c r="A945" s="71"/>
      <c r="B945" s="71"/>
      <c r="C945" s="71"/>
      <c r="D945" s="71"/>
      <c r="E945" s="71"/>
      <c r="F945" s="71"/>
      <c r="G945" s="71"/>
      <c r="H945" s="71"/>
      <c r="I945" s="71"/>
      <c r="J945" s="71"/>
      <c r="K945" s="71"/>
      <c r="L945" s="71"/>
      <c r="M945" s="71"/>
      <c r="N945" s="71"/>
      <c r="O945" s="71"/>
      <c r="P945" s="71"/>
      <c r="Q945" s="71"/>
      <c r="R945" s="71"/>
      <c r="S945" s="71"/>
      <c r="T945" s="71"/>
      <c r="U945" s="71"/>
      <c r="V945" s="71"/>
      <c r="W945" s="71"/>
      <c r="X945" s="71"/>
      <c r="Y945" s="71"/>
      <c r="Z945" s="71"/>
    </row>
    <row r="946" spans="1:26" ht="15.75" customHeight="1" x14ac:dyDescent="0.25">
      <c r="A946" s="71"/>
      <c r="B946" s="71"/>
      <c r="C946" s="71"/>
      <c r="D946" s="71"/>
      <c r="E946" s="71"/>
      <c r="F946" s="71"/>
      <c r="G946" s="71"/>
      <c r="H946" s="71"/>
      <c r="I946" s="71"/>
      <c r="J946" s="71"/>
      <c r="K946" s="71"/>
      <c r="L946" s="71"/>
      <c r="M946" s="71"/>
      <c r="N946" s="71"/>
      <c r="O946" s="71"/>
      <c r="P946" s="71"/>
      <c r="Q946" s="71"/>
      <c r="R946" s="71"/>
      <c r="S946" s="71"/>
      <c r="T946" s="71"/>
      <c r="U946" s="71"/>
      <c r="V946" s="71"/>
      <c r="W946" s="71"/>
      <c r="X946" s="71"/>
      <c r="Y946" s="71"/>
      <c r="Z946" s="71"/>
    </row>
    <row r="947" spans="1:26" ht="15.75" customHeight="1" x14ac:dyDescent="0.25">
      <c r="A947" s="71"/>
      <c r="B947" s="71"/>
      <c r="C947" s="71"/>
      <c r="D947" s="71"/>
      <c r="E947" s="71"/>
      <c r="F947" s="71"/>
      <c r="G947" s="71"/>
      <c r="H947" s="71"/>
      <c r="I947" s="71"/>
      <c r="J947" s="71"/>
      <c r="K947" s="71"/>
      <c r="L947" s="71"/>
      <c r="M947" s="71"/>
      <c r="N947" s="71"/>
      <c r="O947" s="71"/>
      <c r="P947" s="71"/>
      <c r="Q947" s="71"/>
      <c r="R947" s="71"/>
      <c r="S947" s="71"/>
      <c r="T947" s="71"/>
      <c r="U947" s="71"/>
      <c r="V947" s="71"/>
      <c r="W947" s="71"/>
      <c r="X947" s="71"/>
      <c r="Y947" s="71"/>
      <c r="Z947" s="71"/>
    </row>
    <row r="948" spans="1:26" ht="15.75" customHeight="1" x14ac:dyDescent="0.25">
      <c r="A948" s="71"/>
      <c r="B948" s="71"/>
      <c r="C948" s="71"/>
      <c r="D948" s="71"/>
      <c r="E948" s="71"/>
      <c r="F948" s="71"/>
      <c r="G948" s="71"/>
      <c r="H948" s="71"/>
      <c r="I948" s="71"/>
      <c r="J948" s="71"/>
      <c r="K948" s="71"/>
      <c r="L948" s="71"/>
      <c r="M948" s="71"/>
      <c r="N948" s="71"/>
      <c r="O948" s="71"/>
      <c r="P948" s="71"/>
      <c r="Q948" s="71"/>
      <c r="R948" s="71"/>
      <c r="S948" s="71"/>
      <c r="T948" s="71"/>
      <c r="U948" s="71"/>
      <c r="V948" s="71"/>
      <c r="W948" s="71"/>
      <c r="X948" s="71"/>
      <c r="Y948" s="71"/>
      <c r="Z948" s="71"/>
    </row>
    <row r="949" spans="1:26" ht="15.75" customHeight="1" x14ac:dyDescent="0.25">
      <c r="A949" s="71"/>
      <c r="B949" s="71"/>
      <c r="C949" s="71"/>
      <c r="D949" s="71"/>
      <c r="E949" s="71"/>
      <c r="F949" s="71"/>
      <c r="G949" s="71"/>
      <c r="H949" s="71"/>
      <c r="I949" s="71"/>
      <c r="J949" s="71"/>
      <c r="K949" s="71"/>
      <c r="L949" s="71"/>
      <c r="M949" s="71"/>
      <c r="N949" s="71"/>
      <c r="O949" s="71"/>
      <c r="P949" s="71"/>
      <c r="Q949" s="71"/>
      <c r="R949" s="71"/>
      <c r="S949" s="71"/>
      <c r="T949" s="71"/>
      <c r="U949" s="71"/>
      <c r="V949" s="71"/>
      <c r="W949" s="71"/>
      <c r="X949" s="71"/>
      <c r="Y949" s="71"/>
      <c r="Z949" s="71"/>
    </row>
    <row r="950" spans="1:26" ht="15.75" customHeight="1" x14ac:dyDescent="0.25">
      <c r="A950" s="71"/>
      <c r="B950" s="71"/>
      <c r="C950" s="71"/>
      <c r="D950" s="71"/>
      <c r="E950" s="71"/>
      <c r="F950" s="71"/>
      <c r="G950" s="71"/>
      <c r="H950" s="71"/>
      <c r="I950" s="71"/>
      <c r="J950" s="71"/>
      <c r="K950" s="71"/>
      <c r="L950" s="71"/>
      <c r="M950" s="71"/>
      <c r="N950" s="71"/>
      <c r="O950" s="71"/>
      <c r="P950" s="71"/>
      <c r="Q950" s="71"/>
      <c r="R950" s="71"/>
      <c r="S950" s="71"/>
      <c r="T950" s="71"/>
      <c r="U950" s="71"/>
      <c r="V950" s="71"/>
      <c r="W950" s="71"/>
      <c r="X950" s="71"/>
      <c r="Y950" s="71"/>
      <c r="Z950" s="71"/>
    </row>
    <row r="951" spans="1:26" ht="15.75" customHeight="1" x14ac:dyDescent="0.25">
      <c r="A951" s="71"/>
      <c r="B951" s="71"/>
      <c r="C951" s="71"/>
      <c r="D951" s="71"/>
      <c r="E951" s="71"/>
      <c r="F951" s="71"/>
      <c r="G951" s="71"/>
      <c r="H951" s="71"/>
      <c r="I951" s="71"/>
      <c r="J951" s="71"/>
      <c r="K951" s="71"/>
      <c r="L951" s="71"/>
      <c r="M951" s="71"/>
      <c r="N951" s="71"/>
      <c r="O951" s="71"/>
      <c r="P951" s="71"/>
      <c r="Q951" s="71"/>
      <c r="R951" s="71"/>
      <c r="S951" s="71"/>
      <c r="T951" s="71"/>
      <c r="U951" s="71"/>
      <c r="V951" s="71"/>
      <c r="W951" s="71"/>
      <c r="X951" s="71"/>
      <c r="Y951" s="71"/>
      <c r="Z951" s="71"/>
    </row>
    <row r="952" spans="1:26" ht="15.75" customHeight="1" x14ac:dyDescent="0.25">
      <c r="A952" s="71"/>
      <c r="B952" s="71"/>
      <c r="C952" s="71"/>
      <c r="D952" s="71"/>
      <c r="E952" s="71"/>
      <c r="F952" s="71"/>
      <c r="G952" s="71"/>
      <c r="H952" s="71"/>
      <c r="I952" s="71"/>
      <c r="J952" s="71"/>
      <c r="K952" s="71"/>
      <c r="L952" s="71"/>
      <c r="M952" s="71"/>
      <c r="N952" s="71"/>
      <c r="O952" s="71"/>
      <c r="P952" s="71"/>
      <c r="Q952" s="71"/>
      <c r="R952" s="71"/>
      <c r="S952" s="71"/>
      <c r="T952" s="71"/>
      <c r="U952" s="71"/>
      <c r="V952" s="71"/>
      <c r="W952" s="71"/>
      <c r="X952" s="71"/>
      <c r="Y952" s="71"/>
      <c r="Z952" s="71"/>
    </row>
    <row r="953" spans="1:26" ht="15.75" customHeight="1" x14ac:dyDescent="0.25">
      <c r="A953" s="71"/>
      <c r="B953" s="71"/>
      <c r="C953" s="71"/>
      <c r="D953" s="71"/>
      <c r="E953" s="71"/>
      <c r="F953" s="71"/>
      <c r="G953" s="71"/>
      <c r="H953" s="71"/>
      <c r="I953" s="71"/>
      <c r="J953" s="71"/>
      <c r="K953" s="71"/>
      <c r="L953" s="71"/>
      <c r="M953" s="71"/>
      <c r="N953" s="71"/>
      <c r="O953" s="71"/>
      <c r="P953" s="71"/>
      <c r="Q953" s="71"/>
      <c r="R953" s="71"/>
      <c r="S953" s="71"/>
      <c r="T953" s="71"/>
      <c r="U953" s="71"/>
      <c r="V953" s="71"/>
      <c r="W953" s="71"/>
      <c r="X953" s="71"/>
      <c r="Y953" s="71"/>
      <c r="Z953" s="71"/>
    </row>
    <row r="954" spans="1:26" ht="15.75" customHeight="1" x14ac:dyDescent="0.25">
      <c r="A954" s="71"/>
      <c r="B954" s="71"/>
      <c r="C954" s="71"/>
      <c r="D954" s="71"/>
      <c r="E954" s="71"/>
      <c r="F954" s="71"/>
      <c r="G954" s="71"/>
      <c r="H954" s="71"/>
      <c r="I954" s="71"/>
      <c r="J954" s="71"/>
      <c r="K954" s="71"/>
      <c r="L954" s="71"/>
      <c r="M954" s="71"/>
      <c r="N954" s="71"/>
      <c r="O954" s="71"/>
      <c r="P954" s="71"/>
      <c r="Q954" s="71"/>
      <c r="R954" s="71"/>
      <c r="S954" s="71"/>
      <c r="T954" s="71"/>
      <c r="U954" s="71"/>
      <c r="V954" s="71"/>
      <c r="W954" s="71"/>
      <c r="X954" s="71"/>
      <c r="Y954" s="71"/>
      <c r="Z954" s="71"/>
    </row>
    <row r="955" spans="1:26" ht="15.75" customHeight="1" x14ac:dyDescent="0.25">
      <c r="A955" s="71"/>
      <c r="B955" s="71"/>
      <c r="C955" s="71"/>
      <c r="D955" s="71"/>
      <c r="E955" s="71"/>
      <c r="F955" s="71"/>
      <c r="G955" s="71"/>
      <c r="H955" s="71"/>
      <c r="I955" s="71"/>
      <c r="J955" s="71"/>
      <c r="K955" s="71"/>
      <c r="L955" s="71"/>
      <c r="M955" s="71"/>
      <c r="N955" s="71"/>
      <c r="O955" s="71"/>
      <c r="P955" s="71"/>
      <c r="Q955" s="71"/>
      <c r="R955" s="71"/>
      <c r="S955" s="71"/>
      <c r="T955" s="71"/>
      <c r="U955" s="71"/>
      <c r="V955" s="71"/>
      <c r="W955" s="71"/>
      <c r="X955" s="71"/>
      <c r="Y955" s="71"/>
      <c r="Z955" s="71"/>
    </row>
    <row r="956" spans="1:26" ht="15.75" customHeight="1" x14ac:dyDescent="0.25">
      <c r="A956" s="71"/>
      <c r="B956" s="71"/>
      <c r="C956" s="71"/>
      <c r="D956" s="71"/>
      <c r="E956" s="71"/>
      <c r="F956" s="71"/>
      <c r="G956" s="71"/>
      <c r="H956" s="71"/>
      <c r="I956" s="71"/>
      <c r="J956" s="71"/>
      <c r="K956" s="71"/>
      <c r="L956" s="71"/>
      <c r="M956" s="71"/>
      <c r="N956" s="71"/>
      <c r="O956" s="71"/>
      <c r="P956" s="71"/>
      <c r="Q956" s="71"/>
      <c r="R956" s="71"/>
      <c r="S956" s="71"/>
      <c r="T956" s="71"/>
      <c r="U956" s="71"/>
      <c r="V956" s="71"/>
      <c r="W956" s="71"/>
      <c r="X956" s="71"/>
      <c r="Y956" s="71"/>
      <c r="Z956" s="71"/>
    </row>
    <row r="957" spans="1:26" ht="15.75" customHeight="1" x14ac:dyDescent="0.25">
      <c r="A957" s="71"/>
      <c r="B957" s="71"/>
      <c r="C957" s="71"/>
      <c r="D957" s="71"/>
      <c r="E957" s="71"/>
      <c r="F957" s="71"/>
      <c r="G957" s="71"/>
      <c r="H957" s="71"/>
      <c r="I957" s="71"/>
      <c r="J957" s="71"/>
      <c r="K957" s="71"/>
      <c r="L957" s="71"/>
      <c r="M957" s="71"/>
      <c r="N957" s="71"/>
      <c r="O957" s="71"/>
      <c r="P957" s="71"/>
      <c r="Q957" s="71"/>
      <c r="R957" s="71"/>
      <c r="S957" s="71"/>
      <c r="T957" s="71"/>
      <c r="U957" s="71"/>
      <c r="V957" s="71"/>
      <c r="W957" s="71"/>
      <c r="X957" s="71"/>
      <c r="Y957" s="71"/>
      <c r="Z957" s="71"/>
    </row>
    <row r="958" spans="1:26" ht="15.75" customHeight="1" x14ac:dyDescent="0.25">
      <c r="A958" s="71"/>
      <c r="B958" s="71"/>
      <c r="C958" s="71"/>
      <c r="D958" s="71"/>
      <c r="E958" s="71"/>
      <c r="F958" s="71"/>
      <c r="G958" s="71"/>
      <c r="H958" s="71"/>
      <c r="I958" s="71"/>
      <c r="J958" s="71"/>
      <c r="K958" s="71"/>
      <c r="L958" s="71"/>
      <c r="M958" s="71"/>
      <c r="N958" s="71"/>
      <c r="O958" s="71"/>
      <c r="P958" s="71"/>
      <c r="Q958" s="71"/>
      <c r="R958" s="71"/>
      <c r="S958" s="71"/>
      <c r="T958" s="71"/>
      <c r="U958" s="71"/>
      <c r="V958" s="71"/>
      <c r="W958" s="71"/>
      <c r="X958" s="71"/>
      <c r="Y958" s="71"/>
      <c r="Z958" s="71"/>
    </row>
    <row r="959" spans="1:26" ht="15.75" customHeight="1" x14ac:dyDescent="0.25">
      <c r="A959" s="71"/>
      <c r="B959" s="71"/>
      <c r="C959" s="71"/>
      <c r="D959" s="71"/>
      <c r="E959" s="71"/>
      <c r="F959" s="71"/>
      <c r="G959" s="71"/>
      <c r="H959" s="71"/>
      <c r="I959" s="71"/>
      <c r="J959" s="71"/>
      <c r="K959" s="71"/>
      <c r="L959" s="71"/>
      <c r="M959" s="71"/>
      <c r="N959" s="71"/>
      <c r="O959" s="71"/>
      <c r="P959" s="71"/>
      <c r="Q959" s="71"/>
      <c r="R959" s="71"/>
      <c r="S959" s="71"/>
      <c r="T959" s="71"/>
      <c r="U959" s="71"/>
      <c r="V959" s="71"/>
      <c r="W959" s="71"/>
      <c r="X959" s="71"/>
      <c r="Y959" s="71"/>
      <c r="Z959" s="71"/>
    </row>
    <row r="960" spans="1:26" ht="15.75" customHeight="1" x14ac:dyDescent="0.25">
      <c r="A960" s="71"/>
      <c r="B960" s="71"/>
      <c r="C960" s="71"/>
      <c r="D960" s="71"/>
      <c r="E960" s="71"/>
      <c r="F960" s="71"/>
      <c r="G960" s="71"/>
      <c r="H960" s="71"/>
      <c r="I960" s="71"/>
      <c r="J960" s="71"/>
      <c r="K960" s="71"/>
      <c r="L960" s="71"/>
      <c r="M960" s="71"/>
      <c r="N960" s="71"/>
      <c r="O960" s="71"/>
      <c r="P960" s="71"/>
      <c r="Q960" s="71"/>
      <c r="R960" s="71"/>
      <c r="S960" s="71"/>
      <c r="T960" s="71"/>
      <c r="U960" s="71"/>
      <c r="V960" s="71"/>
      <c r="W960" s="71"/>
      <c r="X960" s="71"/>
      <c r="Y960" s="71"/>
      <c r="Z960" s="71"/>
    </row>
    <row r="961" spans="1:26" ht="15.75" customHeight="1" x14ac:dyDescent="0.25">
      <c r="A961" s="71"/>
      <c r="B961" s="71"/>
      <c r="C961" s="71"/>
      <c r="D961" s="71"/>
      <c r="E961" s="71"/>
      <c r="F961" s="71"/>
      <c r="G961" s="71"/>
      <c r="H961" s="71"/>
      <c r="I961" s="71"/>
      <c r="J961" s="71"/>
      <c r="K961" s="71"/>
      <c r="L961" s="71"/>
      <c r="M961" s="71"/>
      <c r="N961" s="71"/>
      <c r="O961" s="71"/>
      <c r="P961" s="71"/>
      <c r="Q961" s="71"/>
      <c r="R961" s="71"/>
      <c r="S961" s="71"/>
      <c r="T961" s="71"/>
      <c r="U961" s="71"/>
      <c r="V961" s="71"/>
      <c r="W961" s="71"/>
      <c r="X961" s="71"/>
      <c r="Y961" s="71"/>
      <c r="Z961" s="71"/>
    </row>
    <row r="962" spans="1:26" ht="15.75" customHeight="1" x14ac:dyDescent="0.25">
      <c r="A962" s="71"/>
      <c r="B962" s="71"/>
      <c r="C962" s="71"/>
      <c r="D962" s="71"/>
      <c r="E962" s="71"/>
      <c r="F962" s="71"/>
      <c r="G962" s="71"/>
      <c r="H962" s="71"/>
      <c r="I962" s="71"/>
      <c r="J962" s="71"/>
      <c r="K962" s="71"/>
      <c r="L962" s="71"/>
      <c r="M962" s="71"/>
      <c r="N962" s="71"/>
      <c r="O962" s="71"/>
      <c r="P962" s="71"/>
      <c r="Q962" s="71"/>
      <c r="R962" s="71"/>
      <c r="S962" s="71"/>
      <c r="T962" s="71"/>
      <c r="U962" s="71"/>
      <c r="V962" s="71"/>
      <c r="W962" s="71"/>
      <c r="X962" s="71"/>
      <c r="Y962" s="71"/>
      <c r="Z962" s="71"/>
    </row>
    <row r="963" spans="1:26" ht="15.75" customHeight="1" x14ac:dyDescent="0.25">
      <c r="A963" s="71"/>
      <c r="B963" s="71"/>
      <c r="C963" s="71"/>
      <c r="D963" s="71"/>
      <c r="E963" s="71"/>
      <c r="F963" s="71"/>
      <c r="G963" s="71"/>
      <c r="H963" s="71"/>
      <c r="I963" s="71"/>
      <c r="J963" s="71"/>
      <c r="K963" s="71"/>
      <c r="L963" s="71"/>
      <c r="M963" s="71"/>
      <c r="N963" s="71"/>
      <c r="O963" s="71"/>
      <c r="P963" s="71"/>
      <c r="Q963" s="71"/>
      <c r="R963" s="71"/>
      <c r="S963" s="71"/>
      <c r="T963" s="71"/>
      <c r="U963" s="71"/>
      <c r="V963" s="71"/>
      <c r="W963" s="71"/>
      <c r="X963" s="71"/>
      <c r="Y963" s="71"/>
      <c r="Z963" s="71"/>
    </row>
    <row r="964" spans="1:26" ht="15.75" customHeight="1" x14ac:dyDescent="0.25">
      <c r="A964" s="71"/>
      <c r="B964" s="71"/>
      <c r="C964" s="71"/>
      <c r="D964" s="71"/>
      <c r="E964" s="71"/>
      <c r="F964" s="71"/>
      <c r="G964" s="71"/>
      <c r="H964" s="71"/>
      <c r="I964" s="71"/>
      <c r="J964" s="71"/>
      <c r="K964" s="71"/>
      <c r="L964" s="71"/>
      <c r="M964" s="71"/>
      <c r="N964" s="71"/>
      <c r="O964" s="71"/>
      <c r="P964" s="71"/>
      <c r="Q964" s="71"/>
      <c r="R964" s="71"/>
      <c r="S964" s="71"/>
      <c r="T964" s="71"/>
      <c r="U964" s="71"/>
      <c r="V964" s="71"/>
      <c r="W964" s="71"/>
      <c r="X964" s="71"/>
      <c r="Y964" s="71"/>
      <c r="Z964" s="71"/>
    </row>
    <row r="965" spans="1:26" ht="15.75" customHeight="1" x14ac:dyDescent="0.25">
      <c r="A965" s="71"/>
      <c r="B965" s="71"/>
      <c r="C965" s="71"/>
      <c r="D965" s="71"/>
      <c r="E965" s="71"/>
      <c r="F965" s="71"/>
      <c r="G965" s="71"/>
      <c r="H965" s="71"/>
      <c r="I965" s="71"/>
      <c r="J965" s="71"/>
      <c r="K965" s="71"/>
      <c r="L965" s="71"/>
      <c r="M965" s="71"/>
      <c r="N965" s="71"/>
      <c r="O965" s="71"/>
      <c r="P965" s="71"/>
      <c r="Q965" s="71"/>
      <c r="R965" s="71"/>
      <c r="S965" s="71"/>
      <c r="T965" s="71"/>
      <c r="U965" s="71"/>
      <c r="V965" s="71"/>
      <c r="W965" s="71"/>
      <c r="X965" s="71"/>
      <c r="Y965" s="71"/>
      <c r="Z965" s="71"/>
    </row>
    <row r="966" spans="1:26" ht="15.75" customHeight="1" x14ac:dyDescent="0.25">
      <c r="A966" s="71"/>
      <c r="B966" s="71"/>
      <c r="C966" s="71"/>
      <c r="D966" s="71"/>
      <c r="E966" s="71"/>
      <c r="F966" s="71"/>
      <c r="G966" s="71"/>
      <c r="H966" s="71"/>
      <c r="I966" s="71"/>
      <c r="J966" s="71"/>
      <c r="K966" s="71"/>
      <c r="L966" s="71"/>
      <c r="M966" s="71"/>
      <c r="N966" s="71"/>
      <c r="O966" s="71"/>
      <c r="P966" s="71"/>
      <c r="Q966" s="71"/>
      <c r="R966" s="71"/>
      <c r="S966" s="71"/>
      <c r="T966" s="71"/>
      <c r="U966" s="71"/>
      <c r="V966" s="71"/>
      <c r="W966" s="71"/>
      <c r="X966" s="71"/>
      <c r="Y966" s="71"/>
      <c r="Z966" s="71"/>
    </row>
    <row r="967" spans="1:26" ht="15.75" customHeight="1" x14ac:dyDescent="0.25">
      <c r="A967" s="71"/>
      <c r="B967" s="71"/>
      <c r="C967" s="71"/>
      <c r="D967" s="71"/>
      <c r="E967" s="71"/>
      <c r="F967" s="71"/>
      <c r="G967" s="71"/>
      <c r="H967" s="71"/>
      <c r="I967" s="71"/>
      <c r="J967" s="71"/>
      <c r="K967" s="71"/>
      <c r="L967" s="71"/>
      <c r="M967" s="71"/>
      <c r="N967" s="71"/>
      <c r="O967" s="71"/>
      <c r="P967" s="71"/>
      <c r="Q967" s="71"/>
      <c r="R967" s="71"/>
      <c r="S967" s="71"/>
      <c r="T967" s="71"/>
      <c r="U967" s="71"/>
      <c r="V967" s="71"/>
      <c r="W967" s="71"/>
      <c r="X967" s="71"/>
      <c r="Y967" s="71"/>
      <c r="Z967" s="71"/>
    </row>
    <row r="968" spans="1:26" ht="15.75" customHeight="1" x14ac:dyDescent="0.25">
      <c r="A968" s="71"/>
      <c r="B968" s="71"/>
      <c r="C968" s="71"/>
      <c r="D968" s="71"/>
      <c r="E968" s="71"/>
      <c r="F968" s="71"/>
      <c r="G968" s="71"/>
      <c r="H968" s="71"/>
      <c r="I968" s="71"/>
      <c r="J968" s="71"/>
      <c r="K968" s="71"/>
      <c r="L968" s="71"/>
      <c r="M968" s="71"/>
      <c r="N968" s="71"/>
      <c r="O968" s="71"/>
      <c r="P968" s="71"/>
      <c r="Q968" s="71"/>
      <c r="R968" s="71"/>
      <c r="S968" s="71"/>
      <c r="T968" s="71"/>
      <c r="U968" s="71"/>
      <c r="V968" s="71"/>
      <c r="W968" s="71"/>
      <c r="X968" s="71"/>
      <c r="Y968" s="71"/>
      <c r="Z968" s="71"/>
    </row>
    <row r="969" spans="1:26" ht="15.75" customHeight="1" x14ac:dyDescent="0.25">
      <c r="A969" s="71"/>
      <c r="B969" s="71"/>
      <c r="C969" s="71"/>
      <c r="D969" s="71"/>
      <c r="E969" s="71"/>
      <c r="F969" s="71"/>
      <c r="G969" s="71"/>
      <c r="H969" s="71"/>
      <c r="I969" s="71"/>
      <c r="J969" s="71"/>
      <c r="K969" s="71"/>
      <c r="L969" s="71"/>
      <c r="M969" s="71"/>
      <c r="N969" s="71"/>
      <c r="O969" s="71"/>
      <c r="P969" s="71"/>
      <c r="Q969" s="71"/>
      <c r="R969" s="71"/>
      <c r="S969" s="71"/>
      <c r="T969" s="71"/>
      <c r="U969" s="71"/>
      <c r="V969" s="71"/>
      <c r="W969" s="71"/>
      <c r="X969" s="71"/>
      <c r="Y969" s="71"/>
      <c r="Z969" s="71"/>
    </row>
    <row r="970" spans="1:26" ht="15.75" customHeight="1" x14ac:dyDescent="0.25">
      <c r="A970" s="71"/>
      <c r="B970" s="71"/>
      <c r="C970" s="71"/>
      <c r="D970" s="71"/>
      <c r="E970" s="71"/>
      <c r="F970" s="71"/>
      <c r="G970" s="71"/>
      <c r="H970" s="71"/>
      <c r="I970" s="71"/>
      <c r="J970" s="71"/>
      <c r="K970" s="71"/>
      <c r="L970" s="71"/>
      <c r="M970" s="71"/>
      <c r="N970" s="71"/>
      <c r="O970" s="71"/>
      <c r="P970" s="71"/>
      <c r="Q970" s="71"/>
      <c r="R970" s="71"/>
      <c r="S970" s="71"/>
      <c r="T970" s="71"/>
      <c r="U970" s="71"/>
      <c r="V970" s="71"/>
      <c r="W970" s="71"/>
      <c r="X970" s="71"/>
      <c r="Y970" s="71"/>
      <c r="Z970" s="71"/>
    </row>
    <row r="971" spans="1:26" ht="15.75" customHeight="1" x14ac:dyDescent="0.25">
      <c r="A971" s="71"/>
      <c r="B971" s="71"/>
      <c r="C971" s="71"/>
      <c r="D971" s="71"/>
      <c r="E971" s="71"/>
      <c r="F971" s="71"/>
      <c r="G971" s="71"/>
      <c r="H971" s="71"/>
      <c r="I971" s="71"/>
      <c r="J971" s="71"/>
      <c r="K971" s="71"/>
      <c r="L971" s="71"/>
      <c r="M971" s="71"/>
      <c r="N971" s="71"/>
      <c r="O971" s="71"/>
      <c r="P971" s="71"/>
      <c r="Q971" s="71"/>
      <c r="R971" s="71"/>
      <c r="S971" s="71"/>
      <c r="T971" s="71"/>
      <c r="U971" s="71"/>
      <c r="V971" s="71"/>
      <c r="W971" s="71"/>
      <c r="X971" s="71"/>
      <c r="Y971" s="71"/>
      <c r="Z971" s="71"/>
    </row>
    <row r="972" spans="1:26" ht="15.75" customHeight="1" x14ac:dyDescent="0.25">
      <c r="A972" s="71"/>
      <c r="B972" s="71"/>
      <c r="C972" s="71"/>
      <c r="D972" s="71"/>
      <c r="E972" s="71"/>
      <c r="F972" s="71"/>
      <c r="G972" s="71"/>
      <c r="H972" s="71"/>
      <c r="I972" s="71"/>
      <c r="J972" s="71"/>
      <c r="K972" s="71"/>
      <c r="L972" s="71"/>
      <c r="M972" s="71"/>
      <c r="N972" s="71"/>
      <c r="O972" s="71"/>
      <c r="P972" s="71"/>
      <c r="Q972" s="71"/>
      <c r="R972" s="71"/>
      <c r="S972" s="71"/>
      <c r="T972" s="71"/>
      <c r="U972" s="71"/>
      <c r="V972" s="71"/>
      <c r="W972" s="71"/>
      <c r="X972" s="71"/>
      <c r="Y972" s="71"/>
      <c r="Z972" s="71"/>
    </row>
    <row r="973" spans="1:26" ht="15.75" customHeight="1" x14ac:dyDescent="0.25">
      <c r="A973" s="71"/>
      <c r="B973" s="71"/>
      <c r="C973" s="71"/>
      <c r="D973" s="71"/>
      <c r="E973" s="71"/>
      <c r="F973" s="71"/>
      <c r="G973" s="71"/>
      <c r="H973" s="71"/>
      <c r="I973" s="71"/>
      <c r="J973" s="71"/>
      <c r="K973" s="71"/>
      <c r="L973" s="71"/>
      <c r="M973" s="71"/>
      <c r="N973" s="71"/>
      <c r="O973" s="71"/>
      <c r="P973" s="71"/>
      <c r="Q973" s="71"/>
      <c r="R973" s="71"/>
      <c r="S973" s="71"/>
      <c r="T973" s="71"/>
      <c r="U973" s="71"/>
      <c r="V973" s="71"/>
      <c r="W973" s="71"/>
      <c r="X973" s="71"/>
      <c r="Y973" s="71"/>
      <c r="Z973" s="71"/>
    </row>
    <row r="974" spans="1:26" ht="15.75" customHeight="1" x14ac:dyDescent="0.25">
      <c r="A974" s="71"/>
      <c r="B974" s="71"/>
      <c r="C974" s="71"/>
      <c r="D974" s="71"/>
      <c r="E974" s="71"/>
      <c r="F974" s="71"/>
      <c r="G974" s="71"/>
      <c r="H974" s="71"/>
      <c r="I974" s="71"/>
      <c r="J974" s="71"/>
      <c r="K974" s="71"/>
      <c r="L974" s="71"/>
      <c r="M974" s="71"/>
      <c r="N974" s="71"/>
      <c r="O974" s="71"/>
      <c r="P974" s="71"/>
      <c r="Q974" s="71"/>
      <c r="R974" s="71"/>
      <c r="S974" s="71"/>
      <c r="T974" s="71"/>
      <c r="U974" s="71"/>
      <c r="V974" s="71"/>
      <c r="W974" s="71"/>
      <c r="X974" s="71"/>
      <c r="Y974" s="71"/>
      <c r="Z974" s="71"/>
    </row>
    <row r="975" spans="1:26" ht="15.75" customHeight="1" x14ac:dyDescent="0.25">
      <c r="A975" s="71"/>
      <c r="B975" s="71"/>
      <c r="C975" s="71"/>
      <c r="D975" s="71"/>
      <c r="E975" s="71"/>
      <c r="F975" s="71"/>
      <c r="G975" s="71"/>
      <c r="H975" s="71"/>
      <c r="I975" s="71"/>
      <c r="J975" s="71"/>
      <c r="K975" s="71"/>
      <c r="L975" s="71"/>
      <c r="M975" s="71"/>
      <c r="N975" s="71"/>
      <c r="O975" s="71"/>
      <c r="P975" s="71"/>
      <c r="Q975" s="71"/>
      <c r="R975" s="71"/>
      <c r="S975" s="71"/>
      <c r="T975" s="71"/>
      <c r="U975" s="71"/>
      <c r="V975" s="71"/>
      <c r="W975" s="71"/>
      <c r="X975" s="71"/>
      <c r="Y975" s="71"/>
      <c r="Z975" s="71"/>
    </row>
    <row r="976" spans="1:26" ht="15.75" customHeight="1" x14ac:dyDescent="0.25">
      <c r="A976" s="71"/>
      <c r="B976" s="71"/>
      <c r="C976" s="71"/>
      <c r="D976" s="71"/>
      <c r="E976" s="71"/>
      <c r="F976" s="71"/>
      <c r="G976" s="71"/>
      <c r="H976" s="71"/>
      <c r="I976" s="71"/>
      <c r="J976" s="71"/>
      <c r="K976" s="71"/>
      <c r="L976" s="71"/>
      <c r="M976" s="71"/>
      <c r="N976" s="71"/>
      <c r="O976" s="71"/>
      <c r="P976" s="71"/>
      <c r="Q976" s="71"/>
      <c r="R976" s="71"/>
      <c r="S976" s="71"/>
      <c r="T976" s="71"/>
      <c r="U976" s="71"/>
      <c r="V976" s="71"/>
      <c r="W976" s="71"/>
      <c r="X976" s="71"/>
      <c r="Y976" s="71"/>
      <c r="Z976" s="71"/>
    </row>
    <row r="977" spans="1:26" ht="15.75" customHeight="1" x14ac:dyDescent="0.25">
      <c r="A977" s="71"/>
      <c r="B977" s="71"/>
      <c r="C977" s="71"/>
      <c r="D977" s="71"/>
      <c r="E977" s="71"/>
      <c r="F977" s="71"/>
      <c r="G977" s="71"/>
      <c r="H977" s="71"/>
      <c r="I977" s="71"/>
      <c r="J977" s="71"/>
      <c r="K977" s="71"/>
      <c r="L977" s="71"/>
      <c r="M977" s="71"/>
      <c r="N977" s="71"/>
      <c r="O977" s="71"/>
      <c r="P977" s="71"/>
      <c r="Q977" s="71"/>
      <c r="R977" s="71"/>
      <c r="S977" s="71"/>
      <c r="T977" s="71"/>
      <c r="U977" s="71"/>
      <c r="V977" s="71"/>
      <c r="W977" s="71"/>
      <c r="X977" s="71"/>
      <c r="Y977" s="71"/>
      <c r="Z977" s="71"/>
    </row>
    <row r="978" spans="1:26" ht="15.75" customHeight="1" x14ac:dyDescent="0.25">
      <c r="A978" s="71"/>
      <c r="B978" s="71"/>
      <c r="C978" s="71"/>
      <c r="D978" s="71"/>
      <c r="E978" s="71"/>
      <c r="F978" s="71"/>
      <c r="G978" s="71"/>
      <c r="H978" s="71"/>
      <c r="I978" s="71"/>
      <c r="J978" s="71"/>
      <c r="K978" s="71"/>
      <c r="L978" s="71"/>
      <c r="M978" s="71"/>
      <c r="N978" s="71"/>
      <c r="O978" s="71"/>
      <c r="P978" s="71"/>
      <c r="Q978" s="71"/>
      <c r="R978" s="71"/>
      <c r="S978" s="71"/>
      <c r="T978" s="71"/>
      <c r="U978" s="71"/>
      <c r="V978" s="71"/>
      <c r="W978" s="71"/>
      <c r="X978" s="71"/>
      <c r="Y978" s="71"/>
      <c r="Z978" s="71"/>
    </row>
    <row r="979" spans="1:26" ht="15.75" customHeight="1" x14ac:dyDescent="0.25">
      <c r="A979" s="71"/>
      <c r="B979" s="71"/>
      <c r="C979" s="71"/>
      <c r="D979" s="71"/>
      <c r="E979" s="71"/>
      <c r="F979" s="71"/>
      <c r="G979" s="71"/>
      <c r="H979" s="71"/>
      <c r="I979" s="71"/>
      <c r="J979" s="71"/>
      <c r="K979" s="71"/>
      <c r="L979" s="71"/>
      <c r="M979" s="71"/>
      <c r="N979" s="71"/>
      <c r="O979" s="71"/>
      <c r="P979" s="71"/>
      <c r="Q979" s="71"/>
      <c r="R979" s="71"/>
      <c r="S979" s="71"/>
      <c r="T979" s="71"/>
      <c r="U979" s="71"/>
      <c r="V979" s="71"/>
      <c r="W979" s="71"/>
      <c r="X979" s="71"/>
      <c r="Y979" s="71"/>
      <c r="Z979" s="71"/>
    </row>
    <row r="980" spans="1:26" ht="15.75" customHeight="1" x14ac:dyDescent="0.25">
      <c r="A980" s="71"/>
      <c r="B980" s="71"/>
      <c r="C980" s="71"/>
      <c r="D980" s="71"/>
      <c r="E980" s="71"/>
      <c r="F980" s="71"/>
      <c r="G980" s="71"/>
      <c r="H980" s="71"/>
      <c r="I980" s="71"/>
      <c r="J980" s="71"/>
      <c r="K980" s="71"/>
      <c r="L980" s="71"/>
      <c r="M980" s="71"/>
      <c r="N980" s="71"/>
      <c r="O980" s="71"/>
      <c r="P980" s="71"/>
      <c r="Q980" s="71"/>
      <c r="R980" s="71"/>
      <c r="S980" s="71"/>
      <c r="T980" s="71"/>
      <c r="U980" s="71"/>
      <c r="V980" s="71"/>
      <c r="W980" s="71"/>
      <c r="X980" s="71"/>
      <c r="Y980" s="71"/>
      <c r="Z980" s="71"/>
    </row>
    <row r="981" spans="1:26" ht="15.75" customHeight="1" x14ac:dyDescent="0.25">
      <c r="A981" s="71"/>
      <c r="B981" s="71"/>
      <c r="C981" s="71"/>
      <c r="D981" s="71"/>
      <c r="E981" s="71"/>
      <c r="F981" s="71"/>
      <c r="G981" s="71"/>
      <c r="H981" s="71"/>
      <c r="I981" s="71"/>
      <c r="J981" s="71"/>
      <c r="K981" s="71"/>
      <c r="L981" s="71"/>
      <c r="M981" s="71"/>
      <c r="N981" s="71"/>
      <c r="O981" s="71"/>
      <c r="P981" s="71"/>
      <c r="Q981" s="71"/>
      <c r="R981" s="71"/>
      <c r="S981" s="71"/>
      <c r="T981" s="71"/>
      <c r="U981" s="71"/>
      <c r="V981" s="71"/>
      <c r="W981" s="71"/>
      <c r="X981" s="71"/>
      <c r="Y981" s="71"/>
      <c r="Z981" s="71"/>
    </row>
    <row r="982" spans="1:26" ht="15.75" customHeight="1" x14ac:dyDescent="0.25">
      <c r="A982" s="71"/>
      <c r="B982" s="71"/>
      <c r="C982" s="71"/>
      <c r="D982" s="71"/>
      <c r="E982" s="71"/>
      <c r="F982" s="71"/>
      <c r="G982" s="71"/>
      <c r="H982" s="71"/>
      <c r="I982" s="71"/>
      <c r="J982" s="71"/>
      <c r="K982" s="71"/>
      <c r="L982" s="71"/>
      <c r="M982" s="71"/>
      <c r="N982" s="71"/>
      <c r="O982" s="71"/>
      <c r="P982" s="71"/>
      <c r="Q982" s="71"/>
      <c r="R982" s="71"/>
      <c r="S982" s="71"/>
      <c r="T982" s="71"/>
      <c r="U982" s="71"/>
      <c r="V982" s="71"/>
      <c r="W982" s="71"/>
      <c r="X982" s="71"/>
      <c r="Y982" s="71"/>
      <c r="Z982" s="71"/>
    </row>
    <row r="983" spans="1:26" ht="15.75" customHeight="1" x14ac:dyDescent="0.25">
      <c r="A983" s="71"/>
      <c r="B983" s="71"/>
      <c r="C983" s="71"/>
      <c r="D983" s="71"/>
      <c r="E983" s="71"/>
      <c r="F983" s="71"/>
      <c r="G983" s="71"/>
      <c r="H983" s="71"/>
      <c r="I983" s="71"/>
      <c r="J983" s="71"/>
      <c r="K983" s="71"/>
      <c r="L983" s="71"/>
      <c r="M983" s="71"/>
      <c r="N983" s="71"/>
      <c r="O983" s="71"/>
      <c r="P983" s="71"/>
      <c r="Q983" s="71"/>
      <c r="R983" s="71"/>
      <c r="S983" s="71"/>
      <c r="T983" s="71"/>
      <c r="U983" s="71"/>
      <c r="V983" s="71"/>
      <c r="W983" s="71"/>
      <c r="X983" s="71"/>
      <c r="Y983" s="71"/>
      <c r="Z983" s="71"/>
    </row>
    <row r="984" spans="1:26" ht="15.75" customHeight="1" x14ac:dyDescent="0.25">
      <c r="A984" s="71"/>
      <c r="B984" s="71"/>
      <c r="C984" s="71"/>
      <c r="D984" s="71"/>
      <c r="E984" s="71"/>
      <c r="F984" s="71"/>
      <c r="G984" s="71"/>
      <c r="H984" s="71"/>
      <c r="I984" s="71"/>
      <c r="J984" s="71"/>
      <c r="K984" s="71"/>
      <c r="L984" s="71"/>
      <c r="M984" s="71"/>
      <c r="N984" s="71"/>
      <c r="O984" s="71"/>
      <c r="P984" s="71"/>
      <c r="Q984" s="71"/>
      <c r="R984" s="71"/>
      <c r="S984" s="71"/>
      <c r="T984" s="71"/>
      <c r="U984" s="71"/>
      <c r="V984" s="71"/>
      <c r="W984" s="71"/>
      <c r="X984" s="71"/>
      <c r="Y984" s="71"/>
      <c r="Z984" s="71"/>
    </row>
    <row r="985" spans="1:26" ht="15.75" customHeight="1" x14ac:dyDescent="0.25">
      <c r="A985" s="71"/>
      <c r="B985" s="71"/>
      <c r="C985" s="71"/>
      <c r="D985" s="71"/>
      <c r="E985" s="71"/>
      <c r="F985" s="71"/>
      <c r="G985" s="71"/>
      <c r="H985" s="71"/>
      <c r="I985" s="71"/>
      <c r="J985" s="71"/>
      <c r="K985" s="71"/>
      <c r="L985" s="71"/>
      <c r="M985" s="71"/>
      <c r="N985" s="71"/>
      <c r="O985" s="71"/>
      <c r="P985" s="71"/>
      <c r="Q985" s="71"/>
      <c r="R985" s="71"/>
      <c r="S985" s="71"/>
      <c r="T985" s="71"/>
      <c r="U985" s="71"/>
      <c r="V985" s="71"/>
      <c r="W985" s="71"/>
      <c r="X985" s="71"/>
      <c r="Y985" s="71"/>
      <c r="Z985" s="71"/>
    </row>
    <row r="986" spans="1:26" ht="15.75" customHeight="1" x14ac:dyDescent="0.25">
      <c r="A986" s="71"/>
      <c r="B986" s="71"/>
      <c r="C986" s="71"/>
      <c r="D986" s="71"/>
      <c r="E986" s="71"/>
      <c r="F986" s="71"/>
      <c r="G986" s="71"/>
      <c r="H986" s="71"/>
      <c r="I986" s="71"/>
      <c r="J986" s="71"/>
      <c r="K986" s="71"/>
      <c r="L986" s="71"/>
      <c r="M986" s="71"/>
      <c r="N986" s="71"/>
      <c r="O986" s="71"/>
      <c r="P986" s="71"/>
      <c r="Q986" s="71"/>
      <c r="R986" s="71"/>
      <c r="S986" s="71"/>
      <c r="T986" s="71"/>
      <c r="U986" s="71"/>
      <c r="V986" s="71"/>
      <c r="W986" s="71"/>
      <c r="X986" s="71"/>
      <c r="Y986" s="71"/>
      <c r="Z986" s="71"/>
    </row>
    <row r="987" spans="1:26" ht="15.75" customHeight="1" x14ac:dyDescent="0.25">
      <c r="A987" s="71"/>
      <c r="B987" s="71"/>
      <c r="C987" s="71"/>
      <c r="D987" s="71"/>
      <c r="E987" s="71"/>
      <c r="F987" s="71"/>
      <c r="G987" s="71"/>
      <c r="H987" s="71"/>
      <c r="I987" s="71"/>
      <c r="J987" s="71"/>
      <c r="K987" s="71"/>
      <c r="L987" s="71"/>
      <c r="M987" s="71"/>
      <c r="N987" s="71"/>
      <c r="O987" s="71"/>
      <c r="P987" s="71"/>
      <c r="Q987" s="71"/>
      <c r="R987" s="71"/>
      <c r="S987" s="71"/>
      <c r="T987" s="71"/>
      <c r="U987" s="71"/>
      <c r="V987" s="71"/>
      <c r="W987" s="71"/>
      <c r="X987" s="71"/>
      <c r="Y987" s="71"/>
      <c r="Z987" s="71"/>
    </row>
    <row r="988" spans="1:26" ht="15.75" customHeight="1" x14ac:dyDescent="0.25">
      <c r="A988" s="71"/>
      <c r="B988" s="71"/>
      <c r="C988" s="71"/>
      <c r="D988" s="71"/>
      <c r="E988" s="71"/>
      <c r="F988" s="71"/>
      <c r="G988" s="71"/>
      <c r="H988" s="71"/>
      <c r="I988" s="71"/>
      <c r="J988" s="71"/>
      <c r="K988" s="71"/>
      <c r="L988" s="71"/>
      <c r="M988" s="71"/>
      <c r="N988" s="71"/>
      <c r="O988" s="71"/>
      <c r="P988" s="71"/>
      <c r="Q988" s="71"/>
      <c r="R988" s="71"/>
      <c r="S988" s="71"/>
      <c r="T988" s="71"/>
      <c r="U988" s="71"/>
      <c r="V988" s="71"/>
      <c r="W988" s="71"/>
      <c r="X988" s="71"/>
      <c r="Y988" s="71"/>
      <c r="Z988" s="71"/>
    </row>
    <row r="989" spans="1:26" ht="15.75" customHeight="1" x14ac:dyDescent="0.25">
      <c r="A989" s="71"/>
      <c r="B989" s="71"/>
      <c r="C989" s="71"/>
      <c r="D989" s="71"/>
      <c r="E989" s="71"/>
      <c r="F989" s="71"/>
      <c r="G989" s="71"/>
      <c r="H989" s="71"/>
      <c r="I989" s="71"/>
      <c r="J989" s="71"/>
      <c r="K989" s="71"/>
      <c r="L989" s="71"/>
      <c r="M989" s="71"/>
      <c r="N989" s="71"/>
      <c r="O989" s="71"/>
      <c r="P989" s="71"/>
      <c r="Q989" s="71"/>
      <c r="R989" s="71"/>
      <c r="S989" s="71"/>
      <c r="T989" s="71"/>
      <c r="U989" s="71"/>
      <c r="V989" s="71"/>
      <c r="W989" s="71"/>
      <c r="X989" s="71"/>
      <c r="Y989" s="71"/>
      <c r="Z989" s="71"/>
    </row>
    <row r="990" spans="1:26" ht="15.75" customHeight="1" x14ac:dyDescent="0.25">
      <c r="A990" s="71"/>
      <c r="B990" s="71"/>
      <c r="C990" s="71"/>
      <c r="D990" s="71"/>
      <c r="E990" s="71"/>
      <c r="F990" s="71"/>
      <c r="G990" s="71"/>
      <c r="H990" s="71"/>
      <c r="I990" s="71"/>
      <c r="J990" s="71"/>
      <c r="K990" s="71"/>
      <c r="L990" s="71"/>
      <c r="M990" s="71"/>
      <c r="N990" s="71"/>
      <c r="O990" s="71"/>
      <c r="P990" s="71"/>
      <c r="Q990" s="71"/>
      <c r="R990" s="71"/>
      <c r="S990" s="71"/>
      <c r="T990" s="71"/>
      <c r="U990" s="71"/>
      <c r="V990" s="71"/>
      <c r="W990" s="71"/>
      <c r="X990" s="71"/>
      <c r="Y990" s="71"/>
      <c r="Z990" s="71"/>
    </row>
    <row r="991" spans="1:26" ht="15.75" customHeight="1" x14ac:dyDescent="0.25">
      <c r="A991" s="71"/>
      <c r="B991" s="71"/>
      <c r="C991" s="71"/>
      <c r="D991" s="71"/>
      <c r="E991" s="71"/>
      <c r="F991" s="71"/>
      <c r="G991" s="71"/>
      <c r="H991" s="71"/>
      <c r="I991" s="71"/>
      <c r="J991" s="71"/>
      <c r="K991" s="71"/>
      <c r="L991" s="71"/>
      <c r="M991" s="71"/>
      <c r="N991" s="71"/>
      <c r="O991" s="71"/>
      <c r="P991" s="71"/>
      <c r="Q991" s="71"/>
      <c r="R991" s="71"/>
      <c r="S991" s="71"/>
      <c r="T991" s="71"/>
      <c r="U991" s="71"/>
      <c r="V991" s="71"/>
      <c r="W991" s="71"/>
      <c r="X991" s="71"/>
      <c r="Y991" s="71"/>
      <c r="Z991" s="71"/>
    </row>
    <row r="992" spans="1:26" ht="15.75" customHeight="1" x14ac:dyDescent="0.25">
      <c r="A992" s="71"/>
      <c r="B992" s="71"/>
      <c r="C992" s="71"/>
      <c r="D992" s="71"/>
      <c r="E992" s="71"/>
      <c r="F992" s="71"/>
      <c r="G992" s="71"/>
      <c r="H992" s="71"/>
      <c r="I992" s="71"/>
      <c r="J992" s="71"/>
      <c r="K992" s="71"/>
      <c r="L992" s="71"/>
      <c r="M992" s="71"/>
      <c r="N992" s="71"/>
      <c r="O992" s="71"/>
      <c r="P992" s="71"/>
      <c r="Q992" s="71"/>
      <c r="R992" s="71"/>
      <c r="S992" s="71"/>
      <c r="T992" s="71"/>
      <c r="U992" s="71"/>
      <c r="V992" s="71"/>
      <c r="W992" s="71"/>
      <c r="X992" s="71"/>
      <c r="Y992" s="71"/>
      <c r="Z992" s="71"/>
    </row>
    <row r="993" spans="1:26" ht="15.75" customHeight="1" x14ac:dyDescent="0.25">
      <c r="A993" s="71"/>
      <c r="B993" s="71"/>
      <c r="C993" s="71"/>
      <c r="D993" s="71"/>
      <c r="E993" s="71"/>
      <c r="F993" s="71"/>
      <c r="G993" s="71"/>
      <c r="H993" s="71"/>
      <c r="I993" s="71"/>
      <c r="J993" s="71"/>
      <c r="K993" s="71"/>
      <c r="L993" s="71"/>
      <c r="M993" s="71"/>
      <c r="N993" s="71"/>
      <c r="O993" s="71"/>
      <c r="P993" s="71"/>
      <c r="Q993" s="71"/>
      <c r="R993" s="71"/>
      <c r="S993" s="71"/>
      <c r="T993" s="71"/>
      <c r="U993" s="71"/>
      <c r="V993" s="71"/>
      <c r="W993" s="71"/>
      <c r="X993" s="71"/>
      <c r="Y993" s="71"/>
      <c r="Z993" s="71"/>
    </row>
    <row r="994" spans="1:26" ht="15.75" customHeight="1" x14ac:dyDescent="0.25">
      <c r="A994" s="71"/>
      <c r="B994" s="71"/>
      <c r="C994" s="71"/>
      <c r="D994" s="71"/>
      <c r="E994" s="71"/>
      <c r="F994" s="71"/>
      <c r="G994" s="71"/>
      <c r="H994" s="71"/>
      <c r="I994" s="71"/>
      <c r="J994" s="71"/>
      <c r="K994" s="71"/>
      <c r="L994" s="71"/>
      <c r="M994" s="71"/>
      <c r="N994" s="71"/>
      <c r="O994" s="71"/>
      <c r="P994" s="71"/>
      <c r="Q994" s="71"/>
      <c r="R994" s="71"/>
      <c r="S994" s="71"/>
      <c r="T994" s="71"/>
      <c r="U994" s="71"/>
      <c r="V994" s="71"/>
      <c r="W994" s="71"/>
      <c r="X994" s="71"/>
      <c r="Y994" s="71"/>
      <c r="Z994" s="71"/>
    </row>
    <row r="995" spans="1:26" ht="15.75" customHeight="1" x14ac:dyDescent="0.25">
      <c r="A995" s="71"/>
      <c r="B995" s="71"/>
      <c r="C995" s="71"/>
      <c r="D995" s="71"/>
      <c r="E995" s="71"/>
      <c r="F995" s="71"/>
      <c r="G995" s="71"/>
      <c r="H995" s="71"/>
      <c r="I995" s="71"/>
      <c r="J995" s="71"/>
      <c r="K995" s="71"/>
      <c r="L995" s="71"/>
      <c r="M995" s="71"/>
      <c r="N995" s="71"/>
      <c r="O995" s="71"/>
      <c r="P995" s="71"/>
      <c r="Q995" s="71"/>
      <c r="R995" s="71"/>
      <c r="S995" s="71"/>
      <c r="T995" s="71"/>
      <c r="U995" s="71"/>
      <c r="V995" s="71"/>
      <c r="W995" s="71"/>
      <c r="X995" s="71"/>
      <c r="Y995" s="71"/>
      <c r="Z995" s="71"/>
    </row>
    <row r="996" spans="1:26" ht="15.75" customHeight="1" x14ac:dyDescent="0.25">
      <c r="A996" s="71"/>
      <c r="B996" s="71"/>
      <c r="C996" s="71"/>
      <c r="D996" s="71"/>
      <c r="E996" s="71"/>
      <c r="F996" s="71"/>
      <c r="G996" s="71"/>
      <c r="H996" s="71"/>
      <c r="I996" s="71"/>
      <c r="J996" s="71"/>
      <c r="K996" s="71"/>
      <c r="L996" s="71"/>
      <c r="M996" s="71"/>
      <c r="N996" s="71"/>
      <c r="O996" s="71"/>
      <c r="P996" s="71"/>
      <c r="Q996" s="71"/>
      <c r="R996" s="71"/>
      <c r="S996" s="71"/>
      <c r="T996" s="71"/>
      <c r="U996" s="71"/>
      <c r="V996" s="71"/>
      <c r="W996" s="71"/>
      <c r="X996" s="71"/>
      <c r="Y996" s="71"/>
      <c r="Z996" s="71"/>
    </row>
    <row r="997" spans="1:26" ht="15.75" customHeight="1" x14ac:dyDescent="0.25">
      <c r="A997" s="71"/>
      <c r="B997" s="71"/>
      <c r="C997" s="71"/>
      <c r="D997" s="71"/>
      <c r="E997" s="71"/>
      <c r="F997" s="71"/>
      <c r="G997" s="71"/>
      <c r="H997" s="71"/>
      <c r="I997" s="71"/>
      <c r="J997" s="71"/>
      <c r="K997" s="71"/>
      <c r="L997" s="71"/>
      <c r="M997" s="71"/>
      <c r="N997" s="71"/>
      <c r="O997" s="71"/>
      <c r="P997" s="71"/>
      <c r="Q997" s="71"/>
      <c r="R997" s="71"/>
      <c r="S997" s="71"/>
      <c r="T997" s="71"/>
      <c r="U997" s="71"/>
      <c r="V997" s="71"/>
      <c r="W997" s="71"/>
      <c r="X997" s="71"/>
      <c r="Y997" s="71"/>
      <c r="Z997" s="71"/>
    </row>
    <row r="998" spans="1:26" ht="15.75" customHeight="1" x14ac:dyDescent="0.25">
      <c r="A998" s="71"/>
      <c r="B998" s="71"/>
      <c r="C998" s="71"/>
      <c r="D998" s="71"/>
      <c r="E998" s="71"/>
      <c r="F998" s="71"/>
      <c r="G998" s="71"/>
      <c r="H998" s="71"/>
      <c r="I998" s="71"/>
      <c r="J998" s="71"/>
      <c r="K998" s="71"/>
      <c r="L998" s="71"/>
      <c r="M998" s="71"/>
      <c r="N998" s="71"/>
      <c r="O998" s="71"/>
      <c r="P998" s="71"/>
      <c r="Q998" s="71"/>
      <c r="R998" s="71"/>
      <c r="S998" s="71"/>
      <c r="T998" s="71"/>
      <c r="U998" s="71"/>
      <c r="V998" s="71"/>
      <c r="W998" s="71"/>
      <c r="X998" s="71"/>
      <c r="Y998" s="71"/>
      <c r="Z998" s="71"/>
    </row>
    <row r="999" spans="1:26" ht="15.75" customHeight="1" x14ac:dyDescent="0.25">
      <c r="A999" s="71"/>
      <c r="B999" s="71"/>
      <c r="C999" s="71"/>
      <c r="D999" s="71"/>
      <c r="E999" s="71"/>
      <c r="F999" s="71"/>
      <c r="G999" s="71"/>
      <c r="H999" s="71"/>
      <c r="I999" s="71"/>
      <c r="J999" s="71"/>
      <c r="K999" s="71"/>
      <c r="L999" s="71"/>
      <c r="M999" s="71"/>
      <c r="N999" s="71"/>
      <c r="O999" s="71"/>
      <c r="P999" s="71"/>
      <c r="Q999" s="71"/>
      <c r="R999" s="71"/>
      <c r="S999" s="71"/>
      <c r="T999" s="71"/>
      <c r="U999" s="71"/>
      <c r="V999" s="71"/>
      <c r="W999" s="71"/>
      <c r="X999" s="71"/>
      <c r="Y999" s="71"/>
      <c r="Z999" s="71"/>
    </row>
    <row r="1000" spans="1:26" ht="15.75" customHeight="1" x14ac:dyDescent="0.25">
      <c r="A1000" s="71"/>
      <c r="B1000" s="71"/>
      <c r="C1000" s="71"/>
      <c r="D1000" s="71"/>
      <c r="E1000" s="71"/>
      <c r="F1000" s="71"/>
      <c r="G1000" s="71"/>
      <c r="H1000" s="71"/>
      <c r="I1000" s="71"/>
      <c r="J1000" s="71"/>
      <c r="K1000" s="71"/>
      <c r="L1000" s="71"/>
      <c r="M1000" s="71"/>
      <c r="N1000" s="71"/>
      <c r="O1000" s="71"/>
      <c r="P1000" s="71"/>
      <c r="Q1000" s="71"/>
      <c r="R1000" s="71"/>
      <c r="S1000" s="71"/>
      <c r="T1000" s="71"/>
      <c r="U1000" s="71"/>
      <c r="V1000" s="71"/>
      <c r="W1000" s="71"/>
      <c r="X1000" s="71"/>
      <c r="Y1000" s="71"/>
      <c r="Z1000" s="71"/>
    </row>
  </sheetData>
  <mergeCells count="2">
    <mergeCell ref="A4:C5"/>
    <mergeCell ref="D12:H12"/>
  </mergeCells>
  <pageMargins left="0.7" right="0.7" top="0.75" bottom="0.75" header="0" footer="0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O1000"/>
  <sheetViews>
    <sheetView topLeftCell="C2" zoomScaleNormal="100" workbookViewId="0">
      <selection activeCell="X58" sqref="X58"/>
    </sheetView>
  </sheetViews>
  <sheetFormatPr defaultColWidth="12.625" defaultRowHeight="15" customHeight="1" x14ac:dyDescent="0.2"/>
  <cols>
    <col min="1" max="1" width="8" customWidth="1"/>
    <col min="2" max="2" width="1.625" customWidth="1"/>
    <col min="3" max="3" width="2.625" customWidth="1"/>
    <col min="4" max="4" width="17.375" customWidth="1"/>
    <col min="5" max="5" width="1.625" customWidth="1"/>
    <col min="6" max="6" width="18.5" customWidth="1"/>
    <col min="7" max="7" width="19.875" customWidth="1"/>
    <col min="8" max="8" width="1.125" customWidth="1"/>
    <col min="9" max="9" width="8" customWidth="1"/>
    <col min="10" max="10" width="4.625" customWidth="1"/>
    <col min="11" max="11" width="2.5" customWidth="1"/>
    <col min="12" max="12" width="12.125" customWidth="1"/>
    <col min="13" max="13" width="7.5" customWidth="1"/>
    <col min="14" max="14" width="18.625" customWidth="1"/>
    <col min="15" max="15" width="22" customWidth="1"/>
    <col min="16" max="16" width="19.75" customWidth="1"/>
    <col min="17" max="17" width="17.875" customWidth="1"/>
    <col min="18" max="18" width="21.125" customWidth="1"/>
    <col min="19" max="19" width="1.5" customWidth="1"/>
    <col min="20" max="20" width="14" customWidth="1"/>
    <col min="21" max="21" width="1.125" customWidth="1"/>
    <col min="22" max="31" width="7.625" customWidth="1"/>
    <col min="32" max="41" width="12.625" style="325"/>
  </cols>
  <sheetData>
    <row r="1" spans="1:31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5" customHeight="1" x14ac:dyDescent="0.25">
      <c r="A4" s="548" t="s">
        <v>9</v>
      </c>
      <c r="B4" s="535"/>
      <c r="C4" s="535"/>
      <c r="D4" s="536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1:31" ht="15" customHeight="1" x14ac:dyDescent="0.25">
      <c r="A5" s="537"/>
      <c r="B5" s="538"/>
      <c r="C5" s="538"/>
      <c r="D5" s="539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  <row r="6" spans="1:31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1:31" ht="14.25" customHeight="1" x14ac:dyDescent="0.2">
      <c r="A7" s="3"/>
      <c r="B7" s="82"/>
      <c r="C7" s="82"/>
      <c r="D7" s="82"/>
      <c r="E7" s="82"/>
      <c r="F7" s="82"/>
      <c r="G7" s="82"/>
      <c r="H7" s="82"/>
      <c r="I7" s="3"/>
      <c r="J7" s="82"/>
      <c r="K7" s="82"/>
      <c r="L7" s="82"/>
      <c r="M7" s="82"/>
      <c r="N7" s="82"/>
      <c r="O7" s="82"/>
      <c r="P7" s="82"/>
      <c r="Q7" s="82"/>
      <c r="R7" s="82"/>
      <c r="S7" s="82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1" ht="27" customHeight="1" x14ac:dyDescent="0.3">
      <c r="A8" s="3"/>
      <c r="B8" s="82"/>
      <c r="C8" s="110" t="s">
        <v>171</v>
      </c>
      <c r="D8" s="82"/>
      <c r="E8" s="82"/>
      <c r="F8" s="82"/>
      <c r="G8" s="82"/>
      <c r="H8" s="82"/>
      <c r="I8" s="3"/>
      <c r="J8" s="82"/>
      <c r="K8" s="110" t="s">
        <v>172</v>
      </c>
      <c r="L8" s="82"/>
      <c r="M8" s="82"/>
      <c r="N8" s="82"/>
      <c r="O8" s="82"/>
      <c r="P8" s="82"/>
      <c r="Q8" s="82"/>
      <c r="R8" s="82"/>
      <c r="S8" s="82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1" ht="18.95" customHeight="1" x14ac:dyDescent="0.3">
      <c r="A9" s="3"/>
      <c r="B9" s="82"/>
      <c r="C9" s="111" t="s">
        <v>173</v>
      </c>
      <c r="D9" s="112"/>
      <c r="E9" s="112"/>
      <c r="F9" s="113" t="s">
        <v>113</v>
      </c>
      <c r="G9" s="113" t="s">
        <v>446</v>
      </c>
      <c r="H9" s="82"/>
      <c r="I9" s="3"/>
      <c r="J9" s="82"/>
      <c r="K9" s="111" t="s">
        <v>174</v>
      </c>
      <c r="L9" s="112"/>
      <c r="M9" s="112"/>
      <c r="N9" s="113" t="s">
        <v>175</v>
      </c>
      <c r="O9" s="113" t="s">
        <v>176</v>
      </c>
      <c r="P9" s="113" t="s">
        <v>177</v>
      </c>
      <c r="Q9" s="308" t="s">
        <v>449</v>
      </c>
      <c r="R9" s="308" t="s">
        <v>450</v>
      </c>
      <c r="S9" s="82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</row>
    <row r="10" spans="1:31" ht="14.25" customHeight="1" x14ac:dyDescent="0.2">
      <c r="A10" s="3"/>
      <c r="B10" s="82"/>
      <c r="C10" s="114"/>
      <c r="D10" s="115" t="s">
        <v>180</v>
      </c>
      <c r="E10" s="114"/>
      <c r="F10" s="116">
        <f>Parameters!B21</f>
        <v>0.16</v>
      </c>
      <c r="G10" s="117">
        <f>Parameters!B28</f>
        <v>0.4</v>
      </c>
      <c r="H10" s="82"/>
      <c r="I10" s="3"/>
      <c r="J10" s="82"/>
      <c r="K10" s="114"/>
      <c r="L10" s="118" t="s">
        <v>113</v>
      </c>
      <c r="M10" s="114"/>
      <c r="N10" s="114"/>
      <c r="O10" s="114"/>
      <c r="P10" s="114"/>
      <c r="Q10" s="112" t="s">
        <v>181</v>
      </c>
      <c r="R10" s="114"/>
      <c r="S10" s="82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</row>
    <row r="11" spans="1:31" ht="14.25" customHeight="1" x14ac:dyDescent="0.2">
      <c r="A11" s="3"/>
      <c r="B11" s="82"/>
      <c r="C11" s="82"/>
      <c r="D11" s="119" t="s">
        <v>182</v>
      </c>
      <c r="E11" s="82"/>
      <c r="F11" s="120">
        <f>Parameters!B22</f>
        <v>0.34799999999999998</v>
      </c>
      <c r="G11" s="121">
        <f>Parameters!B29</f>
        <v>0.34799999999999998</v>
      </c>
      <c r="H11" s="82"/>
      <c r="I11" s="3"/>
      <c r="J11" s="82"/>
      <c r="K11" s="82"/>
      <c r="L11" s="122" t="s">
        <v>183</v>
      </c>
      <c r="M11" s="82"/>
      <c r="N11" s="123">
        <f>F16+F30+F20+(F17+F19)</f>
        <v>183692.022</v>
      </c>
      <c r="O11" s="124">
        <f>F10*F12*F13*F14</f>
        <v>1.6798656E-3</v>
      </c>
      <c r="P11" s="125">
        <f>O11*N11</f>
        <v>308.57790875224322</v>
      </c>
      <c r="Q11" s="292">
        <f>F23*F24*F25*F26</f>
        <v>0.28402614376200003</v>
      </c>
      <c r="R11" s="124">
        <f>Q11*O11</f>
        <v>4.7712574840643845E-4</v>
      </c>
      <c r="S11" s="82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</row>
    <row r="12" spans="1:31" ht="14.25" customHeight="1" x14ac:dyDescent="0.2">
      <c r="A12" s="3"/>
      <c r="B12" s="82"/>
      <c r="C12" s="82"/>
      <c r="D12" s="119" t="s">
        <v>184</v>
      </c>
      <c r="E12" s="82"/>
      <c r="F12" s="120">
        <f>Parameters!B23</f>
        <v>1.4999999999999999E-2</v>
      </c>
      <c r="G12" s="121">
        <f>Parameters!B30</f>
        <v>1.7999999999999999E-2</v>
      </c>
      <c r="H12" s="82"/>
      <c r="I12" s="3"/>
      <c r="J12" s="82"/>
      <c r="K12" s="82"/>
      <c r="L12" s="122" t="s">
        <v>185</v>
      </c>
      <c r="M12" s="82"/>
      <c r="N12" s="123">
        <f>F16+F30+F20+(F17+F19)</f>
        <v>183692.022</v>
      </c>
      <c r="O12" s="124">
        <f>F10*F12*F13*(1-F14)</f>
        <v>3.8893439999999988E-4</v>
      </c>
      <c r="P12" s="125">
        <f>N12*O12</f>
        <v>71.444146361356772</v>
      </c>
      <c r="Q12" s="126">
        <v>0</v>
      </c>
      <c r="R12" s="124">
        <f t="shared" ref="R12:R18" si="0">Q12*O12</f>
        <v>0</v>
      </c>
      <c r="S12" s="82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1:31" ht="14.25" customHeight="1" x14ac:dyDescent="0.2">
      <c r="A13" s="3"/>
      <c r="B13" s="82"/>
      <c r="C13" s="82"/>
      <c r="D13" s="119" t="s">
        <v>186</v>
      </c>
      <c r="E13" s="82"/>
      <c r="F13" s="120">
        <f>Parameters!B24</f>
        <v>0.86199999999999999</v>
      </c>
      <c r="G13" s="121">
        <f>Parameters!B31</f>
        <v>0.90399999999999991</v>
      </c>
      <c r="H13" s="82"/>
      <c r="I13" s="3"/>
      <c r="J13" s="82"/>
      <c r="K13" s="82"/>
      <c r="L13" s="122" t="s">
        <v>187</v>
      </c>
      <c r="M13" s="82"/>
      <c r="N13" s="127">
        <f>F16+F30+F20</f>
        <v>120085.192</v>
      </c>
      <c r="O13" s="124">
        <f>F10*F12*(1-F13)*F14</f>
        <v>2.689344E-4</v>
      </c>
      <c r="P13" s="125">
        <f t="shared" ref="P13:P18" si="1">O13*N13</f>
        <v>32.2950390594048</v>
      </c>
      <c r="Q13" s="292">
        <f>F23*F24*F25*F26</f>
        <v>0.28402614376200003</v>
      </c>
      <c r="R13" s="124">
        <f t="shared" si="0"/>
        <v>7.6384400556947222E-5</v>
      </c>
      <c r="S13" s="82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</row>
    <row r="14" spans="1:31" ht="14.25" customHeight="1" x14ac:dyDescent="0.2">
      <c r="A14" s="3"/>
      <c r="B14" s="82"/>
      <c r="C14" s="82"/>
      <c r="D14" s="119" t="s">
        <v>188</v>
      </c>
      <c r="E14" s="82"/>
      <c r="F14" s="298">
        <f>Parameters!B25</f>
        <v>0.81200000000000006</v>
      </c>
      <c r="G14" s="299">
        <f>Parameters!B32</f>
        <v>0.76500000000000001</v>
      </c>
      <c r="H14" s="82"/>
      <c r="I14" s="3"/>
      <c r="J14" s="82"/>
      <c r="K14" s="82"/>
      <c r="L14" s="122" t="s">
        <v>189</v>
      </c>
      <c r="M14" s="82"/>
      <c r="N14" s="127">
        <f>F16+F30+F20</f>
        <v>120085.192</v>
      </c>
      <c r="O14" s="124">
        <f>F10*F12*(1-F13)*(1-F14)</f>
        <v>6.2265599999999975E-5</v>
      </c>
      <c r="P14" s="125">
        <f t="shared" si="1"/>
        <v>7.4771765309951963</v>
      </c>
      <c r="Q14" s="126">
        <v>0</v>
      </c>
      <c r="R14" s="124">
        <f t="shared" si="0"/>
        <v>0</v>
      </c>
      <c r="S14" s="82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</row>
    <row r="15" spans="1:31" ht="18.95" customHeight="1" x14ac:dyDescent="0.3">
      <c r="A15" s="3"/>
      <c r="B15" s="82"/>
      <c r="C15" s="129" t="s">
        <v>190</v>
      </c>
      <c r="D15" s="130"/>
      <c r="E15" s="130"/>
      <c r="F15" s="131" t="s">
        <v>113</v>
      </c>
      <c r="G15" s="131" t="s">
        <v>446</v>
      </c>
      <c r="H15" s="82"/>
      <c r="I15" s="3"/>
      <c r="J15" s="82"/>
      <c r="K15" s="82"/>
      <c r="L15" s="122" t="s">
        <v>191</v>
      </c>
      <c r="M15" s="82"/>
      <c r="N15" s="127">
        <f>F16+F30</f>
        <v>21643.191999999999</v>
      </c>
      <c r="O15" s="124">
        <f>F10*(1-F12)*F14</f>
        <v>0.12797120000000001</v>
      </c>
      <c r="P15" s="125">
        <f t="shared" si="1"/>
        <v>2769.7052520704001</v>
      </c>
      <c r="Q15" s="292">
        <f>F23*F24*F25*F26</f>
        <v>0.28402614376200003</v>
      </c>
      <c r="R15" s="124">
        <f t="shared" si="0"/>
        <v>3.6347166448595661E-2</v>
      </c>
      <c r="S15" s="82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</row>
    <row r="16" spans="1:31" ht="14.25" customHeight="1" x14ac:dyDescent="0.2">
      <c r="A16" s="3"/>
      <c r="B16" s="82"/>
      <c r="C16" s="82"/>
      <c r="D16" s="119" t="s">
        <v>192</v>
      </c>
      <c r="E16" s="82"/>
      <c r="F16" s="300">
        <f>Parameters!B34</f>
        <v>12182.016</v>
      </c>
      <c r="G16" s="132">
        <f>Parameters!B35</f>
        <v>0</v>
      </c>
      <c r="H16" s="82"/>
      <c r="I16" s="3"/>
      <c r="J16" s="82"/>
      <c r="K16" s="82"/>
      <c r="L16" s="122" t="s">
        <v>193</v>
      </c>
      <c r="M16" s="82"/>
      <c r="N16" s="127">
        <f>F16+F30</f>
        <v>21643.191999999999</v>
      </c>
      <c r="O16" s="124">
        <f>F10*(1-F12)*(1-F14)</f>
        <v>2.962879999999999E-2</v>
      </c>
      <c r="P16" s="125">
        <f t="shared" si="1"/>
        <v>641.26180712959979</v>
      </c>
      <c r="Q16" s="126">
        <v>0</v>
      </c>
      <c r="R16" s="124">
        <f t="shared" si="0"/>
        <v>0</v>
      </c>
      <c r="S16" s="82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</row>
    <row r="17" spans="1:31" ht="14.25" customHeight="1" x14ac:dyDescent="0.2">
      <c r="A17" s="3"/>
      <c r="B17" s="82"/>
      <c r="C17" s="82"/>
      <c r="D17" s="119" t="s">
        <v>194</v>
      </c>
      <c r="E17" s="82"/>
      <c r="F17" s="301">
        <f>Parameters!B36</f>
        <v>18604.830000000002</v>
      </c>
      <c r="G17" s="304">
        <f>Parameters!B36</f>
        <v>18604.830000000002</v>
      </c>
      <c r="H17" s="82"/>
      <c r="I17" s="3"/>
      <c r="J17" s="82"/>
      <c r="K17" s="82"/>
      <c r="L17" s="122" t="s">
        <v>195</v>
      </c>
      <c r="M17" s="82"/>
      <c r="N17" s="127">
        <f>F16</f>
        <v>12182.016</v>
      </c>
      <c r="O17" s="124">
        <f>(1-F10)*(F14)</f>
        <v>0.68208000000000002</v>
      </c>
      <c r="P17" s="125">
        <f t="shared" si="1"/>
        <v>8309.1094732799993</v>
      </c>
      <c r="Q17" s="292">
        <f>F23*F24*F25*F26</f>
        <v>0.28402614376200003</v>
      </c>
      <c r="R17" s="124">
        <f t="shared" si="0"/>
        <v>0.19372855213718498</v>
      </c>
      <c r="S17" s="82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</row>
    <row r="18" spans="1:31" ht="14.25" customHeight="1" x14ac:dyDescent="0.2">
      <c r="A18" s="3"/>
      <c r="B18" s="82"/>
      <c r="C18" s="82"/>
      <c r="D18" s="119" t="s">
        <v>196</v>
      </c>
      <c r="E18" s="82"/>
      <c r="F18" s="301">
        <f>Parameters!B37</f>
        <v>1237.24</v>
      </c>
      <c r="G18" s="304">
        <f>Parameters!B37</f>
        <v>1237.24</v>
      </c>
      <c r="H18" s="82"/>
      <c r="I18" s="3"/>
      <c r="J18" s="82"/>
      <c r="K18" s="82"/>
      <c r="L18" s="122" t="s">
        <v>197</v>
      </c>
      <c r="M18" s="82"/>
      <c r="N18" s="133">
        <f>F16</f>
        <v>12182.016</v>
      </c>
      <c r="O18" s="134">
        <f>(1-F10)*(1-F14)</f>
        <v>0.15791999999999995</v>
      </c>
      <c r="P18" s="135">
        <f t="shared" si="1"/>
        <v>1923.7839667199994</v>
      </c>
      <c r="Q18" s="128">
        <f>0</f>
        <v>0</v>
      </c>
      <c r="R18" s="134">
        <f t="shared" si="0"/>
        <v>0</v>
      </c>
      <c r="S18" s="82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</row>
    <row r="19" spans="1:31" ht="14.25" customHeight="1" x14ac:dyDescent="0.2">
      <c r="A19" s="3"/>
      <c r="B19" s="82"/>
      <c r="C19" s="82"/>
      <c r="D19" s="119" t="s">
        <v>198</v>
      </c>
      <c r="E19" s="82"/>
      <c r="F19" s="301">
        <f>Parameters!B38</f>
        <v>45002</v>
      </c>
      <c r="G19" s="304">
        <f>Parameters!B38</f>
        <v>45002</v>
      </c>
      <c r="H19" s="82"/>
      <c r="I19" s="3"/>
      <c r="J19" s="82"/>
      <c r="K19" s="82"/>
      <c r="L19" s="122"/>
      <c r="M19" s="82"/>
      <c r="N19" s="82"/>
      <c r="O19" s="82"/>
      <c r="P19" s="82"/>
      <c r="Q19" s="82"/>
      <c r="R19" s="82"/>
      <c r="S19" s="82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</row>
    <row r="20" spans="1:31" ht="14.25" customHeight="1" x14ac:dyDescent="0.2">
      <c r="A20" s="3"/>
      <c r="B20" s="82"/>
      <c r="C20" s="82"/>
      <c r="D20" s="119" t="s">
        <v>199</v>
      </c>
      <c r="E20" s="82"/>
      <c r="F20" s="301">
        <f>Parameters!B39</f>
        <v>98442</v>
      </c>
      <c r="G20" s="304">
        <f>Parameters!B39</f>
        <v>98442</v>
      </c>
      <c r="H20" s="82"/>
      <c r="I20" s="3"/>
      <c r="J20" s="82"/>
      <c r="K20" s="82"/>
      <c r="L20" s="297" t="s">
        <v>446</v>
      </c>
      <c r="M20" s="82"/>
      <c r="N20" s="82"/>
      <c r="O20" s="82"/>
      <c r="P20" s="82"/>
      <c r="Q20" s="82"/>
      <c r="R20" s="82"/>
      <c r="S20" s="82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</row>
    <row r="21" spans="1:31" ht="14.25" customHeight="1" x14ac:dyDescent="0.2">
      <c r="A21" s="3"/>
      <c r="B21" s="82"/>
      <c r="C21" s="82"/>
      <c r="D21" s="119" t="s">
        <v>200</v>
      </c>
      <c r="E21" s="82"/>
      <c r="F21" s="302">
        <f>Parameters!B40</f>
        <v>23632</v>
      </c>
      <c r="G21" s="303">
        <f>Parameters!B40</f>
        <v>23632</v>
      </c>
      <c r="H21" s="82"/>
      <c r="I21" s="3"/>
      <c r="J21" s="82"/>
      <c r="K21" s="82"/>
      <c r="L21" s="122" t="s">
        <v>201</v>
      </c>
      <c r="M21" s="82"/>
      <c r="N21" s="123">
        <f>F30+F20+(F17+F19)</f>
        <v>171510.00599999999</v>
      </c>
      <c r="O21" s="124">
        <f>G10*G12*G13*G14</f>
        <v>4.9792320000000001E-3</v>
      </c>
      <c r="P21" s="136">
        <f t="shared" ref="P21:P28" si="2">O21*N21</f>
        <v>853.98811019539198</v>
      </c>
      <c r="Q21" s="293">
        <f>G23*G24*G25*G26</f>
        <v>0.28040712192</v>
      </c>
      <c r="R21" s="137">
        <f t="shared" ref="R21:R28" si="3">Q21*O21</f>
        <v>1.3962121144919656E-3</v>
      </c>
      <c r="S21" s="82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</row>
    <row r="22" spans="1:31" ht="18" customHeight="1" x14ac:dyDescent="0.3">
      <c r="A22" s="3"/>
      <c r="B22" s="82"/>
      <c r="C22" s="129" t="s">
        <v>178</v>
      </c>
      <c r="D22" s="130"/>
      <c r="E22" s="130"/>
      <c r="F22" s="131" t="s">
        <v>113</v>
      </c>
      <c r="G22" s="131" t="s">
        <v>446</v>
      </c>
      <c r="H22" s="82"/>
      <c r="I22" s="3"/>
      <c r="J22" s="82"/>
      <c r="K22" s="82"/>
      <c r="L22" s="122" t="s">
        <v>202</v>
      </c>
      <c r="M22" s="82"/>
      <c r="N22" s="127">
        <f>F30+F20+(F17+F19)</f>
        <v>171510.00599999999</v>
      </c>
      <c r="O22" s="124">
        <f>G10*G12*G13*(1-G14)</f>
        <v>1.5295679999999998E-3</v>
      </c>
      <c r="P22" s="136">
        <f t="shared" si="2"/>
        <v>262.33621685740798</v>
      </c>
      <c r="Q22" s="126">
        <v>0</v>
      </c>
      <c r="R22" s="137">
        <f t="shared" si="3"/>
        <v>0</v>
      </c>
      <c r="S22" s="82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</row>
    <row r="23" spans="1:31" ht="14.25" customHeight="1" x14ac:dyDescent="0.2">
      <c r="A23" s="3"/>
      <c r="B23" s="82"/>
      <c r="C23" s="82"/>
      <c r="D23" s="119" t="s">
        <v>203</v>
      </c>
      <c r="E23" s="82"/>
      <c r="F23" s="305">
        <f>Parameters!B43</f>
        <v>0.63900000000000001</v>
      </c>
      <c r="G23" s="306">
        <f>Parameters!B44</f>
        <v>0.66900000000000004</v>
      </c>
      <c r="H23" s="82"/>
      <c r="I23" s="3"/>
      <c r="J23" s="82"/>
      <c r="K23" s="82"/>
      <c r="L23" s="122" t="s">
        <v>204</v>
      </c>
      <c r="M23" s="82"/>
      <c r="N23" s="127">
        <f>F30+F20</f>
        <v>107903.17600000001</v>
      </c>
      <c r="O23" s="124">
        <f>G10*G12*(1-G13)*G14</f>
        <v>5.2876800000000053E-4</v>
      </c>
      <c r="P23" s="136">
        <f t="shared" si="2"/>
        <v>57.055746567168057</v>
      </c>
      <c r="Q23" s="293">
        <f>G23*G24*G25*G26</f>
        <v>0.28040712192</v>
      </c>
      <c r="R23" s="137">
        <f t="shared" si="3"/>
        <v>1.4827031304339472E-4</v>
      </c>
      <c r="S23" s="82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</row>
    <row r="24" spans="1:31" ht="14.25" customHeight="1" x14ac:dyDescent="0.2">
      <c r="A24" s="3"/>
      <c r="B24" s="82"/>
      <c r="C24" s="82"/>
      <c r="D24" s="119" t="s">
        <v>205</v>
      </c>
      <c r="E24" s="82"/>
      <c r="F24" s="120">
        <f>Parameters!B45</f>
        <v>0.753</v>
      </c>
      <c r="G24" s="121">
        <f>Parameters!B46</f>
        <v>0.72</v>
      </c>
      <c r="H24" s="82"/>
      <c r="I24" s="3"/>
      <c r="J24" s="82"/>
      <c r="K24" s="82"/>
      <c r="L24" s="122" t="s">
        <v>206</v>
      </c>
      <c r="M24" s="82"/>
      <c r="N24" s="127">
        <f>F30+F20</f>
        <v>107903.17600000001</v>
      </c>
      <c r="O24" s="124">
        <f>G10*G12*(1-G13)*(1-G14)</f>
        <v>1.6243200000000014E-4</v>
      </c>
      <c r="P24" s="136">
        <f t="shared" si="2"/>
        <v>17.526928684032015</v>
      </c>
      <c r="Q24" s="126">
        <f>G26*G27*G28*G29</f>
        <v>0</v>
      </c>
      <c r="R24" s="137">
        <f t="shared" si="3"/>
        <v>0</v>
      </c>
      <c r="S24" s="82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</row>
    <row r="25" spans="1:31" ht="14.25" customHeight="1" x14ac:dyDescent="0.2">
      <c r="A25" s="3"/>
      <c r="B25" s="82"/>
      <c r="C25" s="82"/>
      <c r="D25" s="119" t="s">
        <v>207</v>
      </c>
      <c r="E25" s="82"/>
      <c r="F25" s="120">
        <f>Parameters!B47</f>
        <v>0.751</v>
      </c>
      <c r="G25" s="121">
        <f>Parameters!B48</f>
        <v>0.75800000000000001</v>
      </c>
      <c r="H25" s="82"/>
      <c r="I25" s="3"/>
      <c r="J25" s="82"/>
      <c r="K25" s="82"/>
      <c r="L25" s="122" t="s">
        <v>208</v>
      </c>
      <c r="M25" s="82"/>
      <c r="N25" s="127">
        <f>G30</f>
        <v>9461.1759999999995</v>
      </c>
      <c r="O25" s="124">
        <f>G10*(1-G12)*G14</f>
        <v>0.30049200000000004</v>
      </c>
      <c r="P25" s="136">
        <f t="shared" si="2"/>
        <v>2843.007698592</v>
      </c>
      <c r="Q25" s="293">
        <f>G23*G24*G25*G26</f>
        <v>0.28040712192</v>
      </c>
      <c r="R25" s="137">
        <f t="shared" si="3"/>
        <v>8.4260096879984647E-2</v>
      </c>
      <c r="S25" s="82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</row>
    <row r="26" spans="1:31" ht="14.25" customHeight="1" x14ac:dyDescent="0.2">
      <c r="A26" s="3"/>
      <c r="B26" s="82"/>
      <c r="C26" s="82"/>
      <c r="D26" s="119" t="s">
        <v>209</v>
      </c>
      <c r="E26" s="82"/>
      <c r="F26" s="120">
        <f>Parameters!B49</f>
        <v>0.78600000000000003</v>
      </c>
      <c r="G26" s="121">
        <f>Parameters!D50</f>
        <v>0.76800000000000002</v>
      </c>
      <c r="H26" s="82"/>
      <c r="I26" s="3"/>
      <c r="J26" s="82"/>
      <c r="K26" s="82"/>
      <c r="L26" s="122" t="s">
        <v>210</v>
      </c>
      <c r="M26" s="82"/>
      <c r="N26" s="127">
        <f>G30</f>
        <v>9461.1759999999995</v>
      </c>
      <c r="O26" s="124">
        <f>G10*(1-G12)*(1-G14)</f>
        <v>9.2308000000000001E-2</v>
      </c>
      <c r="P26" s="136">
        <f t="shared" si="2"/>
        <v>873.34223420799992</v>
      </c>
      <c r="Q26" s="126">
        <v>0</v>
      </c>
      <c r="R26" s="137">
        <f t="shared" si="3"/>
        <v>0</v>
      </c>
      <c r="S26" s="82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</row>
    <row r="27" spans="1:31" ht="15" customHeight="1" x14ac:dyDescent="0.2">
      <c r="A27" s="3"/>
      <c r="B27" s="82"/>
      <c r="C27" s="82"/>
      <c r="D27" s="82"/>
      <c r="E27" s="82"/>
      <c r="F27" s="82"/>
      <c r="G27" s="82"/>
      <c r="H27" s="82"/>
      <c r="I27" s="3"/>
      <c r="J27" s="82"/>
      <c r="K27" s="82"/>
      <c r="L27" s="122" t="s">
        <v>211</v>
      </c>
      <c r="M27" s="82"/>
      <c r="N27" s="127">
        <v>0</v>
      </c>
      <c r="O27" s="124">
        <f>(1-G10)*G14</f>
        <v>0.45899999999999996</v>
      </c>
      <c r="P27" s="136">
        <f>O27*N27</f>
        <v>0</v>
      </c>
      <c r="Q27" s="293">
        <f>G23*G24*G25*G26</f>
        <v>0.28040712192</v>
      </c>
      <c r="R27" s="137">
        <f t="shared" si="3"/>
        <v>0.12870686896128</v>
      </c>
      <c r="S27" s="82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</row>
    <row r="28" spans="1:31" ht="15" customHeight="1" x14ac:dyDescent="0.2">
      <c r="A28" s="3"/>
      <c r="B28" s="3"/>
      <c r="C28" s="14"/>
      <c r="D28" s="14"/>
      <c r="E28" s="14"/>
      <c r="F28" s="14"/>
      <c r="G28" s="14"/>
      <c r="H28" s="14"/>
      <c r="I28" s="14"/>
      <c r="J28" s="82"/>
      <c r="K28" s="82"/>
      <c r="L28" s="122" t="s">
        <v>212</v>
      </c>
      <c r="M28" s="82"/>
      <c r="N28" s="127">
        <v>0</v>
      </c>
      <c r="O28" s="134">
        <f>(1-G10)*(1-G14)</f>
        <v>0.14099999999999999</v>
      </c>
      <c r="P28" s="136">
        <f t="shared" si="2"/>
        <v>0</v>
      </c>
      <c r="Q28" s="126">
        <v>0</v>
      </c>
      <c r="R28" s="137">
        <f t="shared" si="3"/>
        <v>0</v>
      </c>
      <c r="S28" s="82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</row>
    <row r="29" spans="1:31" ht="7.5" customHeight="1" x14ac:dyDescent="0.2">
      <c r="A29" s="3"/>
      <c r="B29" s="3"/>
      <c r="C29" s="307"/>
      <c r="D29" s="14"/>
      <c r="E29" s="14"/>
      <c r="F29" s="14"/>
      <c r="G29" s="14"/>
      <c r="H29" s="14"/>
      <c r="I29" s="14"/>
      <c r="J29" s="82"/>
      <c r="K29" s="82"/>
      <c r="L29" s="82"/>
      <c r="M29" s="82"/>
      <c r="N29" s="82"/>
      <c r="O29" s="82"/>
      <c r="P29" s="82"/>
      <c r="Q29" s="82"/>
      <c r="R29" s="82"/>
      <c r="S29" s="82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</row>
    <row r="30" spans="1:31" ht="14.25" customHeight="1" x14ac:dyDescent="0.2">
      <c r="A30" s="3"/>
      <c r="B30" s="138"/>
      <c r="C30" s="138"/>
      <c r="D30" s="14"/>
      <c r="E30" s="14"/>
      <c r="F30" s="346">
        <f>F18+(F21*F11)</f>
        <v>9461.1759999999995</v>
      </c>
      <c r="G30" s="346">
        <f>G18+(G21*G11)</f>
        <v>9461.1759999999995</v>
      </c>
      <c r="H30" s="14"/>
      <c r="I30" s="14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</row>
    <row r="31" spans="1:31" ht="14.25" customHeight="1" x14ac:dyDescent="0.2">
      <c r="A31" s="3"/>
      <c r="B31" s="138"/>
      <c r="C31" s="138"/>
      <c r="D31" s="14"/>
      <c r="E31" s="14"/>
      <c r="F31" s="346"/>
      <c r="G31" s="346"/>
      <c r="H31" s="14"/>
      <c r="I31" s="14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</row>
    <row r="32" spans="1:31" ht="14.25" customHeight="1" x14ac:dyDescent="0.2">
      <c r="A32" s="3"/>
      <c r="B32" s="3"/>
      <c r="C32" s="307"/>
      <c r="D32" s="14"/>
      <c r="E32" s="14"/>
      <c r="F32" s="472"/>
      <c r="G32" s="472"/>
      <c r="H32" s="14"/>
      <c r="I32" s="14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</row>
    <row r="33" spans="1:31" ht="21" customHeight="1" x14ac:dyDescent="0.3">
      <c r="A33" s="3"/>
      <c r="B33" s="3"/>
      <c r="C33" s="307"/>
      <c r="D33" s="14"/>
      <c r="E33" s="14"/>
      <c r="F33" s="472"/>
      <c r="G33" s="14"/>
      <c r="H33" s="14"/>
      <c r="I33" s="14"/>
      <c r="J33" s="82"/>
      <c r="K33" s="110" t="s">
        <v>213</v>
      </c>
      <c r="L33" s="82"/>
      <c r="M33" s="82"/>
      <c r="N33" s="82"/>
      <c r="O33" s="82"/>
      <c r="P33" s="82"/>
      <c r="Q33" s="82"/>
      <c r="R33" s="82"/>
      <c r="S33" s="82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</row>
    <row r="34" spans="1:31" ht="18" customHeight="1" x14ac:dyDescent="0.3">
      <c r="A34" s="3"/>
      <c r="B34" s="3"/>
      <c r="C34" s="307"/>
      <c r="D34" s="307"/>
      <c r="E34" s="307"/>
      <c r="F34" s="455"/>
      <c r="G34" s="138"/>
      <c r="H34" s="3"/>
      <c r="I34" s="3"/>
      <c r="J34" s="82"/>
      <c r="K34" s="111" t="s">
        <v>214</v>
      </c>
      <c r="L34" s="112"/>
      <c r="M34" s="112"/>
      <c r="N34" s="113" t="s">
        <v>215</v>
      </c>
      <c r="O34" s="308" t="s">
        <v>452</v>
      </c>
      <c r="P34" s="113" t="s">
        <v>216</v>
      </c>
      <c r="Q34" s="308" t="s">
        <v>451</v>
      </c>
      <c r="R34" s="308" t="s">
        <v>448</v>
      </c>
      <c r="S34" s="82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</row>
    <row r="35" spans="1:31" ht="14.25" customHeight="1" x14ac:dyDescent="0.2">
      <c r="A35" s="3"/>
      <c r="B35" s="3"/>
      <c r="C35" s="307"/>
      <c r="D35" s="307"/>
      <c r="E35" s="307"/>
      <c r="F35" s="455"/>
      <c r="G35" s="138"/>
      <c r="H35" s="3"/>
      <c r="I35" s="3"/>
      <c r="J35" s="82"/>
      <c r="K35" s="139" t="s">
        <v>91</v>
      </c>
      <c r="L35" s="139"/>
      <c r="M35" s="114"/>
      <c r="N35" s="140">
        <f>SUM(P11:P18)</f>
        <v>14063.654769903998</v>
      </c>
      <c r="O35" s="141">
        <f>SUM(R11:R18)</f>
        <v>0.23062922873474404</v>
      </c>
      <c r="P35" s="142"/>
      <c r="Q35" s="142"/>
      <c r="R35" s="143"/>
      <c r="S35" s="82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</row>
    <row r="36" spans="1:31" ht="14.25" customHeight="1" x14ac:dyDescent="0.25">
      <c r="A36" s="3"/>
      <c r="B36" s="3"/>
      <c r="C36" s="307"/>
      <c r="D36" s="307"/>
      <c r="E36" s="307"/>
      <c r="F36" s="455"/>
      <c r="G36" s="138"/>
      <c r="H36" s="3"/>
      <c r="I36" s="3"/>
      <c r="J36" s="82"/>
      <c r="K36" s="309" t="s">
        <v>446</v>
      </c>
      <c r="L36" s="144"/>
      <c r="M36" s="82"/>
      <c r="N36" s="145">
        <f>SUM(P21:P28)</f>
        <v>4907.2569351040001</v>
      </c>
      <c r="O36" s="146">
        <f>SUM(R21:R28)</f>
        <v>0.2145114482688</v>
      </c>
      <c r="P36" s="147">
        <f>N35-N36</f>
        <v>9156.3978347999982</v>
      </c>
      <c r="Q36" s="146">
        <f>O35-O36</f>
        <v>1.6117780465944032E-2</v>
      </c>
      <c r="R36" s="148">
        <f>P36/Q36</f>
        <v>568092.97372842091</v>
      </c>
      <c r="S36" s="82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</row>
    <row r="37" spans="1:31" ht="14.25" customHeight="1" x14ac:dyDescent="0.2">
      <c r="A37" s="3"/>
      <c r="B37" s="3"/>
      <c r="C37" s="307"/>
      <c r="D37" s="307"/>
      <c r="E37" s="307"/>
      <c r="F37" s="455"/>
      <c r="G37" s="138"/>
      <c r="H37" s="3"/>
      <c r="I37" s="3"/>
      <c r="J37" s="82"/>
      <c r="K37" s="82"/>
      <c r="L37" s="122"/>
      <c r="M37" s="82"/>
      <c r="N37" s="82"/>
      <c r="O37" s="82"/>
      <c r="P37" s="82"/>
      <c r="Q37" s="82"/>
      <c r="R37" s="82"/>
      <c r="S37" s="82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</row>
    <row r="38" spans="1:31" ht="18" customHeight="1" x14ac:dyDescent="0.2">
      <c r="A38" s="3"/>
      <c r="B38" s="3"/>
      <c r="C38" s="307"/>
      <c r="D38" s="307"/>
      <c r="E38" s="307"/>
      <c r="F38" s="455"/>
      <c r="G38" s="138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</row>
    <row r="39" spans="1:31" ht="16.5" customHeight="1" x14ac:dyDescent="0.2">
      <c r="A39" s="3"/>
      <c r="B39" s="3"/>
      <c r="C39" s="307"/>
      <c r="D39" s="307"/>
      <c r="E39" s="307"/>
      <c r="F39" s="307"/>
      <c r="G39" s="307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</row>
    <row r="40" spans="1:31" ht="20.25" customHeight="1" x14ac:dyDescent="0.2">
      <c r="A40" s="3"/>
      <c r="B40" s="3"/>
      <c r="C40" s="307"/>
      <c r="D40" s="307"/>
      <c r="E40" s="307"/>
      <c r="F40" s="307"/>
      <c r="G40" s="307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</row>
    <row r="41" spans="1:31" ht="15.75" customHeight="1" x14ac:dyDescent="0.2">
      <c r="A41" s="3"/>
      <c r="B41" s="3"/>
      <c r="C41" s="307"/>
      <c r="D41" s="307"/>
      <c r="E41" s="307"/>
      <c r="F41" s="455"/>
      <c r="G41" s="138"/>
      <c r="H41" s="3"/>
      <c r="I41" s="3"/>
      <c r="J41" s="3"/>
      <c r="K41" s="3"/>
      <c r="L41" s="3"/>
      <c r="M41" s="3"/>
      <c r="N41" s="347">
        <f>O11+O13+O15+O17</f>
        <v>0.81200000000000006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</row>
    <row r="42" spans="1:31" ht="19.5" customHeight="1" x14ac:dyDescent="0.2">
      <c r="A42" s="3"/>
      <c r="B42" s="3"/>
      <c r="C42" s="307"/>
      <c r="D42" s="307"/>
      <c r="E42" s="307"/>
      <c r="F42" s="455"/>
      <c r="G42" s="138"/>
      <c r="H42" s="3"/>
      <c r="I42" s="3"/>
      <c r="J42" s="3"/>
      <c r="K42" s="3"/>
      <c r="L42" s="3"/>
      <c r="M42" s="3"/>
      <c r="N42" s="347">
        <f>O21+O23+O25+O27</f>
        <v>0.76500000000000001</v>
      </c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</row>
    <row r="43" spans="1:31" ht="14.25" customHeight="1" x14ac:dyDescent="0.2">
      <c r="A43" s="3"/>
      <c r="B43" s="3"/>
      <c r="C43" s="307"/>
      <c r="D43" s="307"/>
      <c r="E43" s="307"/>
      <c r="F43" s="455"/>
      <c r="G43" s="138"/>
      <c r="H43" s="3"/>
      <c r="I43" s="3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3"/>
      <c r="W43" s="3"/>
      <c r="X43" s="3"/>
      <c r="Y43" s="3"/>
      <c r="Z43" s="3"/>
      <c r="AA43" s="3"/>
      <c r="AB43" s="3"/>
      <c r="AC43" s="3"/>
      <c r="AD43" s="3"/>
      <c r="AE43" s="3"/>
    </row>
    <row r="44" spans="1:31" ht="21.75" customHeight="1" x14ac:dyDescent="0.3">
      <c r="A44" s="3"/>
      <c r="B44" s="3"/>
      <c r="C44" s="307"/>
      <c r="D44" s="307"/>
      <c r="E44" s="307"/>
      <c r="F44" s="307"/>
      <c r="G44" s="138"/>
      <c r="H44" s="3"/>
      <c r="I44" s="3"/>
      <c r="J44" s="82"/>
      <c r="K44" s="110" t="s">
        <v>217</v>
      </c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3"/>
      <c r="W44" s="3"/>
      <c r="X44" s="3"/>
      <c r="Y44" s="3"/>
      <c r="Z44" s="3"/>
      <c r="AA44" s="3"/>
      <c r="AB44" s="3"/>
      <c r="AC44" s="3"/>
      <c r="AD44" s="3"/>
      <c r="AE44" s="3"/>
    </row>
    <row r="45" spans="1:31" ht="17.25" customHeight="1" x14ac:dyDescent="0.3">
      <c r="A45" s="3"/>
      <c r="B45" s="3"/>
      <c r="C45" s="307"/>
      <c r="D45" s="307"/>
      <c r="E45" s="307"/>
      <c r="F45" s="307"/>
      <c r="G45" s="307"/>
      <c r="H45" s="3"/>
      <c r="I45" s="3"/>
      <c r="J45" s="82"/>
      <c r="K45" s="111" t="s">
        <v>218</v>
      </c>
      <c r="L45" s="112"/>
      <c r="M45" s="112"/>
      <c r="N45" s="113" t="s">
        <v>113</v>
      </c>
      <c r="O45" s="308" t="s">
        <v>446</v>
      </c>
      <c r="P45" s="113" t="s">
        <v>219</v>
      </c>
      <c r="Q45" s="113" t="s">
        <v>220</v>
      </c>
      <c r="R45" s="308" t="s">
        <v>447</v>
      </c>
      <c r="S45" s="549" t="s">
        <v>219</v>
      </c>
      <c r="T45" s="550"/>
      <c r="U45" s="82"/>
      <c r="V45" s="3"/>
      <c r="W45" s="3"/>
      <c r="X45" s="3"/>
      <c r="Y45" s="3"/>
      <c r="Z45" s="3"/>
      <c r="AA45" s="3"/>
      <c r="AB45" s="3"/>
      <c r="AC45" s="3"/>
      <c r="AD45" s="3"/>
      <c r="AE45" s="3"/>
    </row>
    <row r="46" spans="1:31" ht="15" customHeight="1" x14ac:dyDescent="0.2">
      <c r="A46" s="3"/>
      <c r="B46" s="3"/>
      <c r="C46" s="307"/>
      <c r="D46" s="307"/>
      <c r="E46" s="307"/>
      <c r="F46" s="307"/>
      <c r="G46" s="307"/>
      <c r="H46" s="3"/>
      <c r="I46" s="3"/>
      <c r="J46" s="82"/>
      <c r="K46" s="139" t="s">
        <v>221</v>
      </c>
      <c r="L46" s="139"/>
      <c r="M46" s="114"/>
      <c r="N46" s="150" t="s">
        <v>222</v>
      </c>
      <c r="O46" s="151" t="s">
        <v>222</v>
      </c>
      <c r="P46" s="151" t="s">
        <v>222</v>
      </c>
      <c r="Q46" s="152">
        <f>cohortsize*F16</f>
        <v>1218201.5999999999</v>
      </c>
      <c r="R46" s="153">
        <v>0</v>
      </c>
      <c r="S46" s="545">
        <f t="shared" ref="S46:S54" si="4">Q46-R46</f>
        <v>1218201.5999999999</v>
      </c>
      <c r="T46" s="546"/>
      <c r="U46" s="82"/>
      <c r="V46" s="3"/>
      <c r="W46" s="3"/>
      <c r="X46" s="3"/>
      <c r="Y46" s="3"/>
      <c r="Z46" s="3"/>
      <c r="AA46" s="3"/>
      <c r="AB46" s="3"/>
      <c r="AC46" s="3"/>
      <c r="AD46" s="3"/>
      <c r="AE46" s="3"/>
    </row>
    <row r="47" spans="1:31" ht="14.25" customHeight="1" x14ac:dyDescent="0.2">
      <c r="A47" s="3"/>
      <c r="B47" s="3"/>
      <c r="C47" s="307"/>
      <c r="D47" s="307"/>
      <c r="E47" s="307"/>
      <c r="F47" s="307"/>
      <c r="G47" s="307"/>
      <c r="H47" s="3"/>
      <c r="I47" s="3"/>
      <c r="J47" s="82"/>
      <c r="K47" s="144" t="s">
        <v>223</v>
      </c>
      <c r="L47" s="144"/>
      <c r="M47" s="82"/>
      <c r="N47" s="154">
        <f>cohortsize*F10</f>
        <v>16</v>
      </c>
      <c r="O47" s="155">
        <f>cohortsize*G10</f>
        <v>40</v>
      </c>
      <c r="P47" s="155">
        <f>N47-O47</f>
        <v>-24</v>
      </c>
      <c r="Q47" s="156">
        <v>0</v>
      </c>
      <c r="R47" s="156">
        <v>0</v>
      </c>
      <c r="S47" s="545">
        <f t="shared" si="4"/>
        <v>0</v>
      </c>
      <c r="T47" s="546"/>
      <c r="U47" s="82"/>
      <c r="V47" s="3"/>
      <c r="W47" s="3"/>
      <c r="X47" s="3"/>
      <c r="Y47" s="3"/>
      <c r="Z47" s="3"/>
      <c r="AA47" s="3"/>
      <c r="AB47" s="3"/>
      <c r="AC47" s="3"/>
      <c r="AD47" s="3"/>
      <c r="AE47" s="3"/>
    </row>
    <row r="48" spans="1:31" ht="14.25" customHeight="1" x14ac:dyDescent="0.25">
      <c r="A48" s="3"/>
      <c r="B48" s="3"/>
      <c r="C48" s="307"/>
      <c r="D48" s="307"/>
      <c r="E48" s="307"/>
      <c r="F48" s="307"/>
      <c r="G48" s="307"/>
      <c r="H48" s="3"/>
      <c r="I48" s="3"/>
      <c r="J48" s="82"/>
      <c r="K48" s="144" t="s">
        <v>224</v>
      </c>
      <c r="L48" s="144"/>
      <c r="M48" s="82"/>
      <c r="N48" s="157" t="s">
        <v>222</v>
      </c>
      <c r="O48" s="158" t="s">
        <v>222</v>
      </c>
      <c r="P48" s="158" t="s">
        <v>222</v>
      </c>
      <c r="Q48" s="147">
        <f t="shared" ref="Q48:R48" si="5">N47*F18</f>
        <v>19795.84</v>
      </c>
      <c r="R48" s="159">
        <f t="shared" si="5"/>
        <v>49489.599999999999</v>
      </c>
      <c r="S48" s="545">
        <f t="shared" si="4"/>
        <v>-29693.759999999998</v>
      </c>
      <c r="T48" s="546"/>
      <c r="U48" s="82"/>
      <c r="V48" s="3"/>
      <c r="W48" s="3"/>
      <c r="X48" s="3"/>
      <c r="Y48" s="3"/>
      <c r="Z48" s="3"/>
      <c r="AA48" s="3"/>
      <c r="AB48" s="3"/>
      <c r="AC48" s="3"/>
      <c r="AD48" s="3"/>
      <c r="AE48" s="3"/>
    </row>
    <row r="49" spans="1:31" ht="14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82"/>
      <c r="K49" s="144" t="s">
        <v>67</v>
      </c>
      <c r="L49" s="144"/>
      <c r="M49" s="82"/>
      <c r="N49" s="154">
        <f>J56*F12</f>
        <v>1.5</v>
      </c>
      <c r="O49" s="155">
        <f>J56*G12</f>
        <v>1.7999999999999998</v>
      </c>
      <c r="P49" s="155">
        <f t="shared" ref="P49:P53" si="6">N49-O49</f>
        <v>-0.29999999999999982</v>
      </c>
      <c r="Q49" s="147">
        <f t="shared" ref="Q49:R49" si="7">N49*F20</f>
        <v>147663</v>
      </c>
      <c r="R49" s="159">
        <f t="shared" si="7"/>
        <v>177195.59999999998</v>
      </c>
      <c r="S49" s="545">
        <f t="shared" si="4"/>
        <v>-29532.599999999977</v>
      </c>
      <c r="T49" s="546"/>
      <c r="U49" s="82"/>
      <c r="V49" s="3"/>
      <c r="W49" s="3"/>
      <c r="X49" s="3"/>
      <c r="Y49" s="3"/>
      <c r="Z49" s="3"/>
      <c r="AA49" s="3"/>
      <c r="AB49" s="3"/>
      <c r="AC49" s="3"/>
      <c r="AD49" s="3"/>
      <c r="AE49" s="3"/>
    </row>
    <row r="50" spans="1:31" ht="14.25" customHeight="1" x14ac:dyDescent="0.25">
      <c r="A50" s="3"/>
      <c r="B50" s="3"/>
      <c r="C50" s="3"/>
      <c r="D50" s="3"/>
      <c r="E50" s="3"/>
      <c r="F50" s="3"/>
      <c r="G50" s="3"/>
      <c r="H50" s="3"/>
      <c r="I50" s="3"/>
      <c r="J50" s="82"/>
      <c r="K50" s="144" t="s">
        <v>225</v>
      </c>
      <c r="L50" s="144"/>
      <c r="M50" s="82"/>
      <c r="N50" s="154">
        <f>J56*'Calculated Inputs'!F54</f>
        <v>3.1</v>
      </c>
      <c r="O50" s="155">
        <f>'Calculated Inputs'!G54*J56</f>
        <v>8</v>
      </c>
      <c r="P50" s="155">
        <f t="shared" si="6"/>
        <v>-4.9000000000000004</v>
      </c>
      <c r="Q50" s="147">
        <f t="shared" ref="Q50:R50" si="8">N50*F19</f>
        <v>139506.20000000001</v>
      </c>
      <c r="R50" s="159">
        <f t="shared" si="8"/>
        <v>360016</v>
      </c>
      <c r="S50" s="545">
        <f t="shared" si="4"/>
        <v>-220509.8</v>
      </c>
      <c r="T50" s="546"/>
      <c r="U50" s="82"/>
      <c r="V50" s="3"/>
      <c r="W50" s="3"/>
      <c r="X50" s="3"/>
      <c r="Y50" s="3"/>
      <c r="Z50" s="3"/>
      <c r="AA50" s="3"/>
      <c r="AB50" s="3"/>
      <c r="AC50" s="3"/>
      <c r="AD50" s="3"/>
      <c r="AE50" s="3"/>
    </row>
    <row r="51" spans="1:31" ht="14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82"/>
      <c r="K51" s="144" t="s">
        <v>226</v>
      </c>
      <c r="L51" s="144"/>
      <c r="M51" s="82"/>
      <c r="N51" s="154">
        <f>J56*'Calculated Inputs'!F55</f>
        <v>34.5</v>
      </c>
      <c r="O51" s="155">
        <f>J56*'Calculated Inputs'!G55</f>
        <v>32.4</v>
      </c>
      <c r="P51" s="155">
        <f t="shared" si="6"/>
        <v>2.1000000000000014</v>
      </c>
      <c r="Q51" s="156">
        <v>0</v>
      </c>
      <c r="R51" s="156">
        <v>0</v>
      </c>
      <c r="S51" s="545">
        <f t="shared" si="4"/>
        <v>0</v>
      </c>
      <c r="T51" s="546"/>
      <c r="U51" s="82"/>
      <c r="V51" s="3"/>
      <c r="W51" s="3"/>
      <c r="X51" s="3"/>
      <c r="Y51" s="3"/>
      <c r="Z51" s="3"/>
      <c r="AA51" s="3"/>
      <c r="AB51" s="3"/>
      <c r="AC51" s="3"/>
      <c r="AD51" s="3"/>
      <c r="AE51" s="3"/>
    </row>
    <row r="52" spans="1:31" ht="14.25" customHeight="1" x14ac:dyDescent="0.25">
      <c r="A52" s="3"/>
      <c r="B52" s="3"/>
      <c r="C52" s="3"/>
      <c r="D52" s="3"/>
      <c r="E52" s="3"/>
      <c r="F52" s="3"/>
      <c r="G52" s="3"/>
      <c r="H52" s="3"/>
      <c r="I52" s="3"/>
      <c r="J52" s="82"/>
      <c r="K52" s="144" t="s">
        <v>227</v>
      </c>
      <c r="L52" s="144"/>
      <c r="M52" s="82"/>
      <c r="N52" s="154">
        <f>J56*'Calculated Inputs'!F53</f>
        <v>48.6</v>
      </c>
      <c r="O52" s="155">
        <f>J56*'Calculated Inputs'!G53</f>
        <v>50</v>
      </c>
      <c r="P52" s="155">
        <f t="shared" si="6"/>
        <v>-1.3999999999999986</v>
      </c>
      <c r="Q52" s="147">
        <f>N52*F17</f>
        <v>904194.73800000013</v>
      </c>
      <c r="R52" s="159">
        <f t="shared" ref="R52" si="9">O52*G17</f>
        <v>930241.50000000012</v>
      </c>
      <c r="S52" s="545">
        <f t="shared" si="4"/>
        <v>-26046.761999999988</v>
      </c>
      <c r="T52" s="546"/>
      <c r="U52" s="82"/>
      <c r="V52" s="3"/>
      <c r="W52" s="3"/>
      <c r="X52" s="3"/>
      <c r="Y52" s="3"/>
      <c r="Z52" s="3"/>
      <c r="AA52" s="3"/>
      <c r="AB52" s="3"/>
      <c r="AC52" s="3"/>
      <c r="AD52" s="3"/>
      <c r="AE52" s="3"/>
    </row>
    <row r="53" spans="1:31" ht="14.25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82"/>
      <c r="K53" s="144" t="s">
        <v>228</v>
      </c>
      <c r="L53" s="144"/>
      <c r="M53" s="82"/>
      <c r="N53" s="154">
        <f t="shared" ref="N53:O53" si="10">N47*F11</f>
        <v>5.5679999999999996</v>
      </c>
      <c r="O53" s="155">
        <f t="shared" si="10"/>
        <v>13.919999999999998</v>
      </c>
      <c r="P53" s="155">
        <f t="shared" si="6"/>
        <v>-8.3519999999999985</v>
      </c>
      <c r="Q53" s="147">
        <f t="shared" ref="Q53:R53" si="11">N53*F30</f>
        <v>52679.827967999991</v>
      </c>
      <c r="R53" s="159">
        <f t="shared" si="11"/>
        <v>131699.56991999998</v>
      </c>
      <c r="S53" s="545">
        <f t="shared" si="4"/>
        <v>-79019.741951999982</v>
      </c>
      <c r="T53" s="546"/>
      <c r="U53" s="82"/>
      <c r="V53" s="3"/>
      <c r="W53" s="3"/>
      <c r="X53" s="3"/>
      <c r="Y53" s="3"/>
      <c r="Z53" s="3"/>
      <c r="AA53" s="3"/>
      <c r="AB53" s="3"/>
      <c r="AC53" s="3"/>
      <c r="AD53" s="3"/>
      <c r="AE53" s="3"/>
    </row>
    <row r="54" spans="1:31" ht="14.25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82"/>
      <c r="K54" s="144" t="s">
        <v>229</v>
      </c>
      <c r="L54" s="144"/>
      <c r="M54" s="82"/>
      <c r="N54" s="157" t="s">
        <v>222</v>
      </c>
      <c r="O54" s="158" t="s">
        <v>222</v>
      </c>
      <c r="P54" s="158" t="s">
        <v>222</v>
      </c>
      <c r="Q54" s="160">
        <f t="shared" ref="Q54:R54" si="12">SUM(Q46:Q53)</f>
        <v>2482041.205968</v>
      </c>
      <c r="R54" s="160">
        <f t="shared" si="12"/>
        <v>1648642.2699200001</v>
      </c>
      <c r="S54" s="547">
        <f t="shared" si="4"/>
        <v>833398.93604799989</v>
      </c>
      <c r="T54" s="546"/>
      <c r="U54" s="82"/>
      <c r="V54" s="3"/>
      <c r="W54" s="3"/>
      <c r="X54" s="3"/>
      <c r="Y54" s="3"/>
      <c r="Z54" s="3"/>
      <c r="AA54" s="3"/>
      <c r="AB54" s="3"/>
      <c r="AC54" s="3"/>
      <c r="AD54" s="3"/>
      <c r="AE54" s="3"/>
    </row>
    <row r="55" spans="1:31" ht="14.25" customHeight="1" x14ac:dyDescent="0.2">
      <c r="A55" s="3"/>
      <c r="B55" s="3"/>
      <c r="C55" s="3"/>
      <c r="D55" s="3"/>
      <c r="E55" s="3"/>
      <c r="F55" s="3"/>
      <c r="G55" s="3"/>
      <c r="H55" s="3"/>
      <c r="I55" s="3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3"/>
      <c r="W55" s="3"/>
      <c r="X55" s="3"/>
      <c r="Y55" s="3"/>
      <c r="Z55" s="3"/>
      <c r="AA55" s="3"/>
      <c r="AB55" s="3"/>
      <c r="AC55" s="3"/>
      <c r="AD55" s="3"/>
      <c r="AE55" s="3"/>
    </row>
    <row r="56" spans="1:31" ht="14.25" hidden="1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>
        <f>cohortsize</f>
        <v>100</v>
      </c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</row>
    <row r="57" spans="1:31" ht="14.25" customHeigh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</row>
    <row r="58" spans="1:31" ht="14.25" customHeigh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</row>
    <row r="59" spans="1:31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</row>
    <row r="60" spans="1:31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</row>
    <row r="61" spans="1:31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</row>
    <row r="62" spans="1:31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</row>
    <row r="63" spans="1:31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</row>
    <row r="64" spans="1:31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</row>
    <row r="65" spans="1:31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</row>
    <row r="66" spans="1:31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</row>
    <row r="67" spans="1:31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</row>
    <row r="68" spans="1:31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</row>
    <row r="69" spans="1:31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</row>
    <row r="70" spans="1:31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</row>
    <row r="71" spans="1:31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</row>
    <row r="72" spans="1:31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</row>
    <row r="73" spans="1:31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</row>
    <row r="74" spans="1:31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</row>
    <row r="75" spans="1:31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</row>
    <row r="76" spans="1:31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</row>
    <row r="77" spans="1:31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:31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</row>
    <row r="79" spans="1:31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</row>
    <row r="80" spans="1:31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</row>
    <row r="81" spans="1:31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</row>
    <row r="82" spans="1:31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</row>
    <row r="83" spans="1:31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</row>
    <row r="84" spans="1:31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</row>
    <row r="85" spans="1:31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</row>
    <row r="86" spans="1:31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</row>
    <row r="87" spans="1:31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</row>
    <row r="88" spans="1:31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</row>
    <row r="89" spans="1:31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</row>
    <row r="90" spans="1:31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</row>
    <row r="91" spans="1:31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</row>
    <row r="92" spans="1:31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</row>
    <row r="93" spans="1:31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</row>
    <row r="94" spans="1:31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</row>
    <row r="95" spans="1:31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</row>
    <row r="96" spans="1:31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</row>
    <row r="97" spans="1:31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</row>
    <row r="98" spans="1:31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</row>
    <row r="99" spans="1:31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</row>
    <row r="100" spans="1:31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</row>
    <row r="101" spans="1:31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</row>
    <row r="102" spans="1:31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</row>
    <row r="103" spans="1:31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</row>
    <row r="104" spans="1:31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</row>
    <row r="105" spans="1:31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</row>
    <row r="106" spans="1:31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</row>
    <row r="107" spans="1:31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</row>
    <row r="108" spans="1:31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</row>
    <row r="109" spans="1:31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</row>
    <row r="110" spans="1:31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</row>
    <row r="111" spans="1:31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</row>
    <row r="112" spans="1:31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</row>
    <row r="113" spans="1:31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</row>
    <row r="114" spans="1:31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</row>
    <row r="115" spans="1:31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</row>
    <row r="116" spans="1:31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</row>
    <row r="117" spans="1:31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</row>
    <row r="118" spans="1:31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</row>
    <row r="119" spans="1:31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</row>
    <row r="120" spans="1:31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</row>
    <row r="121" spans="1:31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</row>
    <row r="122" spans="1:31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</row>
    <row r="123" spans="1:31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</row>
    <row r="124" spans="1:31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</row>
    <row r="125" spans="1:31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</row>
    <row r="126" spans="1:31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</row>
    <row r="127" spans="1:31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</row>
    <row r="128" spans="1:31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1:31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</row>
    <row r="130" spans="1:31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</row>
    <row r="131" spans="1:31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</row>
    <row r="132" spans="1:31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</row>
    <row r="133" spans="1:31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</row>
    <row r="134" spans="1:31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</row>
    <row r="135" spans="1:31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</row>
    <row r="136" spans="1:31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</row>
    <row r="137" spans="1:31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</row>
    <row r="138" spans="1:31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</row>
    <row r="139" spans="1:31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</row>
    <row r="140" spans="1:31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</row>
    <row r="141" spans="1:31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</row>
    <row r="142" spans="1:31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</row>
    <row r="143" spans="1:31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</row>
    <row r="144" spans="1:31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</row>
    <row r="145" spans="1:31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</row>
    <row r="146" spans="1:31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</row>
    <row r="147" spans="1:31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</row>
    <row r="148" spans="1:31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</row>
    <row r="149" spans="1:31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</row>
    <row r="150" spans="1:31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</row>
    <row r="151" spans="1:31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</row>
    <row r="152" spans="1:31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</row>
    <row r="153" spans="1:31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</row>
    <row r="154" spans="1:31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</row>
    <row r="155" spans="1:31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</row>
    <row r="156" spans="1:31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</row>
    <row r="157" spans="1:31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</row>
    <row r="158" spans="1:31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</row>
    <row r="159" spans="1:31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</row>
    <row r="160" spans="1:31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</row>
    <row r="161" spans="1:31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</row>
    <row r="162" spans="1:31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</row>
    <row r="163" spans="1:31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</row>
    <row r="164" spans="1:31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</row>
    <row r="165" spans="1:31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</row>
    <row r="166" spans="1:31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</row>
    <row r="167" spans="1:31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</row>
    <row r="168" spans="1:31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</row>
    <row r="169" spans="1:31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</row>
    <row r="170" spans="1:31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</row>
    <row r="171" spans="1:31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</row>
    <row r="172" spans="1:31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</row>
    <row r="173" spans="1:31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</row>
    <row r="174" spans="1:31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</row>
    <row r="175" spans="1:31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</row>
    <row r="176" spans="1:31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</row>
    <row r="177" spans="1:31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</row>
    <row r="178" spans="1:31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</row>
    <row r="179" spans="1:31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</row>
    <row r="180" spans="1:31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</row>
    <row r="181" spans="1:31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</row>
    <row r="182" spans="1:31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</row>
    <row r="183" spans="1:31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</row>
    <row r="184" spans="1:31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</row>
    <row r="185" spans="1:31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</row>
    <row r="186" spans="1:31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</row>
    <row r="187" spans="1:31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</row>
    <row r="188" spans="1:31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</row>
    <row r="189" spans="1:31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</row>
    <row r="190" spans="1:31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</row>
    <row r="191" spans="1:31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</row>
    <row r="192" spans="1:31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</row>
    <row r="193" spans="1:31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</row>
    <row r="194" spans="1:31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</row>
    <row r="195" spans="1:31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</row>
    <row r="196" spans="1:31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</row>
    <row r="197" spans="1:31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</row>
    <row r="198" spans="1:31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</row>
    <row r="199" spans="1:31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</row>
    <row r="200" spans="1:31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</row>
    <row r="201" spans="1:31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</row>
    <row r="202" spans="1:31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</row>
    <row r="203" spans="1:31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</row>
    <row r="204" spans="1:31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</row>
    <row r="205" spans="1:31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</row>
    <row r="206" spans="1:31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</row>
    <row r="207" spans="1:31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</row>
    <row r="208" spans="1:31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</row>
    <row r="209" spans="1:31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</row>
    <row r="210" spans="1:31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</row>
    <row r="211" spans="1:31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</row>
    <row r="212" spans="1:31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</row>
    <row r="213" spans="1:31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</row>
    <row r="214" spans="1:31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</row>
    <row r="215" spans="1:31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</row>
    <row r="216" spans="1:31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</row>
    <row r="217" spans="1:31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</row>
    <row r="218" spans="1:31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</row>
    <row r="219" spans="1:31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</row>
    <row r="220" spans="1:31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</row>
    <row r="221" spans="1:31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</row>
    <row r="222" spans="1:31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</row>
    <row r="223" spans="1:31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</row>
    <row r="224" spans="1:31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</row>
    <row r="225" spans="1:31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</row>
    <row r="226" spans="1:31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</row>
    <row r="227" spans="1:31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</row>
    <row r="228" spans="1:31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</row>
    <row r="229" spans="1:31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</row>
    <row r="230" spans="1:31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</row>
    <row r="231" spans="1:31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</row>
    <row r="232" spans="1:31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</row>
    <row r="233" spans="1:31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</row>
    <row r="234" spans="1:31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</row>
    <row r="235" spans="1:31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</row>
    <row r="236" spans="1:31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</row>
    <row r="237" spans="1:31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</row>
    <row r="238" spans="1:31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</row>
    <row r="239" spans="1:31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</row>
    <row r="240" spans="1:31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</row>
    <row r="241" spans="1:31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</row>
    <row r="242" spans="1:31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</row>
    <row r="243" spans="1:31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</row>
    <row r="244" spans="1:31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</row>
    <row r="245" spans="1:31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</row>
    <row r="246" spans="1:31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</row>
    <row r="247" spans="1:31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</row>
    <row r="248" spans="1:31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</row>
    <row r="249" spans="1:31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</row>
    <row r="250" spans="1:31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</row>
    <row r="251" spans="1:31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</row>
    <row r="252" spans="1:31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</row>
    <row r="253" spans="1:31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</row>
    <row r="254" spans="1:31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</row>
    <row r="255" spans="1:31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</row>
    <row r="256" spans="1:31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</row>
    <row r="257" spans="1:31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</row>
    <row r="258" spans="1:31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</row>
    <row r="259" spans="1:31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</row>
    <row r="260" spans="1:31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</row>
    <row r="261" spans="1:31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</row>
    <row r="262" spans="1:31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</row>
    <row r="263" spans="1:31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</row>
    <row r="264" spans="1:31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</row>
    <row r="265" spans="1:31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</row>
    <row r="266" spans="1:31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</row>
    <row r="267" spans="1:31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</row>
    <row r="268" spans="1:31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</row>
    <row r="269" spans="1:31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</row>
    <row r="270" spans="1:31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</row>
    <row r="271" spans="1:31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</row>
    <row r="272" spans="1:31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1:31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</row>
    <row r="274" spans="1:31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</row>
    <row r="275" spans="1:31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</row>
    <row r="276" spans="1:31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</row>
    <row r="277" spans="1:31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</row>
    <row r="278" spans="1:31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</row>
    <row r="279" spans="1:31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</row>
    <row r="280" spans="1:31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</row>
    <row r="281" spans="1:31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</row>
    <row r="282" spans="1:31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</row>
    <row r="283" spans="1:31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</row>
    <row r="284" spans="1:31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</row>
    <row r="285" spans="1:31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</row>
    <row r="286" spans="1:31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</row>
    <row r="287" spans="1:31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</row>
    <row r="288" spans="1:31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</row>
    <row r="289" spans="1:31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</row>
    <row r="290" spans="1:31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</row>
    <row r="291" spans="1:31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</row>
    <row r="292" spans="1:31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</row>
    <row r="293" spans="1:31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</row>
    <row r="294" spans="1:31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</row>
    <row r="295" spans="1:31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</row>
    <row r="296" spans="1:31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</row>
    <row r="297" spans="1:31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</row>
    <row r="298" spans="1:31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</row>
    <row r="299" spans="1:31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</row>
    <row r="300" spans="1:31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</row>
    <row r="301" spans="1:31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</row>
    <row r="302" spans="1:31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</row>
    <row r="303" spans="1:31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</row>
    <row r="304" spans="1:31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</row>
    <row r="305" spans="1:31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</row>
    <row r="306" spans="1:31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</row>
    <row r="307" spans="1:31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</row>
    <row r="308" spans="1:31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</row>
    <row r="309" spans="1:31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</row>
    <row r="310" spans="1:31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</row>
    <row r="311" spans="1:31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</row>
    <row r="312" spans="1:31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</row>
    <row r="313" spans="1:31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</row>
    <row r="314" spans="1:31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</row>
    <row r="315" spans="1:31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</row>
    <row r="316" spans="1:31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</row>
    <row r="317" spans="1:31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</row>
    <row r="318" spans="1:31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</row>
    <row r="319" spans="1:31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</row>
    <row r="320" spans="1:31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</row>
    <row r="321" spans="1:31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</row>
    <row r="322" spans="1:31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</row>
    <row r="323" spans="1:31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</row>
    <row r="324" spans="1:31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</row>
    <row r="325" spans="1:31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</row>
    <row r="326" spans="1:31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</row>
    <row r="327" spans="1:31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</row>
    <row r="328" spans="1:31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</row>
    <row r="329" spans="1:31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</row>
    <row r="330" spans="1:31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</row>
    <row r="331" spans="1:31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</row>
    <row r="332" spans="1:31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</row>
    <row r="333" spans="1:31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</row>
    <row r="334" spans="1:31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</row>
    <row r="335" spans="1:31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</row>
    <row r="336" spans="1:31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</row>
    <row r="337" spans="1:31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</row>
    <row r="338" spans="1:31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</row>
    <row r="339" spans="1:31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</row>
    <row r="340" spans="1:31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</row>
    <row r="341" spans="1:31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</row>
    <row r="342" spans="1:31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</row>
    <row r="343" spans="1:31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</row>
    <row r="344" spans="1:31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</row>
    <row r="345" spans="1:31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</row>
    <row r="346" spans="1:31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</row>
    <row r="347" spans="1:31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</row>
    <row r="348" spans="1:31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</row>
    <row r="349" spans="1:31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</row>
    <row r="350" spans="1:31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</row>
    <row r="351" spans="1:31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</row>
    <row r="352" spans="1:31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</row>
    <row r="353" spans="1:31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</row>
    <row r="354" spans="1:31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</row>
    <row r="355" spans="1:31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</row>
    <row r="356" spans="1:31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</row>
    <row r="357" spans="1:31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</row>
    <row r="358" spans="1:31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</row>
    <row r="359" spans="1:31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</row>
    <row r="360" spans="1:31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</row>
    <row r="361" spans="1:31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</row>
    <row r="362" spans="1:31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</row>
    <row r="363" spans="1:31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</row>
    <row r="364" spans="1:31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</row>
    <row r="365" spans="1:31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</row>
    <row r="366" spans="1:31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</row>
    <row r="367" spans="1:31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</row>
    <row r="368" spans="1:31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</row>
    <row r="369" spans="1:31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</row>
    <row r="370" spans="1:31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</row>
    <row r="371" spans="1:31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</row>
    <row r="372" spans="1:31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</row>
    <row r="373" spans="1:31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</row>
    <row r="374" spans="1:31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</row>
    <row r="375" spans="1:31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</row>
    <row r="376" spans="1:31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</row>
    <row r="377" spans="1:31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</row>
    <row r="378" spans="1:31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</row>
    <row r="379" spans="1:31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</row>
    <row r="380" spans="1:31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</row>
    <row r="381" spans="1:31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</row>
    <row r="382" spans="1:31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</row>
    <row r="383" spans="1:31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</row>
    <row r="384" spans="1:31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</row>
    <row r="385" spans="1:31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</row>
    <row r="386" spans="1:31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</row>
    <row r="387" spans="1:31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</row>
    <row r="388" spans="1:31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</row>
    <row r="389" spans="1:31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</row>
    <row r="390" spans="1:31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</row>
    <row r="391" spans="1:31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</row>
    <row r="392" spans="1:31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</row>
    <row r="393" spans="1:31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</row>
    <row r="394" spans="1:31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</row>
    <row r="395" spans="1:31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</row>
    <row r="396" spans="1:31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</row>
    <row r="397" spans="1:31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</row>
    <row r="398" spans="1:31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</row>
    <row r="399" spans="1:31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</row>
    <row r="400" spans="1:31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</row>
    <row r="401" spans="1:31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</row>
    <row r="402" spans="1:31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</row>
    <row r="403" spans="1:31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</row>
    <row r="404" spans="1:31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</row>
    <row r="405" spans="1:31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</row>
    <row r="406" spans="1:31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</row>
    <row r="407" spans="1:31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</row>
    <row r="408" spans="1:31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</row>
    <row r="409" spans="1:31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</row>
    <row r="410" spans="1:31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</row>
    <row r="411" spans="1:31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</row>
    <row r="412" spans="1:31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</row>
    <row r="413" spans="1:31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</row>
    <row r="414" spans="1:31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1:31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</row>
    <row r="416" spans="1:31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</row>
    <row r="417" spans="1:31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</row>
    <row r="418" spans="1:31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</row>
    <row r="419" spans="1:31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</row>
    <row r="420" spans="1:31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</row>
    <row r="421" spans="1:31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</row>
    <row r="422" spans="1:31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</row>
    <row r="423" spans="1:31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</row>
    <row r="424" spans="1:31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</row>
    <row r="425" spans="1:31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</row>
    <row r="426" spans="1:31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</row>
    <row r="427" spans="1:31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</row>
    <row r="428" spans="1:31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</row>
    <row r="429" spans="1:31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</row>
    <row r="430" spans="1:31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</row>
    <row r="431" spans="1:31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</row>
    <row r="432" spans="1:31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</row>
    <row r="433" spans="1:31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</row>
    <row r="434" spans="1:31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</row>
    <row r="435" spans="1:31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</row>
    <row r="436" spans="1:31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</row>
    <row r="437" spans="1:31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</row>
    <row r="438" spans="1:31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</row>
    <row r="439" spans="1:31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</row>
    <row r="440" spans="1:31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</row>
    <row r="441" spans="1:31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</row>
    <row r="442" spans="1:31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</row>
    <row r="443" spans="1:31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</row>
    <row r="444" spans="1:31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</row>
    <row r="445" spans="1:31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</row>
    <row r="446" spans="1:31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</row>
    <row r="447" spans="1:31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</row>
    <row r="448" spans="1:31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</row>
    <row r="449" spans="1:31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</row>
    <row r="450" spans="1:31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</row>
    <row r="451" spans="1:31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</row>
    <row r="452" spans="1:31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</row>
    <row r="453" spans="1:31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</row>
    <row r="454" spans="1:31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</row>
    <row r="455" spans="1:31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</row>
    <row r="456" spans="1:31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</row>
    <row r="457" spans="1:31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</row>
    <row r="458" spans="1:31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</row>
    <row r="459" spans="1:31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</row>
    <row r="460" spans="1:31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</row>
    <row r="461" spans="1:31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</row>
    <row r="462" spans="1:31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</row>
    <row r="463" spans="1:31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</row>
    <row r="464" spans="1:31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</row>
    <row r="465" spans="1:31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</row>
    <row r="466" spans="1:31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</row>
    <row r="467" spans="1:31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</row>
    <row r="468" spans="1:31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</row>
    <row r="469" spans="1:31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</row>
    <row r="470" spans="1:31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</row>
    <row r="471" spans="1:31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</row>
    <row r="472" spans="1:31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</row>
    <row r="473" spans="1:31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</row>
    <row r="474" spans="1:31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</row>
    <row r="475" spans="1:31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</row>
    <row r="476" spans="1:31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</row>
    <row r="477" spans="1:31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</row>
    <row r="478" spans="1:31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</row>
    <row r="479" spans="1:31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</row>
    <row r="480" spans="1:31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</row>
    <row r="481" spans="1:31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</row>
    <row r="482" spans="1:31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</row>
    <row r="483" spans="1:31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</row>
    <row r="484" spans="1:31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</row>
    <row r="485" spans="1:31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</row>
    <row r="486" spans="1:31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</row>
    <row r="487" spans="1:31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</row>
    <row r="488" spans="1:31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</row>
    <row r="489" spans="1:31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</row>
    <row r="490" spans="1:31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</row>
    <row r="491" spans="1:31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</row>
    <row r="492" spans="1:31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</row>
    <row r="493" spans="1:31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</row>
    <row r="494" spans="1:31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</row>
    <row r="495" spans="1:31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</row>
    <row r="496" spans="1:31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</row>
    <row r="497" spans="1:31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</row>
    <row r="498" spans="1:31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</row>
    <row r="499" spans="1:31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</row>
    <row r="500" spans="1:31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</row>
    <row r="501" spans="1:31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</row>
    <row r="502" spans="1:31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</row>
    <row r="503" spans="1:31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</row>
    <row r="504" spans="1:31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</row>
    <row r="505" spans="1:31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</row>
    <row r="506" spans="1:31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</row>
    <row r="507" spans="1:31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</row>
    <row r="508" spans="1:31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</row>
    <row r="509" spans="1:31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</row>
    <row r="510" spans="1:31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</row>
    <row r="511" spans="1:31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</row>
    <row r="512" spans="1:31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</row>
    <row r="513" spans="1:31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</row>
    <row r="514" spans="1:31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</row>
    <row r="515" spans="1:31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</row>
    <row r="516" spans="1:31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</row>
    <row r="517" spans="1:31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</row>
    <row r="518" spans="1:31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</row>
    <row r="519" spans="1:31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</row>
    <row r="520" spans="1:31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</row>
    <row r="521" spans="1:31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</row>
    <row r="522" spans="1:31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</row>
    <row r="523" spans="1:31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</row>
    <row r="524" spans="1:31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</row>
    <row r="525" spans="1:31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</row>
    <row r="526" spans="1:31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</row>
    <row r="527" spans="1:31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</row>
    <row r="528" spans="1:31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</row>
    <row r="529" spans="1:31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</row>
    <row r="530" spans="1:31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</row>
    <row r="531" spans="1:31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</row>
    <row r="532" spans="1:31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</row>
    <row r="533" spans="1:31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</row>
    <row r="534" spans="1:31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</row>
    <row r="535" spans="1:31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</row>
    <row r="536" spans="1:31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</row>
    <row r="537" spans="1:31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</row>
    <row r="538" spans="1:31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</row>
    <row r="539" spans="1:31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</row>
    <row r="540" spans="1:31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</row>
    <row r="541" spans="1:31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</row>
    <row r="542" spans="1:31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</row>
    <row r="543" spans="1:31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</row>
    <row r="544" spans="1:31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</row>
    <row r="545" spans="1:31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</row>
    <row r="546" spans="1:31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</row>
    <row r="547" spans="1:31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</row>
    <row r="548" spans="1:31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</row>
    <row r="549" spans="1:31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</row>
    <row r="550" spans="1:31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</row>
    <row r="551" spans="1:31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</row>
    <row r="552" spans="1:31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</row>
    <row r="553" spans="1:31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</row>
    <row r="554" spans="1:31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</row>
    <row r="555" spans="1:31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</row>
    <row r="556" spans="1:31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</row>
    <row r="557" spans="1:31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</row>
    <row r="558" spans="1:31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</row>
    <row r="559" spans="1:31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</row>
    <row r="560" spans="1:31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</row>
    <row r="561" spans="1:31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</row>
    <row r="562" spans="1:31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</row>
    <row r="563" spans="1:31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</row>
    <row r="564" spans="1:31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</row>
    <row r="565" spans="1:31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</row>
    <row r="566" spans="1:31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</row>
    <row r="567" spans="1:31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</row>
    <row r="568" spans="1:31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</row>
    <row r="569" spans="1:31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</row>
    <row r="570" spans="1:31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</row>
    <row r="571" spans="1:31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</row>
    <row r="572" spans="1:31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</row>
    <row r="573" spans="1:31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</row>
    <row r="574" spans="1:31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</row>
    <row r="575" spans="1:31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</row>
    <row r="576" spans="1:31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</row>
    <row r="577" spans="1:31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</row>
    <row r="578" spans="1:31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</row>
    <row r="579" spans="1:31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</row>
    <row r="580" spans="1:31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</row>
    <row r="581" spans="1:31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</row>
    <row r="582" spans="1:31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</row>
    <row r="583" spans="1:31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</row>
    <row r="584" spans="1:31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</row>
    <row r="585" spans="1:31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</row>
    <row r="586" spans="1:31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</row>
    <row r="587" spans="1:31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</row>
    <row r="588" spans="1:31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</row>
    <row r="589" spans="1:31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</row>
    <row r="590" spans="1:31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</row>
    <row r="591" spans="1:31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</row>
    <row r="592" spans="1:31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</row>
    <row r="593" spans="1:31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</row>
    <row r="594" spans="1:31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</row>
    <row r="595" spans="1:31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</row>
    <row r="596" spans="1:31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</row>
    <row r="597" spans="1:31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</row>
    <row r="598" spans="1:31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</row>
    <row r="599" spans="1:31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</row>
    <row r="600" spans="1:31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</row>
    <row r="601" spans="1:31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</row>
    <row r="602" spans="1:31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</row>
    <row r="603" spans="1:31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</row>
    <row r="604" spans="1:31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</row>
    <row r="605" spans="1:31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</row>
    <row r="606" spans="1:31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</row>
    <row r="607" spans="1:31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</row>
    <row r="608" spans="1:31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</row>
    <row r="609" spans="1:31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</row>
    <row r="610" spans="1:31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</row>
    <row r="611" spans="1:31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</row>
    <row r="612" spans="1:31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</row>
    <row r="613" spans="1:31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</row>
    <row r="614" spans="1:31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</row>
    <row r="615" spans="1:31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</row>
    <row r="616" spans="1:31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</row>
    <row r="617" spans="1:31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</row>
    <row r="618" spans="1:31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</row>
    <row r="619" spans="1:31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</row>
    <row r="620" spans="1:31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</row>
    <row r="621" spans="1:31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</row>
    <row r="622" spans="1:31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</row>
    <row r="623" spans="1:31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</row>
    <row r="624" spans="1:31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</row>
    <row r="625" spans="1:31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</row>
    <row r="626" spans="1:31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</row>
    <row r="627" spans="1:31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</row>
    <row r="628" spans="1:31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</row>
    <row r="629" spans="1:31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</row>
    <row r="630" spans="1:31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</row>
    <row r="631" spans="1:31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</row>
    <row r="632" spans="1:31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</row>
    <row r="633" spans="1:31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</row>
    <row r="634" spans="1:31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</row>
    <row r="635" spans="1:31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</row>
    <row r="636" spans="1:31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</row>
    <row r="637" spans="1:31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</row>
    <row r="638" spans="1:31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</row>
    <row r="639" spans="1:31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</row>
    <row r="640" spans="1:31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</row>
    <row r="641" spans="1:31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</row>
    <row r="642" spans="1:31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</row>
    <row r="643" spans="1:31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</row>
    <row r="644" spans="1:31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</row>
    <row r="645" spans="1:31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</row>
    <row r="646" spans="1:31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</row>
    <row r="647" spans="1:31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</row>
    <row r="648" spans="1:31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</row>
    <row r="649" spans="1:31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</row>
    <row r="650" spans="1:31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</row>
    <row r="651" spans="1:31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</row>
    <row r="652" spans="1:31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</row>
    <row r="653" spans="1:31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</row>
    <row r="654" spans="1:31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</row>
    <row r="655" spans="1:31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</row>
    <row r="656" spans="1:31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</row>
    <row r="657" spans="1:31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</row>
    <row r="658" spans="1:31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</row>
    <row r="659" spans="1:31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</row>
    <row r="660" spans="1:31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</row>
    <row r="661" spans="1:31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</row>
    <row r="662" spans="1:31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</row>
    <row r="663" spans="1:31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</row>
    <row r="664" spans="1:31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</row>
    <row r="665" spans="1:31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</row>
    <row r="666" spans="1:31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</row>
    <row r="667" spans="1:31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</row>
    <row r="668" spans="1:31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</row>
    <row r="669" spans="1:31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</row>
    <row r="670" spans="1:31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</row>
    <row r="671" spans="1:31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</row>
    <row r="672" spans="1:31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</row>
    <row r="673" spans="1:31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</row>
    <row r="674" spans="1:31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</row>
    <row r="675" spans="1:31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</row>
    <row r="676" spans="1:31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</row>
    <row r="677" spans="1:31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</row>
    <row r="678" spans="1:31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</row>
    <row r="679" spans="1:31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</row>
    <row r="680" spans="1:31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</row>
    <row r="681" spans="1:31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</row>
    <row r="682" spans="1:31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</row>
    <row r="683" spans="1:31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</row>
    <row r="684" spans="1:31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</row>
    <row r="685" spans="1:31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</row>
    <row r="686" spans="1:31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</row>
    <row r="687" spans="1:31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</row>
    <row r="688" spans="1:31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</row>
    <row r="689" spans="1:31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</row>
    <row r="690" spans="1:31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</row>
    <row r="691" spans="1:31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</row>
    <row r="692" spans="1:31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</row>
    <row r="693" spans="1:31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</row>
    <row r="694" spans="1:31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</row>
    <row r="695" spans="1:31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</row>
    <row r="696" spans="1:31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</row>
    <row r="697" spans="1:31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</row>
    <row r="698" spans="1:31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</row>
    <row r="699" spans="1:31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</row>
    <row r="700" spans="1:31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</row>
    <row r="701" spans="1:31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</row>
    <row r="702" spans="1:31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</row>
    <row r="703" spans="1:31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</row>
    <row r="704" spans="1:31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</row>
    <row r="705" spans="1:31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</row>
    <row r="706" spans="1:31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</row>
    <row r="707" spans="1:31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</row>
    <row r="708" spans="1:31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</row>
    <row r="709" spans="1:31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</row>
    <row r="710" spans="1:31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</row>
    <row r="711" spans="1:31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</row>
    <row r="712" spans="1:31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</row>
    <row r="713" spans="1:31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</row>
    <row r="714" spans="1:31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</row>
    <row r="715" spans="1:31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</row>
    <row r="716" spans="1:31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</row>
    <row r="717" spans="1:31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</row>
    <row r="718" spans="1:31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</row>
    <row r="719" spans="1:31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</row>
    <row r="720" spans="1:31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</row>
    <row r="721" spans="1:31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</row>
    <row r="722" spans="1:31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</row>
    <row r="723" spans="1:31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</row>
    <row r="724" spans="1:31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</row>
    <row r="725" spans="1:31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</row>
    <row r="726" spans="1:31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</row>
    <row r="727" spans="1:31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</row>
    <row r="728" spans="1:31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</row>
    <row r="729" spans="1:31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</row>
    <row r="730" spans="1:31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</row>
    <row r="731" spans="1:31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</row>
    <row r="732" spans="1:31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</row>
    <row r="733" spans="1:31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</row>
    <row r="734" spans="1:31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</row>
    <row r="735" spans="1:31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</row>
    <row r="736" spans="1:31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</row>
    <row r="737" spans="1:31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</row>
    <row r="738" spans="1:31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</row>
    <row r="739" spans="1:31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</row>
    <row r="740" spans="1:31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</row>
    <row r="741" spans="1:31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</row>
    <row r="742" spans="1:31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</row>
    <row r="743" spans="1:31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</row>
    <row r="744" spans="1:31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</row>
    <row r="745" spans="1:31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</row>
    <row r="746" spans="1:31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</row>
    <row r="747" spans="1:31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</row>
    <row r="748" spans="1:31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</row>
    <row r="749" spans="1:31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</row>
    <row r="750" spans="1:31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</row>
    <row r="751" spans="1:31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</row>
    <row r="752" spans="1:31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</row>
    <row r="753" spans="1:31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</row>
    <row r="754" spans="1:31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</row>
    <row r="755" spans="1:31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</row>
    <row r="756" spans="1:31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</row>
    <row r="757" spans="1:31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</row>
    <row r="758" spans="1:31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</row>
    <row r="759" spans="1:31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</row>
    <row r="760" spans="1:31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</row>
    <row r="761" spans="1:31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</row>
    <row r="762" spans="1:31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</row>
    <row r="763" spans="1:31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</row>
    <row r="764" spans="1:31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</row>
    <row r="765" spans="1:31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</row>
    <row r="766" spans="1:31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</row>
    <row r="767" spans="1:31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</row>
    <row r="768" spans="1:31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</row>
    <row r="769" spans="1:31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</row>
    <row r="770" spans="1:31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</row>
    <row r="771" spans="1:31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</row>
    <row r="772" spans="1:31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</row>
    <row r="773" spans="1:31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</row>
    <row r="774" spans="1:31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</row>
    <row r="775" spans="1:31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</row>
    <row r="776" spans="1:31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</row>
    <row r="777" spans="1:31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</row>
    <row r="778" spans="1:31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</row>
    <row r="779" spans="1:31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</row>
    <row r="780" spans="1:31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</row>
    <row r="781" spans="1:31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</row>
    <row r="782" spans="1:31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</row>
    <row r="783" spans="1:31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</row>
    <row r="784" spans="1:31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</row>
    <row r="785" spans="1:31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</row>
    <row r="786" spans="1:31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</row>
    <row r="787" spans="1:31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</row>
    <row r="788" spans="1:31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</row>
    <row r="789" spans="1:31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</row>
    <row r="790" spans="1:31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</row>
    <row r="791" spans="1:31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</row>
    <row r="792" spans="1:31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</row>
    <row r="793" spans="1:31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</row>
    <row r="794" spans="1:31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</row>
    <row r="795" spans="1:31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</row>
    <row r="796" spans="1:31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</row>
    <row r="797" spans="1:31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</row>
    <row r="798" spans="1:31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</row>
    <row r="799" spans="1:31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</row>
    <row r="800" spans="1:31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</row>
    <row r="801" spans="1:31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</row>
    <row r="802" spans="1:31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</row>
    <row r="803" spans="1:31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</row>
    <row r="804" spans="1:31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</row>
    <row r="805" spans="1:31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</row>
    <row r="806" spans="1:31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</row>
    <row r="807" spans="1:31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</row>
    <row r="808" spans="1:31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</row>
    <row r="809" spans="1:31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</row>
    <row r="810" spans="1:31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</row>
    <row r="811" spans="1:31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</row>
    <row r="812" spans="1:31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</row>
    <row r="813" spans="1:31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</row>
    <row r="814" spans="1:31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</row>
    <row r="815" spans="1:31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</row>
    <row r="816" spans="1:31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</row>
    <row r="817" spans="1:31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</row>
    <row r="818" spans="1:31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</row>
    <row r="819" spans="1:31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</row>
    <row r="820" spans="1:31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</row>
    <row r="821" spans="1:31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</row>
    <row r="822" spans="1:31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</row>
    <row r="823" spans="1:31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</row>
    <row r="824" spans="1:31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</row>
    <row r="825" spans="1:31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</row>
    <row r="826" spans="1:31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</row>
    <row r="827" spans="1:31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</row>
    <row r="828" spans="1:31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</row>
    <row r="829" spans="1:31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</row>
    <row r="830" spans="1:31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</row>
    <row r="831" spans="1:31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</row>
    <row r="832" spans="1:31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</row>
    <row r="833" spans="1:31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</row>
    <row r="834" spans="1:31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</row>
    <row r="835" spans="1:31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</row>
    <row r="836" spans="1:31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</row>
    <row r="837" spans="1:31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</row>
    <row r="838" spans="1:31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</row>
    <row r="839" spans="1:31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</row>
    <row r="840" spans="1:31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</row>
    <row r="841" spans="1:31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</row>
    <row r="842" spans="1:31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</row>
    <row r="843" spans="1:31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</row>
    <row r="844" spans="1:31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</row>
    <row r="845" spans="1:31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</row>
    <row r="846" spans="1:31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</row>
    <row r="847" spans="1:31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</row>
    <row r="848" spans="1:31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</row>
    <row r="849" spans="1:31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</row>
    <row r="850" spans="1:31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</row>
    <row r="851" spans="1:31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</row>
    <row r="852" spans="1:31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</row>
    <row r="853" spans="1:31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</row>
    <row r="854" spans="1:31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</row>
    <row r="855" spans="1:31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</row>
    <row r="856" spans="1:31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</row>
    <row r="857" spans="1:31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</row>
    <row r="858" spans="1:31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</row>
    <row r="859" spans="1:31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</row>
    <row r="860" spans="1:31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</row>
    <row r="861" spans="1:31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</row>
    <row r="862" spans="1:31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</row>
    <row r="863" spans="1:31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</row>
    <row r="864" spans="1:31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</row>
    <row r="865" spans="1:31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</row>
    <row r="866" spans="1:31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</row>
    <row r="867" spans="1:31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</row>
    <row r="868" spans="1:31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</row>
    <row r="869" spans="1:31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</row>
    <row r="870" spans="1:31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</row>
    <row r="871" spans="1:31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</row>
    <row r="872" spans="1:31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</row>
    <row r="873" spans="1:31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</row>
    <row r="874" spans="1:31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</row>
    <row r="875" spans="1:31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</row>
    <row r="876" spans="1:31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</row>
    <row r="877" spans="1:31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</row>
    <row r="878" spans="1:31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</row>
    <row r="879" spans="1:31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</row>
    <row r="880" spans="1:31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</row>
    <row r="881" spans="1:31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</row>
    <row r="882" spans="1:31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</row>
    <row r="883" spans="1:31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</row>
    <row r="884" spans="1:31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</row>
    <row r="885" spans="1:31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</row>
    <row r="886" spans="1:31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</row>
    <row r="887" spans="1:31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</row>
    <row r="888" spans="1:31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</row>
    <row r="889" spans="1:31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</row>
    <row r="890" spans="1:31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</row>
    <row r="891" spans="1:31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</row>
    <row r="892" spans="1:31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</row>
    <row r="893" spans="1:31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</row>
    <row r="894" spans="1:31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</row>
    <row r="895" spans="1:31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</row>
    <row r="896" spans="1:31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</row>
    <row r="897" spans="1:31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</row>
    <row r="898" spans="1:31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</row>
    <row r="899" spans="1:31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</row>
    <row r="900" spans="1:31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</row>
    <row r="901" spans="1:31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</row>
    <row r="902" spans="1:31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</row>
    <row r="903" spans="1:31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</row>
    <row r="904" spans="1:31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</row>
    <row r="905" spans="1:31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</row>
    <row r="906" spans="1:31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</row>
    <row r="907" spans="1:31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</row>
    <row r="908" spans="1:31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</row>
    <row r="909" spans="1:31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</row>
    <row r="910" spans="1:31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</row>
    <row r="911" spans="1:31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</row>
    <row r="912" spans="1:31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</row>
    <row r="913" spans="1:31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</row>
    <row r="914" spans="1:31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</row>
    <row r="915" spans="1:31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</row>
    <row r="916" spans="1:31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</row>
    <row r="917" spans="1:31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</row>
    <row r="918" spans="1:31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</row>
    <row r="919" spans="1:31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</row>
    <row r="920" spans="1:31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</row>
    <row r="921" spans="1:31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</row>
    <row r="922" spans="1:31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</row>
    <row r="923" spans="1:31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</row>
    <row r="924" spans="1:31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</row>
    <row r="925" spans="1:31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</row>
    <row r="926" spans="1:31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</row>
    <row r="927" spans="1:31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</row>
    <row r="928" spans="1:31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</row>
    <row r="929" spans="1:31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</row>
    <row r="930" spans="1:31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</row>
    <row r="931" spans="1:31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</row>
    <row r="932" spans="1:31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</row>
    <row r="933" spans="1:31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</row>
    <row r="934" spans="1:31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</row>
    <row r="935" spans="1:31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</row>
    <row r="936" spans="1:31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</row>
    <row r="937" spans="1:31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</row>
    <row r="938" spans="1:31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</row>
    <row r="939" spans="1:31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</row>
    <row r="940" spans="1:31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</row>
    <row r="941" spans="1:31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</row>
    <row r="942" spans="1:31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</row>
    <row r="943" spans="1:31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</row>
    <row r="944" spans="1:31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</row>
    <row r="945" spans="1:31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</row>
    <row r="946" spans="1:31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</row>
    <row r="947" spans="1:31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</row>
    <row r="948" spans="1:31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</row>
    <row r="949" spans="1:31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</row>
    <row r="950" spans="1:31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</row>
    <row r="951" spans="1:31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</row>
    <row r="952" spans="1:31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</row>
    <row r="953" spans="1:31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</row>
    <row r="954" spans="1:31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</row>
    <row r="955" spans="1:31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</row>
    <row r="956" spans="1:31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</row>
    <row r="957" spans="1:31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</row>
    <row r="958" spans="1:31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</row>
    <row r="959" spans="1:31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</row>
    <row r="960" spans="1:31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</row>
    <row r="961" spans="1:31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</row>
    <row r="962" spans="1:31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</row>
    <row r="963" spans="1:31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</row>
    <row r="964" spans="1:31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</row>
    <row r="965" spans="1:31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</row>
    <row r="966" spans="1:31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</row>
    <row r="967" spans="1:31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</row>
    <row r="968" spans="1:31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</row>
    <row r="969" spans="1:31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</row>
    <row r="970" spans="1:31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</row>
    <row r="971" spans="1:31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</row>
    <row r="972" spans="1:31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</row>
    <row r="973" spans="1:31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</row>
    <row r="974" spans="1:31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</row>
    <row r="975" spans="1:31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</row>
    <row r="976" spans="1:31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</row>
    <row r="977" spans="1:31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</row>
    <row r="978" spans="1:31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</row>
    <row r="979" spans="1:31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</row>
    <row r="980" spans="1:31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</row>
    <row r="981" spans="1:31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</row>
    <row r="982" spans="1:31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</row>
    <row r="983" spans="1:31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</row>
    <row r="984" spans="1:31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</row>
    <row r="985" spans="1:31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</row>
    <row r="986" spans="1:31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</row>
    <row r="987" spans="1:31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</row>
    <row r="988" spans="1:31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</row>
    <row r="989" spans="1:31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</row>
    <row r="990" spans="1:31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</row>
    <row r="991" spans="1:31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</row>
    <row r="992" spans="1:31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</row>
    <row r="993" spans="1:31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</row>
    <row r="994" spans="1:31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</row>
    <row r="995" spans="1:31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</row>
    <row r="996" spans="1:31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</row>
    <row r="997" spans="1:31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</row>
    <row r="998" spans="1:31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</row>
    <row r="999" spans="1:31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</row>
    <row r="1000" spans="1:31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</row>
  </sheetData>
  <mergeCells count="11">
    <mergeCell ref="S51:T51"/>
    <mergeCell ref="S52:T52"/>
    <mergeCell ref="S53:T53"/>
    <mergeCell ref="S54:T54"/>
    <mergeCell ref="A4:D5"/>
    <mergeCell ref="S45:T45"/>
    <mergeCell ref="S46:T46"/>
    <mergeCell ref="S47:T47"/>
    <mergeCell ref="S48:T48"/>
    <mergeCell ref="S49:T49"/>
    <mergeCell ref="S50:T50"/>
  </mergeCells>
  <pageMargins left="0.7" right="0.7" top="0.75" bottom="0.75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H1000"/>
  <sheetViews>
    <sheetView workbookViewId="0"/>
  </sheetViews>
  <sheetFormatPr defaultColWidth="12.625" defaultRowHeight="15" customHeight="1" x14ac:dyDescent="0.2"/>
  <cols>
    <col min="1" max="1" width="8" customWidth="1"/>
    <col min="2" max="2" width="1.625" customWidth="1"/>
    <col min="3" max="3" width="10.125" customWidth="1"/>
    <col min="4" max="4" width="1.125" customWidth="1"/>
    <col min="5" max="5" width="12.125" customWidth="1"/>
    <col min="6" max="6" width="2.125" customWidth="1"/>
    <col min="7" max="7" width="13.125" customWidth="1"/>
    <col min="8" max="8" width="16.625" customWidth="1"/>
    <col min="9" max="9" width="9.875" customWidth="1"/>
    <col min="10" max="10" width="17.375" customWidth="1"/>
    <col min="11" max="11" width="16.375" customWidth="1"/>
    <col min="12" max="12" width="12.625" customWidth="1"/>
    <col min="13" max="13" width="1.5" customWidth="1"/>
    <col min="14" max="14" width="8" customWidth="1"/>
    <col min="15" max="15" width="1.375" customWidth="1"/>
    <col min="16" max="16" width="8" customWidth="1"/>
    <col min="17" max="17" width="1.5" customWidth="1"/>
    <col min="18" max="18" width="10.875" customWidth="1"/>
    <col min="19" max="19" width="1.5" customWidth="1"/>
    <col min="20" max="20" width="11.5" customWidth="1"/>
    <col min="21" max="21" width="11.125" customWidth="1"/>
    <col min="22" max="22" width="10.875" customWidth="1"/>
    <col min="23" max="23" width="16.625" customWidth="1"/>
    <col min="24" max="24" width="11" customWidth="1"/>
    <col min="25" max="25" width="10.625" customWidth="1"/>
    <col min="26" max="26" width="1.375" customWidth="1"/>
    <col min="27" max="32" width="8" customWidth="1"/>
    <col min="33" max="33" width="13.875" customWidth="1"/>
    <col min="34" max="34" width="13.625" customWidth="1"/>
  </cols>
  <sheetData>
    <row r="1" spans="1:34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48.75" customHeight="1" x14ac:dyDescent="0.2">
      <c r="A2" s="1"/>
      <c r="B2" s="1"/>
      <c r="C2" s="1"/>
      <c r="D2" s="1"/>
      <c r="E2" s="1"/>
      <c r="F2" s="1"/>
      <c r="G2" s="1" t="s">
        <v>230</v>
      </c>
      <c r="H2" s="161" t="e">
        <f>K66</f>
        <v>#REF!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15" customHeight="1" x14ac:dyDescent="0.25">
      <c r="A4" s="2"/>
      <c r="B4" s="548" t="s">
        <v>231</v>
      </c>
      <c r="C4" s="535"/>
      <c r="D4" s="535"/>
      <c r="E4" s="535"/>
      <c r="F4" s="536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" customHeight="1" x14ac:dyDescent="0.25">
      <c r="A5" s="2"/>
      <c r="B5" s="537"/>
      <c r="C5" s="538"/>
      <c r="D5" s="538"/>
      <c r="E5" s="538"/>
      <c r="F5" s="539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4" ht="27.75" customHeight="1" x14ac:dyDescent="0.25">
      <c r="A7" s="3"/>
      <c r="B7" s="82"/>
      <c r="C7" s="162" t="s">
        <v>232</v>
      </c>
      <c r="D7" s="163"/>
      <c r="E7" s="163"/>
      <c r="F7" s="163"/>
      <c r="G7" s="163"/>
      <c r="H7" s="163"/>
      <c r="I7" s="163"/>
      <c r="J7" s="163"/>
      <c r="K7" s="163"/>
      <c r="L7" s="163"/>
      <c r="M7" s="82"/>
      <c r="N7" s="3"/>
      <c r="O7" s="82"/>
      <c r="P7" s="162" t="s">
        <v>125</v>
      </c>
      <c r="Q7" s="163"/>
      <c r="R7" s="163"/>
      <c r="S7" s="163"/>
      <c r="T7" s="163"/>
      <c r="U7" s="163"/>
      <c r="V7" s="163"/>
      <c r="W7" s="163"/>
      <c r="X7" s="163"/>
      <c r="Y7" s="163"/>
      <c r="Z7" s="82"/>
      <c r="AA7" s="3"/>
      <c r="AB7" s="3"/>
      <c r="AC7" s="3"/>
      <c r="AD7" s="3"/>
      <c r="AE7" s="3"/>
      <c r="AF7" s="3"/>
      <c r="AG7" s="3" t="s">
        <v>233</v>
      </c>
      <c r="AH7" s="3" t="s">
        <v>234</v>
      </c>
    </row>
    <row r="8" spans="1:34" ht="16.5" customHeight="1" x14ac:dyDescent="0.2">
      <c r="A8" s="3"/>
      <c r="B8" s="164"/>
      <c r="C8" s="165" t="s">
        <v>235</v>
      </c>
      <c r="D8" s="165"/>
      <c r="E8" s="166" t="s">
        <v>236</v>
      </c>
      <c r="F8" s="81"/>
      <c r="G8" s="166" t="s">
        <v>237</v>
      </c>
      <c r="H8" s="166" t="s">
        <v>238</v>
      </c>
      <c r="I8" s="166" t="s">
        <v>239</v>
      </c>
      <c r="J8" s="166" t="s">
        <v>240</v>
      </c>
      <c r="K8" s="166" t="s">
        <v>241</v>
      </c>
      <c r="L8" s="166" t="s">
        <v>178</v>
      </c>
      <c r="M8" s="82"/>
      <c r="N8" s="3"/>
      <c r="O8" s="164"/>
      <c r="P8" s="165" t="s">
        <v>235</v>
      </c>
      <c r="Q8" s="165"/>
      <c r="R8" s="166" t="s">
        <v>236</v>
      </c>
      <c r="S8" s="81"/>
      <c r="T8" s="166" t="s">
        <v>237</v>
      </c>
      <c r="U8" s="166" t="s">
        <v>238</v>
      </c>
      <c r="V8" s="166" t="s">
        <v>239</v>
      </c>
      <c r="W8" s="166" t="s">
        <v>240</v>
      </c>
      <c r="X8" s="166" t="s">
        <v>241</v>
      </c>
      <c r="Y8" s="166" t="s">
        <v>178</v>
      </c>
      <c r="Z8" s="82"/>
      <c r="AA8" s="3"/>
      <c r="AB8" s="3"/>
      <c r="AC8" s="3" t="s">
        <v>242</v>
      </c>
      <c r="AD8" s="3"/>
      <c r="AE8" s="3"/>
      <c r="AF8" s="3"/>
      <c r="AG8" s="167">
        <f>'Decision Tree'!N35</f>
        <v>14063.654769903998</v>
      </c>
      <c r="AH8" s="167">
        <f>'Decision Tree'!N36</f>
        <v>4907.2569351040001</v>
      </c>
    </row>
    <row r="9" spans="1:34" ht="5.25" customHeight="1" x14ac:dyDescent="0.2">
      <c r="A9" s="3"/>
      <c r="B9" s="82"/>
      <c r="C9" s="82"/>
      <c r="D9" s="82"/>
      <c r="E9" s="82"/>
      <c r="F9" s="82"/>
      <c r="G9" s="114"/>
      <c r="H9" s="114"/>
      <c r="I9" s="114"/>
      <c r="J9" s="114"/>
      <c r="K9" s="114"/>
      <c r="L9" s="114"/>
      <c r="M9" s="82"/>
      <c r="N9" s="3"/>
      <c r="O9" s="82"/>
      <c r="P9" s="82"/>
      <c r="Q9" s="82"/>
      <c r="R9" s="82"/>
      <c r="S9" s="82"/>
      <c r="T9" s="114"/>
      <c r="U9" s="114"/>
      <c r="V9" s="114"/>
      <c r="W9" s="114"/>
      <c r="X9" s="114"/>
      <c r="Y9" s="114"/>
      <c r="Z9" s="82"/>
      <c r="AA9" s="3"/>
      <c r="AB9" s="3"/>
      <c r="AC9" s="3"/>
      <c r="AD9" s="3"/>
      <c r="AE9" s="3"/>
      <c r="AF9" s="3"/>
      <c r="AG9" s="3"/>
      <c r="AH9" s="3"/>
    </row>
    <row r="10" spans="1:34" ht="15.75" customHeight="1" x14ac:dyDescent="0.2">
      <c r="A10" s="3"/>
      <c r="B10" s="82"/>
      <c r="C10" s="82"/>
      <c r="D10" s="82"/>
      <c r="E10" s="82"/>
      <c r="F10" s="82"/>
      <c r="G10" s="168">
        <v>100</v>
      </c>
      <c r="H10" s="82"/>
      <c r="I10" s="82"/>
      <c r="J10" s="82"/>
      <c r="K10" s="82"/>
      <c r="L10" s="82"/>
      <c r="M10" s="82"/>
      <c r="N10" s="3"/>
      <c r="O10" s="82"/>
      <c r="P10" s="82"/>
      <c r="Q10" s="82"/>
      <c r="R10" s="82"/>
      <c r="S10" s="82"/>
      <c r="T10" s="168">
        <v>100</v>
      </c>
      <c r="U10" s="82"/>
      <c r="V10" s="82"/>
      <c r="W10" s="82"/>
      <c r="X10" s="82"/>
      <c r="Y10" s="82"/>
      <c r="Z10" s="82"/>
      <c r="AA10" s="3"/>
      <c r="AB10" s="3"/>
      <c r="AC10" s="3"/>
      <c r="AD10" s="3"/>
      <c r="AE10" s="3"/>
      <c r="AF10" s="3"/>
      <c r="AG10" s="3"/>
      <c r="AH10" s="3"/>
    </row>
    <row r="11" spans="1:34" ht="14.25" customHeight="1" x14ac:dyDescent="0.2">
      <c r="A11" s="3"/>
      <c r="B11" s="82"/>
      <c r="C11" s="169">
        <v>0</v>
      </c>
      <c r="D11" s="168"/>
      <c r="E11" s="169"/>
      <c r="F11" s="82"/>
      <c r="G11" s="170">
        <f>G10*AG13</f>
        <v>81.2</v>
      </c>
      <c r="H11" s="171">
        <f>G10-G11</f>
        <v>18.799999999999997</v>
      </c>
      <c r="I11" s="172">
        <f t="shared" ref="I11:I61" si="0">SUM(G11:H11)</f>
        <v>100</v>
      </c>
      <c r="J11" s="173">
        <f>AG8*G11</f>
        <v>1141968.7673162047</v>
      </c>
      <c r="K11" s="172">
        <f t="shared" ref="K11:K61" si="1">G11</f>
        <v>81.2</v>
      </c>
      <c r="L11" s="174">
        <f>G10*AG11</f>
        <v>23.062922873474403</v>
      </c>
      <c r="M11" s="82"/>
      <c r="N11" s="3"/>
      <c r="O11" s="82"/>
      <c r="P11" s="169">
        <v>0</v>
      </c>
      <c r="Q11" s="168"/>
      <c r="R11" s="169"/>
      <c r="S11" s="82"/>
      <c r="T11" s="170">
        <f>T10*AH13</f>
        <v>76.5</v>
      </c>
      <c r="U11" s="171">
        <f>T10-T11</f>
        <v>23.5</v>
      </c>
      <c r="V11" s="171">
        <f t="shared" ref="V11:V61" si="2">SUM(T11:U11)</f>
        <v>100</v>
      </c>
      <c r="W11" s="175">
        <f>AH8*T10</f>
        <v>490725.69351040001</v>
      </c>
      <c r="X11" s="171">
        <f t="shared" ref="X11:X61" si="3">T11</f>
        <v>76.5</v>
      </c>
      <c r="Y11" s="174">
        <f>T10*AH11</f>
        <v>21.45114482688</v>
      </c>
      <c r="Z11" s="82"/>
      <c r="AA11" s="3"/>
      <c r="AB11" s="3"/>
      <c r="AC11" s="3" t="s">
        <v>243</v>
      </c>
      <c r="AD11" s="3"/>
      <c r="AE11" s="3"/>
      <c r="AF11" s="3"/>
      <c r="AG11" s="149">
        <f>'Decision Tree'!O35</f>
        <v>0.23062922873474404</v>
      </c>
      <c r="AH11" s="149">
        <f>'Decision Tree'!O36</f>
        <v>0.2145114482688</v>
      </c>
    </row>
    <row r="12" spans="1:34" ht="14.25" customHeight="1" x14ac:dyDescent="0.2">
      <c r="A12" s="3"/>
      <c r="B12" s="82"/>
      <c r="C12" s="176">
        <v>1</v>
      </c>
      <c r="D12" s="168"/>
      <c r="E12" s="177" t="e">
        <f t="shared" ref="E12:E43" si="4">IF(male=0,VLOOKUP(cycle+age,lifetable,3,1),IF(male=1,VLOOKUP(cycle+age,lifetable,2,1),"error"))</f>
        <v>#REF!</v>
      </c>
      <c r="F12" s="82"/>
      <c r="G12" s="178" t="e">
        <f>G10-H12</f>
        <v>#REF!</v>
      </c>
      <c r="H12" s="179" t="e">
        <f>H11+(G11*(E12*rrDeath1_2))</f>
        <v>#REF!</v>
      </c>
      <c r="I12" s="180" t="e">
        <f t="shared" si="0"/>
        <v>#REF!</v>
      </c>
      <c r="J12" s="156">
        <f t="shared" ref="J12:J43" si="5">J11/(1+cDR)^cycle</f>
        <v>1139155.0543320046</v>
      </c>
      <c r="K12" s="181" t="e">
        <f t="shared" si="1"/>
        <v>#REF!</v>
      </c>
      <c r="L12" s="182" t="e">
        <f t="shared" ref="L12:L43" si="6">(G12*uPostT)/(1+oDR)^cycle</f>
        <v>#REF!</v>
      </c>
      <c r="M12" s="82"/>
      <c r="N12" s="3"/>
      <c r="O12" s="82"/>
      <c r="P12" s="176">
        <v>1</v>
      </c>
      <c r="Q12" s="168"/>
      <c r="R12" s="177" t="e">
        <f t="shared" ref="R12:R43" si="7">IF(male=0,VLOOKUP(cycle2+age,lifetable,3,1),IF(male=1,VLOOKUP(cycle2+age,lifetable,2,1),"error"))</f>
        <v>#REF!</v>
      </c>
      <c r="S12" s="82"/>
      <c r="T12" s="178" t="e">
        <f t="shared" ref="T12:T61" si="8">$T$10-U12</f>
        <v>#REF!</v>
      </c>
      <c r="U12" s="179" t="e">
        <f>(T11*mr_2*rrDeath1_2)+U11</f>
        <v>#REF!</v>
      </c>
      <c r="V12" s="158" t="e">
        <f t="shared" si="2"/>
        <v>#REF!</v>
      </c>
      <c r="W12" s="183">
        <f t="shared" ref="W12:W43" si="9">W11/(1+cDR)^cycle2</f>
        <v>489516.58753917826</v>
      </c>
      <c r="X12" s="179" t="e">
        <f t="shared" si="3"/>
        <v>#REF!</v>
      </c>
      <c r="Y12" s="182" t="e">
        <f t="shared" ref="Y12:Y43" si="10">(T12*uPostT)/(1+oDR)^cycle2</f>
        <v>#REF!</v>
      </c>
      <c r="Z12" s="82"/>
      <c r="AA12" s="3"/>
      <c r="AB12" s="3"/>
      <c r="AC12" s="3"/>
      <c r="AD12" s="3"/>
      <c r="AE12" s="3"/>
      <c r="AF12" s="3"/>
      <c r="AG12" s="3"/>
      <c r="AH12" s="3"/>
    </row>
    <row r="13" spans="1:34" ht="14.25" customHeight="1" x14ac:dyDescent="0.2">
      <c r="A13" s="3"/>
      <c r="B13" s="82"/>
      <c r="C13" s="176">
        <v>2</v>
      </c>
      <c r="D13" s="168"/>
      <c r="E13" s="177" t="e">
        <f t="shared" si="4"/>
        <v>#REF!</v>
      </c>
      <c r="F13" s="82"/>
      <c r="G13" s="178" t="e">
        <f>$G$10-H13</f>
        <v>#REF!</v>
      </c>
      <c r="H13" s="179" t="e">
        <f>(G12*mr*rrDeath1_2)+H12</f>
        <v>#REF!</v>
      </c>
      <c r="I13" s="180" t="e">
        <f t="shared" si="0"/>
        <v>#REF!</v>
      </c>
      <c r="J13" s="156">
        <f t="shared" si="5"/>
        <v>1133548.4095234671</v>
      </c>
      <c r="K13" s="181" t="e">
        <f t="shared" si="1"/>
        <v>#REF!</v>
      </c>
      <c r="L13" s="182" t="e">
        <f t="shared" si="6"/>
        <v>#REF!</v>
      </c>
      <c r="M13" s="82"/>
      <c r="N13" s="3"/>
      <c r="O13" s="82"/>
      <c r="P13" s="176">
        <v>2</v>
      </c>
      <c r="Q13" s="168"/>
      <c r="R13" s="177" t="e">
        <f t="shared" si="7"/>
        <v>#REF!</v>
      </c>
      <c r="S13" s="82"/>
      <c r="T13" s="178" t="e">
        <f t="shared" si="8"/>
        <v>#REF!</v>
      </c>
      <c r="U13" s="179" t="e">
        <f>(T12*mr_2*rrDeath1_2)+U12</f>
        <v>#REF!</v>
      </c>
      <c r="V13" s="158" t="e">
        <f t="shared" si="2"/>
        <v>#REF!</v>
      </c>
      <c r="W13" s="183">
        <f t="shared" si="9"/>
        <v>487107.30565627519</v>
      </c>
      <c r="X13" s="179" t="e">
        <f t="shared" si="3"/>
        <v>#REF!</v>
      </c>
      <c r="Y13" s="182" t="e">
        <f t="shared" si="10"/>
        <v>#REF!</v>
      </c>
      <c r="Z13" s="82"/>
      <c r="AA13" s="3"/>
      <c r="AB13" s="3"/>
      <c r="AC13" s="3" t="s">
        <v>244</v>
      </c>
      <c r="AD13" s="3"/>
      <c r="AE13" s="3"/>
      <c r="AF13" s="3"/>
      <c r="AG13" s="149">
        <f>'Decision Tree'!N41</f>
        <v>0.81200000000000006</v>
      </c>
      <c r="AH13" s="149">
        <f>'Decision Tree'!N42</f>
        <v>0.76500000000000001</v>
      </c>
    </row>
    <row r="14" spans="1:34" ht="14.25" customHeight="1" x14ac:dyDescent="0.2">
      <c r="A14" s="3"/>
      <c r="B14" s="82"/>
      <c r="C14" s="176">
        <v>3</v>
      </c>
      <c r="D14" s="168"/>
      <c r="E14" s="177" t="e">
        <f t="shared" si="4"/>
        <v>#REF!</v>
      </c>
      <c r="F14" s="82"/>
      <c r="G14" s="178" t="e">
        <f>G10-H14</f>
        <v>#REF!</v>
      </c>
      <c r="H14" s="179" t="e">
        <f>(G13*mr*rrDeath3)+H13</f>
        <v>#REF!</v>
      </c>
      <c r="I14" s="180" t="e">
        <f t="shared" si="0"/>
        <v>#REF!</v>
      </c>
      <c r="J14" s="156">
        <f t="shared" si="5"/>
        <v>1125190.1396156061</v>
      </c>
      <c r="K14" s="181" t="e">
        <f t="shared" si="1"/>
        <v>#REF!</v>
      </c>
      <c r="L14" s="182" t="e">
        <f t="shared" si="6"/>
        <v>#REF!</v>
      </c>
      <c r="M14" s="82"/>
      <c r="N14" s="3"/>
      <c r="O14" s="82"/>
      <c r="P14" s="176">
        <v>3</v>
      </c>
      <c r="Q14" s="168"/>
      <c r="R14" s="177" t="e">
        <f t="shared" si="7"/>
        <v>#REF!</v>
      </c>
      <c r="S14" s="82"/>
      <c r="T14" s="178" t="e">
        <f t="shared" si="8"/>
        <v>#REF!</v>
      </c>
      <c r="U14" s="179" t="e">
        <f>(T13*mr_2*rrDeath3)+U13</f>
        <v>#REF!</v>
      </c>
      <c r="V14" s="158" t="e">
        <f t="shared" si="2"/>
        <v>#REF!</v>
      </c>
      <c r="W14" s="183">
        <f t="shared" si="9"/>
        <v>483515.59814686439</v>
      </c>
      <c r="X14" s="179" t="e">
        <f t="shared" si="3"/>
        <v>#REF!</v>
      </c>
      <c r="Y14" s="182" t="e">
        <f t="shared" si="10"/>
        <v>#REF!</v>
      </c>
      <c r="Z14" s="82"/>
      <c r="AA14" s="3"/>
      <c r="AB14" s="3"/>
      <c r="AC14" s="3"/>
      <c r="AD14" s="3"/>
      <c r="AE14" s="3"/>
      <c r="AF14" s="3"/>
      <c r="AG14" s="3"/>
      <c r="AH14" s="3"/>
    </row>
    <row r="15" spans="1:34" ht="14.25" customHeight="1" x14ac:dyDescent="0.2">
      <c r="A15" s="3"/>
      <c r="B15" s="82"/>
      <c r="C15" s="176">
        <v>4</v>
      </c>
      <c r="D15" s="168"/>
      <c r="E15" s="177" t="e">
        <f t="shared" si="4"/>
        <v>#REF!</v>
      </c>
      <c r="F15" s="82"/>
      <c r="G15" s="178" t="e">
        <f t="shared" ref="G15:G61" si="11">$G$10-H15</f>
        <v>#REF!</v>
      </c>
      <c r="H15" s="179" t="e">
        <f>(G14*mr*rrDeath4)+H14</f>
        <v>#REF!</v>
      </c>
      <c r="I15" s="180" t="e">
        <f t="shared" si="0"/>
        <v>#REF!</v>
      </c>
      <c r="J15" s="156">
        <f t="shared" si="5"/>
        <v>1114141.5701066614</v>
      </c>
      <c r="K15" s="181" t="e">
        <f t="shared" si="1"/>
        <v>#REF!</v>
      </c>
      <c r="L15" s="182" t="e">
        <f t="shared" si="6"/>
        <v>#REF!</v>
      </c>
      <c r="M15" s="82"/>
      <c r="N15" s="3"/>
      <c r="O15" s="82"/>
      <c r="P15" s="176">
        <v>4</v>
      </c>
      <c r="Q15" s="168"/>
      <c r="R15" s="177" t="e">
        <f t="shared" si="7"/>
        <v>#REF!</v>
      </c>
      <c r="S15" s="82"/>
      <c r="T15" s="178" t="e">
        <f t="shared" si="8"/>
        <v>#REF!</v>
      </c>
      <c r="U15" s="179" t="e">
        <f>(T14*mr_2*rrDeath4)+U14</f>
        <v>#REF!</v>
      </c>
      <c r="V15" s="158" t="e">
        <f t="shared" si="2"/>
        <v>#REF!</v>
      </c>
      <c r="W15" s="183">
        <f t="shared" si="9"/>
        <v>478767.81774362549</v>
      </c>
      <c r="X15" s="179" t="e">
        <f t="shared" si="3"/>
        <v>#REF!</v>
      </c>
      <c r="Y15" s="182" t="e">
        <f t="shared" si="10"/>
        <v>#REF!</v>
      </c>
      <c r="Z15" s="82"/>
      <c r="AA15" s="3"/>
      <c r="AB15" s="3"/>
      <c r="AC15" s="3"/>
      <c r="AD15" s="3"/>
      <c r="AE15" s="3"/>
      <c r="AF15" s="3"/>
      <c r="AG15" s="3"/>
      <c r="AH15" s="3"/>
    </row>
    <row r="16" spans="1:34" ht="14.25" customHeight="1" x14ac:dyDescent="0.2">
      <c r="A16" s="3"/>
      <c r="B16" s="82"/>
      <c r="C16" s="176">
        <v>5</v>
      </c>
      <c r="D16" s="168"/>
      <c r="E16" s="177" t="e">
        <f t="shared" si="4"/>
        <v>#REF!</v>
      </c>
      <c r="F16" s="82"/>
      <c r="G16" s="178" t="e">
        <f t="shared" si="11"/>
        <v>#REF!</v>
      </c>
      <c r="H16" s="179" t="e">
        <f>(G15*mr*rrDeath5)+H15</f>
        <v>#REF!</v>
      </c>
      <c r="I16" s="180" t="e">
        <f t="shared" si="0"/>
        <v>#REF!</v>
      </c>
      <c r="J16" s="156">
        <f t="shared" si="5"/>
        <v>1100483.2959767557</v>
      </c>
      <c r="K16" s="181" t="e">
        <f t="shared" si="1"/>
        <v>#REF!</v>
      </c>
      <c r="L16" s="182" t="e">
        <f t="shared" si="6"/>
        <v>#REF!</v>
      </c>
      <c r="M16" s="82"/>
      <c r="N16" s="3"/>
      <c r="O16" s="82"/>
      <c r="P16" s="176">
        <v>5</v>
      </c>
      <c r="Q16" s="168"/>
      <c r="R16" s="177" t="e">
        <f t="shared" si="7"/>
        <v>#REF!</v>
      </c>
      <c r="S16" s="82"/>
      <c r="T16" s="178" t="e">
        <f t="shared" si="8"/>
        <v>#REF!</v>
      </c>
      <c r="U16" s="179" t="e">
        <f>(T15*mr_2*rrDeath5)+U15</f>
        <v>#REF!</v>
      </c>
      <c r="V16" s="158" t="e">
        <f t="shared" si="2"/>
        <v>#REF!</v>
      </c>
      <c r="W16" s="183">
        <f t="shared" si="9"/>
        <v>472898.5976420067</v>
      </c>
      <c r="X16" s="179" t="e">
        <f t="shared" si="3"/>
        <v>#REF!</v>
      </c>
      <c r="Y16" s="182" t="e">
        <f t="shared" si="10"/>
        <v>#REF!</v>
      </c>
      <c r="Z16" s="82"/>
      <c r="AA16" s="3"/>
      <c r="AB16" s="3"/>
      <c r="AC16" s="3"/>
      <c r="AD16" s="3"/>
      <c r="AE16" s="3"/>
      <c r="AF16" s="3"/>
      <c r="AG16" s="3"/>
      <c r="AH16" s="3"/>
    </row>
    <row r="17" spans="1:34" ht="14.25" customHeight="1" x14ac:dyDescent="0.2">
      <c r="A17" s="3"/>
      <c r="B17" s="82"/>
      <c r="C17" s="176">
        <v>6</v>
      </c>
      <c r="D17" s="168"/>
      <c r="E17" s="177" t="e">
        <f t="shared" si="4"/>
        <v>#REF!</v>
      </c>
      <c r="F17" s="82"/>
      <c r="G17" s="178" t="e">
        <f t="shared" si="11"/>
        <v>#REF!</v>
      </c>
      <c r="H17" s="179" t="e">
        <f>(G16*mr*rrDeath6)+H16</f>
        <v>#REF!</v>
      </c>
      <c r="I17" s="180" t="e">
        <f t="shared" si="0"/>
        <v>#REF!</v>
      </c>
      <c r="J17" s="156">
        <f t="shared" si="5"/>
        <v>1084314.2027034638</v>
      </c>
      <c r="K17" s="181" t="e">
        <f t="shared" si="1"/>
        <v>#REF!</v>
      </c>
      <c r="L17" s="182" t="e">
        <f t="shared" si="6"/>
        <v>#REF!</v>
      </c>
      <c r="M17" s="82"/>
      <c r="N17" s="3"/>
      <c r="O17" s="82"/>
      <c r="P17" s="176">
        <v>6</v>
      </c>
      <c r="Q17" s="168"/>
      <c r="R17" s="177" t="e">
        <f t="shared" si="7"/>
        <v>#REF!</v>
      </c>
      <c r="S17" s="82"/>
      <c r="T17" s="178" t="e">
        <f t="shared" si="8"/>
        <v>#REF!</v>
      </c>
      <c r="U17" s="179" t="e">
        <f>(T16*mr_2*rrDeath6)+U16</f>
        <v>#REF!</v>
      </c>
      <c r="V17" s="158" t="e">
        <f t="shared" si="2"/>
        <v>#REF!</v>
      </c>
      <c r="W17" s="183">
        <f t="shared" si="9"/>
        <v>465950.43081199966</v>
      </c>
      <c r="X17" s="179" t="e">
        <f t="shared" si="3"/>
        <v>#REF!</v>
      </c>
      <c r="Y17" s="182" t="e">
        <f t="shared" si="10"/>
        <v>#REF!</v>
      </c>
      <c r="Z17" s="82"/>
      <c r="AA17" s="3"/>
      <c r="AB17" s="3"/>
      <c r="AC17" s="3"/>
      <c r="AD17" s="3"/>
      <c r="AE17" s="3"/>
      <c r="AF17" s="3"/>
      <c r="AG17" s="3"/>
      <c r="AH17" s="3"/>
    </row>
    <row r="18" spans="1:34" ht="14.25" customHeight="1" x14ac:dyDescent="0.2">
      <c r="A18" s="3"/>
      <c r="B18" s="82"/>
      <c r="C18" s="176">
        <v>7</v>
      </c>
      <c r="D18" s="168"/>
      <c r="E18" s="177" t="e">
        <f t="shared" si="4"/>
        <v>#REF!</v>
      </c>
      <c r="F18" s="82"/>
      <c r="G18" s="178" t="e">
        <f t="shared" si="11"/>
        <v>#REF!</v>
      </c>
      <c r="H18" s="179" t="e">
        <f>(G17*mr*rrDeath7)+H17</f>
        <v>#REF!</v>
      </c>
      <c r="I18" s="180" t="e">
        <f t="shared" si="0"/>
        <v>#REF!</v>
      </c>
      <c r="J18" s="156">
        <f t="shared" si="5"/>
        <v>1065750.2742179797</v>
      </c>
      <c r="K18" s="181" t="e">
        <f t="shared" si="1"/>
        <v>#REF!</v>
      </c>
      <c r="L18" s="182" t="e">
        <f t="shared" si="6"/>
        <v>#REF!</v>
      </c>
      <c r="M18" s="82"/>
      <c r="N18" s="3"/>
      <c r="O18" s="82"/>
      <c r="P18" s="176">
        <v>7</v>
      </c>
      <c r="Q18" s="168"/>
      <c r="R18" s="177" t="e">
        <f t="shared" si="7"/>
        <v>#REF!</v>
      </c>
      <c r="S18" s="82"/>
      <c r="T18" s="178" t="e">
        <f t="shared" si="8"/>
        <v>#REF!</v>
      </c>
      <c r="U18" s="179" t="e">
        <f>(T17*mr_2*rrDeath7)+U17</f>
        <v>#REF!</v>
      </c>
      <c r="V18" s="158" t="e">
        <f t="shared" si="2"/>
        <v>#REF!</v>
      </c>
      <c r="W18" s="183">
        <f t="shared" si="9"/>
        <v>457973.15775423811</v>
      </c>
      <c r="X18" s="179" t="e">
        <f t="shared" si="3"/>
        <v>#REF!</v>
      </c>
      <c r="Y18" s="182" t="e">
        <f t="shared" si="10"/>
        <v>#REF!</v>
      </c>
      <c r="Z18" s="82"/>
      <c r="AA18" s="3"/>
      <c r="AB18" s="3"/>
      <c r="AC18" s="3"/>
      <c r="AD18" s="3"/>
      <c r="AE18" s="3"/>
      <c r="AF18" s="3"/>
      <c r="AG18" s="3"/>
      <c r="AH18" s="3"/>
    </row>
    <row r="19" spans="1:34" ht="14.25" customHeight="1" x14ac:dyDescent="0.2">
      <c r="A19" s="3"/>
      <c r="B19" s="82"/>
      <c r="C19" s="176">
        <v>8</v>
      </c>
      <c r="D19" s="168"/>
      <c r="E19" s="177" t="e">
        <f t="shared" si="4"/>
        <v>#REF!</v>
      </c>
      <c r="F19" s="82"/>
      <c r="G19" s="178" t="e">
        <f t="shared" si="11"/>
        <v>#REF!</v>
      </c>
      <c r="H19" s="179" t="e">
        <f>(G18*mr*rrDeath8)+H18</f>
        <v>#REF!</v>
      </c>
      <c r="I19" s="180" t="e">
        <f t="shared" si="0"/>
        <v>#REF!</v>
      </c>
      <c r="J19" s="156">
        <f t="shared" si="5"/>
        <v>1044923.2078998762</v>
      </c>
      <c r="K19" s="181" t="e">
        <f t="shared" si="1"/>
        <v>#REF!</v>
      </c>
      <c r="L19" s="182" t="e">
        <f t="shared" si="6"/>
        <v>#REF!</v>
      </c>
      <c r="M19" s="82"/>
      <c r="N19" s="3"/>
      <c r="O19" s="82"/>
      <c r="P19" s="176">
        <v>8</v>
      </c>
      <c r="Q19" s="168"/>
      <c r="R19" s="177" t="e">
        <f t="shared" si="7"/>
        <v>#REF!</v>
      </c>
      <c r="S19" s="82"/>
      <c r="T19" s="178" t="e">
        <f t="shared" si="8"/>
        <v>#REF!</v>
      </c>
      <c r="U19" s="179" t="e">
        <f>(T18*mr_2*rrDeath8)+U18</f>
        <v>#REF!</v>
      </c>
      <c r="V19" s="158" t="e">
        <f t="shared" si="2"/>
        <v>#REF!</v>
      </c>
      <c r="W19" s="183">
        <f t="shared" si="9"/>
        <v>449023.37133691087</v>
      </c>
      <c r="X19" s="179" t="e">
        <f t="shared" si="3"/>
        <v>#REF!</v>
      </c>
      <c r="Y19" s="182" t="e">
        <f t="shared" si="10"/>
        <v>#REF!</v>
      </c>
      <c r="Z19" s="82"/>
      <c r="AA19" s="3"/>
      <c r="AB19" s="3"/>
      <c r="AC19" s="3"/>
      <c r="AD19" s="3"/>
      <c r="AE19" s="3"/>
      <c r="AF19" s="3"/>
      <c r="AG19" s="3"/>
      <c r="AH19" s="3"/>
    </row>
    <row r="20" spans="1:34" ht="14.25" customHeight="1" x14ac:dyDescent="0.2">
      <c r="A20" s="3"/>
      <c r="B20" s="82"/>
      <c r="C20" s="176">
        <v>9</v>
      </c>
      <c r="D20" s="168"/>
      <c r="E20" s="177" t="e">
        <f t="shared" si="4"/>
        <v>#REF!</v>
      </c>
      <c r="F20" s="82"/>
      <c r="G20" s="178" t="e">
        <f t="shared" si="11"/>
        <v>#REF!</v>
      </c>
      <c r="H20" s="179" t="e">
        <f>(G19*mr*rrDeath9)+H19</f>
        <v>#REF!</v>
      </c>
      <c r="I20" s="180" t="e">
        <f t="shared" si="0"/>
        <v>#REF!</v>
      </c>
      <c r="J20" s="156">
        <f t="shared" si="5"/>
        <v>1021978.8597375222</v>
      </c>
      <c r="K20" s="181" t="e">
        <f t="shared" si="1"/>
        <v>#REF!</v>
      </c>
      <c r="L20" s="182" t="e">
        <f t="shared" si="6"/>
        <v>#REF!</v>
      </c>
      <c r="M20" s="82"/>
      <c r="N20" s="3"/>
      <c r="O20" s="82"/>
      <c r="P20" s="176">
        <v>9</v>
      </c>
      <c r="Q20" s="168"/>
      <c r="R20" s="177" t="e">
        <f t="shared" si="7"/>
        <v>#REF!</v>
      </c>
      <c r="S20" s="82"/>
      <c r="T20" s="178" t="e">
        <f t="shared" si="8"/>
        <v>#REF!</v>
      </c>
      <c r="U20" s="179" t="e">
        <f>(T19*mr_2*rrDeath9)+U19</f>
        <v>#REF!</v>
      </c>
      <c r="V20" s="158" t="e">
        <f t="shared" si="2"/>
        <v>#REF!</v>
      </c>
      <c r="W20" s="183">
        <f t="shared" si="9"/>
        <v>439163.74865162815</v>
      </c>
      <c r="X20" s="179" t="e">
        <f t="shared" si="3"/>
        <v>#REF!</v>
      </c>
      <c r="Y20" s="182" t="e">
        <f t="shared" si="10"/>
        <v>#REF!</v>
      </c>
      <c r="Z20" s="82"/>
      <c r="AA20" s="3"/>
      <c r="AB20" s="3"/>
      <c r="AC20" s="3"/>
      <c r="AD20" s="3"/>
      <c r="AE20" s="3"/>
      <c r="AF20" s="3"/>
      <c r="AG20" s="3"/>
      <c r="AH20" s="3"/>
    </row>
    <row r="21" spans="1:34" ht="14.25" customHeight="1" x14ac:dyDescent="0.2">
      <c r="A21" s="3"/>
      <c r="B21" s="82"/>
      <c r="C21" s="176">
        <v>10</v>
      </c>
      <c r="D21" s="168"/>
      <c r="E21" s="177" t="e">
        <f t="shared" si="4"/>
        <v>#REF!</v>
      </c>
      <c r="F21" s="82"/>
      <c r="G21" s="178" t="e">
        <f t="shared" si="11"/>
        <v>#REF!</v>
      </c>
      <c r="H21" s="179" t="e">
        <f>(G20*mr*rrDeath10)+H20</f>
        <v>#REF!</v>
      </c>
      <c r="I21" s="180" t="e">
        <f t="shared" si="0"/>
        <v>#REF!</v>
      </c>
      <c r="J21" s="156">
        <f t="shared" si="5"/>
        <v>997075.54531436518</v>
      </c>
      <c r="K21" s="181" t="e">
        <f t="shared" si="1"/>
        <v>#REF!</v>
      </c>
      <c r="L21" s="182" t="e">
        <f t="shared" si="6"/>
        <v>#REF!</v>
      </c>
      <c r="M21" s="82"/>
      <c r="N21" s="3"/>
      <c r="O21" s="82"/>
      <c r="P21" s="176">
        <v>10</v>
      </c>
      <c r="Q21" s="168"/>
      <c r="R21" s="177" t="e">
        <f t="shared" si="7"/>
        <v>#REF!</v>
      </c>
      <c r="S21" s="82"/>
      <c r="T21" s="178" t="e">
        <f t="shared" si="8"/>
        <v>#REF!</v>
      </c>
      <c r="U21" s="179" t="e">
        <f>(T20*mr_2*rrDeath10)+U20</f>
        <v>#REF!</v>
      </c>
      <c r="V21" s="158" t="e">
        <f t="shared" si="2"/>
        <v>#REF!</v>
      </c>
      <c r="W21" s="183">
        <f t="shared" si="9"/>
        <v>428462.32091492065</v>
      </c>
      <c r="X21" s="179" t="e">
        <f t="shared" si="3"/>
        <v>#REF!</v>
      </c>
      <c r="Y21" s="182" t="e">
        <f t="shared" si="10"/>
        <v>#REF!</v>
      </c>
      <c r="Z21" s="82"/>
      <c r="AA21" s="3"/>
      <c r="AB21" s="3"/>
      <c r="AC21" s="3"/>
      <c r="AD21" s="3"/>
      <c r="AE21" s="3"/>
      <c r="AF21" s="3"/>
      <c r="AG21" s="3"/>
      <c r="AH21" s="3"/>
    </row>
    <row r="22" spans="1:34" ht="14.25" customHeight="1" x14ac:dyDescent="0.2">
      <c r="A22" s="3"/>
      <c r="B22" s="82"/>
      <c r="C22" s="176">
        <v>11</v>
      </c>
      <c r="D22" s="168"/>
      <c r="E22" s="177" t="e">
        <f t="shared" si="4"/>
        <v>#REF!</v>
      </c>
      <c r="F22" s="82"/>
      <c r="G22" s="178" t="e">
        <f t="shared" si="11"/>
        <v>#REF!</v>
      </c>
      <c r="H22" s="179" t="e">
        <f>(G21*mr*rrDeath11)+H21</f>
        <v>#REF!</v>
      </c>
      <c r="I22" s="180" t="e">
        <f t="shared" si="0"/>
        <v>#REF!</v>
      </c>
      <c r="J22" s="156">
        <f t="shared" si="5"/>
        <v>970382.2242708035</v>
      </c>
      <c r="K22" s="181" t="e">
        <f t="shared" si="1"/>
        <v>#REF!</v>
      </c>
      <c r="L22" s="182" t="e">
        <f t="shared" si="6"/>
        <v>#REF!</v>
      </c>
      <c r="M22" s="82"/>
      <c r="N22" s="3"/>
      <c r="O22" s="82"/>
      <c r="P22" s="176">
        <v>11</v>
      </c>
      <c r="Q22" s="168"/>
      <c r="R22" s="177" t="e">
        <f t="shared" si="7"/>
        <v>#REF!</v>
      </c>
      <c r="S22" s="82"/>
      <c r="T22" s="178" t="e">
        <f t="shared" si="8"/>
        <v>#REF!</v>
      </c>
      <c r="U22" s="179" t="e">
        <f>(T21*mr_2*rrDeath11)+U21</f>
        <v>#REF!</v>
      </c>
      <c r="V22" s="158" t="e">
        <f t="shared" si="2"/>
        <v>#REF!</v>
      </c>
      <c r="W22" s="183">
        <f t="shared" si="9"/>
        <v>416991.69329698471</v>
      </c>
      <c r="X22" s="179" t="e">
        <f t="shared" si="3"/>
        <v>#REF!</v>
      </c>
      <c r="Y22" s="182" t="e">
        <f t="shared" si="10"/>
        <v>#REF!</v>
      </c>
      <c r="Z22" s="82"/>
      <c r="AA22" s="3"/>
      <c r="AB22" s="3"/>
      <c r="AC22" s="3"/>
      <c r="AD22" s="3"/>
      <c r="AE22" s="3"/>
      <c r="AF22" s="3"/>
      <c r="AG22" s="3"/>
      <c r="AH22" s="3"/>
    </row>
    <row r="23" spans="1:34" ht="14.25" customHeight="1" x14ac:dyDescent="0.2">
      <c r="A23" s="3"/>
      <c r="B23" s="82"/>
      <c r="C23" s="176">
        <v>12</v>
      </c>
      <c r="D23" s="168"/>
      <c r="E23" s="177" t="e">
        <f t="shared" si="4"/>
        <v>#REF!</v>
      </c>
      <c r="F23" s="82"/>
      <c r="G23" s="178" t="e">
        <f t="shared" si="11"/>
        <v>#REF!</v>
      </c>
      <c r="H23" s="179" t="e">
        <f>(G22*mr*rrDeath12)+H22</f>
        <v>#REF!</v>
      </c>
      <c r="I23" s="180" t="e">
        <f t="shared" si="0"/>
        <v>#REF!</v>
      </c>
      <c r="J23" s="156">
        <f t="shared" si="5"/>
        <v>942076.59730361192</v>
      </c>
      <c r="K23" s="181" t="e">
        <f t="shared" si="1"/>
        <v>#REF!</v>
      </c>
      <c r="L23" s="182" t="e">
        <f t="shared" si="6"/>
        <v>#REF!</v>
      </c>
      <c r="M23" s="82"/>
      <c r="N23" s="3"/>
      <c r="O23" s="82"/>
      <c r="P23" s="176">
        <v>12</v>
      </c>
      <c r="Q23" s="168"/>
      <c r="R23" s="177" t="e">
        <f t="shared" si="7"/>
        <v>#REF!</v>
      </c>
      <c r="S23" s="82"/>
      <c r="T23" s="178" t="e">
        <f t="shared" si="8"/>
        <v>#REF!</v>
      </c>
      <c r="U23" s="179" t="e">
        <f>(T22*mr_2*rrDeath12)+U22</f>
        <v>#REF!</v>
      </c>
      <c r="V23" s="158" t="e">
        <f t="shared" si="2"/>
        <v>#REF!</v>
      </c>
      <c r="W23" s="183">
        <f t="shared" si="9"/>
        <v>404828.22716614994</v>
      </c>
      <c r="X23" s="179" t="e">
        <f t="shared" si="3"/>
        <v>#REF!</v>
      </c>
      <c r="Y23" s="182" t="e">
        <f t="shared" si="10"/>
        <v>#REF!</v>
      </c>
      <c r="Z23" s="82"/>
      <c r="AA23" s="3"/>
      <c r="AB23" s="3"/>
      <c r="AC23" s="3"/>
      <c r="AD23" s="3"/>
      <c r="AE23" s="3"/>
      <c r="AF23" s="3"/>
      <c r="AG23" s="3"/>
      <c r="AH23" s="3"/>
    </row>
    <row r="24" spans="1:34" ht="14.25" customHeight="1" x14ac:dyDescent="0.2">
      <c r="A24" s="3"/>
      <c r="B24" s="82"/>
      <c r="C24" s="176">
        <v>13</v>
      </c>
      <c r="D24" s="168"/>
      <c r="E24" s="177" t="e">
        <f t="shared" si="4"/>
        <v>#REF!</v>
      </c>
      <c r="F24" s="82"/>
      <c r="G24" s="178" t="e">
        <f t="shared" si="11"/>
        <v>#REF!</v>
      </c>
      <c r="H24" s="179" t="e">
        <f>(G23*mr*rrDeath13)+H23</f>
        <v>#REF!</v>
      </c>
      <c r="I24" s="180" t="e">
        <f t="shared" si="0"/>
        <v>#REF!</v>
      </c>
      <c r="J24" s="156">
        <f t="shared" si="5"/>
        <v>912343.14558089606</v>
      </c>
      <c r="K24" s="181" t="e">
        <f t="shared" si="1"/>
        <v>#REF!</v>
      </c>
      <c r="L24" s="182" t="e">
        <f t="shared" si="6"/>
        <v>#REF!</v>
      </c>
      <c r="M24" s="82"/>
      <c r="N24" s="3"/>
      <c r="O24" s="82"/>
      <c r="P24" s="176">
        <v>13</v>
      </c>
      <c r="Q24" s="168"/>
      <c r="R24" s="177" t="e">
        <f t="shared" si="7"/>
        <v>#REF!</v>
      </c>
      <c r="S24" s="82"/>
      <c r="T24" s="178" t="e">
        <f t="shared" si="8"/>
        <v>#REF!</v>
      </c>
      <c r="U24" s="179" t="e">
        <f>(T23*mr_2*rrDeath13)+U23</f>
        <v>#REF!</v>
      </c>
      <c r="V24" s="158" t="e">
        <f t="shared" si="2"/>
        <v>#REF!</v>
      </c>
      <c r="W24" s="183">
        <f t="shared" si="9"/>
        <v>392051.19758820563</v>
      </c>
      <c r="X24" s="179" t="e">
        <f t="shared" si="3"/>
        <v>#REF!</v>
      </c>
      <c r="Y24" s="182" t="e">
        <f t="shared" si="10"/>
        <v>#REF!</v>
      </c>
      <c r="Z24" s="82"/>
      <c r="AA24" s="3"/>
      <c r="AB24" s="3"/>
      <c r="AC24" s="3"/>
      <c r="AD24" s="3"/>
      <c r="AE24" s="3"/>
      <c r="AF24" s="3"/>
      <c r="AG24" s="3"/>
      <c r="AH24" s="3"/>
    </row>
    <row r="25" spans="1:34" ht="14.25" customHeight="1" x14ac:dyDescent="0.2">
      <c r="A25" s="3"/>
      <c r="B25" s="82"/>
      <c r="C25" s="176">
        <v>14</v>
      </c>
      <c r="D25" s="168"/>
      <c r="E25" s="177" t="e">
        <f t="shared" si="4"/>
        <v>#REF!</v>
      </c>
      <c r="F25" s="82"/>
      <c r="G25" s="178" t="e">
        <f t="shared" si="11"/>
        <v>#REF!</v>
      </c>
      <c r="H25" s="179" t="e">
        <f>(G24*mr*rrDeath14)+H24</f>
        <v>#REF!</v>
      </c>
      <c r="I25" s="180" t="e">
        <f t="shared" si="0"/>
        <v>#REF!</v>
      </c>
      <c r="J25" s="156">
        <f t="shared" si="5"/>
        <v>881371.14266627852</v>
      </c>
      <c r="K25" s="181" t="e">
        <f t="shared" si="1"/>
        <v>#REF!</v>
      </c>
      <c r="L25" s="182" t="e">
        <f t="shared" si="6"/>
        <v>#REF!</v>
      </c>
      <c r="M25" s="82"/>
      <c r="N25" s="3"/>
      <c r="O25" s="82"/>
      <c r="P25" s="176">
        <v>14</v>
      </c>
      <c r="Q25" s="168"/>
      <c r="R25" s="177" t="e">
        <f t="shared" si="7"/>
        <v>#REF!</v>
      </c>
      <c r="S25" s="82"/>
      <c r="T25" s="178" t="e">
        <f t="shared" si="8"/>
        <v>#REF!</v>
      </c>
      <c r="U25" s="179" t="e">
        <f>(T24*mr_2*rrDeath14)+U24</f>
        <v>#REF!</v>
      </c>
      <c r="V25" s="158" t="e">
        <f t="shared" si="2"/>
        <v>#REF!</v>
      </c>
      <c r="W25" s="183">
        <f t="shared" si="9"/>
        <v>378741.9390124206</v>
      </c>
      <c r="X25" s="179" t="e">
        <f t="shared" si="3"/>
        <v>#REF!</v>
      </c>
      <c r="Y25" s="182" t="e">
        <f t="shared" si="10"/>
        <v>#REF!</v>
      </c>
      <c r="Z25" s="82"/>
      <c r="AA25" s="3"/>
      <c r="AB25" s="3"/>
      <c r="AC25" s="3"/>
      <c r="AD25" s="3"/>
      <c r="AE25" s="3"/>
      <c r="AF25" s="3"/>
      <c r="AG25" s="3"/>
      <c r="AH25" s="3"/>
    </row>
    <row r="26" spans="1:34" ht="14.25" customHeight="1" x14ac:dyDescent="0.2">
      <c r="A26" s="3"/>
      <c r="B26" s="82"/>
      <c r="C26" s="176">
        <v>15</v>
      </c>
      <c r="D26" s="168"/>
      <c r="E26" s="177" t="e">
        <f t="shared" si="4"/>
        <v>#REF!</v>
      </c>
      <c r="F26" s="82"/>
      <c r="G26" s="178" t="e">
        <f t="shared" si="11"/>
        <v>#REF!</v>
      </c>
      <c r="H26" s="179" t="e">
        <f>(G25*mr*rrDeath15)+H25</f>
        <v>#REF!</v>
      </c>
      <c r="I26" s="180" t="e">
        <f t="shared" si="0"/>
        <v>#REF!</v>
      </c>
      <c r="J26" s="156">
        <f t="shared" si="5"/>
        <v>849352.66867208132</v>
      </c>
      <c r="K26" s="181" t="e">
        <f t="shared" si="1"/>
        <v>#REF!</v>
      </c>
      <c r="L26" s="182" t="e">
        <f t="shared" si="6"/>
        <v>#REF!</v>
      </c>
      <c r="M26" s="82"/>
      <c r="N26" s="3"/>
      <c r="O26" s="82"/>
      <c r="P26" s="176">
        <v>15</v>
      </c>
      <c r="Q26" s="168"/>
      <c r="R26" s="177" t="e">
        <f t="shared" si="7"/>
        <v>#REF!</v>
      </c>
      <c r="S26" s="82"/>
      <c r="T26" s="178" t="e">
        <f t="shared" si="8"/>
        <v>#REF!</v>
      </c>
      <c r="U26" s="179" t="e">
        <f>(T25*mr_2*rrDeath15)+U25</f>
        <v>#REF!</v>
      </c>
      <c r="V26" s="158" t="e">
        <f t="shared" si="2"/>
        <v>#REF!</v>
      </c>
      <c r="W26" s="183">
        <f t="shared" si="9"/>
        <v>364982.99191540555</v>
      </c>
      <c r="X26" s="179" t="e">
        <f t="shared" si="3"/>
        <v>#REF!</v>
      </c>
      <c r="Y26" s="182" t="e">
        <f t="shared" si="10"/>
        <v>#REF!</v>
      </c>
      <c r="Z26" s="82"/>
      <c r="AA26" s="3"/>
      <c r="AB26" s="3"/>
      <c r="AC26" s="3"/>
      <c r="AD26" s="3"/>
      <c r="AE26" s="3"/>
      <c r="AF26" s="3"/>
      <c r="AG26" s="3"/>
      <c r="AH26" s="3"/>
    </row>
    <row r="27" spans="1:34" ht="14.25" customHeight="1" x14ac:dyDescent="0.2">
      <c r="A27" s="3"/>
      <c r="B27" s="82"/>
      <c r="C27" s="176">
        <v>16</v>
      </c>
      <c r="D27" s="168"/>
      <c r="E27" s="177" t="e">
        <f t="shared" si="4"/>
        <v>#REF!</v>
      </c>
      <c r="F27" s="82"/>
      <c r="G27" s="178" t="e">
        <f t="shared" ca="1" si="11"/>
        <v>#VALUE!</v>
      </c>
      <c r="H27" s="179" t="str">
        <f ca="1">IFERROR(__xludf.DUMMYFUNCTION("(G26*SINGLE(mr)*SINGLE(rrDeath16))+H26"),"#REF!")</f>
        <v>#REF!</v>
      </c>
      <c r="I27" s="180" t="e">
        <f t="shared" ca="1" si="0"/>
        <v>#VALUE!</v>
      </c>
      <c r="J27" s="156">
        <f t="shared" si="5"/>
        <v>816480.65542228031</v>
      </c>
      <c r="K27" s="181" t="e">
        <f t="shared" ca="1" si="1"/>
        <v>#VALUE!</v>
      </c>
      <c r="L27" s="182" t="e">
        <f t="shared" ca="1" si="6"/>
        <v>#VALUE!</v>
      </c>
      <c r="M27" s="82"/>
      <c r="N27" s="3"/>
      <c r="O27" s="82"/>
      <c r="P27" s="176">
        <v>16</v>
      </c>
      <c r="Q27" s="168"/>
      <c r="R27" s="177" t="e">
        <f t="shared" si="7"/>
        <v>#REF!</v>
      </c>
      <c r="S27" s="82"/>
      <c r="T27" s="178" t="e">
        <f t="shared" si="8"/>
        <v>#REF!</v>
      </c>
      <c r="U27" s="179" t="e">
        <f t="shared" ref="U27:U61" si="12">(T26*mr_2*rrDeath16)+U26</f>
        <v>#REF!</v>
      </c>
      <c r="V27" s="158" t="e">
        <f t="shared" si="2"/>
        <v>#REF!</v>
      </c>
      <c r="W27" s="183">
        <f t="shared" si="9"/>
        <v>350857.26277046389</v>
      </c>
      <c r="X27" s="179" t="e">
        <f t="shared" si="3"/>
        <v>#REF!</v>
      </c>
      <c r="Y27" s="182" t="e">
        <f t="shared" si="10"/>
        <v>#REF!</v>
      </c>
      <c r="Z27" s="82"/>
      <c r="AA27" s="3"/>
      <c r="AB27" s="3"/>
      <c r="AC27" s="3"/>
      <c r="AD27" s="3"/>
      <c r="AE27" s="3"/>
      <c r="AF27" s="3"/>
      <c r="AG27" s="3"/>
      <c r="AH27" s="3"/>
    </row>
    <row r="28" spans="1:34" ht="14.25" customHeight="1" x14ac:dyDescent="0.2">
      <c r="A28" s="3"/>
      <c r="B28" s="82"/>
      <c r="C28" s="176">
        <v>17</v>
      </c>
      <c r="D28" s="168"/>
      <c r="E28" s="177" t="e">
        <f t="shared" si="4"/>
        <v>#REF!</v>
      </c>
      <c r="F28" s="82"/>
      <c r="G28" s="178" t="e">
        <f t="shared" ca="1" si="11"/>
        <v>#VALUE!</v>
      </c>
      <c r="H28" s="179" t="str">
        <f ca="1">IFERROR(__xludf.DUMMYFUNCTION("(G27*SINGLE(mr)*SINGLE(rrDeath16))+H27"),"#REF!")</f>
        <v>#REF!</v>
      </c>
      <c r="I28" s="180" t="e">
        <f t="shared" ca="1" si="0"/>
        <v>#VALUE!</v>
      </c>
      <c r="J28" s="156">
        <f t="shared" si="5"/>
        <v>782946.98993954016</v>
      </c>
      <c r="K28" s="181" t="e">
        <f t="shared" ca="1" si="1"/>
        <v>#VALUE!</v>
      </c>
      <c r="L28" s="182" t="e">
        <f t="shared" ca="1" si="6"/>
        <v>#VALUE!</v>
      </c>
      <c r="M28" s="82"/>
      <c r="N28" s="3"/>
      <c r="O28" s="82"/>
      <c r="P28" s="176">
        <v>17</v>
      </c>
      <c r="Q28" s="168"/>
      <c r="R28" s="177" t="e">
        <f t="shared" si="7"/>
        <v>#REF!</v>
      </c>
      <c r="S28" s="82"/>
      <c r="T28" s="178" t="e">
        <f t="shared" si="8"/>
        <v>#REF!</v>
      </c>
      <c r="U28" s="179" t="e">
        <f t="shared" si="12"/>
        <v>#REF!</v>
      </c>
      <c r="V28" s="158" t="e">
        <f t="shared" si="2"/>
        <v>#REF!</v>
      </c>
      <c r="W28" s="183">
        <f t="shared" si="9"/>
        <v>336447.20907990891</v>
      </c>
      <c r="X28" s="179" t="e">
        <f t="shared" si="3"/>
        <v>#REF!</v>
      </c>
      <c r="Y28" s="182" t="e">
        <f t="shared" si="10"/>
        <v>#REF!</v>
      </c>
      <c r="Z28" s="82"/>
      <c r="AA28" s="3"/>
      <c r="AB28" s="3"/>
      <c r="AC28" s="3"/>
      <c r="AD28" s="3"/>
      <c r="AE28" s="3"/>
      <c r="AF28" s="3"/>
      <c r="AG28" s="3"/>
      <c r="AH28" s="3"/>
    </row>
    <row r="29" spans="1:34" ht="14.25" customHeight="1" x14ac:dyDescent="0.2">
      <c r="A29" s="3"/>
      <c r="B29" s="82"/>
      <c r="C29" s="176">
        <v>18</v>
      </c>
      <c r="D29" s="168"/>
      <c r="E29" s="177" t="e">
        <f t="shared" si="4"/>
        <v>#REF!</v>
      </c>
      <c r="F29" s="82"/>
      <c r="G29" s="178" t="e">
        <f t="shared" ca="1" si="11"/>
        <v>#VALUE!</v>
      </c>
      <c r="H29" s="179" t="str">
        <f ca="1">IFERROR(__xludf.DUMMYFUNCTION("(G28*SINGLE(mr)*SINGLE(rrDeath16))+H28"),"#REF!")</f>
        <v>#REF!</v>
      </c>
      <c r="I29" s="180" t="e">
        <f t="shared" ca="1" si="0"/>
        <v>#VALUE!</v>
      </c>
      <c r="J29" s="156">
        <f t="shared" si="5"/>
        <v>748940.70162584784</v>
      </c>
      <c r="K29" s="181" t="e">
        <f t="shared" ca="1" si="1"/>
        <v>#VALUE!</v>
      </c>
      <c r="L29" s="182" t="e">
        <f t="shared" ca="1" si="6"/>
        <v>#VALUE!</v>
      </c>
      <c r="M29" s="82"/>
      <c r="N29" s="3"/>
      <c r="O29" s="82"/>
      <c r="P29" s="176">
        <v>18</v>
      </c>
      <c r="Q29" s="168"/>
      <c r="R29" s="177" t="e">
        <f t="shared" si="7"/>
        <v>#REF!</v>
      </c>
      <c r="S29" s="82"/>
      <c r="T29" s="178" t="e">
        <f t="shared" si="8"/>
        <v>#REF!</v>
      </c>
      <c r="U29" s="179" t="e">
        <f t="shared" si="12"/>
        <v>#REF!</v>
      </c>
      <c r="V29" s="158" t="e">
        <f t="shared" si="2"/>
        <v>#REF!</v>
      </c>
      <c r="W29" s="183">
        <f t="shared" si="9"/>
        <v>321834.06037211197</v>
      </c>
      <c r="X29" s="179" t="e">
        <f t="shared" si="3"/>
        <v>#REF!</v>
      </c>
      <c r="Y29" s="182" t="e">
        <f t="shared" si="10"/>
        <v>#REF!</v>
      </c>
      <c r="Z29" s="82"/>
      <c r="AA29" s="3"/>
      <c r="AB29" s="3"/>
      <c r="AC29" s="3"/>
      <c r="AD29" s="3"/>
      <c r="AE29" s="3"/>
      <c r="AF29" s="3"/>
      <c r="AG29" s="3"/>
      <c r="AH29" s="3"/>
    </row>
    <row r="30" spans="1:34" ht="14.25" customHeight="1" x14ac:dyDescent="0.2">
      <c r="A30" s="3"/>
      <c r="B30" s="82"/>
      <c r="C30" s="176">
        <v>19</v>
      </c>
      <c r="D30" s="168"/>
      <c r="E30" s="177" t="e">
        <f t="shared" si="4"/>
        <v>#REF!</v>
      </c>
      <c r="F30" s="82"/>
      <c r="G30" s="178" t="e">
        <f t="shared" ca="1" si="11"/>
        <v>#VALUE!</v>
      </c>
      <c r="H30" s="179" t="str">
        <f ca="1">IFERROR(__xludf.DUMMYFUNCTION("(G29*SINGLE(mr)*SINGLE(rrDeath16))+H29"),"#REF!")</f>
        <v>#REF!</v>
      </c>
      <c r="I30" s="180" t="e">
        <f t="shared" ca="1" si="0"/>
        <v>#VALUE!</v>
      </c>
      <c r="J30" s="156">
        <f t="shared" si="5"/>
        <v>714646.25614217261</v>
      </c>
      <c r="K30" s="181" t="e">
        <f t="shared" ca="1" si="1"/>
        <v>#VALUE!</v>
      </c>
      <c r="L30" s="182" t="e">
        <f t="shared" ca="1" si="6"/>
        <v>#VALUE!</v>
      </c>
      <c r="M30" s="82"/>
      <c r="N30" s="3"/>
      <c r="O30" s="82"/>
      <c r="P30" s="176">
        <v>19</v>
      </c>
      <c r="Q30" s="168"/>
      <c r="R30" s="177" t="e">
        <f t="shared" si="7"/>
        <v>#REF!</v>
      </c>
      <c r="S30" s="82"/>
      <c r="T30" s="178" t="e">
        <f t="shared" si="8"/>
        <v>#REF!</v>
      </c>
      <c r="U30" s="179" t="e">
        <f t="shared" si="12"/>
        <v>#REF!</v>
      </c>
      <c r="V30" s="158" t="e">
        <f t="shared" si="2"/>
        <v>#REF!</v>
      </c>
      <c r="W30" s="183">
        <f t="shared" si="9"/>
        <v>307097.08504915092</v>
      </c>
      <c r="X30" s="179" t="e">
        <f t="shared" si="3"/>
        <v>#REF!</v>
      </c>
      <c r="Y30" s="182" t="e">
        <f t="shared" si="10"/>
        <v>#REF!</v>
      </c>
      <c r="Z30" s="82"/>
      <c r="AA30" s="3"/>
      <c r="AB30" s="3"/>
      <c r="AC30" s="3"/>
      <c r="AD30" s="3"/>
      <c r="AE30" s="3"/>
      <c r="AF30" s="3"/>
      <c r="AG30" s="3"/>
      <c r="AH30" s="3"/>
    </row>
    <row r="31" spans="1:34" ht="14.25" customHeight="1" x14ac:dyDescent="0.2">
      <c r="A31" s="3"/>
      <c r="B31" s="82"/>
      <c r="C31" s="176">
        <v>20</v>
      </c>
      <c r="D31" s="168"/>
      <c r="E31" s="177" t="e">
        <f t="shared" si="4"/>
        <v>#REF!</v>
      </c>
      <c r="F31" s="82"/>
      <c r="G31" s="178" t="e">
        <f t="shared" ca="1" si="11"/>
        <v>#VALUE!</v>
      </c>
      <c r="H31" s="179" t="str">
        <f ca="1">IFERROR(__xludf.DUMMYFUNCTION("(G30*SINGLE(mr)*SINGLE(rrDeath16))+H30"),"#REF!")</f>
        <v>#REF!</v>
      </c>
      <c r="I31" s="180" t="e">
        <f t="shared" ca="1" si="0"/>
        <v>#VALUE!</v>
      </c>
      <c r="J31" s="156">
        <f t="shared" si="5"/>
        <v>680241.97627619165</v>
      </c>
      <c r="K31" s="181" t="e">
        <f t="shared" ca="1" si="1"/>
        <v>#VALUE!</v>
      </c>
      <c r="L31" s="182" t="e">
        <f t="shared" ca="1" si="6"/>
        <v>#VALUE!</v>
      </c>
      <c r="M31" s="82"/>
      <c r="N31" s="3"/>
      <c r="O31" s="82"/>
      <c r="P31" s="176">
        <v>20</v>
      </c>
      <c r="Q31" s="168"/>
      <c r="R31" s="177" t="e">
        <f t="shared" si="7"/>
        <v>#REF!</v>
      </c>
      <c r="S31" s="82"/>
      <c r="T31" s="178" t="e">
        <f t="shared" si="8"/>
        <v>#REF!</v>
      </c>
      <c r="U31" s="179" t="e">
        <f t="shared" si="12"/>
        <v>#REF!</v>
      </c>
      <c r="V31" s="158" t="e">
        <f t="shared" si="2"/>
        <v>#REF!</v>
      </c>
      <c r="W31" s="183">
        <f t="shared" si="9"/>
        <v>292312.9118036452</v>
      </c>
      <c r="X31" s="179" t="e">
        <f t="shared" si="3"/>
        <v>#REF!</v>
      </c>
      <c r="Y31" s="182" t="e">
        <f t="shared" si="10"/>
        <v>#REF!</v>
      </c>
      <c r="Z31" s="82"/>
      <c r="AA31" s="3"/>
      <c r="AB31" s="3"/>
      <c r="AC31" s="3"/>
      <c r="AD31" s="3"/>
      <c r="AE31" s="3"/>
      <c r="AF31" s="3"/>
      <c r="AG31" s="3"/>
      <c r="AH31" s="3"/>
    </row>
    <row r="32" spans="1:34" ht="14.25" customHeight="1" x14ac:dyDescent="0.2">
      <c r="A32" s="3"/>
      <c r="B32" s="82"/>
      <c r="C32" s="176">
        <v>21</v>
      </c>
      <c r="D32" s="168"/>
      <c r="E32" s="177" t="e">
        <f t="shared" si="4"/>
        <v>#REF!</v>
      </c>
      <c r="F32" s="82"/>
      <c r="G32" s="178" t="e">
        <f t="shared" ca="1" si="11"/>
        <v>#VALUE!</v>
      </c>
      <c r="H32" s="179" t="str">
        <f ca="1">IFERROR(__xludf.DUMMYFUNCTION("(G31*SINGLE(mr)*SINGLE(rrDeath16))+H31"),"#REF!")</f>
        <v>#REF!</v>
      </c>
      <c r="I32" s="180" t="e">
        <f t="shared" ca="1" si="0"/>
        <v>#VALUE!</v>
      </c>
      <c r="J32" s="156">
        <f t="shared" si="5"/>
        <v>645898.60709133651</v>
      </c>
      <c r="K32" s="181" t="e">
        <f t="shared" ca="1" si="1"/>
        <v>#VALUE!</v>
      </c>
      <c r="L32" s="182" t="e">
        <f t="shared" ca="1" si="6"/>
        <v>#VALUE!</v>
      </c>
      <c r="M32" s="82"/>
      <c r="N32" s="3"/>
      <c r="O32" s="82"/>
      <c r="P32" s="176">
        <v>21</v>
      </c>
      <c r="Q32" s="168"/>
      <c r="R32" s="177" t="e">
        <f t="shared" si="7"/>
        <v>#REF!</v>
      </c>
      <c r="S32" s="82"/>
      <c r="T32" s="178" t="e">
        <f t="shared" si="8"/>
        <v>#REF!</v>
      </c>
      <c r="U32" s="179" t="e">
        <f t="shared" si="12"/>
        <v>#REF!</v>
      </c>
      <c r="V32" s="158" t="e">
        <f t="shared" si="2"/>
        <v>#REF!</v>
      </c>
      <c r="W32" s="183">
        <f t="shared" si="9"/>
        <v>277554.91303601762</v>
      </c>
      <c r="X32" s="179" t="e">
        <f t="shared" si="3"/>
        <v>#REF!</v>
      </c>
      <c r="Y32" s="182" t="e">
        <f t="shared" si="10"/>
        <v>#REF!</v>
      </c>
      <c r="Z32" s="82"/>
      <c r="AA32" s="3"/>
      <c r="AB32" s="3"/>
      <c r="AC32" s="3"/>
      <c r="AD32" s="3"/>
      <c r="AE32" s="3"/>
      <c r="AF32" s="3"/>
      <c r="AG32" s="3"/>
      <c r="AH32" s="3"/>
    </row>
    <row r="33" spans="1:34" ht="14.25" customHeight="1" x14ac:dyDescent="0.2">
      <c r="A33" s="3"/>
      <c r="B33" s="82"/>
      <c r="C33" s="176">
        <v>22</v>
      </c>
      <c r="D33" s="168"/>
      <c r="E33" s="177" t="e">
        <f t="shared" si="4"/>
        <v>#REF!</v>
      </c>
      <c r="F33" s="82"/>
      <c r="G33" s="178" t="e">
        <f t="shared" ca="1" si="11"/>
        <v>#VALUE!</v>
      </c>
      <c r="H33" s="179" t="str">
        <f ca="1">IFERROR(__xludf.DUMMYFUNCTION("(G32*SINGLE(mr)*SINGLE(rrDeath16))+H32"),"#REF!")</f>
        <v>#REF!</v>
      </c>
      <c r="I33" s="180" t="e">
        <f t="shared" ca="1" si="0"/>
        <v>#VALUE!</v>
      </c>
      <c r="J33" s="156">
        <f t="shared" si="5"/>
        <v>611778.03945186269</v>
      </c>
      <c r="K33" s="181" t="e">
        <f t="shared" ca="1" si="1"/>
        <v>#VALUE!</v>
      </c>
      <c r="L33" s="182" t="e">
        <f t="shared" ca="1" si="6"/>
        <v>#VALUE!</v>
      </c>
      <c r="M33" s="82"/>
      <c r="N33" s="3"/>
      <c r="O33" s="82"/>
      <c r="P33" s="176">
        <v>22</v>
      </c>
      <c r="Q33" s="168"/>
      <c r="R33" s="177" t="e">
        <f t="shared" si="7"/>
        <v>#REF!</v>
      </c>
      <c r="S33" s="82"/>
      <c r="T33" s="178" t="e">
        <f t="shared" si="8"/>
        <v>#REF!</v>
      </c>
      <c r="U33" s="179" t="e">
        <f t="shared" si="12"/>
        <v>#REF!</v>
      </c>
      <c r="V33" s="158" t="e">
        <f t="shared" si="2"/>
        <v>#REF!</v>
      </c>
      <c r="W33" s="183">
        <f t="shared" si="9"/>
        <v>262892.65632894513</v>
      </c>
      <c r="X33" s="179" t="e">
        <f t="shared" si="3"/>
        <v>#REF!</v>
      </c>
      <c r="Y33" s="182" t="e">
        <f t="shared" si="10"/>
        <v>#REF!</v>
      </c>
      <c r="Z33" s="82"/>
      <c r="AA33" s="3"/>
      <c r="AB33" s="3"/>
      <c r="AC33" s="3"/>
      <c r="AD33" s="3"/>
      <c r="AE33" s="3"/>
      <c r="AF33" s="3"/>
      <c r="AG33" s="3"/>
      <c r="AH33" s="3"/>
    </row>
    <row r="34" spans="1:34" ht="14.25" customHeight="1" x14ac:dyDescent="0.2">
      <c r="A34" s="3"/>
      <c r="B34" s="82"/>
      <c r="C34" s="176">
        <v>23</v>
      </c>
      <c r="D34" s="168"/>
      <c r="E34" s="177" t="e">
        <f t="shared" si="4"/>
        <v>#REF!</v>
      </c>
      <c r="F34" s="82"/>
      <c r="G34" s="178" t="e">
        <f t="shared" ca="1" si="11"/>
        <v>#VALUE!</v>
      </c>
      <c r="H34" s="179" t="str">
        <f ca="1">IFERROR(__xludf.DUMMYFUNCTION("(G33*SINGLE(mr)*SINGLE(rrDeath16))+H33"),"#REF!")</f>
        <v>#REF!</v>
      </c>
      <c r="I34" s="180" t="e">
        <f t="shared" ca="1" si="0"/>
        <v>#VALUE!</v>
      </c>
      <c r="J34" s="156">
        <f t="shared" si="5"/>
        <v>578032.20269550639</v>
      </c>
      <c r="K34" s="181" t="e">
        <f t="shared" ca="1" si="1"/>
        <v>#VALUE!</v>
      </c>
      <c r="L34" s="182" t="e">
        <f t="shared" ca="1" si="6"/>
        <v>#VALUE!</v>
      </c>
      <c r="M34" s="82"/>
      <c r="N34" s="3"/>
      <c r="O34" s="82"/>
      <c r="P34" s="176">
        <v>23</v>
      </c>
      <c r="Q34" s="168"/>
      <c r="R34" s="177" t="e">
        <f t="shared" si="7"/>
        <v>#REF!</v>
      </c>
      <c r="S34" s="82"/>
      <c r="T34" s="178" t="e">
        <f t="shared" si="8"/>
        <v>#REF!</v>
      </c>
      <c r="U34" s="179" t="e">
        <f t="shared" si="12"/>
        <v>#REF!</v>
      </c>
      <c r="V34" s="158" t="e">
        <f t="shared" si="2"/>
        <v>#REF!</v>
      </c>
      <c r="W34" s="183">
        <f t="shared" si="9"/>
        <v>248391.42860774393</v>
      </c>
      <c r="X34" s="179" t="e">
        <f t="shared" si="3"/>
        <v>#REF!</v>
      </c>
      <c r="Y34" s="182" t="e">
        <f t="shared" si="10"/>
        <v>#REF!</v>
      </c>
      <c r="Z34" s="82"/>
      <c r="AA34" s="3"/>
      <c r="AB34" s="3"/>
      <c r="AC34" s="3"/>
      <c r="AD34" s="3"/>
      <c r="AE34" s="3"/>
      <c r="AF34" s="3"/>
      <c r="AG34" s="3"/>
      <c r="AH34" s="3"/>
    </row>
    <row r="35" spans="1:34" ht="14.25" customHeight="1" x14ac:dyDescent="0.2">
      <c r="A35" s="3"/>
      <c r="B35" s="82"/>
      <c r="C35" s="176">
        <v>24</v>
      </c>
      <c r="D35" s="168"/>
      <c r="E35" s="177" t="e">
        <f t="shared" si="4"/>
        <v>#REF!</v>
      </c>
      <c r="F35" s="82"/>
      <c r="G35" s="178" t="e">
        <f t="shared" ca="1" si="11"/>
        <v>#VALUE!</v>
      </c>
      <c r="H35" s="179" t="str">
        <f ca="1">IFERROR(__xludf.DUMMYFUNCTION("(G34*SINGLE(mr)*SINGLE(rrDeath16))+H34"),"#REF!")</f>
        <v>#REF!</v>
      </c>
      <c r="I35" s="180" t="e">
        <f t="shared" ca="1" si="0"/>
        <v>#VALUE!</v>
      </c>
      <c r="J35" s="156">
        <f t="shared" si="5"/>
        <v>544802.13385517686</v>
      </c>
      <c r="K35" s="181" t="e">
        <f t="shared" ca="1" si="1"/>
        <v>#VALUE!</v>
      </c>
      <c r="L35" s="182" t="e">
        <f t="shared" ca="1" si="6"/>
        <v>#VALUE!</v>
      </c>
      <c r="M35" s="82"/>
      <c r="N35" s="3"/>
      <c r="O35" s="82"/>
      <c r="P35" s="176">
        <v>24</v>
      </c>
      <c r="Q35" s="168"/>
      <c r="R35" s="177" t="e">
        <f t="shared" si="7"/>
        <v>#REF!</v>
      </c>
      <c r="S35" s="82"/>
      <c r="T35" s="178" t="e">
        <f t="shared" si="8"/>
        <v>#REF!</v>
      </c>
      <c r="U35" s="179" t="e">
        <f t="shared" si="12"/>
        <v>#REF!</v>
      </c>
      <c r="V35" s="158" t="e">
        <f t="shared" si="2"/>
        <v>#REF!</v>
      </c>
      <c r="W35" s="183">
        <f t="shared" si="9"/>
        <v>234111.83616723213</v>
      </c>
      <c r="X35" s="179" t="e">
        <f t="shared" si="3"/>
        <v>#REF!</v>
      </c>
      <c r="Y35" s="182" t="e">
        <f t="shared" si="10"/>
        <v>#REF!</v>
      </c>
      <c r="Z35" s="82"/>
      <c r="AA35" s="3"/>
      <c r="AB35" s="3"/>
      <c r="AC35" s="3"/>
      <c r="AD35" s="3"/>
      <c r="AE35" s="3"/>
      <c r="AF35" s="3"/>
      <c r="AG35" s="3"/>
      <c r="AH35" s="3"/>
    </row>
    <row r="36" spans="1:34" ht="14.25" customHeight="1" x14ac:dyDescent="0.2">
      <c r="A36" s="3"/>
      <c r="B36" s="82"/>
      <c r="C36" s="176">
        <v>25</v>
      </c>
      <c r="D36" s="168"/>
      <c r="E36" s="177" t="e">
        <f t="shared" si="4"/>
        <v>#REF!</v>
      </c>
      <c r="F36" s="82"/>
      <c r="G36" s="178" t="e">
        <f t="shared" ca="1" si="11"/>
        <v>#VALUE!</v>
      </c>
      <c r="H36" s="179" t="str">
        <f ca="1">IFERROR(__xludf.DUMMYFUNCTION("(G35*SINGLE(mr)*SINGLE(rrDeath16))+H35"),"#REF!")</f>
        <v>#REF!</v>
      </c>
      <c r="I36" s="180" t="e">
        <f t="shared" ca="1" si="0"/>
        <v>#VALUE!</v>
      </c>
      <c r="J36" s="156">
        <f t="shared" si="5"/>
        <v>512217.22748901707</v>
      </c>
      <c r="K36" s="181" t="e">
        <f t="shared" ca="1" si="1"/>
        <v>#VALUE!</v>
      </c>
      <c r="L36" s="182" t="e">
        <f t="shared" ca="1" si="6"/>
        <v>#VALUE!</v>
      </c>
      <c r="M36" s="82"/>
      <c r="N36" s="3"/>
      <c r="O36" s="82"/>
      <c r="P36" s="176">
        <v>25</v>
      </c>
      <c r="Q36" s="168"/>
      <c r="R36" s="177" t="e">
        <f t="shared" si="7"/>
        <v>#REF!</v>
      </c>
      <c r="S36" s="82"/>
      <c r="T36" s="178" t="e">
        <f t="shared" si="8"/>
        <v>#REF!</v>
      </c>
      <c r="U36" s="179" t="e">
        <f t="shared" si="12"/>
        <v>#REF!</v>
      </c>
      <c r="V36" s="158" t="e">
        <f t="shared" si="2"/>
        <v>#REF!</v>
      </c>
      <c r="W36" s="183">
        <f t="shared" si="9"/>
        <v>220109.48230944262</v>
      </c>
      <c r="X36" s="179" t="e">
        <f t="shared" si="3"/>
        <v>#REF!</v>
      </c>
      <c r="Y36" s="182" t="e">
        <f t="shared" si="10"/>
        <v>#REF!</v>
      </c>
      <c r="Z36" s="82"/>
      <c r="AA36" s="3"/>
      <c r="AB36" s="3"/>
      <c r="AC36" s="3"/>
      <c r="AD36" s="3"/>
      <c r="AE36" s="3"/>
      <c r="AF36" s="3"/>
      <c r="AG36" s="3"/>
      <c r="AH36" s="3"/>
    </row>
    <row r="37" spans="1:34" ht="14.25" customHeight="1" x14ac:dyDescent="0.2">
      <c r="A37" s="3"/>
      <c r="B37" s="82"/>
      <c r="C37" s="176">
        <v>26</v>
      </c>
      <c r="D37" s="168"/>
      <c r="E37" s="177" t="e">
        <f t="shared" si="4"/>
        <v>#REF!</v>
      </c>
      <c r="F37" s="82"/>
      <c r="G37" s="178" t="e">
        <f t="shared" ca="1" si="11"/>
        <v>#VALUE!</v>
      </c>
      <c r="H37" s="179" t="str">
        <f ca="1">IFERROR(__xludf.DUMMYFUNCTION("(G36*SINGLE(mr)*SINGLE(rrDeath16))+H36"),"#REF!")</f>
        <v>#REF!</v>
      </c>
      <c r="I37" s="180" t="e">
        <f t="shared" ca="1" si="0"/>
        <v>#VALUE!</v>
      </c>
      <c r="J37" s="156">
        <f t="shared" si="5"/>
        <v>480394.66693462007</v>
      </c>
      <c r="K37" s="181" t="e">
        <f t="shared" ca="1" si="1"/>
        <v>#VALUE!</v>
      </c>
      <c r="L37" s="182" t="e">
        <f t="shared" ca="1" si="6"/>
        <v>#VALUE!</v>
      </c>
      <c r="M37" s="82"/>
      <c r="N37" s="3"/>
      <c r="O37" s="82"/>
      <c r="P37" s="176">
        <v>26</v>
      </c>
      <c r="Q37" s="168"/>
      <c r="R37" s="177" t="e">
        <f t="shared" si="7"/>
        <v>#REF!</v>
      </c>
      <c r="S37" s="82"/>
      <c r="T37" s="178" t="e">
        <f t="shared" si="8"/>
        <v>#REF!</v>
      </c>
      <c r="U37" s="179" t="e">
        <f t="shared" si="12"/>
        <v>#REF!</v>
      </c>
      <c r="V37" s="158" t="e">
        <f t="shared" si="2"/>
        <v>#REF!</v>
      </c>
      <c r="W37" s="183">
        <f t="shared" si="9"/>
        <v>206434.72294274523</v>
      </c>
      <c r="X37" s="179" t="e">
        <f t="shared" si="3"/>
        <v>#REF!</v>
      </c>
      <c r="Y37" s="182" t="e">
        <f t="shared" si="10"/>
        <v>#REF!</v>
      </c>
      <c r="Z37" s="82"/>
      <c r="AA37" s="3"/>
      <c r="AB37" s="3"/>
      <c r="AC37" s="3"/>
      <c r="AD37" s="3"/>
      <c r="AE37" s="3"/>
      <c r="AF37" s="3"/>
      <c r="AG37" s="3"/>
      <c r="AH37" s="3"/>
    </row>
    <row r="38" spans="1:34" ht="14.25" customHeight="1" x14ac:dyDescent="0.2">
      <c r="A38" s="3"/>
      <c r="B38" s="82"/>
      <c r="C38" s="176">
        <v>27</v>
      </c>
      <c r="D38" s="168"/>
      <c r="E38" s="177" t="e">
        <f t="shared" si="4"/>
        <v>#REF!</v>
      </c>
      <c r="F38" s="82"/>
      <c r="G38" s="178" t="e">
        <f t="shared" ca="1" si="11"/>
        <v>#VALUE!</v>
      </c>
      <c r="H38" s="179" t="str">
        <f ca="1">IFERROR(__xludf.DUMMYFUNCTION("(G37*SINGLE(mr)*SINGLE(rrDeath16))+H37"),"#REF!")</f>
        <v>#REF!</v>
      </c>
      <c r="I38" s="180" t="e">
        <f t="shared" ca="1" si="0"/>
        <v>#VALUE!</v>
      </c>
      <c r="J38" s="156">
        <f t="shared" si="5"/>
        <v>449439.03472266957</v>
      </c>
      <c r="K38" s="181" t="e">
        <f t="shared" ca="1" si="1"/>
        <v>#VALUE!</v>
      </c>
      <c r="L38" s="182" t="e">
        <f t="shared" ca="1" si="6"/>
        <v>#VALUE!</v>
      </c>
      <c r="M38" s="82"/>
      <c r="N38" s="3"/>
      <c r="O38" s="82"/>
      <c r="P38" s="176">
        <v>27</v>
      </c>
      <c r="Q38" s="168"/>
      <c r="R38" s="177" t="e">
        <f t="shared" si="7"/>
        <v>#REF!</v>
      </c>
      <c r="S38" s="82"/>
      <c r="T38" s="178" t="e">
        <f t="shared" si="8"/>
        <v>#REF!</v>
      </c>
      <c r="U38" s="179" t="e">
        <f t="shared" si="12"/>
        <v>#REF!</v>
      </c>
      <c r="V38" s="158" t="e">
        <f t="shared" si="2"/>
        <v>#REF!</v>
      </c>
      <c r="W38" s="183">
        <f t="shared" si="9"/>
        <v>193132.49916918029</v>
      </c>
      <c r="X38" s="179" t="e">
        <f t="shared" si="3"/>
        <v>#REF!</v>
      </c>
      <c r="Y38" s="182" t="e">
        <f t="shared" si="10"/>
        <v>#REF!</v>
      </c>
      <c r="Z38" s="82"/>
      <c r="AA38" s="3"/>
      <c r="AB38" s="3"/>
      <c r="AC38" s="3"/>
      <c r="AD38" s="3"/>
      <c r="AE38" s="3"/>
      <c r="AF38" s="3"/>
      <c r="AG38" s="3"/>
      <c r="AH38" s="3"/>
    </row>
    <row r="39" spans="1:34" ht="14.25" customHeight="1" x14ac:dyDescent="0.2">
      <c r="A39" s="3"/>
      <c r="B39" s="82"/>
      <c r="C39" s="176">
        <v>28</v>
      </c>
      <c r="D39" s="168"/>
      <c r="E39" s="177" t="e">
        <f t="shared" si="4"/>
        <v>#REF!</v>
      </c>
      <c r="F39" s="82"/>
      <c r="G39" s="178" t="e">
        <f t="shared" ca="1" si="11"/>
        <v>#VALUE!</v>
      </c>
      <c r="H39" s="179" t="str">
        <f ca="1">IFERROR(__xludf.DUMMYFUNCTION("(G38*SINGLE(mr)*SINGLE(rrDeath16))+H38"),"#REF!")</f>
        <v>#REF!</v>
      </c>
      <c r="I39" s="180" t="e">
        <f t="shared" ca="1" si="0"/>
        <v>#VALUE!</v>
      </c>
      <c r="J39" s="156">
        <f t="shared" si="5"/>
        <v>419442.09702481254</v>
      </c>
      <c r="K39" s="181" t="e">
        <f t="shared" ca="1" si="1"/>
        <v>#VALUE!</v>
      </c>
      <c r="L39" s="182" t="e">
        <f t="shared" ca="1" si="6"/>
        <v>#VALUE!</v>
      </c>
      <c r="M39" s="82"/>
      <c r="N39" s="3"/>
      <c r="O39" s="82"/>
      <c r="P39" s="176">
        <v>28</v>
      </c>
      <c r="Q39" s="168"/>
      <c r="R39" s="177" t="e">
        <f t="shared" si="7"/>
        <v>#REF!</v>
      </c>
      <c r="S39" s="82"/>
      <c r="T39" s="178" t="e">
        <f t="shared" si="8"/>
        <v>#REF!</v>
      </c>
      <c r="U39" s="179" t="e">
        <f t="shared" si="12"/>
        <v>#REF!</v>
      </c>
      <c r="V39" s="158" t="e">
        <f t="shared" si="2"/>
        <v>#REF!</v>
      </c>
      <c r="W39" s="183">
        <f t="shared" si="9"/>
        <v>180242.24465761081</v>
      </c>
      <c r="X39" s="179" t="e">
        <f t="shared" si="3"/>
        <v>#REF!</v>
      </c>
      <c r="Y39" s="182" t="e">
        <f t="shared" si="10"/>
        <v>#REF!</v>
      </c>
      <c r="Z39" s="82"/>
      <c r="AA39" s="3"/>
      <c r="AB39" s="3"/>
      <c r="AC39" s="3"/>
      <c r="AD39" s="3"/>
      <c r="AE39" s="3"/>
      <c r="AF39" s="3"/>
      <c r="AG39" s="3"/>
      <c r="AH39" s="3"/>
    </row>
    <row r="40" spans="1:34" ht="14.25" customHeight="1" x14ac:dyDescent="0.2">
      <c r="A40" s="3"/>
      <c r="B40" s="82"/>
      <c r="C40" s="176">
        <v>29</v>
      </c>
      <c r="D40" s="168"/>
      <c r="E40" s="177" t="e">
        <f t="shared" si="4"/>
        <v>#REF!</v>
      </c>
      <c r="F40" s="82"/>
      <c r="G40" s="178" t="e">
        <f t="shared" ca="1" si="11"/>
        <v>#VALUE!</v>
      </c>
      <c r="H40" s="179" t="str">
        <f ca="1">IFERROR(__xludf.DUMMYFUNCTION("(G39*SINGLE(mr)*SINGLE(rrDeath16))+H39"),"#REF!")</f>
        <v>#REF!</v>
      </c>
      <c r="I40" s="180" t="e">
        <f t="shared" ca="1" si="0"/>
        <v>#VALUE!</v>
      </c>
      <c r="J40" s="156">
        <f t="shared" si="5"/>
        <v>390482.75441868819</v>
      </c>
      <c r="K40" s="181" t="e">
        <f t="shared" ca="1" si="1"/>
        <v>#VALUE!</v>
      </c>
      <c r="L40" s="182" t="e">
        <f t="shared" ca="1" si="6"/>
        <v>#VALUE!</v>
      </c>
      <c r="M40" s="82"/>
      <c r="N40" s="3"/>
      <c r="O40" s="82"/>
      <c r="P40" s="176">
        <v>29</v>
      </c>
      <c r="Q40" s="168"/>
      <c r="R40" s="177" t="e">
        <f t="shared" si="7"/>
        <v>#REF!</v>
      </c>
      <c r="S40" s="82"/>
      <c r="T40" s="178" t="e">
        <f t="shared" si="8"/>
        <v>#REF!</v>
      </c>
      <c r="U40" s="179" t="e">
        <f t="shared" si="12"/>
        <v>#REF!</v>
      </c>
      <c r="V40" s="158" t="e">
        <f t="shared" si="2"/>
        <v>#REF!</v>
      </c>
      <c r="W40" s="183">
        <f t="shared" si="9"/>
        <v>167797.86448651925</v>
      </c>
      <c r="X40" s="179" t="e">
        <f t="shared" si="3"/>
        <v>#REF!</v>
      </c>
      <c r="Y40" s="182" t="e">
        <f t="shared" si="10"/>
        <v>#REF!</v>
      </c>
      <c r="Z40" s="82"/>
      <c r="AA40" s="3"/>
      <c r="AB40" s="3"/>
      <c r="AC40" s="3"/>
      <c r="AD40" s="3"/>
      <c r="AE40" s="3"/>
      <c r="AF40" s="3"/>
      <c r="AG40" s="3"/>
      <c r="AH40" s="3"/>
    </row>
    <row r="41" spans="1:34" ht="14.25" customHeight="1" x14ac:dyDescent="0.2">
      <c r="A41" s="3"/>
      <c r="B41" s="82"/>
      <c r="C41" s="176">
        <v>30</v>
      </c>
      <c r="D41" s="168"/>
      <c r="E41" s="177" t="e">
        <f t="shared" si="4"/>
        <v>#REF!</v>
      </c>
      <c r="F41" s="82"/>
      <c r="G41" s="178" t="e">
        <f t="shared" ca="1" si="11"/>
        <v>#VALUE!</v>
      </c>
      <c r="H41" s="179" t="str">
        <f ca="1">IFERROR(__xludf.DUMMYFUNCTION("(G40*SINGLE(mr)*SINGLE(rrDeath16))+H40"),"#REF!")</f>
        <v>#REF!</v>
      </c>
      <c r="I41" s="180" t="e">
        <f t="shared" ca="1" si="0"/>
        <v>#VALUE!</v>
      </c>
      <c r="J41" s="156">
        <f t="shared" si="5"/>
        <v>362627.14896892617</v>
      </c>
      <c r="K41" s="181" t="e">
        <f t="shared" ca="1" si="1"/>
        <v>#VALUE!</v>
      </c>
      <c r="L41" s="182" t="e">
        <f t="shared" ca="1" si="6"/>
        <v>#VALUE!</v>
      </c>
      <c r="M41" s="82"/>
      <c r="N41" s="3"/>
      <c r="O41" s="82"/>
      <c r="P41" s="176">
        <v>30</v>
      </c>
      <c r="Q41" s="168"/>
      <c r="R41" s="177" t="e">
        <f t="shared" si="7"/>
        <v>#REF!</v>
      </c>
      <c r="S41" s="82"/>
      <c r="T41" s="178" t="e">
        <f t="shared" si="8"/>
        <v>#REF!</v>
      </c>
      <c r="U41" s="179" t="e">
        <f t="shared" si="12"/>
        <v>#REF!</v>
      </c>
      <c r="V41" s="158" t="e">
        <f t="shared" si="2"/>
        <v>#REF!</v>
      </c>
      <c r="W41" s="183">
        <f t="shared" si="9"/>
        <v>155827.78115874855</v>
      </c>
      <c r="X41" s="179" t="e">
        <f t="shared" si="3"/>
        <v>#REF!</v>
      </c>
      <c r="Y41" s="182" t="e">
        <f t="shared" si="10"/>
        <v>#REF!</v>
      </c>
      <c r="Z41" s="82"/>
      <c r="AA41" s="3"/>
      <c r="AB41" s="3"/>
      <c r="AC41" s="3"/>
      <c r="AD41" s="3"/>
      <c r="AE41" s="3"/>
      <c r="AF41" s="3"/>
      <c r="AG41" s="3"/>
      <c r="AH41" s="3"/>
    </row>
    <row r="42" spans="1:34" ht="14.25" customHeight="1" x14ac:dyDescent="0.2">
      <c r="A42" s="3"/>
      <c r="B42" s="82"/>
      <c r="C42" s="176">
        <v>31</v>
      </c>
      <c r="D42" s="168"/>
      <c r="E42" s="177" t="e">
        <f t="shared" si="4"/>
        <v>#REF!</v>
      </c>
      <c r="F42" s="82"/>
      <c r="G42" s="178" t="e">
        <f t="shared" ca="1" si="11"/>
        <v>#VALUE!</v>
      </c>
      <c r="H42" s="179" t="str">
        <f ca="1">IFERROR(__xludf.DUMMYFUNCTION("(G41*SINGLE(mr)*SINGLE(rrDeath16))+H41"),"#REF!")</f>
        <v>#REF!</v>
      </c>
      <c r="I42" s="180" t="e">
        <f t="shared" ca="1" si="0"/>
        <v>#VALUE!</v>
      </c>
      <c r="J42" s="156">
        <f t="shared" si="5"/>
        <v>335928.91567606997</v>
      </c>
      <c r="K42" s="181" t="e">
        <f t="shared" ca="1" si="1"/>
        <v>#VALUE!</v>
      </c>
      <c r="L42" s="182" t="e">
        <f t="shared" ca="1" si="6"/>
        <v>#VALUE!</v>
      </c>
      <c r="M42" s="82"/>
      <c r="N42" s="3"/>
      <c r="O42" s="82"/>
      <c r="P42" s="176">
        <v>31</v>
      </c>
      <c r="Q42" s="168"/>
      <c r="R42" s="177" t="e">
        <f t="shared" si="7"/>
        <v>#REF!</v>
      </c>
      <c r="S42" s="82"/>
      <c r="T42" s="178" t="e">
        <f t="shared" si="8"/>
        <v>#REF!</v>
      </c>
      <c r="U42" s="179" t="e">
        <f t="shared" si="12"/>
        <v>#REF!</v>
      </c>
      <c r="V42" s="158" t="e">
        <f t="shared" si="2"/>
        <v>#REF!</v>
      </c>
      <c r="W42" s="183">
        <f t="shared" si="9"/>
        <v>144355.04265388576</v>
      </c>
      <c r="X42" s="179" t="e">
        <f t="shared" si="3"/>
        <v>#REF!</v>
      </c>
      <c r="Y42" s="182" t="e">
        <f t="shared" si="10"/>
        <v>#REF!</v>
      </c>
      <c r="Z42" s="82"/>
      <c r="AA42" s="3"/>
      <c r="AB42" s="3"/>
      <c r="AC42" s="3"/>
      <c r="AD42" s="3"/>
      <c r="AE42" s="3"/>
      <c r="AF42" s="3"/>
      <c r="AG42" s="3"/>
      <c r="AH42" s="3"/>
    </row>
    <row r="43" spans="1:34" ht="14.25" customHeight="1" x14ac:dyDescent="0.2">
      <c r="A43" s="3"/>
      <c r="B43" s="82"/>
      <c r="C43" s="176">
        <v>32</v>
      </c>
      <c r="D43" s="168"/>
      <c r="E43" s="177" t="e">
        <f t="shared" si="4"/>
        <v>#REF!</v>
      </c>
      <c r="F43" s="82"/>
      <c r="G43" s="178" t="e">
        <f t="shared" ca="1" si="11"/>
        <v>#VALUE!</v>
      </c>
      <c r="H43" s="179" t="str">
        <f ca="1">IFERROR(__xludf.DUMMYFUNCTION("(G42*SINGLE(mr)*SINGLE(rrDeath16))+H42"),"#REF!")</f>
        <v>#REF!</v>
      </c>
      <c r="I43" s="180" t="e">
        <f t="shared" ca="1" si="0"/>
        <v>#VALUE!</v>
      </c>
      <c r="J43" s="156">
        <f t="shared" si="5"/>
        <v>310429.56475531246</v>
      </c>
      <c r="K43" s="181" t="e">
        <f t="shared" ca="1" si="1"/>
        <v>#VALUE!</v>
      </c>
      <c r="L43" s="182" t="e">
        <f t="shared" ca="1" si="6"/>
        <v>#VALUE!</v>
      </c>
      <c r="M43" s="82"/>
      <c r="N43" s="3"/>
      <c r="O43" s="82"/>
      <c r="P43" s="176">
        <v>32</v>
      </c>
      <c r="Q43" s="168"/>
      <c r="R43" s="177" t="e">
        <f t="shared" si="7"/>
        <v>#REF!</v>
      </c>
      <c r="S43" s="82"/>
      <c r="T43" s="178" t="e">
        <f t="shared" si="8"/>
        <v>#REF!</v>
      </c>
      <c r="U43" s="179" t="e">
        <f t="shared" si="12"/>
        <v>#REF!</v>
      </c>
      <c r="V43" s="158" t="e">
        <f t="shared" si="2"/>
        <v>#REF!</v>
      </c>
      <c r="W43" s="183">
        <f t="shared" si="9"/>
        <v>133397.48670070359</v>
      </c>
      <c r="X43" s="179" t="e">
        <f t="shared" si="3"/>
        <v>#REF!</v>
      </c>
      <c r="Y43" s="182" t="e">
        <f t="shared" si="10"/>
        <v>#REF!</v>
      </c>
      <c r="Z43" s="82"/>
      <c r="AA43" s="3"/>
      <c r="AB43" s="3"/>
      <c r="AC43" s="3"/>
      <c r="AD43" s="3"/>
      <c r="AE43" s="3"/>
      <c r="AF43" s="3"/>
      <c r="AG43" s="3"/>
      <c r="AH43" s="3"/>
    </row>
    <row r="44" spans="1:34" ht="14.25" customHeight="1" x14ac:dyDescent="0.2">
      <c r="A44" s="3"/>
      <c r="B44" s="82"/>
      <c r="C44" s="176">
        <v>33</v>
      </c>
      <c r="D44" s="168"/>
      <c r="E44" s="177" t="e">
        <f t="shared" ref="E44:E61" si="13">IF(male=0,VLOOKUP(cycle+age,lifetable,3,1),IF(male=1,VLOOKUP(cycle+age,lifetable,2,1),"error"))</f>
        <v>#REF!</v>
      </c>
      <c r="F44" s="82"/>
      <c r="G44" s="178" t="e">
        <f t="shared" ca="1" si="11"/>
        <v>#VALUE!</v>
      </c>
      <c r="H44" s="179" t="str">
        <f ca="1">IFERROR(__xludf.DUMMYFUNCTION("(G43*SINGLE(mr)*SINGLE(rrDeath16))+H43"),"#REF!")</f>
        <v>#REF!</v>
      </c>
      <c r="I44" s="180" t="e">
        <f t="shared" ca="1" si="0"/>
        <v>#VALUE!</v>
      </c>
      <c r="J44" s="156">
        <f t="shared" ref="J44:J61" si="14">J43/(1+cDR)^cycle</f>
        <v>286158.97998343763</v>
      </c>
      <c r="K44" s="181" t="e">
        <f t="shared" ca="1" si="1"/>
        <v>#VALUE!</v>
      </c>
      <c r="L44" s="182" t="e">
        <f t="shared" ref="L44:L61" ca="1" si="15">(G44*uPostT)/(1+oDR)^cycle</f>
        <v>#VALUE!</v>
      </c>
      <c r="M44" s="82"/>
      <c r="N44" s="3"/>
      <c r="O44" s="82"/>
      <c r="P44" s="176">
        <v>33</v>
      </c>
      <c r="Q44" s="168"/>
      <c r="R44" s="177" t="e">
        <f t="shared" ref="R44:R61" si="16">IF(male=0,VLOOKUP(cycle2+age,lifetable,3,1),IF(male=1,VLOOKUP(cycle2+age,lifetable,2,1),"error"))</f>
        <v>#REF!</v>
      </c>
      <c r="S44" s="82"/>
      <c r="T44" s="178" t="e">
        <f t="shared" si="8"/>
        <v>#REF!</v>
      </c>
      <c r="U44" s="179" t="e">
        <f t="shared" si="12"/>
        <v>#REF!</v>
      </c>
      <c r="V44" s="158" t="e">
        <f t="shared" si="2"/>
        <v>#REF!</v>
      </c>
      <c r="W44" s="183">
        <f t="shared" ref="W44:W61" si="17">W43/(1+cDR)^cycle2</f>
        <v>122967.95492631719</v>
      </c>
      <c r="X44" s="179" t="e">
        <f t="shared" si="3"/>
        <v>#REF!</v>
      </c>
      <c r="Y44" s="182" t="e">
        <f t="shared" ref="Y44:Y61" si="18">(T44*uPostT)/(1+oDR)^cycle2</f>
        <v>#REF!</v>
      </c>
      <c r="Z44" s="82"/>
      <c r="AA44" s="3"/>
      <c r="AB44" s="3"/>
      <c r="AC44" s="3"/>
      <c r="AD44" s="3"/>
      <c r="AE44" s="3"/>
      <c r="AF44" s="3"/>
      <c r="AG44" s="3"/>
      <c r="AH44" s="3"/>
    </row>
    <row r="45" spans="1:34" ht="14.25" customHeight="1" x14ac:dyDescent="0.2">
      <c r="A45" s="3"/>
      <c r="B45" s="82"/>
      <c r="C45" s="176">
        <v>34</v>
      </c>
      <c r="D45" s="168"/>
      <c r="E45" s="177" t="e">
        <f t="shared" si="13"/>
        <v>#REF!</v>
      </c>
      <c r="F45" s="82"/>
      <c r="G45" s="178" t="e">
        <f t="shared" ca="1" si="11"/>
        <v>#VALUE!</v>
      </c>
      <c r="H45" s="179" t="str">
        <f ca="1">IFERROR(__xludf.DUMMYFUNCTION("(G44*SINGLE(mr)*SINGLE(rrDeath16))+H44"),"#REF!")</f>
        <v>#REF!</v>
      </c>
      <c r="I45" s="180" t="e">
        <f t="shared" ca="1" si="0"/>
        <v>#VALUE!</v>
      </c>
      <c r="J45" s="156">
        <f t="shared" si="14"/>
        <v>263136.0174958604</v>
      </c>
      <c r="K45" s="181" t="e">
        <f t="shared" ca="1" si="1"/>
        <v>#VALUE!</v>
      </c>
      <c r="L45" s="182" t="e">
        <f t="shared" ca="1" si="15"/>
        <v>#VALUE!</v>
      </c>
      <c r="M45" s="82"/>
      <c r="N45" s="3"/>
      <c r="O45" s="82"/>
      <c r="P45" s="176">
        <v>34</v>
      </c>
      <c r="Q45" s="168"/>
      <c r="R45" s="177" t="e">
        <f t="shared" si="16"/>
        <v>#REF!</v>
      </c>
      <c r="S45" s="82"/>
      <c r="T45" s="178" t="e">
        <f t="shared" si="8"/>
        <v>#REF!</v>
      </c>
      <c r="U45" s="179" t="e">
        <f t="shared" si="12"/>
        <v>#REF!</v>
      </c>
      <c r="V45" s="158" t="e">
        <f t="shared" si="2"/>
        <v>#REF!</v>
      </c>
      <c r="W45" s="183">
        <f t="shared" si="17"/>
        <v>113074.55017065813</v>
      </c>
      <c r="X45" s="179" t="e">
        <f t="shared" si="3"/>
        <v>#REF!</v>
      </c>
      <c r="Y45" s="182" t="e">
        <f t="shared" si="18"/>
        <v>#REF!</v>
      </c>
      <c r="Z45" s="82"/>
      <c r="AA45" s="3"/>
      <c r="AB45" s="3"/>
      <c r="AC45" s="3"/>
      <c r="AD45" s="3"/>
      <c r="AE45" s="3"/>
      <c r="AF45" s="3"/>
      <c r="AG45" s="3"/>
      <c r="AH45" s="3"/>
    </row>
    <row r="46" spans="1:34" ht="14.25" customHeight="1" x14ac:dyDescent="0.2">
      <c r="A46" s="3"/>
      <c r="B46" s="82"/>
      <c r="C46" s="176">
        <v>35</v>
      </c>
      <c r="D46" s="168"/>
      <c r="E46" s="177" t="e">
        <f t="shared" si="13"/>
        <v>#REF!</v>
      </c>
      <c r="F46" s="82"/>
      <c r="G46" s="178" t="e">
        <f t="shared" ca="1" si="11"/>
        <v>#VALUE!</v>
      </c>
      <c r="H46" s="179" t="str">
        <f ca="1">IFERROR(__xludf.DUMMYFUNCTION("(G45*SINGLE(mr)*SINGLE(rrDeath16))+H45"),"#REF!")</f>
        <v>#REF!</v>
      </c>
      <c r="I46" s="180" t="e">
        <f t="shared" ca="1" si="0"/>
        <v>#VALUE!</v>
      </c>
      <c r="J46" s="156">
        <f t="shared" si="14"/>
        <v>241369.18891783862</v>
      </c>
      <c r="K46" s="181" t="e">
        <f t="shared" ca="1" si="1"/>
        <v>#VALUE!</v>
      </c>
      <c r="L46" s="182" t="e">
        <f t="shared" ca="1" si="15"/>
        <v>#VALUE!</v>
      </c>
      <c r="M46" s="82"/>
      <c r="N46" s="3"/>
      <c r="O46" s="82"/>
      <c r="P46" s="176">
        <v>35</v>
      </c>
      <c r="Q46" s="168"/>
      <c r="R46" s="177" t="e">
        <f t="shared" si="16"/>
        <v>#REF!</v>
      </c>
      <c r="S46" s="82"/>
      <c r="T46" s="178" t="e">
        <f t="shared" si="8"/>
        <v>#REF!</v>
      </c>
      <c r="U46" s="179" t="e">
        <f t="shared" si="12"/>
        <v>#REF!</v>
      </c>
      <c r="V46" s="158" t="e">
        <f t="shared" si="2"/>
        <v>#REF!</v>
      </c>
      <c r="W46" s="183">
        <f t="shared" si="17"/>
        <v>103720.93004094571</v>
      </c>
      <c r="X46" s="179" t="e">
        <f t="shared" si="3"/>
        <v>#REF!</v>
      </c>
      <c r="Y46" s="182" t="e">
        <f t="shared" si="18"/>
        <v>#REF!</v>
      </c>
      <c r="Z46" s="82"/>
      <c r="AA46" s="3"/>
      <c r="AB46" s="3"/>
      <c r="AC46" s="3"/>
      <c r="AD46" s="3"/>
      <c r="AE46" s="3"/>
      <c r="AF46" s="3"/>
      <c r="AG46" s="3"/>
      <c r="AH46" s="3"/>
    </row>
    <row r="47" spans="1:34" ht="14.25" customHeight="1" x14ac:dyDescent="0.2">
      <c r="A47" s="3"/>
      <c r="B47" s="82"/>
      <c r="C47" s="176">
        <v>36</v>
      </c>
      <c r="D47" s="168"/>
      <c r="E47" s="177" t="e">
        <f t="shared" si="13"/>
        <v>#REF!</v>
      </c>
      <c r="F47" s="82"/>
      <c r="G47" s="178" t="e">
        <f t="shared" ca="1" si="11"/>
        <v>#VALUE!</v>
      </c>
      <c r="H47" s="179" t="str">
        <f ca="1">IFERROR(__xludf.DUMMYFUNCTION("(G46*SINGLE(mr)*SINGLE(rrDeath16))+H46"),"#REF!")</f>
        <v>#REF!</v>
      </c>
      <c r="I47" s="180" t="e">
        <f t="shared" ca="1" si="0"/>
        <v>#VALUE!</v>
      </c>
      <c r="J47" s="156">
        <f t="shared" si="14"/>
        <v>220857.41255862472</v>
      </c>
      <c r="K47" s="181" t="e">
        <f t="shared" ca="1" si="1"/>
        <v>#VALUE!</v>
      </c>
      <c r="L47" s="182" t="e">
        <f t="shared" ca="1" si="15"/>
        <v>#VALUE!</v>
      </c>
      <c r="M47" s="82"/>
      <c r="N47" s="3"/>
      <c r="O47" s="82"/>
      <c r="P47" s="176">
        <v>36</v>
      </c>
      <c r="Q47" s="168"/>
      <c r="R47" s="177" t="e">
        <f t="shared" si="16"/>
        <v>#REF!</v>
      </c>
      <c r="S47" s="82"/>
      <c r="T47" s="178" t="e">
        <f t="shared" si="8"/>
        <v>#REF!</v>
      </c>
      <c r="U47" s="179" t="e">
        <f t="shared" si="12"/>
        <v>#REF!</v>
      </c>
      <c r="V47" s="158" t="e">
        <f t="shared" si="2"/>
        <v>#REF!</v>
      </c>
      <c r="W47" s="183">
        <f t="shared" si="17"/>
        <v>94906.629714097682</v>
      </c>
      <c r="X47" s="179" t="e">
        <f t="shared" si="3"/>
        <v>#REF!</v>
      </c>
      <c r="Y47" s="182" t="e">
        <f t="shared" si="18"/>
        <v>#REF!</v>
      </c>
      <c r="Z47" s="82"/>
      <c r="AA47" s="3"/>
      <c r="AB47" s="3"/>
      <c r="AC47" s="3"/>
      <c r="AD47" s="3"/>
      <c r="AE47" s="3"/>
      <c r="AF47" s="3"/>
      <c r="AG47" s="3"/>
      <c r="AH47" s="3"/>
    </row>
    <row r="48" spans="1:34" ht="14.25" customHeight="1" x14ac:dyDescent="0.2">
      <c r="A48" s="3"/>
      <c r="B48" s="82"/>
      <c r="C48" s="176">
        <v>37</v>
      </c>
      <c r="D48" s="168"/>
      <c r="E48" s="177" t="e">
        <f t="shared" si="13"/>
        <v>#REF!</v>
      </c>
      <c r="F48" s="82"/>
      <c r="G48" s="178" t="e">
        <f t="shared" ca="1" si="11"/>
        <v>#VALUE!</v>
      </c>
      <c r="H48" s="179" t="str">
        <f ca="1">IFERROR(__xludf.DUMMYFUNCTION("(G47*SINGLE(mr)*SINGLE(rrDeath16))+H47"),"#REF!")</f>
        <v>#REF!</v>
      </c>
      <c r="I48" s="180" t="e">
        <f t="shared" ca="1" si="0"/>
        <v>#VALUE!</v>
      </c>
      <c r="J48" s="156">
        <f t="shared" si="14"/>
        <v>201590.81656148465</v>
      </c>
      <c r="K48" s="181" t="e">
        <f t="shared" ca="1" si="1"/>
        <v>#VALUE!</v>
      </c>
      <c r="L48" s="182" t="e">
        <f t="shared" ca="1" si="15"/>
        <v>#VALUE!</v>
      </c>
      <c r="M48" s="82"/>
      <c r="N48" s="3"/>
      <c r="O48" s="82"/>
      <c r="P48" s="176">
        <v>37</v>
      </c>
      <c r="Q48" s="168"/>
      <c r="R48" s="177" t="e">
        <f t="shared" si="16"/>
        <v>#REF!</v>
      </c>
      <c r="S48" s="82"/>
      <c r="T48" s="178" t="e">
        <f t="shared" si="8"/>
        <v>#REF!</v>
      </c>
      <c r="U48" s="179" t="e">
        <f t="shared" si="12"/>
        <v>#REF!</v>
      </c>
      <c r="V48" s="158" t="e">
        <f t="shared" si="2"/>
        <v>#REF!</v>
      </c>
      <c r="W48" s="183">
        <f t="shared" si="17"/>
        <v>86627.407065565014</v>
      </c>
      <c r="X48" s="179" t="e">
        <f t="shared" si="3"/>
        <v>#REF!</v>
      </c>
      <c r="Y48" s="182" t="e">
        <f t="shared" si="18"/>
        <v>#REF!</v>
      </c>
      <c r="Z48" s="82"/>
      <c r="AA48" s="3"/>
      <c r="AB48" s="3"/>
      <c r="AC48" s="3"/>
      <c r="AD48" s="3"/>
      <c r="AE48" s="3"/>
      <c r="AF48" s="3"/>
      <c r="AG48" s="3"/>
      <c r="AH48" s="3"/>
    </row>
    <row r="49" spans="1:34" ht="14.25" customHeight="1" x14ac:dyDescent="0.2">
      <c r="A49" s="3"/>
      <c r="B49" s="82"/>
      <c r="C49" s="176">
        <v>38</v>
      </c>
      <c r="D49" s="168"/>
      <c r="E49" s="177" t="e">
        <f t="shared" si="13"/>
        <v>#REF!</v>
      </c>
      <c r="F49" s="82"/>
      <c r="G49" s="178" t="e">
        <f t="shared" ca="1" si="11"/>
        <v>#VALUE!</v>
      </c>
      <c r="H49" s="179" t="str">
        <f ca="1">IFERROR(__xludf.DUMMYFUNCTION("(G48*SINGLE(mr)*SINGLE(rrDeath16))+H48"),"#REF!")</f>
        <v>#REF!</v>
      </c>
      <c r="I49" s="180" t="e">
        <f t="shared" ca="1" si="0"/>
        <v>#VALUE!</v>
      </c>
      <c r="J49" s="156">
        <f t="shared" si="14"/>
        <v>183551.57835736149</v>
      </c>
      <c r="K49" s="181" t="e">
        <f t="shared" ca="1" si="1"/>
        <v>#VALUE!</v>
      </c>
      <c r="L49" s="182" t="e">
        <f t="shared" ca="1" si="15"/>
        <v>#VALUE!</v>
      </c>
      <c r="M49" s="82"/>
      <c r="N49" s="3"/>
      <c r="O49" s="82"/>
      <c r="P49" s="176">
        <v>38</v>
      </c>
      <c r="Q49" s="168"/>
      <c r="R49" s="177" t="e">
        <f t="shared" si="16"/>
        <v>#REF!</v>
      </c>
      <c r="S49" s="82"/>
      <c r="T49" s="178" t="e">
        <f t="shared" si="8"/>
        <v>#REF!</v>
      </c>
      <c r="U49" s="179" t="e">
        <f t="shared" si="12"/>
        <v>#REF!</v>
      </c>
      <c r="V49" s="158" t="e">
        <f t="shared" si="2"/>
        <v>#REF!</v>
      </c>
      <c r="W49" s="183">
        <f t="shared" si="17"/>
        <v>78875.603398533131</v>
      </c>
      <c r="X49" s="179" t="e">
        <f t="shared" si="3"/>
        <v>#REF!</v>
      </c>
      <c r="Y49" s="182" t="e">
        <f t="shared" si="18"/>
        <v>#REF!</v>
      </c>
      <c r="Z49" s="82"/>
      <c r="AA49" s="3"/>
      <c r="AB49" s="3"/>
      <c r="AC49" s="3"/>
      <c r="AD49" s="3"/>
      <c r="AE49" s="3"/>
      <c r="AF49" s="3"/>
      <c r="AG49" s="3"/>
      <c r="AH49" s="3"/>
    </row>
    <row r="50" spans="1:34" ht="14.25" customHeight="1" x14ac:dyDescent="0.2">
      <c r="A50" s="3"/>
      <c r="B50" s="82"/>
      <c r="C50" s="176">
        <v>39</v>
      </c>
      <c r="D50" s="168"/>
      <c r="E50" s="177" t="e">
        <f t="shared" si="13"/>
        <v>#REF!</v>
      </c>
      <c r="F50" s="82"/>
      <c r="G50" s="178" t="e">
        <f t="shared" ca="1" si="11"/>
        <v>#VALUE!</v>
      </c>
      <c r="H50" s="179" t="str">
        <f ca="1">IFERROR(__xludf.DUMMYFUNCTION("(G49*SINGLE(mr)*SINGLE(rrDeath16))+H49"),"#REF!")</f>
        <v>#REF!</v>
      </c>
      <c r="I50" s="180" t="e">
        <f t="shared" ca="1" si="0"/>
        <v>#VALUE!</v>
      </c>
      <c r="J50" s="156">
        <f t="shared" si="14"/>
        <v>166714.78548217894</v>
      </c>
      <c r="K50" s="181" t="e">
        <f t="shared" ca="1" si="1"/>
        <v>#VALUE!</v>
      </c>
      <c r="L50" s="182" t="e">
        <f t="shared" ca="1" si="15"/>
        <v>#VALUE!</v>
      </c>
      <c r="M50" s="82"/>
      <c r="N50" s="3"/>
      <c r="O50" s="82"/>
      <c r="P50" s="176">
        <v>39</v>
      </c>
      <c r="Q50" s="168"/>
      <c r="R50" s="177" t="e">
        <f t="shared" si="16"/>
        <v>#REF!</v>
      </c>
      <c r="S50" s="82"/>
      <c r="T50" s="178" t="e">
        <f t="shared" si="8"/>
        <v>#REF!</v>
      </c>
      <c r="U50" s="179" t="e">
        <f t="shared" si="12"/>
        <v>#REF!</v>
      </c>
      <c r="V50" s="158" t="e">
        <f t="shared" si="2"/>
        <v>#REF!</v>
      </c>
      <c r="W50" s="183">
        <f t="shared" si="17"/>
        <v>71640.513353485381</v>
      </c>
      <c r="X50" s="179" t="e">
        <f t="shared" si="3"/>
        <v>#REF!</v>
      </c>
      <c r="Y50" s="182" t="e">
        <f t="shared" si="18"/>
        <v>#REF!</v>
      </c>
      <c r="Z50" s="82"/>
      <c r="AA50" s="3"/>
      <c r="AB50" s="3"/>
      <c r="AC50" s="3"/>
      <c r="AD50" s="3"/>
      <c r="AE50" s="3"/>
      <c r="AF50" s="3"/>
      <c r="AG50" s="3"/>
      <c r="AH50" s="3"/>
    </row>
    <row r="51" spans="1:34" ht="14.25" customHeight="1" x14ac:dyDescent="0.2">
      <c r="A51" s="3"/>
      <c r="B51" s="82"/>
      <c r="C51" s="176">
        <v>40</v>
      </c>
      <c r="D51" s="168"/>
      <c r="E51" s="177" t="e">
        <f t="shared" si="13"/>
        <v>#REF!</v>
      </c>
      <c r="F51" s="82"/>
      <c r="G51" s="178" t="e">
        <f t="shared" ca="1" si="11"/>
        <v>#VALUE!</v>
      </c>
      <c r="H51" s="179" t="str">
        <f ca="1">IFERROR(__xludf.DUMMYFUNCTION("(G50*SINGLE(mr)*SINGLE(rrDeath16))+H50"),"#REF!")</f>
        <v>#REF!</v>
      </c>
      <c r="I51" s="180" t="e">
        <f t="shared" ca="1" si="0"/>
        <v>#VALUE!</v>
      </c>
      <c r="J51" s="156">
        <f t="shared" si="14"/>
        <v>151049.30375074226</v>
      </c>
      <c r="K51" s="181" t="e">
        <f t="shared" ca="1" si="1"/>
        <v>#VALUE!</v>
      </c>
      <c r="L51" s="182" t="e">
        <f t="shared" ca="1" si="15"/>
        <v>#VALUE!</v>
      </c>
      <c r="M51" s="82"/>
      <c r="N51" s="3"/>
      <c r="O51" s="82"/>
      <c r="P51" s="176">
        <v>40</v>
      </c>
      <c r="Q51" s="168"/>
      <c r="R51" s="177" t="e">
        <f t="shared" si="16"/>
        <v>#REF!</v>
      </c>
      <c r="S51" s="82"/>
      <c r="T51" s="178" t="e">
        <f t="shared" si="8"/>
        <v>#REF!</v>
      </c>
      <c r="U51" s="179" t="e">
        <f t="shared" si="12"/>
        <v>#REF!</v>
      </c>
      <c r="V51" s="158" t="e">
        <f t="shared" si="2"/>
        <v>#REF!</v>
      </c>
      <c r="W51" s="183">
        <f t="shared" si="17"/>
        <v>64908.757979036374</v>
      </c>
      <c r="X51" s="179" t="e">
        <f t="shared" si="3"/>
        <v>#REF!</v>
      </c>
      <c r="Y51" s="182" t="e">
        <f t="shared" si="18"/>
        <v>#REF!</v>
      </c>
      <c r="Z51" s="82"/>
      <c r="AA51" s="3"/>
      <c r="AB51" s="3"/>
      <c r="AC51" s="3"/>
      <c r="AD51" s="3"/>
      <c r="AE51" s="3"/>
      <c r="AF51" s="3"/>
      <c r="AG51" s="3"/>
      <c r="AH51" s="3"/>
    </row>
    <row r="52" spans="1:34" ht="14.25" customHeight="1" x14ac:dyDescent="0.2">
      <c r="A52" s="3"/>
      <c r="B52" s="82"/>
      <c r="C52" s="176">
        <v>41</v>
      </c>
      <c r="D52" s="168"/>
      <c r="E52" s="177" t="e">
        <f t="shared" si="13"/>
        <v>#REF!</v>
      </c>
      <c r="F52" s="82"/>
      <c r="G52" s="178" t="e">
        <f t="shared" ca="1" si="11"/>
        <v>#VALUE!</v>
      </c>
      <c r="H52" s="179" t="str">
        <f ca="1">IFERROR(__xludf.DUMMYFUNCTION("(G51*SINGLE(mr)*SINGLE(rrDeath16))+H51"),"#REF!")</f>
        <v>#REF!</v>
      </c>
      <c r="I52" s="180" t="e">
        <f t="shared" ca="1" si="0"/>
        <v>#VALUE!</v>
      </c>
      <c r="J52" s="156">
        <f t="shared" si="14"/>
        <v>136518.63989519229</v>
      </c>
      <c r="K52" s="181" t="e">
        <f t="shared" ca="1" si="1"/>
        <v>#VALUE!</v>
      </c>
      <c r="L52" s="182" t="e">
        <f t="shared" ca="1" si="15"/>
        <v>#VALUE!</v>
      </c>
      <c r="M52" s="82"/>
      <c r="N52" s="3"/>
      <c r="O52" s="82"/>
      <c r="P52" s="176">
        <v>41</v>
      </c>
      <c r="Q52" s="168"/>
      <c r="R52" s="177" t="e">
        <f t="shared" si="16"/>
        <v>#REF!</v>
      </c>
      <c r="S52" s="82"/>
      <c r="T52" s="178" t="e">
        <f t="shared" si="8"/>
        <v>#REF!</v>
      </c>
      <c r="U52" s="179" t="e">
        <f t="shared" si="12"/>
        <v>#REF!</v>
      </c>
      <c r="V52" s="158" t="e">
        <f t="shared" si="2"/>
        <v>#REF!</v>
      </c>
      <c r="W52" s="183">
        <f t="shared" si="17"/>
        <v>58664.655424078461</v>
      </c>
      <c r="X52" s="179" t="e">
        <f t="shared" si="3"/>
        <v>#REF!</v>
      </c>
      <c r="Y52" s="182" t="e">
        <f t="shared" si="18"/>
        <v>#REF!</v>
      </c>
      <c r="Z52" s="82"/>
      <c r="AA52" s="3"/>
      <c r="AB52" s="3"/>
      <c r="AC52" s="3"/>
      <c r="AD52" s="3"/>
      <c r="AE52" s="3"/>
      <c r="AF52" s="3"/>
      <c r="AG52" s="3"/>
      <c r="AH52" s="3"/>
    </row>
    <row r="53" spans="1:34" ht="14.25" customHeight="1" x14ac:dyDescent="0.2">
      <c r="A53" s="3"/>
      <c r="B53" s="82"/>
      <c r="C53" s="176">
        <v>42</v>
      </c>
      <c r="D53" s="168"/>
      <c r="E53" s="177" t="e">
        <f t="shared" si="13"/>
        <v>#REF!</v>
      </c>
      <c r="F53" s="82"/>
      <c r="G53" s="178" t="e">
        <f t="shared" ca="1" si="11"/>
        <v>#VALUE!</v>
      </c>
      <c r="H53" s="179" t="str">
        <f ca="1">IFERROR(__xludf.DUMMYFUNCTION("(G52*SINGLE(mr)*SINGLE(rrDeath16))+H52"),"#REF!")</f>
        <v>#REF!</v>
      </c>
      <c r="I53" s="180" t="e">
        <f t="shared" ca="1" si="0"/>
        <v>#VALUE!</v>
      </c>
      <c r="J53" s="156">
        <f t="shared" si="14"/>
        <v>123081.78703339057</v>
      </c>
      <c r="K53" s="181" t="e">
        <f t="shared" ca="1" si="1"/>
        <v>#VALUE!</v>
      </c>
      <c r="L53" s="182" t="e">
        <f t="shared" ca="1" si="15"/>
        <v>#VALUE!</v>
      </c>
      <c r="M53" s="82"/>
      <c r="N53" s="3"/>
      <c r="O53" s="82"/>
      <c r="P53" s="176">
        <v>42</v>
      </c>
      <c r="Q53" s="168"/>
      <c r="R53" s="177" t="e">
        <f t="shared" si="16"/>
        <v>#REF!</v>
      </c>
      <c r="S53" s="82"/>
      <c r="T53" s="178" t="e">
        <f t="shared" si="8"/>
        <v>#REF!</v>
      </c>
      <c r="U53" s="179" t="e">
        <f t="shared" si="12"/>
        <v>#REF!</v>
      </c>
      <c r="V53" s="158" t="e">
        <f t="shared" si="2"/>
        <v>#REF!</v>
      </c>
      <c r="W53" s="183">
        <f t="shared" si="17"/>
        <v>52890.584251623128</v>
      </c>
      <c r="X53" s="179" t="e">
        <f t="shared" si="3"/>
        <v>#REF!</v>
      </c>
      <c r="Y53" s="182" t="e">
        <f t="shared" si="18"/>
        <v>#REF!</v>
      </c>
      <c r="Z53" s="82"/>
      <c r="AA53" s="3"/>
      <c r="AB53" s="3"/>
      <c r="AC53" s="3"/>
      <c r="AD53" s="3"/>
      <c r="AE53" s="3"/>
      <c r="AF53" s="3"/>
      <c r="AG53" s="3"/>
      <c r="AH53" s="3"/>
    </row>
    <row r="54" spans="1:34" ht="14.25" customHeight="1" x14ac:dyDescent="0.2">
      <c r="A54" s="3"/>
      <c r="B54" s="82"/>
      <c r="C54" s="176">
        <v>43</v>
      </c>
      <c r="D54" s="168"/>
      <c r="E54" s="177" t="e">
        <f t="shared" si="13"/>
        <v>#REF!</v>
      </c>
      <c r="F54" s="82"/>
      <c r="G54" s="178" t="e">
        <f t="shared" ca="1" si="11"/>
        <v>#VALUE!</v>
      </c>
      <c r="H54" s="179" t="str">
        <f ca="1">IFERROR(__xludf.DUMMYFUNCTION("(G53*SINGLE(mr)*SINGLE(rrDeath16))+H53"),"#REF!")</f>
        <v>#REF!</v>
      </c>
      <c r="I54" s="180" t="e">
        <f t="shared" ca="1" si="0"/>
        <v>#VALUE!</v>
      </c>
      <c r="J54" s="156">
        <f t="shared" si="14"/>
        <v>110694.04269304693</v>
      </c>
      <c r="K54" s="181" t="e">
        <f t="shared" ca="1" si="1"/>
        <v>#VALUE!</v>
      </c>
      <c r="L54" s="182" t="e">
        <f t="shared" ca="1" si="15"/>
        <v>#VALUE!</v>
      </c>
      <c r="M54" s="82"/>
      <c r="N54" s="3"/>
      <c r="O54" s="82"/>
      <c r="P54" s="176">
        <v>43</v>
      </c>
      <c r="Q54" s="168"/>
      <c r="R54" s="177" t="e">
        <f t="shared" si="16"/>
        <v>#REF!</v>
      </c>
      <c r="S54" s="82"/>
      <c r="T54" s="178" t="e">
        <f t="shared" si="8"/>
        <v>#REF!</v>
      </c>
      <c r="U54" s="179" t="e">
        <f t="shared" si="12"/>
        <v>#REF!</v>
      </c>
      <c r="V54" s="158" t="e">
        <f t="shared" si="2"/>
        <v>#REF!</v>
      </c>
      <c r="W54" s="183">
        <f t="shared" si="17"/>
        <v>47567.334959323147</v>
      </c>
      <c r="X54" s="179" t="e">
        <f t="shared" si="3"/>
        <v>#REF!</v>
      </c>
      <c r="Y54" s="182" t="e">
        <f t="shared" si="18"/>
        <v>#REF!</v>
      </c>
      <c r="Z54" s="82"/>
      <c r="AA54" s="3"/>
      <c r="AB54" s="3"/>
      <c r="AC54" s="3"/>
      <c r="AD54" s="3"/>
      <c r="AE54" s="3"/>
      <c r="AF54" s="3"/>
      <c r="AG54" s="3"/>
      <c r="AH54" s="3"/>
    </row>
    <row r="55" spans="1:34" ht="14.25" customHeight="1" x14ac:dyDescent="0.2">
      <c r="A55" s="3"/>
      <c r="B55" s="82"/>
      <c r="C55" s="176">
        <v>44</v>
      </c>
      <c r="D55" s="168"/>
      <c r="E55" s="177" t="e">
        <f t="shared" si="13"/>
        <v>#REF!</v>
      </c>
      <c r="F55" s="82"/>
      <c r="G55" s="178" t="e">
        <f t="shared" ca="1" si="11"/>
        <v>#VALUE!</v>
      </c>
      <c r="H55" s="179" t="str">
        <f ca="1">IFERROR(__xludf.DUMMYFUNCTION("(G54*SINGLE(mr)*SINGLE(rrDeath16))+H54"),"#REF!")</f>
        <v>#REF!</v>
      </c>
      <c r="I55" s="180" t="e">
        <f t="shared" ca="1" si="0"/>
        <v>#VALUE!</v>
      </c>
      <c r="J55" s="156">
        <f t="shared" si="14"/>
        <v>99307.790542626186</v>
      </c>
      <c r="K55" s="181" t="e">
        <f t="shared" ca="1" si="1"/>
        <v>#VALUE!</v>
      </c>
      <c r="L55" s="182" t="e">
        <f t="shared" ca="1" si="15"/>
        <v>#VALUE!</v>
      </c>
      <c r="M55" s="82"/>
      <c r="N55" s="3"/>
      <c r="O55" s="82"/>
      <c r="P55" s="176">
        <v>44</v>
      </c>
      <c r="Q55" s="168"/>
      <c r="R55" s="177" t="e">
        <f t="shared" si="16"/>
        <v>#REF!</v>
      </c>
      <c r="S55" s="82"/>
      <c r="T55" s="178" t="e">
        <f t="shared" si="8"/>
        <v>#REF!</v>
      </c>
      <c r="U55" s="179" t="e">
        <f t="shared" si="12"/>
        <v>#REF!</v>
      </c>
      <c r="V55" s="158" t="e">
        <f t="shared" si="2"/>
        <v>#REF!</v>
      </c>
      <c r="W55" s="183">
        <f t="shared" si="17"/>
        <v>42674.445904107553</v>
      </c>
      <c r="X55" s="179" t="e">
        <f t="shared" si="3"/>
        <v>#REF!</v>
      </c>
      <c r="Y55" s="182" t="e">
        <f t="shared" si="18"/>
        <v>#REF!</v>
      </c>
      <c r="Z55" s="82"/>
      <c r="AA55" s="3"/>
      <c r="AB55" s="3"/>
      <c r="AC55" s="3"/>
      <c r="AD55" s="3"/>
      <c r="AE55" s="3"/>
      <c r="AF55" s="3"/>
      <c r="AG55" s="3"/>
      <c r="AH55" s="3"/>
    </row>
    <row r="56" spans="1:34" ht="14.25" customHeight="1" x14ac:dyDescent="0.2">
      <c r="A56" s="3"/>
      <c r="B56" s="82"/>
      <c r="C56" s="176">
        <v>45</v>
      </c>
      <c r="D56" s="168"/>
      <c r="E56" s="177" t="e">
        <f t="shared" si="13"/>
        <v>#REF!</v>
      </c>
      <c r="F56" s="82"/>
      <c r="G56" s="178" t="e">
        <f t="shared" ca="1" si="11"/>
        <v>#VALUE!</v>
      </c>
      <c r="H56" s="179" t="str">
        <f ca="1">IFERROR(__xludf.DUMMYFUNCTION("(G55*SINGLE(mr)*SINGLE(rrDeath16))+H55"),"#REF!")</f>
        <v>#REF!</v>
      </c>
      <c r="I56" s="180" t="e">
        <f t="shared" ca="1" si="0"/>
        <v>#VALUE!</v>
      </c>
      <c r="J56" s="156">
        <f t="shared" si="14"/>
        <v>88873.238433940147</v>
      </c>
      <c r="K56" s="181" t="e">
        <f t="shared" ca="1" si="1"/>
        <v>#VALUE!</v>
      </c>
      <c r="L56" s="182" t="e">
        <f t="shared" ca="1" si="15"/>
        <v>#VALUE!</v>
      </c>
      <c r="M56" s="82"/>
      <c r="N56" s="3"/>
      <c r="O56" s="82"/>
      <c r="P56" s="176">
        <v>45</v>
      </c>
      <c r="Q56" s="168"/>
      <c r="R56" s="177" t="e">
        <f t="shared" si="16"/>
        <v>#REF!</v>
      </c>
      <c r="S56" s="82"/>
      <c r="T56" s="178" t="e">
        <f t="shared" si="8"/>
        <v>#REF!</v>
      </c>
      <c r="U56" s="179" t="e">
        <f t="shared" si="12"/>
        <v>#REF!</v>
      </c>
      <c r="V56" s="158" t="e">
        <f t="shared" si="2"/>
        <v>#REF!</v>
      </c>
      <c r="W56" s="183">
        <f t="shared" si="17"/>
        <v>38190.520453117068</v>
      </c>
      <c r="X56" s="179" t="e">
        <f t="shared" si="3"/>
        <v>#REF!</v>
      </c>
      <c r="Y56" s="182" t="e">
        <f t="shared" si="18"/>
        <v>#REF!</v>
      </c>
      <c r="Z56" s="82"/>
      <c r="AA56" s="3"/>
      <c r="AB56" s="3"/>
      <c r="AC56" s="3"/>
      <c r="AD56" s="3"/>
      <c r="AE56" s="3"/>
      <c r="AF56" s="3"/>
      <c r="AG56" s="3"/>
      <c r="AH56" s="3"/>
    </row>
    <row r="57" spans="1:34" ht="14.25" customHeight="1" x14ac:dyDescent="0.2">
      <c r="A57" s="3"/>
      <c r="B57" s="82"/>
      <c r="C57" s="176">
        <v>46</v>
      </c>
      <c r="D57" s="168"/>
      <c r="E57" s="177" t="e">
        <f t="shared" si="13"/>
        <v>#REF!</v>
      </c>
      <c r="F57" s="82"/>
      <c r="G57" s="178" t="e">
        <f t="shared" ca="1" si="11"/>
        <v>#VALUE!</v>
      </c>
      <c r="H57" s="179" t="str">
        <f ca="1">IFERROR(__xludf.DUMMYFUNCTION("(G56*SINGLE(mr)*SINGLE(rrDeath16))+H56"),"#REF!")</f>
        <v>#REF!</v>
      </c>
      <c r="I57" s="180" t="e">
        <f t="shared" ca="1" si="0"/>
        <v>#VALUE!</v>
      </c>
      <c r="J57" s="156">
        <f t="shared" si="14"/>
        <v>79339.106810493831</v>
      </c>
      <c r="K57" s="181" t="e">
        <f t="shared" ca="1" si="1"/>
        <v>#VALUE!</v>
      </c>
      <c r="L57" s="182" t="e">
        <f t="shared" ca="1" si="15"/>
        <v>#VALUE!</v>
      </c>
      <c r="M57" s="82"/>
      <c r="N57" s="3"/>
      <c r="O57" s="82"/>
      <c r="P57" s="176">
        <v>46</v>
      </c>
      <c r="Q57" s="168"/>
      <c r="R57" s="177" t="e">
        <f t="shared" si="16"/>
        <v>#REF!</v>
      </c>
      <c r="S57" s="82"/>
      <c r="T57" s="178" t="e">
        <f t="shared" si="8"/>
        <v>#REF!</v>
      </c>
      <c r="U57" s="179" t="e">
        <f t="shared" si="12"/>
        <v>#REF!</v>
      </c>
      <c r="V57" s="158" t="e">
        <f t="shared" si="2"/>
        <v>#REF!</v>
      </c>
      <c r="W57" s="183">
        <f t="shared" si="17"/>
        <v>34093.522805860361</v>
      </c>
      <c r="X57" s="179" t="e">
        <f t="shared" si="3"/>
        <v>#REF!</v>
      </c>
      <c r="Y57" s="182" t="e">
        <f t="shared" si="18"/>
        <v>#REF!</v>
      </c>
      <c r="Z57" s="82"/>
      <c r="AA57" s="3"/>
      <c r="AB57" s="3"/>
      <c r="AC57" s="3"/>
      <c r="AD57" s="3"/>
      <c r="AE57" s="3"/>
      <c r="AF57" s="3"/>
      <c r="AG57" s="3"/>
      <c r="AH57" s="3"/>
    </row>
    <row r="58" spans="1:34" ht="14.25" customHeight="1" x14ac:dyDescent="0.2">
      <c r="A58" s="3"/>
      <c r="B58" s="82"/>
      <c r="C58" s="176">
        <v>47</v>
      </c>
      <c r="D58" s="168"/>
      <c r="E58" s="177" t="e">
        <f t="shared" si="13"/>
        <v>#REF!</v>
      </c>
      <c r="F58" s="82"/>
      <c r="G58" s="178" t="e">
        <f t="shared" ca="1" si="11"/>
        <v>#VALUE!</v>
      </c>
      <c r="H58" s="179" t="str">
        <f ca="1">IFERROR(__xludf.DUMMYFUNCTION("(G57*SINGLE(mr)*SINGLE(rrDeath16))+H57"),"#REF!")</f>
        <v>#REF!</v>
      </c>
      <c r="I58" s="180" t="e">
        <f t="shared" ca="1" si="0"/>
        <v>#VALUE!</v>
      </c>
      <c r="J58" s="156">
        <f t="shared" si="14"/>
        <v>70653.262950151853</v>
      </c>
      <c r="K58" s="181" t="e">
        <f t="shared" ca="1" si="1"/>
        <v>#VALUE!</v>
      </c>
      <c r="L58" s="182" t="e">
        <f t="shared" ca="1" si="15"/>
        <v>#VALUE!</v>
      </c>
      <c r="M58" s="82"/>
      <c r="N58" s="3"/>
      <c r="O58" s="82"/>
      <c r="P58" s="176">
        <v>47</v>
      </c>
      <c r="Q58" s="168"/>
      <c r="R58" s="177" t="e">
        <f t="shared" si="16"/>
        <v>#REF!</v>
      </c>
      <c r="S58" s="82"/>
      <c r="T58" s="178" t="e">
        <f t="shared" si="8"/>
        <v>#REF!</v>
      </c>
      <c r="U58" s="179" t="e">
        <f t="shared" si="12"/>
        <v>#REF!</v>
      </c>
      <c r="V58" s="158" t="e">
        <f t="shared" si="2"/>
        <v>#REF!</v>
      </c>
      <c r="W58" s="183">
        <f t="shared" si="17"/>
        <v>30361.050540347744</v>
      </c>
      <c r="X58" s="179" t="e">
        <f t="shared" si="3"/>
        <v>#REF!</v>
      </c>
      <c r="Y58" s="182" t="e">
        <f t="shared" si="18"/>
        <v>#REF!</v>
      </c>
      <c r="Z58" s="82"/>
      <c r="AA58" s="3"/>
      <c r="AB58" s="3"/>
      <c r="AC58" s="3"/>
      <c r="AD58" s="3"/>
      <c r="AE58" s="3"/>
      <c r="AF58" s="3"/>
      <c r="AG58" s="3"/>
      <c r="AH58" s="3"/>
    </row>
    <row r="59" spans="1:34" ht="14.25" customHeight="1" x14ac:dyDescent="0.2">
      <c r="A59" s="3"/>
      <c r="B59" s="82"/>
      <c r="C59" s="176">
        <v>48</v>
      </c>
      <c r="D59" s="168"/>
      <c r="E59" s="177" t="e">
        <f t="shared" si="13"/>
        <v>#REF!</v>
      </c>
      <c r="F59" s="82"/>
      <c r="G59" s="178" t="e">
        <f t="shared" ca="1" si="11"/>
        <v>#VALUE!</v>
      </c>
      <c r="H59" s="179" t="str">
        <f ca="1">IFERROR(__xludf.DUMMYFUNCTION("(G58*SINGLE(mr)*SINGLE(rrDeath16))+H58"),"#REF!")</f>
        <v>#REF!</v>
      </c>
      <c r="I59" s="180" t="e">
        <f t="shared" ca="1" si="0"/>
        <v>#VALUE!</v>
      </c>
      <c r="J59" s="156">
        <f t="shared" si="14"/>
        <v>62763.297864375032</v>
      </c>
      <c r="K59" s="181" t="e">
        <f t="shared" ca="1" si="1"/>
        <v>#VALUE!</v>
      </c>
      <c r="L59" s="182" t="e">
        <f t="shared" ca="1" si="15"/>
        <v>#VALUE!</v>
      </c>
      <c r="M59" s="82"/>
      <c r="N59" s="3"/>
      <c r="O59" s="82"/>
      <c r="P59" s="176">
        <v>48</v>
      </c>
      <c r="Q59" s="168"/>
      <c r="R59" s="177" t="e">
        <f t="shared" si="16"/>
        <v>#REF!</v>
      </c>
      <c r="S59" s="82"/>
      <c r="T59" s="178" t="e">
        <f t="shared" si="8"/>
        <v>#REF!</v>
      </c>
      <c r="U59" s="179" t="e">
        <f t="shared" si="12"/>
        <v>#REF!</v>
      </c>
      <c r="V59" s="158" t="e">
        <f t="shared" si="2"/>
        <v>#REF!</v>
      </c>
      <c r="W59" s="183">
        <f t="shared" si="17"/>
        <v>26970.582517662679</v>
      </c>
      <c r="X59" s="179" t="e">
        <f t="shared" si="3"/>
        <v>#REF!</v>
      </c>
      <c r="Y59" s="182" t="e">
        <f t="shared" si="18"/>
        <v>#REF!</v>
      </c>
      <c r="Z59" s="82"/>
      <c r="AA59" s="3"/>
      <c r="AB59" s="3"/>
      <c r="AC59" s="3"/>
      <c r="AD59" s="3"/>
      <c r="AE59" s="3"/>
      <c r="AF59" s="3"/>
      <c r="AG59" s="3"/>
      <c r="AH59" s="3"/>
    </row>
    <row r="60" spans="1:34" ht="14.25" customHeight="1" x14ac:dyDescent="0.2">
      <c r="A60" s="3"/>
      <c r="B60" s="82"/>
      <c r="C60" s="176">
        <v>49</v>
      </c>
      <c r="D60" s="168"/>
      <c r="E60" s="177" t="e">
        <f t="shared" si="13"/>
        <v>#REF!</v>
      </c>
      <c r="F60" s="82"/>
      <c r="G60" s="178" t="e">
        <f t="shared" ca="1" si="11"/>
        <v>#VALUE!</v>
      </c>
      <c r="H60" s="179" t="str">
        <f ca="1">IFERROR(__xludf.DUMMYFUNCTION("(G59*SINGLE(mr)*SINGLE(rrDeath16))+H59"),"#REF!")</f>
        <v>#REF!</v>
      </c>
      <c r="I60" s="180" t="e">
        <f t="shared" ca="1" si="0"/>
        <v>#VALUE!</v>
      </c>
      <c r="J60" s="156">
        <f t="shared" si="14"/>
        <v>55617.043947104372</v>
      </c>
      <c r="K60" s="181" t="e">
        <f t="shared" ca="1" si="1"/>
        <v>#VALUE!</v>
      </c>
      <c r="L60" s="182" t="e">
        <f t="shared" ca="1" si="15"/>
        <v>#VALUE!</v>
      </c>
      <c r="M60" s="82"/>
      <c r="N60" s="3"/>
      <c r="O60" s="82"/>
      <c r="P60" s="176">
        <v>49</v>
      </c>
      <c r="Q60" s="168"/>
      <c r="R60" s="177" t="e">
        <f t="shared" si="16"/>
        <v>#REF!</v>
      </c>
      <c r="S60" s="82"/>
      <c r="T60" s="178" t="e">
        <f t="shared" si="8"/>
        <v>#REF!</v>
      </c>
      <c r="U60" s="179" t="e">
        <f t="shared" si="12"/>
        <v>#REF!</v>
      </c>
      <c r="V60" s="158" t="e">
        <f t="shared" si="2"/>
        <v>#REF!</v>
      </c>
      <c r="W60" s="183">
        <f t="shared" si="17"/>
        <v>23899.70132553019</v>
      </c>
      <c r="X60" s="179" t="e">
        <f t="shared" si="3"/>
        <v>#REF!</v>
      </c>
      <c r="Y60" s="182" t="e">
        <f t="shared" si="18"/>
        <v>#REF!</v>
      </c>
      <c r="Z60" s="82"/>
      <c r="AA60" s="3"/>
      <c r="AB60" s="3"/>
      <c r="AC60" s="3"/>
      <c r="AD60" s="3"/>
      <c r="AE60" s="3"/>
      <c r="AF60" s="3"/>
      <c r="AG60" s="3"/>
      <c r="AH60" s="3"/>
    </row>
    <row r="61" spans="1:34" ht="14.25" customHeight="1" x14ac:dyDescent="0.2">
      <c r="A61" s="3"/>
      <c r="B61" s="82"/>
      <c r="C61" s="176">
        <v>50</v>
      </c>
      <c r="D61" s="168"/>
      <c r="E61" s="177" t="e">
        <f t="shared" si="13"/>
        <v>#REF!</v>
      </c>
      <c r="F61" s="82"/>
      <c r="G61" s="178" t="e">
        <f t="shared" ca="1" si="11"/>
        <v>#VALUE!</v>
      </c>
      <c r="H61" s="179" t="str">
        <f ca="1">IFERROR(__xludf.DUMMYFUNCTION("(G60*SINGLE(mr)*SINGLE(rrDeath16))+H60"),"#REF!")</f>
        <v>#REF!</v>
      </c>
      <c r="I61" s="158" t="e">
        <f t="shared" ca="1" si="0"/>
        <v>#VALUE!</v>
      </c>
      <c r="J61" s="156">
        <f t="shared" si="14"/>
        <v>49163.032636533935</v>
      </c>
      <c r="K61" s="181" t="e">
        <f t="shared" ca="1" si="1"/>
        <v>#VALUE!</v>
      </c>
      <c r="L61" s="182" t="e">
        <f t="shared" ca="1" si="15"/>
        <v>#VALUE!</v>
      </c>
      <c r="M61" s="82"/>
      <c r="N61" s="3"/>
      <c r="O61" s="82"/>
      <c r="P61" s="176">
        <v>50</v>
      </c>
      <c r="Q61" s="168"/>
      <c r="R61" s="177" t="e">
        <f t="shared" si="16"/>
        <v>#REF!</v>
      </c>
      <c r="S61" s="82"/>
      <c r="T61" s="178" t="e">
        <f t="shared" si="8"/>
        <v>#REF!</v>
      </c>
      <c r="U61" s="179" t="e">
        <f t="shared" si="12"/>
        <v>#REF!</v>
      </c>
      <c r="V61" s="158" t="e">
        <f t="shared" si="2"/>
        <v>#REF!</v>
      </c>
      <c r="W61" s="183">
        <f t="shared" si="17"/>
        <v>21126.289944282951</v>
      </c>
      <c r="X61" s="179" t="e">
        <f t="shared" si="3"/>
        <v>#REF!</v>
      </c>
      <c r="Y61" s="182" t="e">
        <f t="shared" si="18"/>
        <v>#REF!</v>
      </c>
      <c r="Z61" s="82"/>
      <c r="AA61" s="3"/>
      <c r="AB61" s="3"/>
      <c r="AC61" s="3"/>
      <c r="AD61" s="3"/>
      <c r="AE61" s="3"/>
      <c r="AF61" s="3"/>
      <c r="AG61" s="3"/>
      <c r="AH61" s="3"/>
    </row>
    <row r="62" spans="1:34" ht="14.25" customHeight="1" x14ac:dyDescent="0.2">
      <c r="A62" s="3"/>
      <c r="B62" s="184"/>
      <c r="C62" s="184"/>
      <c r="D62" s="184"/>
      <c r="E62" s="184"/>
      <c r="F62" s="184"/>
      <c r="G62" s="184"/>
      <c r="H62" s="184"/>
      <c r="I62" s="184"/>
      <c r="J62" s="185" t="s">
        <v>245</v>
      </c>
      <c r="K62" s="185" t="s">
        <v>246</v>
      </c>
      <c r="L62" s="185" t="s">
        <v>247</v>
      </c>
      <c r="M62" s="184"/>
      <c r="N62" s="3"/>
      <c r="O62" s="184"/>
      <c r="P62" s="184"/>
      <c r="Q62" s="184"/>
      <c r="R62" s="184"/>
      <c r="S62" s="184"/>
      <c r="T62" s="184"/>
      <c r="U62" s="184"/>
      <c r="V62" s="184"/>
      <c r="W62" s="185" t="s">
        <v>245</v>
      </c>
      <c r="X62" s="185" t="s">
        <v>246</v>
      </c>
      <c r="Y62" s="185" t="s">
        <v>247</v>
      </c>
      <c r="Z62" s="184"/>
      <c r="AA62" s="3"/>
      <c r="AB62" s="3"/>
      <c r="AC62" s="3"/>
      <c r="AD62" s="3"/>
      <c r="AE62" s="3"/>
      <c r="AF62" s="3"/>
      <c r="AG62" s="3"/>
      <c r="AH62" s="3"/>
    </row>
    <row r="63" spans="1:34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186">
        <f>SUM(J11:J61)/G10</f>
        <v>284992.23403642001</v>
      </c>
      <c r="K63" s="187" t="e">
        <f t="shared" ref="K63:L63" si="19">SUM(K11:K61)/$G$10</f>
        <v>#REF!</v>
      </c>
      <c r="L63" s="187" t="e">
        <f t="shared" si="19"/>
        <v>#REF!</v>
      </c>
      <c r="M63" s="3"/>
      <c r="N63" s="3"/>
      <c r="O63" s="3"/>
      <c r="P63" s="3"/>
      <c r="Q63" s="3"/>
      <c r="R63" s="3"/>
      <c r="S63" s="3"/>
      <c r="T63" s="3"/>
      <c r="U63" s="3"/>
      <c r="V63" s="3" t="s">
        <v>248</v>
      </c>
      <c r="W63" s="186">
        <f t="shared" ref="W63:Y63" si="20">SUM(W11:W61)/$T$10</f>
        <v>122466.58200755849</v>
      </c>
      <c r="X63" s="187" t="e">
        <f t="shared" si="20"/>
        <v>#REF!</v>
      </c>
      <c r="Y63" s="187" t="e">
        <f t="shared" si="20"/>
        <v>#REF!</v>
      </c>
      <c r="Z63" s="3"/>
      <c r="AA63" s="3"/>
      <c r="AB63" s="3"/>
      <c r="AC63" s="3"/>
      <c r="AD63" s="3"/>
      <c r="AE63" s="3"/>
      <c r="AF63" s="3"/>
      <c r="AG63" s="3"/>
      <c r="AH63" s="3"/>
    </row>
    <row r="64" spans="1:34" ht="14.25" customHeight="1" x14ac:dyDescent="0.2">
      <c r="A64" s="3"/>
      <c r="B64" s="3"/>
      <c r="C64" s="3"/>
      <c r="D64" s="3"/>
      <c r="E64" s="3"/>
      <c r="F64" s="3"/>
      <c r="G64" s="3"/>
      <c r="H64" s="3"/>
      <c r="I64" s="3" t="s">
        <v>249</v>
      </c>
      <c r="J64" s="167">
        <f t="shared" ref="J64:K64" si="21">SUM(J11:J61)</f>
        <v>28499223.403641999</v>
      </c>
      <c r="K64" s="29" t="e">
        <f t="shared" si="21"/>
        <v>#REF!</v>
      </c>
      <c r="L64" s="188" t="e">
        <f>SUM(L12:L62)</f>
        <v>#REF!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1:34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1:34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189" t="s">
        <v>230</v>
      </c>
      <c r="K66" s="190" t="e">
        <f>(J63-W63)/(L63-Y63)</f>
        <v>#REF!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1:34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spans="1:34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1:34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spans="1:34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1:34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1:34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spans="1:34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spans="1:34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1:34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1:34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1:34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1:34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1:34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1:34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1:34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1:34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1:34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1:34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1:34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1:34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1:34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1:34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1:34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1:34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1:34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1:34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1:34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1:34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1:34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1:34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1:34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1:34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1:34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1:34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1:34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1:34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1:34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1:34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1:34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1:34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1:34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1:34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1:34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1:34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1:34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1:34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1:34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1:34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1:34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1:34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1:34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1:34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1:34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1:34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1:34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1:34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1:34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1:34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1:34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1:34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1:34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1:34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1:34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1:34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1:34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1:34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1:34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1:34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1:34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1:34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1:34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1:34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1:34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1:34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1:34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1:34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1:34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1:34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1:34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1:34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1:34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1:34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1:34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1:34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1:34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1:34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1:34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1:34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1:34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1:34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1:34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1:34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1:34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1:34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1:34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1:34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1:34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1:34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1:34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1:34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1:34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1:34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1:34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1:34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1:34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1:34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1:34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1:34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1:34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1:34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1:34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1:34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1:34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1:34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1:34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1:34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1:34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1:34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1:34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1:34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1:34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1:34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1:34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1:34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1:34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1:34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1:34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1:34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1:34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1:34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1:34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1:34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1:34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1:34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1:34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1:34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1:34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1:34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1:34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1:34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1:34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1:34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1:34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1:34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1:34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1:34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1:34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1:34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1:34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1:34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1:34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1:34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1:34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1:34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1:34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1:34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1:34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1:34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1:34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spans="1:34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spans="1:34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spans="1:34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spans="1:34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spans="1:34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spans="1:34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spans="1:34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spans="1:34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spans="1:34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spans="1:34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spans="1:34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spans="1:34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spans="1:34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spans="1:34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spans="1:34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spans="1:34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spans="1:34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spans="1:34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spans="1:34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spans="1:34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spans="1:34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spans="1:34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spans="1:34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spans="1:34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spans="1:34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spans="1:34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spans="1:34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spans="1:34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spans="1:34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spans="1:34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spans="1:34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spans="1:34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spans="1:34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spans="1:34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spans="1:34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spans="1:34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spans="1:34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spans="1:34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spans="1:34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spans="1:34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spans="1:34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spans="1:34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spans="1:34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spans="1:34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spans="1:34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spans="1:34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spans="1:34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spans="1:34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spans="1:34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spans="1:34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spans="1:34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spans="1:34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spans="1:34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spans="1:34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spans="1:34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spans="1:34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spans="1:34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spans="1:34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spans="1:34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spans="1:34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spans="1:34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spans="1:34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spans="1:34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spans="1:34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spans="1:34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spans="1:34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spans="1:34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spans="1:34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spans="1:34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spans="1:34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spans="1:34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spans="1:34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spans="1:34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spans="1:34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spans="1:34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spans="1:34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spans="1:34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spans="1:34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spans="1:34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spans="1:34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spans="1:34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spans="1:34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spans="1:34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spans="1:34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spans="1:34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spans="1:34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spans="1:34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spans="1:34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spans="1:34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spans="1:34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spans="1:34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spans="1:34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spans="1:34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spans="1:34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spans="1:34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spans="1:34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spans="1:34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spans="1:34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spans="1:34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spans="1:34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spans="1:34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spans="1:34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spans="1:34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spans="1:34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spans="1:34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spans="1:34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spans="1:34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spans="1:34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spans="1:34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spans="1:34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spans="1:34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spans="1:34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spans="1:34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spans="1:34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spans="1:34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spans="1:34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spans="1:34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spans="1:34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spans="1:34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spans="1:34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spans="1:34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spans="1:34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spans="1:34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spans="1:34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spans="1:34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spans="1:34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spans="1:34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spans="1:34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spans="1:34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spans="1:34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spans="1:34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spans="1:34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spans="1:34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spans="1:34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spans="1:34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spans="1:34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spans="1:34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spans="1:34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spans="1:34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spans="1:34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spans="1:34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spans="1:34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spans="1:34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spans="1:34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spans="1:34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spans="1:34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spans="1:34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spans="1:34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spans="1:34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spans="1:34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spans="1:34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spans="1:34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spans="1:34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spans="1:34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spans="1:34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spans="1:34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spans="1:34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spans="1:34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spans="1:34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spans="1:34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spans="1:34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spans="1:34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spans="1:34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spans="1:34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spans="1:34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spans="1:34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spans="1:34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spans="1:34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spans="1:34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spans="1:34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spans="1:34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spans="1:34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spans="1:34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spans="1:34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spans="1:34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spans="1:34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spans="1:34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spans="1:34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spans="1:34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spans="1:34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spans="1:34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spans="1:34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spans="1:34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spans="1:34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spans="1:34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spans="1:34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spans="1:34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spans="1:34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spans="1:34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spans="1:34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spans="1:34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spans="1:34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spans="1:34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spans="1:34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spans="1:34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spans="1:34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spans="1:34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spans="1:34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spans="1:34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spans="1:34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spans="1:34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spans="1:34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spans="1:34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spans="1:34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spans="1:34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spans="1:34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spans="1:34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spans="1:34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spans="1:34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spans="1:34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spans="1:34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spans="1:34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spans="1:34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spans="1:34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spans="1:34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spans="1:34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spans="1:34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spans="1:34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spans="1:34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spans="1:34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spans="1:34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spans="1:34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spans="1:34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spans="1:34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spans="1:34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spans="1:34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spans="1:34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spans="1:34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spans="1:34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spans="1:34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spans="1:34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spans="1:34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spans="1:34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spans="1:34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spans="1:34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spans="1:34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spans="1:34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spans="1:34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spans="1:34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spans="1:34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spans="1:34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spans="1:34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spans="1:34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spans="1:34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spans="1:34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spans="1:34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spans="1:34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spans="1:34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spans="1:34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spans="1:34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spans="1:34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spans="1:34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spans="1:34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spans="1:34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spans="1:34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spans="1:34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spans="1:34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spans="1:34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spans="1:34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spans="1:34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spans="1:34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spans="1:34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spans="1:34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spans="1:34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spans="1:34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spans="1:34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spans="1:34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spans="1:34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spans="1:34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spans="1:34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spans="1:34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spans="1:34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spans="1:34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spans="1:34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spans="1:34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spans="1:34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spans="1:34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spans="1:34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spans="1:34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spans="1:34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spans="1:34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spans="1:34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spans="1:34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spans="1:34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spans="1:34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spans="1:34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spans="1:34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spans="1:34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spans="1:34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spans="1:34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spans="1:34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spans="1:34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spans="1:34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spans="1:34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spans="1:34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spans="1:34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spans="1:34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spans="1:34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spans="1:34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spans="1:34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spans="1:34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spans="1:34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spans="1:34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spans="1:34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spans="1:34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spans="1:34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spans="1:34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spans="1:34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spans="1:34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spans="1:34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spans="1:34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spans="1:34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spans="1:34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spans="1:34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spans="1:34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spans="1:34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spans="1:34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spans="1:34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spans="1:34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spans="1:34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spans="1:34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spans="1:34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spans="1:34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spans="1:34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spans="1:34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spans="1:34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spans="1:34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spans="1:34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spans="1:34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spans="1:34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spans="1:34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spans="1:34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spans="1:34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spans="1:34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spans="1:34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spans="1:34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spans="1:34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spans="1:34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spans="1:34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spans="1:34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spans="1:34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spans="1:34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spans="1:34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spans="1:34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spans="1:34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spans="1:34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spans="1:34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spans="1:34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spans="1:34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spans="1:34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spans="1:34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spans="1:34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spans="1:34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spans="1:34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spans="1:34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spans="1:34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spans="1:34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spans="1:34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spans="1:34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spans="1:34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spans="1:34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spans="1:34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spans="1:34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spans="1:34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spans="1:34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spans="1:34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spans="1:34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spans="1:34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spans="1:34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spans="1:34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spans="1:34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spans="1:34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spans="1:34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spans="1:34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spans="1:34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spans="1:34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spans="1:34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spans="1:34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spans="1:34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spans="1:34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spans="1:34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spans="1:34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spans="1:34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spans="1:34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spans="1:34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spans="1:34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spans="1:34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spans="1:34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spans="1:34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spans="1:34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spans="1:34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spans="1:34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spans="1:34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spans="1:34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spans="1:34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spans="1:34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spans="1:34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spans="1:34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spans="1:34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spans="1:34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spans="1:34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spans="1:34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spans="1:34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spans="1:34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spans="1:34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spans="1:34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spans="1:34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spans="1:34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spans="1:34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spans="1:34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spans="1:34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spans="1:34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spans="1:34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spans="1:34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spans="1:34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spans="1:34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spans="1:34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spans="1:34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spans="1:34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spans="1:34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spans="1:34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spans="1:34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spans="1:34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spans="1:34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spans="1:34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spans="1:34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spans="1:34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spans="1:34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spans="1:34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spans="1:34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spans="1:34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spans="1:34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spans="1:34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spans="1:34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spans="1:34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spans="1:34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spans="1:34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spans="1:34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spans="1:34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spans="1:34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spans="1:34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spans="1:34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spans="1:34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spans="1:34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spans="1:34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spans="1:34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spans="1:34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spans="1:34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spans="1:34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spans="1:34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spans="1:34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spans="1:34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spans="1:34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spans="1:34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spans="1:34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spans="1:34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spans="1:34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spans="1:34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spans="1:34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spans="1:34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spans="1:34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spans="1:34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spans="1:34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spans="1:34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spans="1:34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spans="1:34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spans="1:34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spans="1:34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spans="1:34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spans="1:34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spans="1:34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spans="1:34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spans="1:34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spans="1:34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spans="1:34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spans="1:34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spans="1:34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spans="1:34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spans="1:34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spans="1:34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spans="1:34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spans="1:34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spans="1:34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spans="1:34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spans="1:34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spans="1:34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spans="1:34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spans="1:34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spans="1:34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spans="1:34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spans="1:34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spans="1:34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spans="1:34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spans="1:34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spans="1:34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spans="1:34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spans="1:34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spans="1:34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spans="1:34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spans="1:34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spans="1:34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spans="1:34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spans="1:34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spans="1:34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spans="1:34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spans="1:34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spans="1:34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spans="1:34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spans="1:34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spans="1:34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spans="1:34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spans="1:34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spans="1:34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spans="1:34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spans="1:34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spans="1:34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spans="1:34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spans="1:34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spans="1:34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spans="1:34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spans="1:34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spans="1:34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spans="1:34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spans="1:34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spans="1:34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spans="1:34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spans="1:34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spans="1:34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spans="1:34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spans="1:34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spans="1:34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spans="1:34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spans="1:34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spans="1:34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spans="1:34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spans="1:34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spans="1:34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spans="1:34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spans="1:34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spans="1:34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spans="1:34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spans="1:34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spans="1:34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spans="1:34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spans="1:34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spans="1:34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spans="1:34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spans="1:34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spans="1:34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spans="1:34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spans="1:34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spans="1:34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spans="1:34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spans="1:34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spans="1:34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spans="1:34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spans="1:34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spans="1:34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spans="1:34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spans="1:34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spans="1:34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spans="1:34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spans="1:34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spans="1:34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spans="1:34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spans="1:34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spans="1:34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spans="1:34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spans="1:34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spans="1:34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spans="1:34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spans="1:34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spans="1:34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spans="1:34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spans="1:34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spans="1:34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spans="1:34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spans="1:34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spans="1:34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spans="1:34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spans="1:34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spans="1:34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spans="1:34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spans="1:34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spans="1:34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spans="1:34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spans="1:34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spans="1:34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spans="1:34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spans="1:34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spans="1:34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spans="1:34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spans="1:34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spans="1:34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spans="1:34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spans="1:34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spans="1:34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spans="1:34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spans="1:34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spans="1:34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spans="1:34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spans="1:34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spans="1:34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spans="1:34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spans="1:34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spans="1:34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spans="1:34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spans="1:34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spans="1:34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spans="1:34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spans="1:34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spans="1:34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spans="1:34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spans="1:34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spans="1:34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spans="1:34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spans="1:34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spans="1:34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spans="1:34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spans="1:34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spans="1:34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spans="1:34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spans="1:34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spans="1:34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spans="1:34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spans="1:34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spans="1:34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spans="1:34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spans="1:34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spans="1:34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spans="1:34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spans="1:34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spans="1:34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spans="1:34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spans="1:34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spans="1:34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spans="1:34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spans="1:34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spans="1:34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spans="1:34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spans="1:34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spans="1:34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spans="1:34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spans="1:34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spans="1:34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spans="1:34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spans="1:34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spans="1:34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spans="1:34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spans="1:34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spans="1:34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spans="1:34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spans="1:34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spans="1:34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spans="1:34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spans="1:34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spans="1:34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spans="1:34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spans="1:34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spans="1:34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spans="1:34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spans="1:34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spans="1:34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spans="1:34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spans="1:34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spans="1:34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spans="1:34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spans="1:34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spans="1:34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spans="1:34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spans="1:34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spans="1:34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spans="1:34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spans="1:34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spans="1:34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spans="1:34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spans="1:34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spans="1:34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spans="1:34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spans="1:34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spans="1:34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spans="1:34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spans="1:34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spans="1:34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spans="1:34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spans="1:34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spans="1:34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spans="1:34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spans="1:34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spans="1:34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spans="1:34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spans="1:34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spans="1:34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spans="1:34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spans="1:34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spans="1:34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spans="1:34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spans="1:34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spans="1:34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spans="1:34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spans="1:34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spans="1:34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spans="1:34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spans="1:34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spans="1:34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spans="1:34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spans="1:34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spans="1:34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spans="1:34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spans="1:34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spans="1:34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spans="1:34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spans="1:34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spans="1:34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spans="1:34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spans="1:34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spans="1:34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spans="1:34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spans="1:34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spans="1:34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spans="1:34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spans="1:34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spans="1:34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spans="1:34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spans="1:34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spans="1:34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spans="1:34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spans="1:34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spans="1:34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spans="1:34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spans="1:34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spans="1:34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spans="1:34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spans="1:34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spans="1:34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spans="1:34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spans="1:34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spans="1:34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spans="1:34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spans="1:34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spans="1:34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spans="1:34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spans="1:34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spans="1:34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spans="1:34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spans="1:34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spans="1:34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spans="1:34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spans="1:34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spans="1:34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spans="1:34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spans="1:34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spans="1:34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spans="1:34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spans="1:34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spans="1:34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spans="1:34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spans="1:34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spans="1:34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spans="1:34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spans="1:34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spans="1:34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spans="1:34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spans="1:34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spans="1:34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spans="1:34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spans="1:34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spans="1:34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spans="1:34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spans="1:34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spans="1:34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spans="1:34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spans="1:34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spans="1:34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spans="1:34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</sheetData>
  <mergeCells count="1">
    <mergeCell ref="B4:F5"/>
  </mergeCells>
  <pageMargins left="0.7" right="0.7" top="0.75" bottom="0.75" header="0" footer="0"/>
  <pageSetup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J990"/>
  <sheetViews>
    <sheetView zoomScaleNormal="100" workbookViewId="0">
      <selection activeCell="L137" sqref="L137"/>
    </sheetView>
  </sheetViews>
  <sheetFormatPr defaultColWidth="12.625" defaultRowHeight="15" customHeight="1" x14ac:dyDescent="0.2"/>
  <cols>
    <col min="1" max="1" width="6.375" customWidth="1"/>
    <col min="2" max="2" width="1.625" customWidth="1"/>
    <col min="3" max="3" width="10.125" customWidth="1"/>
    <col min="4" max="4" width="1.125" customWidth="1"/>
    <col min="5" max="5" width="12.125" customWidth="1"/>
    <col min="6" max="6" width="2.125" customWidth="1"/>
    <col min="7" max="8" width="13.125" customWidth="1"/>
    <col min="9" max="9" width="9.875" customWidth="1"/>
    <col min="10" max="10" width="13.625" customWidth="1"/>
    <col min="11" max="11" width="18.625" customWidth="1"/>
    <col min="12" max="12" width="16.375" customWidth="1"/>
    <col min="13" max="13" width="1.5" customWidth="1"/>
    <col min="14" max="14" width="8" customWidth="1"/>
    <col min="15" max="15" width="1.375" customWidth="1"/>
    <col min="16" max="16" width="8" customWidth="1"/>
    <col min="17" max="17" width="1.5" customWidth="1"/>
    <col min="18" max="18" width="10.875" customWidth="1"/>
    <col min="19" max="19" width="1.5" customWidth="1"/>
    <col min="20" max="20" width="11.5" customWidth="1"/>
    <col min="21" max="21" width="11.125" customWidth="1"/>
    <col min="22" max="22" width="10.875" customWidth="1"/>
    <col min="23" max="23" width="14.875" customWidth="1"/>
    <col min="24" max="24" width="15.375" customWidth="1"/>
    <col min="25" max="25" width="15.5" customWidth="1"/>
    <col min="26" max="26" width="1.375" customWidth="1"/>
    <col min="27" max="28" width="1.625" customWidth="1"/>
    <col min="29" max="29" width="21.375" customWidth="1"/>
    <col min="30" max="30" width="1.125" customWidth="1"/>
    <col min="31" max="32" width="14.125" customWidth="1"/>
    <col min="33" max="33" width="14" customWidth="1"/>
    <col min="34" max="34" width="2.625" customWidth="1"/>
    <col min="35" max="35" width="14.5" customWidth="1"/>
    <col min="36" max="36" width="25" customWidth="1"/>
    <col min="37" max="47" width="8" customWidth="1"/>
  </cols>
  <sheetData>
    <row r="1" spans="1:62" ht="14.25" customHeight="1" x14ac:dyDescent="0.2">
      <c r="A1" s="1"/>
      <c r="B1" s="1"/>
      <c r="C1" s="1"/>
      <c r="D1" s="1"/>
      <c r="E1" s="1"/>
      <c r="F1" s="1"/>
      <c r="G1" s="19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92"/>
      <c r="AJ1" s="19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</row>
    <row r="2" spans="1:62" ht="48.75" customHeight="1" x14ac:dyDescent="0.2">
      <c r="A2" s="1"/>
      <c r="B2" s="1"/>
      <c r="C2" s="1"/>
      <c r="D2" s="1"/>
      <c r="E2" s="1"/>
      <c r="F2" s="1"/>
      <c r="G2" s="191"/>
      <c r="H2" s="193"/>
      <c r="I2" s="1"/>
      <c r="J2" s="161"/>
      <c r="K2" s="16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92"/>
      <c r="AJ2" s="192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</row>
    <row r="3" spans="1:62" ht="35.25" customHeight="1" x14ac:dyDescent="0.2">
      <c r="A3" s="1"/>
      <c r="B3" s="1"/>
      <c r="C3" s="1"/>
      <c r="D3" s="1"/>
      <c r="E3" s="1"/>
      <c r="F3" s="1"/>
      <c r="G3" s="191"/>
      <c r="H3" s="193"/>
      <c r="I3" s="1"/>
      <c r="J3" s="1"/>
      <c r="K3" s="16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92"/>
      <c r="AJ3" s="192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</row>
    <row r="4" spans="1:62" ht="15" customHeight="1" x14ac:dyDescent="0.25">
      <c r="A4" s="2"/>
      <c r="B4" s="548" t="s">
        <v>483</v>
      </c>
      <c r="C4" s="548"/>
      <c r="D4" s="548"/>
      <c r="E4" s="548"/>
      <c r="F4" s="548"/>
      <c r="G4" s="548"/>
      <c r="H4" s="548"/>
      <c r="I4" s="548"/>
      <c r="J4" s="548"/>
      <c r="K4" s="548"/>
      <c r="L4" s="548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194"/>
      <c r="AJ4" s="194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</row>
    <row r="5" spans="1:62" ht="15" customHeight="1" x14ac:dyDescent="0.25">
      <c r="A5" s="2"/>
      <c r="B5" s="548"/>
      <c r="C5" s="548"/>
      <c r="D5" s="548"/>
      <c r="E5" s="548"/>
      <c r="F5" s="548"/>
      <c r="G5" s="548"/>
      <c r="H5" s="548"/>
      <c r="I5" s="548"/>
      <c r="J5" s="548"/>
      <c r="K5" s="548"/>
      <c r="L5" s="548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310"/>
      <c r="AJ5" s="310"/>
      <c r="AK5" s="310"/>
      <c r="AL5" s="310"/>
      <c r="AM5" s="310"/>
      <c r="AN5" s="310"/>
      <c r="AO5" s="310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</row>
    <row r="6" spans="1:62" ht="14.25" customHeight="1" x14ac:dyDescent="0.2">
      <c r="A6" s="3"/>
      <c r="B6" s="3"/>
      <c r="C6" s="3" t="s">
        <v>476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07"/>
      <c r="AJ6" s="307"/>
      <c r="AK6" s="307"/>
      <c r="AL6" s="307"/>
      <c r="AM6" s="307"/>
      <c r="AN6" s="307"/>
      <c r="AO6" s="307"/>
      <c r="AP6" s="3"/>
      <c r="AQ6" s="3"/>
      <c r="AR6" s="3"/>
      <c r="AS6" s="3"/>
      <c r="AT6" s="3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</row>
    <row r="7" spans="1:62" ht="37.5" customHeight="1" x14ac:dyDescent="0.25">
      <c r="A7" s="3"/>
      <c r="B7" s="82"/>
      <c r="C7" s="162" t="s">
        <v>232</v>
      </c>
      <c r="D7" s="163"/>
      <c r="E7" s="163"/>
      <c r="F7" s="163"/>
      <c r="G7" s="163"/>
      <c r="H7" s="163"/>
      <c r="I7" s="163"/>
      <c r="J7" s="163"/>
      <c r="K7" s="163"/>
      <c r="L7" s="163"/>
      <c r="M7" s="82"/>
      <c r="N7" s="3"/>
      <c r="O7" s="82"/>
      <c r="P7" s="162" t="s">
        <v>446</v>
      </c>
      <c r="Q7" s="163"/>
      <c r="R7" s="163"/>
      <c r="S7" s="163"/>
      <c r="T7" s="163"/>
      <c r="U7" s="163"/>
      <c r="V7" s="163"/>
      <c r="W7" s="163"/>
      <c r="X7" s="163"/>
      <c r="Y7" s="163"/>
      <c r="Z7" s="82"/>
      <c r="AA7" s="3"/>
      <c r="AB7" s="195"/>
      <c r="AC7" s="551" t="s">
        <v>250</v>
      </c>
      <c r="AD7" s="552"/>
      <c r="AE7" s="552"/>
      <c r="AF7" s="552"/>
      <c r="AG7" s="550"/>
      <c r="AH7" s="196"/>
      <c r="AI7" s="14" t="s">
        <v>233</v>
      </c>
      <c r="AJ7" s="14" t="s">
        <v>234</v>
      </c>
      <c r="AK7" s="14"/>
      <c r="AL7" s="14"/>
      <c r="AM7" s="14"/>
      <c r="AN7" s="14"/>
      <c r="AO7" s="14"/>
      <c r="AP7" s="14"/>
      <c r="AQ7" s="14"/>
      <c r="AR7" s="14"/>
      <c r="AS7" s="14"/>
      <c r="AT7" s="3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</row>
    <row r="8" spans="1:62" ht="16.5" customHeight="1" x14ac:dyDescent="0.2">
      <c r="A8" s="3"/>
      <c r="B8" s="164"/>
      <c r="C8" s="165" t="s">
        <v>235</v>
      </c>
      <c r="D8" s="165"/>
      <c r="E8" s="166" t="s">
        <v>236</v>
      </c>
      <c r="F8" s="81"/>
      <c r="G8" s="166" t="s">
        <v>237</v>
      </c>
      <c r="H8" s="166" t="s">
        <v>238</v>
      </c>
      <c r="I8" s="166" t="s">
        <v>239</v>
      </c>
      <c r="J8" s="166" t="s">
        <v>240</v>
      </c>
      <c r="K8" s="288" t="s">
        <v>445</v>
      </c>
      <c r="L8" s="166" t="s">
        <v>178</v>
      </c>
      <c r="M8" s="82"/>
      <c r="N8" s="3"/>
      <c r="O8" s="164"/>
      <c r="P8" s="165" t="s">
        <v>235</v>
      </c>
      <c r="Q8" s="165"/>
      <c r="R8" s="166" t="s">
        <v>236</v>
      </c>
      <c r="S8" s="81"/>
      <c r="T8" s="166" t="s">
        <v>237</v>
      </c>
      <c r="U8" s="166" t="s">
        <v>238</v>
      </c>
      <c r="V8" s="166" t="s">
        <v>239</v>
      </c>
      <c r="W8" s="166" t="s">
        <v>240</v>
      </c>
      <c r="X8" s="166" t="s">
        <v>445</v>
      </c>
      <c r="Y8" s="166" t="s">
        <v>178</v>
      </c>
      <c r="Z8" s="82"/>
      <c r="AA8" s="3"/>
      <c r="AB8" s="195"/>
      <c r="AC8" s="197" t="s">
        <v>251</v>
      </c>
      <c r="AD8" s="198"/>
      <c r="AE8" s="197" t="s">
        <v>240</v>
      </c>
      <c r="AF8" s="197" t="s">
        <v>178</v>
      </c>
      <c r="AG8" s="197" t="s">
        <v>241</v>
      </c>
      <c r="AH8" s="195"/>
      <c r="AI8" s="346">
        <f>'Decision Tree'!N35</f>
        <v>14063.654769903998</v>
      </c>
      <c r="AJ8" s="346">
        <f>'Decision Tree'!N36</f>
        <v>4907.2569351040001</v>
      </c>
      <c r="AK8" s="14" t="s">
        <v>453</v>
      </c>
      <c r="AL8" s="14"/>
      <c r="AM8" s="14"/>
      <c r="AN8" s="14"/>
      <c r="AO8" s="14"/>
      <c r="AP8" s="14"/>
      <c r="AQ8" s="14"/>
      <c r="AR8" s="14"/>
      <c r="AS8" s="14"/>
      <c r="AT8" s="3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</row>
    <row r="9" spans="1:62" ht="5.25" customHeight="1" x14ac:dyDescent="0.2">
      <c r="A9" s="3"/>
      <c r="B9" s="82"/>
      <c r="C9" s="82"/>
      <c r="D9" s="82"/>
      <c r="E9" s="82"/>
      <c r="F9" s="82"/>
      <c r="G9" s="114"/>
      <c r="H9" s="114"/>
      <c r="I9" s="114"/>
      <c r="J9" s="114"/>
      <c r="K9" s="114"/>
      <c r="L9" s="114"/>
      <c r="M9" s="82"/>
      <c r="N9" s="3"/>
      <c r="O9" s="82"/>
      <c r="P9" s="82"/>
      <c r="Q9" s="82"/>
      <c r="R9" s="82"/>
      <c r="S9" s="82"/>
      <c r="T9" s="114"/>
      <c r="U9" s="114"/>
      <c r="V9" s="114"/>
      <c r="W9" s="114"/>
      <c r="X9" s="114"/>
      <c r="Y9" s="114"/>
      <c r="Z9" s="82"/>
      <c r="AA9" s="3"/>
      <c r="AB9" s="195"/>
      <c r="AC9" s="195"/>
      <c r="AD9" s="195"/>
      <c r="AE9" s="195"/>
      <c r="AF9" s="195"/>
      <c r="AG9" s="195"/>
      <c r="AH9" s="195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3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</row>
    <row r="10" spans="1:62" ht="15.75" customHeight="1" x14ac:dyDescent="0.2">
      <c r="A10" s="3"/>
      <c r="B10" s="82"/>
      <c r="C10" s="122" t="s">
        <v>532</v>
      </c>
      <c r="D10" s="82"/>
      <c r="E10" s="82"/>
      <c r="F10" s="82"/>
      <c r="G10" s="122">
        <f>cohortsize</f>
        <v>100</v>
      </c>
      <c r="H10" s="122">
        <v>0</v>
      </c>
      <c r="I10" s="82"/>
      <c r="J10" s="82"/>
      <c r="K10" s="82"/>
      <c r="L10" s="82"/>
      <c r="M10" s="82"/>
      <c r="N10" s="3"/>
      <c r="O10" s="82"/>
      <c r="P10" s="122" t="s">
        <v>532</v>
      </c>
      <c r="Q10" s="82"/>
      <c r="R10" s="82"/>
      <c r="S10" s="82"/>
      <c r="T10" s="122">
        <f>cohortsize</f>
        <v>100</v>
      </c>
      <c r="U10" s="82"/>
      <c r="V10" s="82"/>
      <c r="W10" s="82"/>
      <c r="X10" s="82"/>
      <c r="Y10" s="82"/>
      <c r="Z10" s="82"/>
      <c r="AA10" s="3"/>
      <c r="AB10" s="195"/>
      <c r="AC10" s="199" t="s">
        <v>252</v>
      </c>
      <c r="AD10" s="195"/>
      <c r="AE10" s="200">
        <f>J121</f>
        <v>89216.373629588692</v>
      </c>
      <c r="AF10" s="219">
        <f t="shared" ref="AF10" si="0">L121</f>
        <v>3.915400478393372</v>
      </c>
      <c r="AG10" s="219">
        <f t="shared" ref="AG10" si="1">K121</f>
        <v>6.3863427306887042</v>
      </c>
      <c r="AH10" s="195"/>
      <c r="AI10" s="532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3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</row>
    <row r="11" spans="1:62" ht="14.25" customHeight="1" x14ac:dyDescent="0.2">
      <c r="A11" s="3"/>
      <c r="B11" s="82"/>
      <c r="C11" s="169">
        <v>0</v>
      </c>
      <c r="D11" s="168"/>
      <c r="E11" s="201">
        <v>0</v>
      </c>
      <c r="F11" s="202"/>
      <c r="G11" s="464">
        <f>G10*AI13</f>
        <v>81.2</v>
      </c>
      <c r="H11" s="295">
        <f>G10-G11</f>
        <v>18.799999999999997</v>
      </c>
      <c r="I11" s="172">
        <f t="shared" ref="I11:I119" si="2">SUM(G11:H11)</f>
        <v>100</v>
      </c>
      <c r="J11" s="173">
        <f>(AI8*G10)</f>
        <v>1406365.4769903999</v>
      </c>
      <c r="K11" s="294">
        <f t="shared" ref="K11:K16" si="3">G11</f>
        <v>81.2</v>
      </c>
      <c r="L11" s="203">
        <f>(G11*AI11)</f>
        <v>18.727093373261216</v>
      </c>
      <c r="M11" s="82"/>
      <c r="N11" s="3"/>
      <c r="O11" s="82"/>
      <c r="P11" s="169">
        <v>0</v>
      </c>
      <c r="Q11" s="168"/>
      <c r="R11" s="201">
        <v>0</v>
      </c>
      <c r="S11" s="82"/>
      <c r="T11" s="454">
        <f>T10*AJ13</f>
        <v>76.5</v>
      </c>
      <c r="U11" s="295">
        <f>T10-T11</f>
        <v>23.5</v>
      </c>
      <c r="V11" s="171">
        <f t="shared" ref="V11:V119" si="4">SUM(T11:U11)</f>
        <v>100</v>
      </c>
      <c r="W11" s="175">
        <f>(AJ8*T10)</f>
        <v>490725.69351040001</v>
      </c>
      <c r="X11" s="295">
        <f>T11</f>
        <v>76.5</v>
      </c>
      <c r="Y11" s="203">
        <f>T11*AJ11</f>
        <v>16.4101257925632</v>
      </c>
      <c r="Z11" s="82"/>
      <c r="AA11" s="3"/>
      <c r="AB11" s="195"/>
      <c r="AC11" s="199" t="s">
        <v>253</v>
      </c>
      <c r="AD11" s="195"/>
      <c r="AE11" s="204">
        <f>J123</f>
        <v>8921637.362958869</v>
      </c>
      <c r="AF11" s="224">
        <f>L123</f>
        <v>391.54004783933715</v>
      </c>
      <c r="AG11" s="224">
        <f>K123</f>
        <v>638.63427306887047</v>
      </c>
      <c r="AH11" s="195"/>
      <c r="AI11" s="348">
        <f>'Decision Tree'!O35</f>
        <v>0.23062922873474404</v>
      </c>
      <c r="AJ11" s="348">
        <f>'Decision Tree'!O36</f>
        <v>0.2145114482688</v>
      </c>
      <c r="AK11" s="14" t="s">
        <v>454</v>
      </c>
      <c r="AL11" s="14"/>
      <c r="AM11" s="14"/>
      <c r="AN11" s="14"/>
      <c r="AO11" s="14"/>
      <c r="AP11" s="14"/>
      <c r="AQ11" s="14"/>
      <c r="AR11" s="14"/>
      <c r="AS11" s="14"/>
      <c r="AT11" s="3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</row>
    <row r="12" spans="1:62" ht="14.25" customHeight="1" x14ac:dyDescent="0.2">
      <c r="A12" s="311"/>
      <c r="B12" s="82"/>
      <c r="C12" s="176">
        <v>1</v>
      </c>
      <c r="D12" s="168"/>
      <c r="E12" s="201">
        <v>1.8675591784773737E-2</v>
      </c>
      <c r="F12" s="202"/>
      <c r="G12" s="465">
        <f>G10-H12</f>
        <v>79.683541947076378</v>
      </c>
      <c r="H12" s="179">
        <f>H11+(G11*E12)</f>
        <v>20.316458052923625</v>
      </c>
      <c r="I12" s="181">
        <f>SUM(G12:H12)</f>
        <v>100</v>
      </c>
      <c r="J12" s="156">
        <f>(G12*Parameters!B41)/(1+cDR)^'Markov Model_b'!cycle</f>
        <v>685545.61725276639</v>
      </c>
      <c r="K12" s="181">
        <f t="shared" si="3"/>
        <v>79.683541947076378</v>
      </c>
      <c r="L12" s="205">
        <f>(G12*(uPostT))/(1+oDR)^'Markov Model_b'!cycle</f>
        <v>60.408470703020505</v>
      </c>
      <c r="M12" s="82"/>
      <c r="N12" s="3"/>
      <c r="O12" s="82"/>
      <c r="P12" s="176">
        <v>1</v>
      </c>
      <c r="Q12" s="168"/>
      <c r="R12" s="201">
        <v>1.8675591784773737E-2</v>
      </c>
      <c r="S12" s="82"/>
      <c r="T12" s="154">
        <f t="shared" ref="T12:T119" si="5">$T$10-U12</f>
        <v>75.071317228464807</v>
      </c>
      <c r="U12" s="179">
        <f>(T11*'Markov Model_b'!mr_2)+U11</f>
        <v>24.92868277153519</v>
      </c>
      <c r="V12" s="179">
        <f t="shared" si="4"/>
        <v>100</v>
      </c>
      <c r="W12" s="183">
        <f>(T12*Parameters!$B$41)/(1+cDR)^'Markov Model_b'!cycle2</f>
        <v>645865.02118025394</v>
      </c>
      <c r="X12" s="179">
        <f>T12</f>
        <v>75.071317228464807</v>
      </c>
      <c r="Y12" s="205">
        <f>(T12*(uPostT))/(1+oDR)^'Markov Model_b'!cycle</f>
        <v>56.911921290407236</v>
      </c>
      <c r="Z12" s="82"/>
      <c r="AA12" s="3"/>
      <c r="AB12" s="195"/>
      <c r="AC12" s="312" t="s">
        <v>457</v>
      </c>
      <c r="AD12" s="195"/>
      <c r="AE12" s="204">
        <f t="shared" ref="AE12" si="6">W121</f>
        <v>75710.003151432553</v>
      </c>
      <c r="AF12" s="224">
        <f t="shared" ref="AF12" si="7">Y121</f>
        <v>3.6764400530801655</v>
      </c>
      <c r="AG12" s="224">
        <f t="shared" ref="AG12" si="8">X121</f>
        <v>6.0166898879025412</v>
      </c>
      <c r="AH12" s="195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3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</row>
    <row r="13" spans="1:62" ht="14.25" customHeight="1" x14ac:dyDescent="0.2">
      <c r="A13" s="311"/>
      <c r="B13" s="82"/>
      <c r="C13" s="176">
        <v>2</v>
      </c>
      <c r="D13" s="168"/>
      <c r="E13" s="201">
        <v>1.7400064437679608E-2</v>
      </c>
      <c r="F13" s="202"/>
      <c r="G13" s="465">
        <f>$G$10-H13</f>
        <v>78.297043182574697</v>
      </c>
      <c r="H13" s="179">
        <f t="shared" ref="H13:H119" si="9">H12+(G12*E13)</f>
        <v>21.702956817425299</v>
      </c>
      <c r="I13" s="181">
        <f t="shared" si="2"/>
        <v>100</v>
      </c>
      <c r="J13" s="156">
        <f>(G13*Parameters!B41)/(1+cDR)^'Markov Model_b'!cycle</f>
        <v>671957.34469619964</v>
      </c>
      <c r="K13" s="181">
        <f t="shared" si="3"/>
        <v>78.297043182574697</v>
      </c>
      <c r="L13" s="205">
        <f>(G13*(uPostT))/(1+oDR)^'Markov Model_b'!cycle</f>
        <v>59.209336080006246</v>
      </c>
      <c r="M13" s="82"/>
      <c r="N13" s="3"/>
      <c r="O13" s="82"/>
      <c r="P13" s="176">
        <v>2</v>
      </c>
      <c r="Q13" s="168"/>
      <c r="R13" s="201">
        <v>1.7400064437679608E-2</v>
      </c>
      <c r="S13" s="82"/>
      <c r="T13" s="154">
        <f t="shared" si="5"/>
        <v>73.765071471268044</v>
      </c>
      <c r="U13" s="179">
        <f>(T12*'Markov Model_b'!mr_2)+U12</f>
        <v>26.234928528731963</v>
      </c>
      <c r="V13" s="179">
        <f t="shared" si="4"/>
        <v>100</v>
      </c>
      <c r="W13" s="183">
        <f>(T13*Parameters!$B$41)/(1+cDR)^'Markov Model_b'!cycle2</f>
        <v>633063.26193669066</v>
      </c>
      <c r="X13" s="179">
        <f t="shared" ref="X13:X119" si="10">T13</f>
        <v>73.765071471268044</v>
      </c>
      <c r="Y13" s="205">
        <f>(T13*(uPostT))/(1+oDR)^'Markov Model_b'!cycle</f>
        <v>55.78219470591722</v>
      </c>
      <c r="Z13" s="82"/>
      <c r="AA13" s="3"/>
      <c r="AB13" s="195"/>
      <c r="AC13" s="312" t="s">
        <v>458</v>
      </c>
      <c r="AD13" s="195"/>
      <c r="AE13" s="204">
        <f>W123</f>
        <v>7571000.3151432555</v>
      </c>
      <c r="AF13" s="224">
        <f>Y123</f>
        <v>367.64400530801652</v>
      </c>
      <c r="AG13" s="224">
        <f>X123</f>
        <v>601.66898879025416</v>
      </c>
      <c r="AH13" s="195"/>
      <c r="AI13" s="347">
        <f>'Decision Tree'!N41</f>
        <v>0.81200000000000006</v>
      </c>
      <c r="AJ13" s="347">
        <f>'Decision Tree'!N42</f>
        <v>0.76500000000000001</v>
      </c>
      <c r="AK13" s="14" t="s">
        <v>455</v>
      </c>
      <c r="AL13" s="14"/>
      <c r="AM13" s="14"/>
      <c r="AN13" s="14"/>
      <c r="AO13" s="14"/>
      <c r="AP13" s="14"/>
      <c r="AQ13" s="14"/>
      <c r="AR13" s="14"/>
      <c r="AS13" s="14"/>
      <c r="AT13" s="3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</row>
    <row r="14" spans="1:62" ht="14.25" customHeight="1" x14ac:dyDescent="0.2">
      <c r="A14" s="311"/>
      <c r="B14" s="82"/>
      <c r="C14" s="176">
        <v>3</v>
      </c>
      <c r="D14" s="168"/>
      <c r="E14" s="201">
        <v>1.623112695108464E-2</v>
      </c>
      <c r="F14" s="202"/>
      <c r="G14" s="465">
        <f>G10-H14</f>
        <v>77.026193934783777</v>
      </c>
      <c r="H14" s="179">
        <f t="shared" si="9"/>
        <v>22.973806065216227</v>
      </c>
      <c r="I14" s="181">
        <f t="shared" si="2"/>
        <v>100</v>
      </c>
      <c r="J14" s="156">
        <f>(G14*Parameters!$B$41)/(1+cDR)^'Markov Model_b'!cycle</f>
        <v>659421.94751835172</v>
      </c>
      <c r="K14" s="181">
        <f t="shared" si="3"/>
        <v>77.026193934783777</v>
      </c>
      <c r="L14" s="205">
        <f>(G14*(uPostT))/(1+oDR)^'Markov Model_b'!cycle</f>
        <v>58.103044218855104</v>
      </c>
      <c r="M14" s="82"/>
      <c r="N14" s="3"/>
      <c r="O14" s="82"/>
      <c r="P14" s="176">
        <v>3</v>
      </c>
      <c r="Q14" s="168"/>
      <c r="R14" s="201">
        <v>1.623112695108464E-2</v>
      </c>
      <c r="S14" s="82"/>
      <c r="T14" s="154">
        <f t="shared" si="5"/>
        <v>72.567781231662053</v>
      </c>
      <c r="U14" s="179">
        <f>(T13*'Markov Model_b'!mr_2)+U13</f>
        <v>27.432218768337947</v>
      </c>
      <c r="V14" s="179">
        <f t="shared" si="4"/>
        <v>100</v>
      </c>
      <c r="W14" s="183">
        <f>(T14*Parameters!$B$41)/(1+cDR)^'Markov Model_b'!cycle2</f>
        <v>621253.43577775743</v>
      </c>
      <c r="X14" s="179">
        <f t="shared" si="10"/>
        <v>72.567781231662053</v>
      </c>
      <c r="Y14" s="205">
        <f>(T14*(uPostT))/(1+oDR)^'Markov Model_b'!cycle</f>
        <v>54.739936979586389</v>
      </c>
      <c r="Z14" s="82"/>
      <c r="AA14" s="3"/>
      <c r="AB14" s="195"/>
      <c r="AC14" s="195"/>
      <c r="AD14" s="195"/>
      <c r="AE14" s="195"/>
      <c r="AF14" s="195"/>
      <c r="AG14" s="195"/>
      <c r="AH14" s="195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3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</row>
    <row r="15" spans="1:62" ht="14.25" customHeight="1" x14ac:dyDescent="0.2">
      <c r="A15" s="311"/>
      <c r="B15" s="82"/>
      <c r="C15" s="176">
        <v>4</v>
      </c>
      <c r="D15" s="168"/>
      <c r="E15" s="201">
        <v>1.5158182302701162E-2</v>
      </c>
      <c r="F15" s="202"/>
      <c r="G15" s="465">
        <f t="shared" ref="G15:G119" si="11">$G$10-H15</f>
        <v>75.858616845037105</v>
      </c>
      <c r="H15" s="179">
        <f t="shared" si="9"/>
        <v>24.141383154962895</v>
      </c>
      <c r="I15" s="181">
        <f t="shared" si="2"/>
        <v>100</v>
      </c>
      <c r="J15" s="156">
        <f>(G15*Parameters!$B$41)/(1+cDR)^'Markov Model_b'!cycle</f>
        <v>647826.17876192427</v>
      </c>
      <c r="K15" s="181">
        <f t="shared" si="3"/>
        <v>75.858616845037105</v>
      </c>
      <c r="L15" s="205">
        <f>(G15*(uPostT))/(1+oDR)^'Markov Model_b'!cycle</f>
        <v>57.079608660592307</v>
      </c>
      <c r="M15" s="82"/>
      <c r="N15" s="3"/>
      <c r="O15" s="82"/>
      <c r="P15" s="176">
        <v>4</v>
      </c>
      <c r="Q15" s="168"/>
      <c r="R15" s="201">
        <v>1.5158182302701162E-2</v>
      </c>
      <c r="S15" s="82"/>
      <c r="T15" s="154">
        <f t="shared" si="5"/>
        <v>71.467785574449977</v>
      </c>
      <c r="U15" s="179">
        <f>(T14*'Markov Model_b'!mr_2)+U14</f>
        <v>28.532214425550016</v>
      </c>
      <c r="V15" s="179">
        <f t="shared" si="4"/>
        <v>100</v>
      </c>
      <c r="W15" s="183">
        <f>(T15*Parameters!$B$41)/(1+cDR)^'Markov Model_b'!cycle2</f>
        <v>610328.85068087687</v>
      </c>
      <c r="X15" s="179">
        <f t="shared" si="10"/>
        <v>71.467785574449977</v>
      </c>
      <c r="Y15" s="205">
        <f>(T15*(uPostT))/(1+oDR)^'Markov Model_b'!cycle</f>
        <v>53.775739686395454</v>
      </c>
      <c r="Z15" s="82"/>
      <c r="AA15" s="3"/>
      <c r="AB15" s="195"/>
      <c r="AC15" s="491" t="s">
        <v>254</v>
      </c>
      <c r="AD15" s="195"/>
      <c r="AE15" s="490">
        <f>K126</f>
        <v>56521.369429491431</v>
      </c>
      <c r="AF15" s="492" t="s">
        <v>255</v>
      </c>
      <c r="AG15" s="195"/>
      <c r="AH15" s="195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3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</row>
    <row r="16" spans="1:62" ht="14.25" customHeight="1" x14ac:dyDescent="0.2">
      <c r="A16" s="311"/>
      <c r="B16" s="82"/>
      <c r="C16" s="176">
        <v>5</v>
      </c>
      <c r="D16" s="168"/>
      <c r="E16" s="201">
        <v>1.4171842990189809E-2</v>
      </c>
      <c r="F16" s="202"/>
      <c r="G16" s="465">
        <f t="shared" si="11"/>
        <v>74.783560437656263</v>
      </c>
      <c r="H16" s="179">
        <f t="shared" si="9"/>
        <v>25.21643956234373</v>
      </c>
      <c r="I16" s="181">
        <f t="shared" si="2"/>
        <v>100</v>
      </c>
      <c r="J16" s="156">
        <f>(G16*Parameters!$B$41)/(1+cDR)^'Markov Model_b'!cycle</f>
        <v>637071.72072139371</v>
      </c>
      <c r="K16" s="181">
        <f t="shared" si="3"/>
        <v>74.783560437656263</v>
      </c>
      <c r="L16" s="205">
        <f>(G16*(uPostT))/(1+oDR)^'Markov Model_b'!cycle</f>
        <v>56.130359509938053</v>
      </c>
      <c r="M16" s="82"/>
      <c r="N16" s="3"/>
      <c r="O16" s="82"/>
      <c r="P16" s="176">
        <v>5</v>
      </c>
      <c r="Q16" s="168"/>
      <c r="R16" s="201">
        <v>1.4171842990189809E-2</v>
      </c>
      <c r="S16" s="82"/>
      <c r="T16" s="154">
        <f t="shared" si="5"/>
        <v>70.454955338432327</v>
      </c>
      <c r="U16" s="179">
        <f>(T15*'Markov Model_b'!mr_2)+U15</f>
        <v>29.545044661567673</v>
      </c>
      <c r="V16" s="179">
        <f t="shared" si="4"/>
        <v>100</v>
      </c>
      <c r="W16" s="183">
        <f>(T16*Parameters!$B$41)/(1+cDR)^'Markov Model_b'!cycle2</f>
        <v>600196.87974367768</v>
      </c>
      <c r="X16" s="179">
        <f t="shared" si="10"/>
        <v>70.454955338432327</v>
      </c>
      <c r="Y16" s="205">
        <f>(T16*(uPostT))/(1+oDR)^'Markov Model_b'!cycle</f>
        <v>52.881434759978596</v>
      </c>
      <c r="Z16" s="82"/>
      <c r="AA16" s="3"/>
      <c r="AB16" s="195"/>
      <c r="AC16" s="199"/>
      <c r="AD16" s="195"/>
      <c r="AE16" s="195"/>
      <c r="AF16" s="206"/>
      <c r="AG16" s="195"/>
      <c r="AH16" s="195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3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</row>
    <row r="17" spans="1:60" ht="14.25" customHeight="1" x14ac:dyDescent="0.2">
      <c r="A17" s="311"/>
      <c r="B17" s="82"/>
      <c r="C17" s="176">
        <v>6</v>
      </c>
      <c r="D17" s="168"/>
      <c r="E17" s="201">
        <v>1.3263776780149672E-2</v>
      </c>
      <c r="F17" s="202"/>
      <c r="G17" s="465">
        <f t="shared" si="11"/>
        <v>73.791647985186358</v>
      </c>
      <c r="H17" s="179">
        <f t="shared" si="9"/>
        <v>26.208352014813634</v>
      </c>
      <c r="I17" s="181">
        <f t="shared" si="2"/>
        <v>100</v>
      </c>
      <c r="J17" s="156">
        <f>(G17*Parameters!$B$41)/(1+cDR)^'Markov Model_b'!cycle</f>
        <v>627072.87362694077</v>
      </c>
      <c r="K17" s="181">
        <f t="shared" ref="K17:K119" si="12">G17</f>
        <v>73.791647985186358</v>
      </c>
      <c r="L17" s="205">
        <f>(G17*(uPostT))/(1+oDR)^'Markov Model_b'!cycle</f>
        <v>55.247739601804184</v>
      </c>
      <c r="M17" s="82"/>
      <c r="N17" s="3"/>
      <c r="O17" s="82"/>
      <c r="P17" s="176">
        <v>6</v>
      </c>
      <c r="Q17" s="168"/>
      <c r="R17" s="201">
        <v>1.3263776780149672E-2</v>
      </c>
      <c r="S17" s="82"/>
      <c r="T17" s="154">
        <f t="shared" si="5"/>
        <v>69.520456537767942</v>
      </c>
      <c r="U17" s="179">
        <f>(T16*'Markov Model_b'!mr_2)+U16</f>
        <v>30.479543462232055</v>
      </c>
      <c r="V17" s="179">
        <f t="shared" si="4"/>
        <v>100</v>
      </c>
      <c r="W17" s="183">
        <f>(T17*Parameters!$B$41)/(1+cDR)^'Markov Model_b'!cycle2</f>
        <v>590776.78365099721</v>
      </c>
      <c r="X17" s="179">
        <f>T17</f>
        <v>69.520456537767942</v>
      </c>
      <c r="Y17" s="205">
        <f>(T17*(uPostT))/(1+oDR)^'Markov Model_b'!cycle</f>
        <v>52.049902457364794</v>
      </c>
      <c r="Z17" s="82"/>
      <c r="AA17" s="3"/>
      <c r="AB17" s="3"/>
      <c r="AC17" s="3"/>
      <c r="AD17" s="29"/>
      <c r="AE17" s="533"/>
      <c r="AF17" s="3"/>
      <c r="AG17" s="3"/>
      <c r="AH17" s="3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3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</row>
    <row r="18" spans="1:60" ht="14.25" customHeight="1" x14ac:dyDescent="0.2">
      <c r="A18" s="311"/>
      <c r="B18" s="82"/>
      <c r="C18" s="176">
        <v>7</v>
      </c>
      <c r="D18" s="168"/>
      <c r="E18" s="201">
        <v>1.2426574040802496E-2</v>
      </c>
      <c r="F18" s="202"/>
      <c r="G18" s="465">
        <f t="shared" si="11"/>
        <v>72.874670607905614</v>
      </c>
      <c r="H18" s="179">
        <f t="shared" si="9"/>
        <v>27.125329392094386</v>
      </c>
      <c r="I18" s="181">
        <f t="shared" si="2"/>
        <v>100</v>
      </c>
      <c r="J18" s="156">
        <f>(G18*Parameters!$B$41)/(1+cDR)^'Markov Model_b'!cycle</f>
        <v>617754.65214304358</v>
      </c>
      <c r="K18" s="181">
        <f t="shared" si="12"/>
        <v>72.874670607905614</v>
      </c>
      <c r="L18" s="205">
        <f>(G18*(uPostT))/(1+oDR)^'Markov Model_b'!cycle</f>
        <v>54.425136633471723</v>
      </c>
      <c r="M18" s="82"/>
      <c r="N18" s="3"/>
      <c r="O18" s="82"/>
      <c r="P18" s="176">
        <v>7</v>
      </c>
      <c r="Q18" s="168"/>
      <c r="R18" s="201">
        <v>1.2426574040802496E-2</v>
      </c>
      <c r="S18" s="82"/>
      <c r="T18" s="154">
        <f t="shared" si="5"/>
        <v>68.656555437250972</v>
      </c>
      <c r="U18" s="179">
        <f>(T17*'Markov Model_b'!mr_2)+U17</f>
        <v>31.343444562749021</v>
      </c>
      <c r="V18" s="179">
        <f t="shared" si="4"/>
        <v>100</v>
      </c>
      <c r="W18" s="183">
        <f>(T18*Parameters!$B$41)/(1+cDR)^'Markov Model_b'!cycle2</f>
        <v>581997.91735151259</v>
      </c>
      <c r="X18" s="179">
        <f t="shared" si="10"/>
        <v>68.656555437250972</v>
      </c>
      <c r="Y18" s="205">
        <f>(T18*(uPostT))/(1+oDR)^'Markov Model_b'!cycle</f>
        <v>51.274913207642683</v>
      </c>
      <c r="Z18" s="82"/>
      <c r="AA18" s="3"/>
      <c r="AB18" s="3"/>
      <c r="AC18" s="311"/>
      <c r="AD18" s="29"/>
      <c r="AE18" s="533"/>
      <c r="AF18" s="3"/>
      <c r="AG18" s="3"/>
      <c r="AH18" s="3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3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</row>
    <row r="19" spans="1:60" ht="14.25" customHeight="1" x14ac:dyDescent="0.25">
      <c r="A19" s="311"/>
      <c r="B19" s="82"/>
      <c r="C19" s="176">
        <v>8</v>
      </c>
      <c r="D19" s="168"/>
      <c r="E19" s="201">
        <v>1.1653633386990381E-2</v>
      </c>
      <c r="F19" s="202"/>
      <c r="G19" s="465">
        <f t="shared" si="11"/>
        <v>72.025415913443396</v>
      </c>
      <c r="H19" s="179">
        <f t="shared" si="9"/>
        <v>27.9745840865566</v>
      </c>
      <c r="I19" s="181">
        <f t="shared" si="2"/>
        <v>100</v>
      </c>
      <c r="J19" s="156">
        <f>(G19*Parameters!$B$41)/(1+cDR)^'Markov Model_b'!cycle</f>
        <v>609051.20941660181</v>
      </c>
      <c r="K19" s="181">
        <f t="shared" si="12"/>
        <v>72.025415913443396</v>
      </c>
      <c r="L19" s="205">
        <f>(G19*(uPostT))/(1+oDR)^'Markov Model_b'!cycle</f>
        <v>53.656744183649259</v>
      </c>
      <c r="M19" s="82"/>
      <c r="N19" s="3"/>
      <c r="O19" s="82"/>
      <c r="P19" s="176">
        <v>8</v>
      </c>
      <c r="Q19" s="168"/>
      <c r="R19" s="201">
        <v>1.1653633386990381E-2</v>
      </c>
      <c r="S19" s="82"/>
      <c r="T19" s="154">
        <f t="shared" si="5"/>
        <v>67.856457110571682</v>
      </c>
      <c r="U19" s="179">
        <f>(T18*'Markov Model_b'!mr_2)+U18</f>
        <v>32.143542889428325</v>
      </c>
      <c r="V19" s="179">
        <f t="shared" si="4"/>
        <v>100</v>
      </c>
      <c r="W19" s="183">
        <f>(T19*Parameters!$B$41)/(1+cDR)^'Markov Model_b'!cycle2</f>
        <v>573798.24532475416</v>
      </c>
      <c r="X19" s="179">
        <f t="shared" si="10"/>
        <v>67.856457110571682</v>
      </c>
      <c r="Y19" s="205">
        <f>(T19*(uPostT))/(1+oDR)^'Markov Model_b'!cycle</f>
        <v>50.550996675482374</v>
      </c>
      <c r="Z19" s="82"/>
      <c r="AA19" s="3"/>
      <c r="AB19" s="3"/>
      <c r="AC19" s="3"/>
      <c r="AD19" s="29"/>
      <c r="AE19" s="3"/>
      <c r="AF19" s="3"/>
      <c r="AG19" s="3"/>
      <c r="AH19" s="3"/>
      <c r="AI19" s="14"/>
      <c r="AJ19" s="349"/>
      <c r="AK19" s="14"/>
      <c r="AL19" s="14"/>
      <c r="AM19" s="14"/>
      <c r="AN19" s="14"/>
      <c r="AO19" s="14"/>
      <c r="AP19" s="14"/>
      <c r="AQ19" s="14"/>
      <c r="AR19" s="14"/>
      <c r="AS19" s="14"/>
      <c r="AT19" s="3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</row>
    <row r="20" spans="1:60" ht="14.25" customHeight="1" x14ac:dyDescent="0.2">
      <c r="A20" s="311"/>
      <c r="B20" s="82"/>
      <c r="C20" s="176">
        <v>9</v>
      </c>
      <c r="D20" s="168"/>
      <c r="E20" s="201">
        <v>1.0939062897976581E-2</v>
      </c>
      <c r="F20" s="202"/>
      <c r="G20" s="465">
        <f t="shared" si="11"/>
        <v>71.237525358513324</v>
      </c>
      <c r="H20" s="179">
        <f t="shared" si="9"/>
        <v>28.76247464148668</v>
      </c>
      <c r="I20" s="181">
        <f t="shared" si="2"/>
        <v>100</v>
      </c>
      <c r="J20" s="156">
        <f>(G20*Parameters!$B$41)/(1+cDR)^'Markov Model_b'!cycle</f>
        <v>600904.52575010213</v>
      </c>
      <c r="K20" s="181">
        <f t="shared" si="12"/>
        <v>71.237525358513324</v>
      </c>
      <c r="L20" s="205">
        <f>(G20*(uPostT))/(1+oDR)^'Markov Model_b'!cycle</f>
        <v>52.93744606895131</v>
      </c>
      <c r="M20" s="82"/>
      <c r="N20" s="3"/>
      <c r="O20" s="82"/>
      <c r="P20" s="176">
        <v>9</v>
      </c>
      <c r="Q20" s="168"/>
      <c r="R20" s="201">
        <v>1.0939062897976581E-2</v>
      </c>
      <c r="S20" s="82"/>
      <c r="T20" s="154">
        <f t="shared" si="5"/>
        <v>67.114171058205272</v>
      </c>
      <c r="U20" s="179">
        <f>(T19*'Markov Model_b'!mr_2)+U19</f>
        <v>32.88582894179472</v>
      </c>
      <c r="V20" s="179">
        <f t="shared" si="4"/>
        <v>100</v>
      </c>
      <c r="W20" s="183">
        <f>(T20*Parameters!$B$41)/(1+cDR)^'Markov Model_b'!cycle2</f>
        <v>566123.10615619214</v>
      </c>
      <c r="X20" s="179">
        <f t="shared" si="10"/>
        <v>67.114171058205272</v>
      </c>
      <c r="Y20" s="205">
        <f>(T20*(uPostT))/(1+oDR)^'Markov Model_b'!cycle</f>
        <v>49.873332811265691</v>
      </c>
      <c r="Z20" s="82"/>
      <c r="AA20" s="3"/>
      <c r="AB20" s="3"/>
      <c r="AC20" s="3"/>
      <c r="AD20" s="29"/>
      <c r="AE20" s="3"/>
      <c r="AF20" s="3"/>
      <c r="AG20" s="3"/>
      <c r="AH20" s="3"/>
      <c r="AI20" s="307"/>
      <c r="AJ20" s="307"/>
      <c r="AK20" s="307"/>
      <c r="AL20" s="307"/>
      <c r="AM20" s="307"/>
      <c r="AN20" s="307"/>
      <c r="AO20" s="307"/>
      <c r="AP20" s="3"/>
      <c r="AQ20" s="3"/>
      <c r="AR20" s="3"/>
      <c r="AS20" s="3"/>
      <c r="AT20" s="3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</row>
    <row r="21" spans="1:60" ht="14.25" customHeight="1" x14ac:dyDescent="0.2">
      <c r="A21" s="311"/>
      <c r="B21" s="82"/>
      <c r="C21" s="176">
        <v>10</v>
      </c>
      <c r="D21" s="168"/>
      <c r="E21" s="201">
        <v>1.0277594608350926E-2</v>
      </c>
      <c r="F21" s="202"/>
      <c r="G21" s="465">
        <f t="shared" si="11"/>
        <v>70.505374951976393</v>
      </c>
      <c r="H21" s="179">
        <f t="shared" si="9"/>
        <v>29.4946250480236</v>
      </c>
      <c r="I21" s="181">
        <f t="shared" si="2"/>
        <v>100</v>
      </c>
      <c r="J21" s="156">
        <f>(G21*Parameters!$B$41)/(1+cDR)^'Markov Model_b'!cycle</f>
        <v>593263.31225484959</v>
      </c>
      <c r="K21" s="181">
        <f t="shared" si="12"/>
        <v>70.505374951976393</v>
      </c>
      <c r="L21" s="205">
        <f>(G21*(uPostT))/(1+oDR)^'Markov Model_b'!cycle</f>
        <v>52.26271965950442</v>
      </c>
      <c r="M21" s="82"/>
      <c r="N21" s="3"/>
      <c r="O21" s="82"/>
      <c r="P21" s="176">
        <v>10</v>
      </c>
      <c r="Q21" s="168"/>
      <c r="R21" s="201">
        <v>1.0277594608350926E-2</v>
      </c>
      <c r="S21" s="82"/>
      <c r="T21" s="154">
        <f t="shared" si="5"/>
        <v>66.42439881559352</v>
      </c>
      <c r="U21" s="179">
        <f>(T20*'Markov Model_b'!mr_2)+U20</f>
        <v>33.575601184406473</v>
      </c>
      <c r="V21" s="179">
        <f t="shared" si="4"/>
        <v>100</v>
      </c>
      <c r="W21" s="183">
        <f>(T21*Parameters!$B$41)/(1+cDR)^'Markov Model_b'!cycle2</f>
        <v>558924.17964896536</v>
      </c>
      <c r="X21" s="179">
        <f t="shared" si="10"/>
        <v>66.42439881559352</v>
      </c>
      <c r="Y21" s="205">
        <f>(T21*(uPostT))/(1+oDR)^'Markov Model_b'!cycle</f>
        <v>49.23766076295675</v>
      </c>
      <c r="Z21" s="82"/>
      <c r="AA21" s="3"/>
      <c r="AB21" s="3"/>
      <c r="AC21" s="3"/>
      <c r="AD21" s="29"/>
      <c r="AE21" s="3"/>
      <c r="AF21" s="3"/>
      <c r="AG21" s="3"/>
      <c r="AH21" s="3"/>
      <c r="AI21" s="307"/>
      <c r="AJ21" s="307"/>
      <c r="AK21" s="307"/>
      <c r="AL21" s="307"/>
      <c r="AM21" s="307"/>
      <c r="AN21" s="307"/>
      <c r="AO21" s="307"/>
      <c r="AP21" s="3"/>
      <c r="AQ21" s="3"/>
      <c r="AR21" s="3"/>
      <c r="AS21" s="3"/>
      <c r="AT21" s="3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</row>
    <row r="22" spans="1:60" ht="14.25" customHeight="1" x14ac:dyDescent="0.2">
      <c r="A22" s="311"/>
      <c r="B22" s="82"/>
      <c r="C22" s="176">
        <v>11</v>
      </c>
      <c r="D22" s="168"/>
      <c r="E22" s="201">
        <v>9.6645103369903951E-3</v>
      </c>
      <c r="F22" s="202"/>
      <c r="G22" s="465">
        <f t="shared" si="11"/>
        <v>69.823975026939635</v>
      </c>
      <c r="H22" s="179">
        <f t="shared" si="9"/>
        <v>30.176024973060361</v>
      </c>
      <c r="I22" s="181">
        <f t="shared" si="2"/>
        <v>100</v>
      </c>
      <c r="J22" s="156">
        <f>(G22*Parameters!$B$41)/(1+cDR)^'Markov Model_b'!cycle</f>
        <v>586082.09007851162</v>
      </c>
      <c r="K22" s="181">
        <f t="shared" si="12"/>
        <v>69.823975026939635</v>
      </c>
      <c r="L22" s="205">
        <f>(G22*(uPostT))/(1+oDR)^'Markov Model_b'!cycle</f>
        <v>51.628554678419867</v>
      </c>
      <c r="M22" s="82"/>
      <c r="N22" s="3"/>
      <c r="O22" s="82"/>
      <c r="P22" s="176">
        <v>11</v>
      </c>
      <c r="Q22" s="168"/>
      <c r="R22" s="201">
        <v>9.6645103369903951E-3</v>
      </c>
      <c r="S22" s="82"/>
      <c r="T22" s="154">
        <f t="shared" si="5"/>
        <v>65.782439526611853</v>
      </c>
      <c r="U22" s="179">
        <f>(T21*'Markov Model_b'!mr_2)+U21</f>
        <v>34.217560473388147</v>
      </c>
      <c r="V22" s="179">
        <f t="shared" si="4"/>
        <v>100</v>
      </c>
      <c r="W22" s="183">
        <f>(T22*Parameters!$B$41)/(1+cDR)^'Markov Model_b'!cycle2</f>
        <v>552158.61934736627</v>
      </c>
      <c r="X22" s="179">
        <f t="shared" si="10"/>
        <v>65.782439526611853</v>
      </c>
      <c r="Y22" s="205">
        <f>(T22*(uPostT))/(1+oDR)^'Markov Model_b'!cycle</f>
        <v>48.640202375604929</v>
      </c>
      <c r="Z22" s="82"/>
      <c r="AA22" s="3"/>
      <c r="AB22" s="3"/>
      <c r="AC22" s="3"/>
      <c r="AD22" s="29"/>
      <c r="AE22" s="3"/>
      <c r="AF22" s="3"/>
      <c r="AG22" s="3"/>
      <c r="AH22" s="3"/>
      <c r="AI22" s="307"/>
      <c r="AJ22" s="307"/>
      <c r="AK22" s="307"/>
      <c r="AL22" s="307"/>
      <c r="AM22" s="307"/>
      <c r="AN22" s="307"/>
      <c r="AO22" s="307"/>
      <c r="AP22" s="3"/>
      <c r="AQ22" s="3"/>
      <c r="AR22" s="3"/>
      <c r="AS22" s="3"/>
      <c r="AT22" s="3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</row>
    <row r="23" spans="1:60" ht="14.25" customHeight="1" x14ac:dyDescent="0.2">
      <c r="A23" s="311"/>
      <c r="B23" s="82"/>
      <c r="C23" s="176">
        <v>12</v>
      </c>
      <c r="D23" s="168"/>
      <c r="E23" s="201">
        <v>9.0955772220522868E-3</v>
      </c>
      <c r="F23" s="202"/>
      <c r="G23" s="465">
        <f t="shared" si="11"/>
        <v>69.188885670131455</v>
      </c>
      <c r="H23" s="179">
        <f t="shared" si="9"/>
        <v>30.811114329868541</v>
      </c>
      <c r="I23" s="181">
        <f t="shared" si="2"/>
        <v>100</v>
      </c>
      <c r="J23" s="156">
        <f>(G23*Parameters!$B$41)/(1+cDR)^'Markov Model_b'!cycle</f>
        <v>579320.41374778363</v>
      </c>
      <c r="K23" s="181">
        <f t="shared" si="12"/>
        <v>69.188885670131455</v>
      </c>
      <c r="L23" s="205">
        <f>(G23*(uPostT))/(1+oDR)^'Markov Model_b'!cycle</f>
        <v>51.031384710702589</v>
      </c>
      <c r="M23" s="82"/>
      <c r="N23" s="3"/>
      <c r="O23" s="82"/>
      <c r="P23" s="176">
        <v>12</v>
      </c>
      <c r="Q23" s="168"/>
      <c r="R23" s="201">
        <v>9.0955772220522868E-3</v>
      </c>
      <c r="S23" s="82"/>
      <c r="T23" s="154">
        <f t="shared" si="5"/>
        <v>65.184110268042573</v>
      </c>
      <c r="U23" s="179">
        <f>(T22*'Markov Model_b'!mr_2)+U22</f>
        <v>34.815889731957427</v>
      </c>
      <c r="V23" s="179">
        <f t="shared" si="4"/>
        <v>100</v>
      </c>
      <c r="W23" s="183">
        <f>(T23*Parameters!$B$41)/(1+cDR)^'Markov Model_b'!cycle2</f>
        <v>545788.32083381107</v>
      </c>
      <c r="X23" s="179">
        <f t="shared" si="10"/>
        <v>65.184110268042573</v>
      </c>
      <c r="Y23" s="205">
        <f>(T23*(uPostT))/(1+oDR)^'Markov Model_b'!cycle</f>
        <v>48.077597664639761</v>
      </c>
      <c r="Z23" s="82"/>
      <c r="AA23" s="3"/>
      <c r="AB23" s="3"/>
      <c r="AC23" s="3"/>
      <c r="AD23" s="29"/>
      <c r="AE23" s="208"/>
      <c r="AF23" s="3"/>
      <c r="AG23" s="3"/>
      <c r="AH23" s="3"/>
      <c r="AI23" s="307"/>
      <c r="AJ23" s="307"/>
      <c r="AK23" s="307"/>
      <c r="AL23" s="307"/>
      <c r="AM23" s="307"/>
      <c r="AN23" s="307"/>
      <c r="AO23" s="307"/>
      <c r="AP23" s="3"/>
      <c r="AQ23" s="3"/>
      <c r="AR23" s="3"/>
      <c r="AS23" s="3"/>
      <c r="AT23" s="3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</row>
    <row r="24" spans="1:60" ht="14.25" customHeight="1" x14ac:dyDescent="0.2">
      <c r="A24" s="311"/>
      <c r="B24" s="82"/>
      <c r="C24" s="176">
        <v>13</v>
      </c>
      <c r="D24" s="168"/>
      <c r="E24" s="201">
        <v>8.5669915824595488E-3</v>
      </c>
      <c r="F24" s="202"/>
      <c r="G24" s="465">
        <f t="shared" si="11"/>
        <v>68.596145068995682</v>
      </c>
      <c r="H24" s="179">
        <f t="shared" si="9"/>
        <v>31.403854931004314</v>
      </c>
      <c r="I24" s="181">
        <f t="shared" si="2"/>
        <v>100</v>
      </c>
      <c r="J24" s="156">
        <f>(G24*0)/(1+cDR)^'Markov Model_b'!cycle</f>
        <v>0</v>
      </c>
      <c r="K24" s="181">
        <f t="shared" si="12"/>
        <v>68.596145068995682</v>
      </c>
      <c r="L24" s="205">
        <f>(G24*(uPostT))/(1+oDR)^'Markov Model_b'!cycle</f>
        <v>50.468029194458595</v>
      </c>
      <c r="M24" s="82"/>
      <c r="N24" s="3"/>
      <c r="O24" s="82"/>
      <c r="P24" s="176">
        <v>13</v>
      </c>
      <c r="Q24" s="168"/>
      <c r="R24" s="201">
        <v>8.5669915824595488E-3</v>
      </c>
      <c r="S24" s="82"/>
      <c r="T24" s="154">
        <f t="shared" si="5"/>
        <v>64.625678544066147</v>
      </c>
      <c r="U24" s="179">
        <f>(T23*'Markov Model_b'!mr_2)+U23</f>
        <v>35.37432145593386</v>
      </c>
      <c r="V24" s="179">
        <f t="shared" si="4"/>
        <v>100</v>
      </c>
      <c r="W24" s="183">
        <f>(T24*0)/(1+cDR)^'Markov Model_b'!cycle2</f>
        <v>0</v>
      </c>
      <c r="X24" s="179">
        <f t="shared" si="10"/>
        <v>64.625678544066147</v>
      </c>
      <c r="Y24" s="205">
        <f>(T24*(uPostT))/(1+oDR)^'Markov Model_b'!cycle</f>
        <v>47.546850164730095</v>
      </c>
      <c r="Z24" s="82"/>
      <c r="AA24" s="3"/>
      <c r="AB24" s="3"/>
      <c r="AC24" s="3"/>
      <c r="AD24" s="29"/>
      <c r="AE24" s="29"/>
      <c r="AF24" s="3"/>
      <c r="AG24" s="3"/>
      <c r="AH24" s="3"/>
      <c r="AI24" s="307"/>
      <c r="AJ24" s="307"/>
      <c r="AK24" s="307"/>
      <c r="AL24" s="307"/>
      <c r="AM24" s="307"/>
      <c r="AN24" s="307"/>
      <c r="AO24" s="307"/>
      <c r="AP24" s="3"/>
      <c r="AQ24" s="3"/>
      <c r="AR24" s="3"/>
      <c r="AS24" s="3"/>
      <c r="AT24" s="3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</row>
    <row r="25" spans="1:60" ht="14.25" customHeight="1" x14ac:dyDescent="0.2">
      <c r="A25" s="311"/>
      <c r="B25" s="82"/>
      <c r="C25" s="176">
        <v>14</v>
      </c>
      <c r="D25" s="168"/>
      <c r="E25" s="201">
        <v>8.0753299371522091E-3</v>
      </c>
      <c r="F25" s="202"/>
      <c r="G25" s="465">
        <f t="shared" si="11"/>
        <v>68.042208565146794</v>
      </c>
      <c r="H25" s="179">
        <f t="shared" si="9"/>
        <v>31.95779143485321</v>
      </c>
      <c r="I25" s="181">
        <f t="shared" si="2"/>
        <v>100</v>
      </c>
      <c r="J25" s="156">
        <f>(G25*0)/(1+cDR)^'Markov Model_b'!cycle</f>
        <v>0</v>
      </c>
      <c r="K25" s="181">
        <f t="shared" si="12"/>
        <v>68.042208565146794</v>
      </c>
      <c r="L25" s="205">
        <f>(G25*(uPostT))/(1+oDR)^'Markov Model_b'!cycle</f>
        <v>49.935644097192551</v>
      </c>
      <c r="M25" s="82"/>
      <c r="N25" s="3"/>
      <c r="O25" s="82"/>
      <c r="P25" s="176">
        <v>14</v>
      </c>
      <c r="Q25" s="168"/>
      <c r="R25" s="201">
        <v>8.0753299371522091E-3</v>
      </c>
      <c r="S25" s="82"/>
      <c r="T25" s="178">
        <f t="shared" si="5"/>
        <v>64.103804867410474</v>
      </c>
      <c r="U25" s="179">
        <f>(T24*'Markov Model_b'!mr_2)+U24</f>
        <v>35.896195132589533</v>
      </c>
      <c r="V25" s="179">
        <f t="shared" si="4"/>
        <v>100</v>
      </c>
      <c r="W25" s="183">
        <f>(T25*0)/(1+cDR)^'Markov Model_b'!cycle2</f>
        <v>0</v>
      </c>
      <c r="X25" s="179">
        <f t="shared" si="10"/>
        <v>64.103804867410474</v>
      </c>
      <c r="Y25" s="205">
        <f>(T25*(uPostT))/(1+oDR)^'Markov Model_b'!cycle</f>
        <v>47.045280461025008</v>
      </c>
      <c r="Z25" s="82"/>
      <c r="AA25" s="3"/>
      <c r="AB25" s="3"/>
      <c r="AC25" s="3"/>
      <c r="AD25" s="29"/>
      <c r="AE25" s="3"/>
      <c r="AF25" s="3"/>
      <c r="AG25" s="3"/>
      <c r="AH25" s="3"/>
      <c r="AI25" s="307"/>
      <c r="AJ25" s="307"/>
      <c r="AK25" s="307"/>
      <c r="AL25" s="307"/>
      <c r="AM25" s="307"/>
      <c r="AN25" s="307"/>
      <c r="AO25" s="307"/>
      <c r="AP25" s="3"/>
      <c r="AQ25" s="3"/>
      <c r="AR25" s="3"/>
      <c r="AS25" s="3"/>
      <c r="AT25" s="3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</row>
    <row r="26" spans="1:60" ht="14.25" customHeight="1" x14ac:dyDescent="0.2">
      <c r="A26" s="311"/>
      <c r="B26" s="82"/>
      <c r="C26" s="176">
        <v>15</v>
      </c>
      <c r="D26" s="168"/>
      <c r="E26" s="201">
        <v>7.6175061898490215E-3</v>
      </c>
      <c r="F26" s="202"/>
      <c r="G26" s="465">
        <f t="shared" si="11"/>
        <v>67.523896620230786</v>
      </c>
      <c r="H26" s="179">
        <f t="shared" si="9"/>
        <v>32.476103379769214</v>
      </c>
      <c r="I26" s="181">
        <f t="shared" si="2"/>
        <v>100</v>
      </c>
      <c r="J26" s="156">
        <f>(G26*0)/(1+cDR)^'Markov Model_b'!cycle</f>
        <v>0</v>
      </c>
      <c r="K26" s="181">
        <f t="shared" si="12"/>
        <v>67.523896620230786</v>
      </c>
      <c r="L26" s="205">
        <f>(G26*(uPostT))/(1+oDR)^'Markov Model_b'!cycle</f>
        <v>49.431679819638994</v>
      </c>
      <c r="M26" s="82"/>
      <c r="N26" s="3"/>
      <c r="O26" s="82"/>
      <c r="P26" s="176">
        <v>15</v>
      </c>
      <c r="Q26" s="168"/>
      <c r="R26" s="201">
        <v>7.6175061898490215E-3</v>
      </c>
      <c r="S26" s="82"/>
      <c r="T26" s="178">
        <f t="shared" si="5"/>
        <v>63.615493737040097</v>
      </c>
      <c r="U26" s="179">
        <f>(T25*'Markov Model_b'!mr_2)+U25</f>
        <v>36.384506262959903</v>
      </c>
      <c r="V26" s="179">
        <f t="shared" si="4"/>
        <v>100</v>
      </c>
      <c r="W26" s="183">
        <f>(T26*0)/(1+cDR)^'Markov Model_b'!cycle2</f>
        <v>0</v>
      </c>
      <c r="X26" s="179">
        <f t="shared" si="10"/>
        <v>63.615493737040097</v>
      </c>
      <c r="Y26" s="205">
        <f>(T26*(uPostT))/(1+oDR)^'Markov Model_b'!cycle</f>
        <v>46.570486529586006</v>
      </c>
      <c r="Z26" s="82"/>
      <c r="AA26" s="3"/>
      <c r="AB26" s="3"/>
      <c r="AC26" s="3"/>
      <c r="AD26" s="29"/>
      <c r="AE26" s="3"/>
      <c r="AF26" s="3"/>
      <c r="AG26" s="3"/>
      <c r="AH26" s="3"/>
      <c r="AI26" s="307"/>
      <c r="AJ26" s="307"/>
      <c r="AK26" s="307"/>
      <c r="AL26" s="307"/>
      <c r="AM26" s="307"/>
      <c r="AN26" s="307"/>
      <c r="AO26" s="307"/>
      <c r="AP26" s="3"/>
      <c r="AQ26" s="3"/>
      <c r="AR26" s="3"/>
      <c r="AS26" s="3"/>
      <c r="AT26" s="3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</row>
    <row r="27" spans="1:60" ht="14.25" customHeight="1" x14ac:dyDescent="0.2">
      <c r="A27" s="311"/>
      <c r="B27" s="82"/>
      <c r="C27" s="176">
        <v>16</v>
      </c>
      <c r="D27" s="168"/>
      <c r="E27" s="201">
        <v>7.1907341350878062E-3</v>
      </c>
      <c r="F27" s="202"/>
      <c r="G27" s="465">
        <f t="shared" si="11"/>
        <v>67.038350231869543</v>
      </c>
      <c r="H27" s="179">
        <f t="shared" si="9"/>
        <v>32.961649768130449</v>
      </c>
      <c r="I27" s="181">
        <f t="shared" si="2"/>
        <v>100</v>
      </c>
      <c r="J27" s="156">
        <f>(G27*0)/(1+cDR)^'Markov Model_b'!cycle</f>
        <v>0</v>
      </c>
      <c r="K27" s="181">
        <f t="shared" si="12"/>
        <v>67.038350231869543</v>
      </c>
      <c r="L27" s="205">
        <f>(G27*(uPostT))/(1+oDR)^'Markov Model_b'!cycle</f>
        <v>48.953845139356773</v>
      </c>
      <c r="M27" s="82"/>
      <c r="N27" s="3"/>
      <c r="O27" s="82"/>
      <c r="P27" s="176">
        <v>16</v>
      </c>
      <c r="Q27" s="168"/>
      <c r="R27" s="201">
        <v>7.1907341350878062E-3</v>
      </c>
      <c r="S27" s="82"/>
      <c r="T27" s="178">
        <f t="shared" si="5"/>
        <v>63.158051634704698</v>
      </c>
      <c r="U27" s="179">
        <f>(T26*'Markov Model_b'!mr_2)+U26</f>
        <v>36.841948365295302</v>
      </c>
      <c r="V27" s="179">
        <f t="shared" si="4"/>
        <v>100</v>
      </c>
      <c r="W27" s="183">
        <f>(T27*0)/(1+cDR)^'Markov Model_b'!cycle2</f>
        <v>0</v>
      </c>
      <c r="X27" s="179">
        <f t="shared" si="10"/>
        <v>63.158051634704698</v>
      </c>
      <c r="Y27" s="205">
        <f>(T27*(uPostT))/(1+oDR)^'Markov Model_b'!cycle</f>
        <v>46.120309767990079</v>
      </c>
      <c r="Z27" s="82"/>
      <c r="AA27" s="3"/>
      <c r="AB27" s="3"/>
      <c r="AC27" s="3"/>
      <c r="AD27" s="29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</row>
    <row r="28" spans="1:60" ht="14.25" customHeight="1" x14ac:dyDescent="0.2">
      <c r="A28" s="311"/>
      <c r="B28" s="82"/>
      <c r="C28" s="176">
        <v>17</v>
      </c>
      <c r="D28" s="168"/>
      <c r="E28" s="201">
        <v>6.7924945657797386E-3</v>
      </c>
      <c r="F28" s="202"/>
      <c r="G28" s="465">
        <f t="shared" si="11"/>
        <v>66.582992602220742</v>
      </c>
      <c r="H28" s="179">
        <f t="shared" si="9"/>
        <v>33.417007397779265</v>
      </c>
      <c r="I28" s="181">
        <f t="shared" si="2"/>
        <v>100</v>
      </c>
      <c r="J28" s="156">
        <f>(G28*0)/(1+cDR)^'Markov Model_b'!cycle</f>
        <v>0</v>
      </c>
      <c r="K28" s="181">
        <f t="shared" si="12"/>
        <v>66.582992602220742</v>
      </c>
      <c r="L28" s="205">
        <f>(G28*(uPostT))/(1+oDR)^'Markov Model_b'!cycle</f>
        <v>48.500076221719389</v>
      </c>
      <c r="M28" s="82"/>
      <c r="N28" s="3"/>
      <c r="O28" s="82"/>
      <c r="P28" s="176">
        <v>17</v>
      </c>
      <c r="Q28" s="168"/>
      <c r="R28" s="201">
        <v>6.7924945657797386E-3</v>
      </c>
      <c r="S28" s="82"/>
      <c r="T28" s="178">
        <f t="shared" si="5"/>
        <v>62.729050912190729</v>
      </c>
      <c r="U28" s="179">
        <f>(T27*'Markov Model_b'!mr_2)+U27</f>
        <v>37.270949087809271</v>
      </c>
      <c r="V28" s="179">
        <f t="shared" si="4"/>
        <v>100</v>
      </c>
      <c r="W28" s="183">
        <f>(T28*0)/(1+cDR)^'Markov Model_b'!cycle2</f>
        <v>0</v>
      </c>
      <c r="X28" s="179">
        <f t="shared" si="10"/>
        <v>62.729050912190729</v>
      </c>
      <c r="Y28" s="205">
        <f>(T28*(uPostT))/(1+oDR)^'Markov Model_b'!cycle</f>
        <v>45.692805800018888</v>
      </c>
      <c r="Z28" s="82"/>
      <c r="AA28" s="3"/>
      <c r="AB28" s="3"/>
      <c r="AC28" s="3"/>
      <c r="AD28" s="29"/>
      <c r="AE28" s="3"/>
      <c r="AF28" s="3"/>
      <c r="AG28" s="3"/>
      <c r="AH28" s="3"/>
      <c r="AI28" s="14"/>
      <c r="AJ28" s="14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</row>
    <row r="29" spans="1:60" ht="14.25" customHeight="1" x14ac:dyDescent="0.2">
      <c r="A29" s="311"/>
      <c r="B29" s="82"/>
      <c r="C29" s="176">
        <v>18</v>
      </c>
      <c r="D29" s="168"/>
      <c r="E29" s="201">
        <v>6.420506367371015E-3</v>
      </c>
      <c r="F29" s="202"/>
      <c r="G29" s="465">
        <f t="shared" si="11"/>
        <v>66.15549607425956</v>
      </c>
      <c r="H29" s="179">
        <f t="shared" si="9"/>
        <v>33.84450392574044</v>
      </c>
      <c r="I29" s="181">
        <f t="shared" si="2"/>
        <v>100</v>
      </c>
      <c r="J29" s="156">
        <f>(G29*0)/(1+cDR)^'Markov Model_b'!cycle</f>
        <v>0</v>
      </c>
      <c r="K29" s="181">
        <f t="shared" si="12"/>
        <v>66.15549607425956</v>
      </c>
      <c r="L29" s="205">
        <f>(G29*(uPostT))/(1+oDR)^'Markov Model_b'!cycle</f>
        <v>48.068509898772923</v>
      </c>
      <c r="M29" s="82"/>
      <c r="N29" s="3"/>
      <c r="O29" s="82"/>
      <c r="P29" s="176">
        <v>18</v>
      </c>
      <c r="Q29" s="168"/>
      <c r="R29" s="201">
        <v>6.420506367371015E-3</v>
      </c>
      <c r="S29" s="82"/>
      <c r="T29" s="178">
        <f t="shared" si="5"/>
        <v>62.326298641389869</v>
      </c>
      <c r="U29" s="179">
        <f>(T28*'Markov Model_b'!mr_2)+U28</f>
        <v>37.673701358610131</v>
      </c>
      <c r="V29" s="179">
        <f t="shared" si="4"/>
        <v>100</v>
      </c>
      <c r="W29" s="183">
        <f>(T29*0)/(1+cDR)^'Markov Model_b'!cycle2</f>
        <v>0</v>
      </c>
      <c r="X29" s="179">
        <f t="shared" si="10"/>
        <v>62.326298641389869</v>
      </c>
      <c r="Y29" s="205">
        <f>(T29*(uPostT))/(1+oDR)^'Markov Model_b'!cycle</f>
        <v>45.286219301183863</v>
      </c>
      <c r="Z29" s="82"/>
      <c r="AA29" s="3"/>
      <c r="AB29" s="3"/>
      <c r="AC29" s="3"/>
      <c r="AD29" s="29"/>
      <c r="AE29" s="3"/>
      <c r="AF29" s="3"/>
      <c r="AG29" s="3"/>
      <c r="AH29" s="3"/>
      <c r="AI29" s="14"/>
      <c r="AJ29" s="14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</row>
    <row r="30" spans="1:60" ht="14.25" customHeight="1" x14ac:dyDescent="0.2">
      <c r="A30" s="311"/>
      <c r="B30" s="82"/>
      <c r="C30" s="176">
        <v>19</v>
      </c>
      <c r="D30" s="168"/>
      <c r="E30" s="201">
        <v>6.0727010722510522E-3</v>
      </c>
      <c r="F30" s="202"/>
      <c r="G30" s="465">
        <f t="shared" si="11"/>
        <v>65.753753522314099</v>
      </c>
      <c r="H30" s="179">
        <f t="shared" si="9"/>
        <v>34.246246477685894</v>
      </c>
      <c r="I30" s="181">
        <f t="shared" si="2"/>
        <v>100</v>
      </c>
      <c r="J30" s="156">
        <f>(G30*0)/(1+cDR)^'Markov Model_b'!cycle</f>
        <v>0</v>
      </c>
      <c r="K30" s="181">
        <f t="shared" si="12"/>
        <v>65.753753522314099</v>
      </c>
      <c r="L30" s="205">
        <f>(G30*(uPostT))/(1+oDR)^'Markov Model_b'!cycle</f>
        <v>47.657460555779686</v>
      </c>
      <c r="M30" s="82"/>
      <c r="N30" s="3"/>
      <c r="O30" s="82"/>
      <c r="P30" s="176">
        <v>19</v>
      </c>
      <c r="Q30" s="168"/>
      <c r="R30" s="201">
        <v>6.0727010722510522E-3</v>
      </c>
      <c r="S30" s="82"/>
      <c r="T30" s="178">
        <f t="shared" si="5"/>
        <v>61.947809660800864</v>
      </c>
      <c r="U30" s="179">
        <f>(T29*'Markov Model_b'!mr_2)+U29</f>
        <v>38.052190339199136</v>
      </c>
      <c r="V30" s="179">
        <f t="shared" si="4"/>
        <v>100</v>
      </c>
      <c r="W30" s="183">
        <f>(T30*0)/(1+cDR)^'Markov Model_b'!cycle2</f>
        <v>0</v>
      </c>
      <c r="X30" s="179">
        <f t="shared" si="10"/>
        <v>61.947809660800864</v>
      </c>
      <c r="Y30" s="205">
        <f>(T30*(uPostT))/(1+oDR)^'Markov Model_b'!cycle</f>
        <v>44.898962223117579</v>
      </c>
      <c r="Z30" s="82"/>
      <c r="AA30" s="3"/>
      <c r="AB30" s="3"/>
      <c r="AC30" s="3"/>
      <c r="AD30" s="29"/>
      <c r="AE30" s="3"/>
      <c r="AF30" s="3"/>
      <c r="AG30" s="3"/>
      <c r="AH30" s="3"/>
      <c r="AI30" s="14"/>
      <c r="AJ30" s="14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</row>
    <row r="31" spans="1:60" ht="14.25" customHeight="1" x14ac:dyDescent="0.2">
      <c r="A31" s="311"/>
      <c r="B31" s="82"/>
      <c r="C31" s="176">
        <v>20</v>
      </c>
      <c r="D31" s="168"/>
      <c r="E31" s="201">
        <v>5.7472004229674467E-3</v>
      </c>
      <c r="F31" s="202"/>
      <c r="G31" s="465">
        <f t="shared" si="11"/>
        <v>65.375853522258964</v>
      </c>
      <c r="H31" s="179">
        <f t="shared" si="9"/>
        <v>34.624146477741036</v>
      </c>
      <c r="I31" s="181">
        <f t="shared" si="2"/>
        <v>100</v>
      </c>
      <c r="J31" s="156">
        <f>(G31*0)/(1+cDR)^'Markov Model_b'!cycle</f>
        <v>0</v>
      </c>
      <c r="K31" s="181">
        <f t="shared" si="12"/>
        <v>65.375853522258964</v>
      </c>
      <c r="L31" s="205">
        <f>(G31*(uPostT))/(1+oDR)^'Markov Model_b'!cycle</f>
        <v>47.265400078120656</v>
      </c>
      <c r="M31" s="82"/>
      <c r="N31" s="3"/>
      <c r="O31" s="82"/>
      <c r="P31" s="176">
        <v>20</v>
      </c>
      <c r="Q31" s="168"/>
      <c r="R31" s="201">
        <v>5.7472004229674467E-3</v>
      </c>
      <c r="S31" s="82"/>
      <c r="T31" s="178">
        <f t="shared" si="5"/>
        <v>61.591783182916402</v>
      </c>
      <c r="U31" s="179">
        <f>(T30*'Markov Model_b'!mr_2)+U30</f>
        <v>38.408216817083598</v>
      </c>
      <c r="V31" s="179">
        <f t="shared" si="4"/>
        <v>100</v>
      </c>
      <c r="W31" s="183">
        <f>(T31*0)/(1+cDR)^'Markov Model_b'!cycle2</f>
        <v>0</v>
      </c>
      <c r="X31" s="179">
        <f t="shared" si="10"/>
        <v>61.591783182916402</v>
      </c>
      <c r="Y31" s="205">
        <f>(T31*(uPostT))/(1+oDR)^'Markov Model_b'!cycle</f>
        <v>44.529594901185106</v>
      </c>
      <c r="Z31" s="82"/>
      <c r="AA31" s="3"/>
      <c r="AB31" s="3"/>
      <c r="AC31" s="3"/>
      <c r="AD31" s="29"/>
      <c r="AE31" s="3"/>
      <c r="AF31" s="3"/>
      <c r="AG31" s="3"/>
      <c r="AH31" s="3"/>
      <c r="AI31" s="14"/>
      <c r="AJ31" s="14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</row>
    <row r="32" spans="1:60" ht="14.25" customHeight="1" x14ac:dyDescent="0.2">
      <c r="A32" s="311"/>
      <c r="B32" s="82"/>
      <c r="C32" s="176">
        <v>21</v>
      </c>
      <c r="D32" s="168"/>
      <c r="E32" s="201">
        <v>5.4422965563215575E-3</v>
      </c>
      <c r="F32" s="202"/>
      <c r="G32" s="465">
        <f t="shared" si="11"/>
        <v>65.020058739768189</v>
      </c>
      <c r="H32" s="179">
        <f t="shared" si="9"/>
        <v>34.979941260231811</v>
      </c>
      <c r="I32" s="181">
        <f t="shared" si="2"/>
        <v>100</v>
      </c>
      <c r="J32" s="156">
        <f>(G32*0)/(1+cDR)^'Markov Model_b'!cycle</f>
        <v>0</v>
      </c>
      <c r="K32" s="181">
        <f t="shared" si="12"/>
        <v>65.020058739768189</v>
      </c>
      <c r="L32" s="205">
        <f>(G32*(uPostT))/(1+oDR)^'Markov Model_b'!cycle</f>
        <v>46.890940403034755</v>
      </c>
      <c r="M32" s="82"/>
      <c r="N32" s="3"/>
      <c r="O32" s="82"/>
      <c r="P32" s="176">
        <v>21</v>
      </c>
      <c r="Q32" s="168"/>
      <c r="R32" s="201">
        <v>5.4422965563215575E-3</v>
      </c>
      <c r="S32" s="82"/>
      <c r="T32" s="178">
        <f t="shared" si="5"/>
        <v>61.256582433402315</v>
      </c>
      <c r="U32" s="179">
        <f>(T31*'Markov Model_b'!mr_2)+U31</f>
        <v>38.743417566597685</v>
      </c>
      <c r="V32" s="179">
        <f t="shared" si="4"/>
        <v>100</v>
      </c>
      <c r="W32" s="183">
        <f>(T32*0)/(1+cDR)^'Markov Model_b'!cycle2</f>
        <v>0</v>
      </c>
      <c r="X32" s="179">
        <f t="shared" si="10"/>
        <v>61.256582433402315</v>
      </c>
      <c r="Y32" s="205">
        <f>(T32*(uPostT))/(1+oDR)^'Markov Model_b'!cycle</f>
        <v>44.176809616159609</v>
      </c>
      <c r="Z32" s="82"/>
      <c r="AA32" s="3"/>
      <c r="AB32" s="3"/>
      <c r="AC32" s="3"/>
      <c r="AD32" s="29"/>
      <c r="AE32" s="3"/>
      <c r="AF32" s="3"/>
      <c r="AG32" s="3"/>
      <c r="AH32" s="3"/>
      <c r="AI32" s="14"/>
      <c r="AJ32" s="14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</row>
    <row r="33" spans="1:60" ht="14.25" customHeight="1" x14ac:dyDescent="0.2">
      <c r="A33" s="311"/>
      <c r="B33" s="82"/>
      <c r="C33" s="176">
        <v>22</v>
      </c>
      <c r="D33" s="168"/>
      <c r="E33" s="201">
        <v>5.156434474381022E-3</v>
      </c>
      <c r="F33" s="202"/>
      <c r="G33" s="465">
        <f t="shared" si="11"/>
        <v>64.684787067356169</v>
      </c>
      <c r="H33" s="179">
        <f t="shared" si="9"/>
        <v>35.315212932643831</v>
      </c>
      <c r="I33" s="181">
        <f t="shared" si="2"/>
        <v>100</v>
      </c>
      <c r="J33" s="156">
        <f>(G33*0)/(1+cDR)^'Markov Model_b'!cycle</f>
        <v>0</v>
      </c>
      <c r="K33" s="181">
        <f t="shared" si="12"/>
        <v>64.684787067356169</v>
      </c>
      <c r="L33" s="205">
        <f>(G33*(uPostT))/(1+oDR)^'Markov Model_b'!cycle</f>
        <v>46.532818295665251</v>
      </c>
      <c r="M33" s="82"/>
      <c r="N33" s="3"/>
      <c r="O33" s="82"/>
      <c r="P33" s="176">
        <v>22</v>
      </c>
      <c r="Q33" s="168"/>
      <c r="R33" s="201">
        <v>5.156434474381022E-3</v>
      </c>
      <c r="S33" s="82"/>
      <c r="T33" s="178">
        <f t="shared" si="5"/>
        <v>60.940716879959957</v>
      </c>
      <c r="U33" s="179">
        <f>(T32*'Markov Model_b'!mr_2)+U32</f>
        <v>39.059283120040043</v>
      </c>
      <c r="V33" s="179">
        <f t="shared" si="4"/>
        <v>100</v>
      </c>
      <c r="W33" s="183">
        <f>(T33*0)/(1+cDR)^'Markov Model_b'!cycle2</f>
        <v>0</v>
      </c>
      <c r="X33" s="179">
        <f t="shared" si="10"/>
        <v>60.940716879959957</v>
      </c>
      <c r="Y33" s="205">
        <f>(T33*(uPostT))/(1+oDR)^'Markov Model_b'!cycle</f>
        <v>43.83941625145804</v>
      </c>
      <c r="Z33" s="82"/>
      <c r="AA33" s="3"/>
      <c r="AB33" s="3"/>
      <c r="AC33" s="3"/>
      <c r="AD33" s="29"/>
      <c r="AE33" s="3"/>
      <c r="AF33" s="3"/>
      <c r="AG33" s="3"/>
      <c r="AH33" s="3"/>
      <c r="AI33" s="14"/>
      <c r="AJ33" s="14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</row>
    <row r="34" spans="1:60" ht="14.25" customHeight="1" x14ac:dyDescent="0.25">
      <c r="A34" s="311"/>
      <c r="B34" s="82"/>
      <c r="C34" s="176">
        <v>23</v>
      </c>
      <c r="D34" s="168"/>
      <c r="E34" s="201">
        <v>4.8881965143747763E-3</v>
      </c>
      <c r="F34" s="202"/>
      <c r="G34" s="465">
        <f t="shared" si="11"/>
        <v>64.368595116680439</v>
      </c>
      <c r="H34" s="179">
        <f t="shared" si="9"/>
        <v>35.631404883319554</v>
      </c>
      <c r="I34" s="181">
        <f t="shared" si="2"/>
        <v>100</v>
      </c>
      <c r="J34" s="156">
        <f>(G34*0)/(1+cDR)^'Markov Model_b'!cycle</f>
        <v>0</v>
      </c>
      <c r="K34" s="181">
        <f t="shared" si="12"/>
        <v>64.368595116680439</v>
      </c>
      <c r="L34" s="205">
        <f>(G34*(uPostT))/(1+oDR)^'Markov Model_b'!cycle</f>
        <v>46.189882030392354</v>
      </c>
      <c r="M34" s="82"/>
      <c r="N34" s="3"/>
      <c r="O34" s="82"/>
      <c r="P34" s="176">
        <v>23</v>
      </c>
      <c r="Q34" s="168"/>
      <c r="R34" s="201">
        <v>4.8881965143747763E-3</v>
      </c>
      <c r="S34" s="82"/>
      <c r="T34" s="178">
        <f t="shared" si="5"/>
        <v>60.642826680123839</v>
      </c>
      <c r="U34" s="179">
        <f>(T33*'Markov Model_b'!mr_2)+U33</f>
        <v>39.357173319876161</v>
      </c>
      <c r="V34" s="179">
        <f t="shared" si="4"/>
        <v>100</v>
      </c>
      <c r="W34" s="183">
        <f>(T34*0)/(1+cDR)^'Markov Model_b'!cycle2</f>
        <v>0</v>
      </c>
      <c r="X34" s="179">
        <f t="shared" si="10"/>
        <v>60.642826680123839</v>
      </c>
      <c r="Y34" s="205">
        <f>(T34*(uPostT))/(1+oDR)^'Markov Model_b'!cycle</f>
        <v>43.516329745381974</v>
      </c>
      <c r="Z34" s="82"/>
      <c r="AA34" s="3"/>
      <c r="AB34" s="3"/>
      <c r="AC34" s="3"/>
      <c r="AD34" s="29"/>
      <c r="AE34" s="3"/>
      <c r="AF34" s="3"/>
      <c r="AG34" s="3"/>
      <c r="AH34" s="3"/>
      <c r="AI34" s="14"/>
      <c r="AJ34" s="207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</row>
    <row r="35" spans="1:60" ht="14.25" customHeight="1" x14ac:dyDescent="0.2">
      <c r="A35" s="311"/>
      <c r="B35" s="82"/>
      <c r="C35" s="176">
        <v>24</v>
      </c>
      <c r="D35" s="168"/>
      <c r="E35" s="201">
        <v>4.6362885686078714E-3</v>
      </c>
      <c r="F35" s="202"/>
      <c r="G35" s="465">
        <f t="shared" si="11"/>
        <v>64.070163734963629</v>
      </c>
      <c r="H35" s="179">
        <f t="shared" si="9"/>
        <v>35.929836265036371</v>
      </c>
      <c r="I35" s="181">
        <f t="shared" si="2"/>
        <v>100</v>
      </c>
      <c r="J35" s="156">
        <f>(G35*0)/(1+cDR)^'Markov Model_b'!cycle</f>
        <v>0</v>
      </c>
      <c r="K35" s="181">
        <f t="shared" si="12"/>
        <v>64.070163734963629</v>
      </c>
      <c r="L35" s="205">
        <f>(G35*(uPostT))/(1+oDR)^'Markov Model_b'!cycle</f>
        <v>45.861079709076819</v>
      </c>
      <c r="M35" s="82"/>
      <c r="N35" s="3"/>
      <c r="O35" s="82"/>
      <c r="P35" s="176">
        <v>24</v>
      </c>
      <c r="Q35" s="168"/>
      <c r="R35" s="201">
        <v>4.6362885686078714E-3</v>
      </c>
      <c r="S35" s="82"/>
      <c r="T35" s="178">
        <f t="shared" si="5"/>
        <v>60.361669036018711</v>
      </c>
      <c r="U35" s="179">
        <f>(T34*'Markov Model_b'!mr_2)+U34</f>
        <v>39.638330963981289</v>
      </c>
      <c r="V35" s="179">
        <f t="shared" si="4"/>
        <v>100</v>
      </c>
      <c r="W35" s="183">
        <f>(T35*0)/(1+cDR)^'Markov Model_b'!cycle2</f>
        <v>0</v>
      </c>
      <c r="X35" s="179">
        <f t="shared" si="10"/>
        <v>60.361669036018711</v>
      </c>
      <c r="Y35" s="205">
        <f>(T35*(uPostT))/(1+oDR)^'Markov Model_b'!cycle</f>
        <v>43.206559085521889</v>
      </c>
      <c r="Z35" s="82"/>
      <c r="AA35" s="3"/>
      <c r="AB35" s="3"/>
      <c r="AC35" s="3"/>
      <c r="AD35" s="3"/>
      <c r="AE35" s="3"/>
      <c r="AF35" s="3"/>
      <c r="AG35" s="3"/>
      <c r="AH35" s="3"/>
      <c r="AI35" s="14"/>
      <c r="AJ35" s="14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</row>
    <row r="36" spans="1:60" ht="14.25" customHeight="1" x14ac:dyDescent="0.2">
      <c r="A36" s="311"/>
      <c r="B36" s="82"/>
      <c r="C36" s="176">
        <v>25</v>
      </c>
      <c r="D36" s="168"/>
      <c r="E36" s="201">
        <v>4.3995278389929449E-3</v>
      </c>
      <c r="F36" s="202"/>
      <c r="G36" s="465">
        <f t="shared" si="11"/>
        <v>63.78828526596282</v>
      </c>
      <c r="H36" s="179">
        <f t="shared" si="9"/>
        <v>36.21171473403718</v>
      </c>
      <c r="I36" s="181">
        <f t="shared" si="2"/>
        <v>100</v>
      </c>
      <c r="J36" s="156">
        <f>(G36*0)/(1+cDR)^'Markov Model_b'!cycle</f>
        <v>0</v>
      </c>
      <c r="K36" s="181">
        <f t="shared" si="12"/>
        <v>63.78828526596282</v>
      </c>
      <c r="L36" s="205">
        <f>(G36*(uPostT))/(1+oDR)^'Markov Model_b'!cycle</f>
        <v>45.545448989696212</v>
      </c>
      <c r="M36" s="82"/>
      <c r="N36" s="3"/>
      <c r="O36" s="82"/>
      <c r="P36" s="176">
        <v>25</v>
      </c>
      <c r="Q36" s="168"/>
      <c r="R36" s="201">
        <v>4.3995278389929449E-3</v>
      </c>
      <c r="S36" s="82"/>
      <c r="T36" s="178">
        <f t="shared" si="5"/>
        <v>60.096106192686669</v>
      </c>
      <c r="U36" s="179">
        <f>(T35*'Markov Model_b'!mr_2)+U35</f>
        <v>39.903893807313331</v>
      </c>
      <c r="V36" s="179">
        <f t="shared" si="4"/>
        <v>100</v>
      </c>
      <c r="W36" s="183">
        <f>(T36*0)/(1+cDR)^'Markov Model_b'!cycle2</f>
        <v>0</v>
      </c>
      <c r="X36" s="179">
        <f t="shared" si="10"/>
        <v>60.096106192686669</v>
      </c>
      <c r="Y36" s="205">
        <f>(T36*(uPostT))/(1+oDR)^'Markov Model_b'!cycle</f>
        <v>42.909197631918246</v>
      </c>
      <c r="Z36" s="82"/>
      <c r="AA36" s="3"/>
      <c r="AB36" s="3"/>
      <c r="AC36" s="3"/>
      <c r="AD36" s="3"/>
      <c r="AE36" s="3"/>
      <c r="AF36" s="3"/>
      <c r="AG36" s="3"/>
      <c r="AH36" s="3"/>
      <c r="AI36" s="14"/>
      <c r="AJ36" s="14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</row>
    <row r="37" spans="1:60" ht="14.25" customHeight="1" x14ac:dyDescent="0.2">
      <c r="A37" s="311"/>
      <c r="B37" s="82"/>
      <c r="C37" s="176">
        <v>26</v>
      </c>
      <c r="D37" s="168"/>
      <c r="E37" s="201">
        <v>4.1768319394518416E-3</v>
      </c>
      <c r="F37" s="202"/>
      <c r="G37" s="465">
        <f t="shared" si="11"/>
        <v>63.521852318701079</v>
      </c>
      <c r="H37" s="179">
        <f t="shared" si="9"/>
        <v>36.478147681298921</v>
      </c>
      <c r="I37" s="181">
        <f t="shared" si="2"/>
        <v>100</v>
      </c>
      <c r="J37" s="156">
        <f>(G37*0)/(1+cDR)^'Markov Model_b'!cycle</f>
        <v>0</v>
      </c>
      <c r="K37" s="181">
        <f t="shared" si="12"/>
        <v>63.521852318701079</v>
      </c>
      <c r="L37" s="205">
        <f>(G37*(uPostT))/(1+oDR)^'Markov Model_b'!cycle</f>
        <v>45.242108033575434</v>
      </c>
      <c r="M37" s="82"/>
      <c r="N37" s="3"/>
      <c r="O37" s="82"/>
      <c r="P37" s="176">
        <v>26</v>
      </c>
      <c r="Q37" s="168"/>
      <c r="R37" s="201">
        <v>4.1768319394518416E-3</v>
      </c>
      <c r="S37" s="82"/>
      <c r="T37" s="178">
        <f t="shared" si="5"/>
        <v>59.845094856904367</v>
      </c>
      <c r="U37" s="179">
        <f>(T36*'Markov Model_b'!mr_2)+U36</f>
        <v>40.154905143095633</v>
      </c>
      <c r="V37" s="179">
        <f t="shared" si="4"/>
        <v>100</v>
      </c>
      <c r="W37" s="183">
        <f>(T37*0)/(1+cDR)^'Markov Model_b'!cycle2</f>
        <v>0</v>
      </c>
      <c r="X37" s="179">
        <f t="shared" si="10"/>
        <v>59.845094856904367</v>
      </c>
      <c r="Y37" s="205">
        <f>(T37*(uPostT))/(1+oDR)^'Markov Model_b'!cycle</f>
        <v>42.623414588282294</v>
      </c>
      <c r="Z37" s="82"/>
      <c r="AA37" s="3"/>
      <c r="AB37" s="3"/>
      <c r="AC37" s="3"/>
      <c r="AD37" s="3"/>
      <c r="AE37" s="3"/>
      <c r="AF37" s="3"/>
      <c r="AG37" s="3"/>
      <c r="AH37" s="3"/>
      <c r="AI37" s="14"/>
      <c r="AJ37" s="14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</row>
    <row r="38" spans="1:60" ht="14.25" customHeight="1" x14ac:dyDescent="0.2">
      <c r="A38" s="311"/>
      <c r="B38" s="82"/>
      <c r="C38" s="176">
        <v>27</v>
      </c>
      <c r="D38" s="168"/>
      <c r="E38" s="201">
        <v>3.9672091839965673E-3</v>
      </c>
      <c r="F38" s="202"/>
      <c r="G38" s="465">
        <f t="shared" si="11"/>
        <v>63.269847842797851</v>
      </c>
      <c r="H38" s="179">
        <f t="shared" si="9"/>
        <v>36.730152157202149</v>
      </c>
      <c r="I38" s="181">
        <f t="shared" si="2"/>
        <v>100</v>
      </c>
      <c r="J38" s="156">
        <f>(G38*0)/(1+cDR)^'Markov Model_b'!cycle</f>
        <v>0</v>
      </c>
      <c r="K38" s="181">
        <f t="shared" si="12"/>
        <v>63.269847842797851</v>
      </c>
      <c r="L38" s="205">
        <f>(G38*(uPostT))/(1+oDR)^'Markov Model_b'!cycle</f>
        <v>44.950247508310497</v>
      </c>
      <c r="M38" s="82"/>
      <c r="N38" s="3"/>
      <c r="O38" s="82"/>
      <c r="P38" s="176">
        <v>27</v>
      </c>
      <c r="Q38" s="168"/>
      <c r="R38" s="201">
        <v>3.9672091839965673E-3</v>
      </c>
      <c r="S38" s="82"/>
      <c r="T38" s="178">
        <f t="shared" si="5"/>
        <v>59.607676846970911</v>
      </c>
      <c r="U38" s="179">
        <f>(T37*'Markov Model_b'!mr_2)+U37</f>
        <v>40.392323153029089</v>
      </c>
      <c r="V38" s="179">
        <f t="shared" si="4"/>
        <v>100</v>
      </c>
      <c r="W38" s="183">
        <f>(T38*0)/(1+cDR)^'Markov Model_b'!cycle2</f>
        <v>0</v>
      </c>
      <c r="X38" s="179">
        <f t="shared" si="10"/>
        <v>59.607676846970911</v>
      </c>
      <c r="Y38" s="205">
        <f>(T38*(uPostT))/(1+oDR)^'Markov Model_b'!cycle</f>
        <v>42.348447467804867</v>
      </c>
      <c r="Z38" s="82"/>
      <c r="AA38" s="3"/>
      <c r="AB38" s="3"/>
      <c r="AC38" s="3"/>
      <c r="AD38" s="3"/>
      <c r="AE38" s="3"/>
      <c r="AF38" s="3"/>
      <c r="AG38" s="3"/>
      <c r="AH38" s="3"/>
      <c r="AI38" s="14"/>
      <c r="AJ38" s="14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</row>
    <row r="39" spans="1:60" ht="14.25" customHeight="1" x14ac:dyDescent="0.2">
      <c r="A39" s="311"/>
      <c r="B39" s="82"/>
      <c r="C39" s="176">
        <v>28</v>
      </c>
      <c r="D39" s="168"/>
      <c r="E39" s="201">
        <v>3.7697499194060957E-3</v>
      </c>
      <c r="F39" s="202"/>
      <c r="G39" s="465">
        <f t="shared" si="11"/>
        <v>63.031336338991629</v>
      </c>
      <c r="H39" s="179">
        <f t="shared" si="9"/>
        <v>36.968663661008371</v>
      </c>
      <c r="I39" s="181">
        <f t="shared" si="2"/>
        <v>100</v>
      </c>
      <c r="J39" s="156">
        <f>(G39*0)/(1+cDR)^'Markov Model_b'!cycle</f>
        <v>0</v>
      </c>
      <c r="K39" s="181">
        <f t="shared" si="12"/>
        <v>63.031336338991629</v>
      </c>
      <c r="L39" s="205">
        <f>(G39*(uPostT))/(1+oDR)^'Markov Model_b'!cycle</f>
        <v>44.669123507619716</v>
      </c>
      <c r="M39" s="82"/>
      <c r="N39" s="3"/>
      <c r="O39" s="82"/>
      <c r="P39" s="176">
        <v>28</v>
      </c>
      <c r="Q39" s="168"/>
      <c r="R39" s="201">
        <v>3.7697499194060957E-3</v>
      </c>
      <c r="S39" s="82"/>
      <c r="T39" s="178">
        <f t="shared" si="5"/>
        <v>59.38297081198106</v>
      </c>
      <c r="U39" s="179">
        <f>(T38*'Markov Model_b'!mr_2)+U38</f>
        <v>40.61702918801894</v>
      </c>
      <c r="V39" s="179">
        <f t="shared" si="4"/>
        <v>100</v>
      </c>
      <c r="W39" s="183">
        <f>(T39*0)/(1+cDR)^'Markov Model_b'!cycle2</f>
        <v>0</v>
      </c>
      <c r="X39" s="179">
        <f t="shared" si="10"/>
        <v>59.38297081198106</v>
      </c>
      <c r="Y39" s="205">
        <f>(T39*(uPostT))/(1+oDR)^'Markov Model_b'!cycle</f>
        <v>42.083595422819087</v>
      </c>
      <c r="Z39" s="82"/>
      <c r="AA39" s="3"/>
      <c r="AB39" s="3"/>
      <c r="AC39" s="3"/>
      <c r="AD39" s="3"/>
      <c r="AE39" s="3"/>
      <c r="AF39" s="3"/>
      <c r="AG39" s="3"/>
      <c r="AH39" s="3"/>
      <c r="AI39" s="14"/>
      <c r="AJ39" s="14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</row>
    <row r="40" spans="1:60" ht="14.25" customHeight="1" x14ac:dyDescent="0.2">
      <c r="A40" s="311"/>
      <c r="B40" s="82"/>
      <c r="C40" s="176">
        <v>29</v>
      </c>
      <c r="D40" s="168"/>
      <c r="E40" s="201">
        <v>3.583618779570974E-3</v>
      </c>
      <c r="F40" s="202"/>
      <c r="G40" s="465">
        <f t="shared" si="11"/>
        <v>62.805456058385765</v>
      </c>
      <c r="H40" s="179">
        <f t="shared" si="9"/>
        <v>37.194543941614235</v>
      </c>
      <c r="I40" s="181">
        <f t="shared" si="2"/>
        <v>100</v>
      </c>
      <c r="J40" s="156">
        <f>(G40*0)/(1+cDR)^'Markov Model_b'!cycle</f>
        <v>0</v>
      </c>
      <c r="K40" s="181">
        <f t="shared" si="12"/>
        <v>62.805456058385765</v>
      </c>
      <c r="L40" s="205">
        <f>(G40*(uPostT))/(1+oDR)^'Markov Model_b'!cycle</f>
        <v>44.398051269576882</v>
      </c>
      <c r="M40" s="82"/>
      <c r="N40" s="3"/>
      <c r="O40" s="82"/>
      <c r="P40" s="176">
        <v>29</v>
      </c>
      <c r="Q40" s="168"/>
      <c r="R40" s="201">
        <v>3.583618779570974E-3</v>
      </c>
      <c r="S40" s="82"/>
      <c r="T40" s="178">
        <f t="shared" si="5"/>
        <v>59.17016488259253</v>
      </c>
      <c r="U40" s="179">
        <f>(T39*'Markov Model_b'!mr_2)+U39</f>
        <v>40.82983511740747</v>
      </c>
      <c r="V40" s="179">
        <f t="shared" si="4"/>
        <v>100</v>
      </c>
      <c r="W40" s="183">
        <f>(T40*0)/(1+cDR)^'Markov Model_b'!cycle2</f>
        <v>0</v>
      </c>
      <c r="X40" s="179">
        <f t="shared" si="10"/>
        <v>59.17016488259253</v>
      </c>
      <c r="Y40" s="205">
        <f>(T40*(uPostT))/(1+oDR)^'Markov Model_b'!cycle</f>
        <v>41.82821332663341</v>
      </c>
      <c r="Z40" s="82"/>
      <c r="AA40" s="3"/>
      <c r="AB40" s="3"/>
      <c r="AC40" s="3"/>
      <c r="AD40" s="3"/>
      <c r="AE40" s="3"/>
      <c r="AF40" s="3"/>
      <c r="AG40" s="3"/>
      <c r="AH40" s="3"/>
      <c r="AI40" s="14"/>
      <c r="AJ40" s="14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</row>
    <row r="41" spans="1:60" ht="14.25" customHeight="1" x14ac:dyDescent="0.2">
      <c r="A41" s="311"/>
      <c r="B41" s="82"/>
      <c r="C41" s="176">
        <v>30</v>
      </c>
      <c r="D41" s="168"/>
      <c r="E41" s="201">
        <v>3.4080477542321463E-3</v>
      </c>
      <c r="F41" s="202"/>
      <c r="G41" s="465">
        <f t="shared" si="11"/>
        <v>62.591412064912461</v>
      </c>
      <c r="H41" s="179">
        <f t="shared" si="9"/>
        <v>37.408587935087539</v>
      </c>
      <c r="I41" s="181">
        <f t="shared" si="2"/>
        <v>100</v>
      </c>
      <c r="J41" s="156">
        <f>(G41*0)/(1+cDR)^'Markov Model_b'!cycle</f>
        <v>0</v>
      </c>
      <c r="K41" s="181">
        <f t="shared" si="12"/>
        <v>62.591412064912461</v>
      </c>
      <c r="L41" s="205">
        <f>(G41*(uPostT))/(1+oDR)^'Markov Model_b'!cycle</f>
        <v>44.136399591676145</v>
      </c>
      <c r="M41" s="82"/>
      <c r="N41" s="3"/>
      <c r="O41" s="82"/>
      <c r="P41" s="176">
        <v>30</v>
      </c>
      <c r="Q41" s="168"/>
      <c r="R41" s="201">
        <v>3.4080477542321463E-3</v>
      </c>
      <c r="S41" s="82"/>
      <c r="T41" s="178">
        <f t="shared" si="5"/>
        <v>58.968510135046863</v>
      </c>
      <c r="U41" s="179">
        <f>(T40*'Markov Model_b'!mr_2)+U40</f>
        <v>41.031489864953137</v>
      </c>
      <c r="V41" s="179">
        <f t="shared" si="4"/>
        <v>100</v>
      </c>
      <c r="W41" s="183">
        <f>(T41*0)/(1+cDR)^'Markov Model_b'!cycle2</f>
        <v>0</v>
      </c>
      <c r="X41" s="179">
        <f t="shared" si="10"/>
        <v>58.968510135046863</v>
      </c>
      <c r="Y41" s="205">
        <f>(T41*(uPostT))/(1+oDR)^'Markov Model_b'!cycle</f>
        <v>41.581706511862393</v>
      </c>
      <c r="Z41" s="82"/>
      <c r="AA41" s="3"/>
      <c r="AB41" s="3"/>
      <c r="AC41" s="3"/>
      <c r="AD41" s="3"/>
      <c r="AE41" s="3"/>
      <c r="AF41" s="3"/>
      <c r="AG41" s="3"/>
      <c r="AH41" s="3"/>
      <c r="AI41" s="14"/>
      <c r="AJ41" s="14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</row>
    <row r="42" spans="1:60" ht="14.25" customHeight="1" x14ac:dyDescent="0.2">
      <c r="A42" s="311"/>
      <c r="B42" s="82"/>
      <c r="C42" s="176">
        <v>31</v>
      </c>
      <c r="D42" s="168"/>
      <c r="E42" s="201">
        <v>3.2423299783530535E-3</v>
      </c>
      <c r="F42" s="202"/>
      <c r="G42" s="465">
        <f t="shared" si="11"/>
        <v>62.38847005318695</v>
      </c>
      <c r="H42" s="179">
        <f t="shared" si="9"/>
        <v>37.61152994681305</v>
      </c>
      <c r="I42" s="181">
        <f t="shared" si="2"/>
        <v>100</v>
      </c>
      <c r="J42" s="156">
        <f>(G42*0)/(1+cDR)^'Markov Model_b'!cycle</f>
        <v>0</v>
      </c>
      <c r="K42" s="181">
        <f t="shared" si="12"/>
        <v>62.38847005318695</v>
      </c>
      <c r="L42" s="205">
        <f>(G42*(uPostT))/(1+oDR)^'Markov Model_b'!cycle</f>
        <v>43.883585855504727</v>
      </c>
      <c r="M42" s="82"/>
      <c r="N42" s="3"/>
      <c r="O42" s="82"/>
      <c r="P42" s="176">
        <v>31</v>
      </c>
      <c r="Q42" s="168"/>
      <c r="R42" s="201">
        <v>3.2423299783530535E-3</v>
      </c>
      <c r="S42" s="82"/>
      <c r="T42" s="178">
        <f t="shared" si="5"/>
        <v>58.777314766857188</v>
      </c>
      <c r="U42" s="179">
        <f>(T41*'Markov Model_b'!mr_2)+U41</f>
        <v>41.222685233142812</v>
      </c>
      <c r="V42" s="179">
        <f t="shared" si="4"/>
        <v>100</v>
      </c>
      <c r="W42" s="183">
        <f>(T42*0)/(1+cDR)^'Markov Model_b'!cycle2</f>
        <v>0</v>
      </c>
      <c r="X42" s="179">
        <f t="shared" si="10"/>
        <v>58.777314766857188</v>
      </c>
      <c r="Y42" s="205">
        <f>(T42*(uPostT))/(1+oDR)^'Markov Model_b'!cycle</f>
        <v>41.343526083080206</v>
      </c>
      <c r="Z42" s="82"/>
      <c r="AA42" s="3"/>
      <c r="AB42" s="3"/>
      <c r="AC42" s="3"/>
      <c r="AD42" s="3"/>
      <c r="AE42" s="3"/>
      <c r="AF42" s="3"/>
      <c r="AG42" s="3"/>
      <c r="AH42" s="3"/>
      <c r="AI42" s="14"/>
      <c r="AJ42" s="14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</row>
    <row r="43" spans="1:60" ht="14.25" customHeight="1" x14ac:dyDescent="0.2">
      <c r="A43" s="311"/>
      <c r="B43" s="82"/>
      <c r="C43" s="176">
        <v>32</v>
      </c>
      <c r="D43" s="168"/>
      <c r="E43" s="201">
        <v>3.0858141600502154E-3</v>
      </c>
      <c r="F43" s="202"/>
      <c r="G43" s="465">
        <f t="shared" si="11"/>
        <v>62.195950828872959</v>
      </c>
      <c r="H43" s="179">
        <f t="shared" si="9"/>
        <v>37.804049171127041</v>
      </c>
      <c r="I43" s="181">
        <f t="shared" si="2"/>
        <v>100</v>
      </c>
      <c r="J43" s="156">
        <f>(G43*0)/(1+cDR)^'Markov Model_b'!cycle</f>
        <v>0</v>
      </c>
      <c r="K43" s="181">
        <f t="shared" si="12"/>
        <v>62.195950828872959</v>
      </c>
      <c r="L43" s="205">
        <f>(G43*(uPostT))/(1+oDR)^'Markov Model_b'!cycle</f>
        <v>43.639071585913243</v>
      </c>
      <c r="M43" s="82"/>
      <c r="N43" s="3"/>
      <c r="O43" s="82"/>
      <c r="P43" s="176">
        <v>32</v>
      </c>
      <c r="Q43" s="168"/>
      <c r="R43" s="201">
        <v>3.0858141600502154E-3</v>
      </c>
      <c r="S43" s="82"/>
      <c r="T43" s="178">
        <f t="shared" si="5"/>
        <v>58.595938896659888</v>
      </c>
      <c r="U43" s="179">
        <f>(T42*'Markov Model_b'!mr_2)+U42</f>
        <v>41.404061103340112</v>
      </c>
      <c r="V43" s="179">
        <f t="shared" si="4"/>
        <v>100</v>
      </c>
      <c r="W43" s="183">
        <f>(T43*0)/(1+cDR)^'Markov Model_b'!cycle2</f>
        <v>0</v>
      </c>
      <c r="X43" s="179">
        <f t="shared" si="10"/>
        <v>58.595938896659888</v>
      </c>
      <c r="Y43" s="205">
        <f>(T43*(uPostT))/(1+oDR)^'Markov Model_b'!cycle</f>
        <v>41.11316473303404</v>
      </c>
      <c r="Z43" s="82"/>
      <c r="AA43" s="3"/>
      <c r="AB43" s="3"/>
      <c r="AC43" s="3"/>
      <c r="AD43" s="3"/>
      <c r="AE43" s="3"/>
      <c r="AF43" s="3"/>
      <c r="AG43" s="3"/>
      <c r="AH43" s="3"/>
      <c r="AI43" s="14"/>
      <c r="AJ43" s="14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</row>
    <row r="44" spans="1:60" ht="14.25" customHeight="1" x14ac:dyDescent="0.2">
      <c r="A44" s="311"/>
      <c r="B44" s="82"/>
      <c r="C44" s="176">
        <v>33</v>
      </c>
      <c r="D44" s="168"/>
      <c r="E44" s="201">
        <v>2.9378995751344061E-3</v>
      </c>
      <c r="F44" s="202"/>
      <c r="G44" s="465">
        <f t="shared" si="11"/>
        <v>62.013225371357734</v>
      </c>
      <c r="H44" s="179">
        <f t="shared" si="9"/>
        <v>37.986774628642266</v>
      </c>
      <c r="I44" s="181">
        <f t="shared" si="2"/>
        <v>100</v>
      </c>
      <c r="J44" s="156">
        <f>(G44*0)/(1+cDR)^'Markov Model_b'!cycle</f>
        <v>0</v>
      </c>
      <c r="K44" s="181">
        <f t="shared" si="12"/>
        <v>62.013225371357734</v>
      </c>
      <c r="L44" s="205">
        <f>(G44*(uPostT))/(1+oDR)^'Markov Model_b'!cycle</f>
        <v>43.402358479842121</v>
      </c>
      <c r="M44" s="82"/>
      <c r="N44" s="3"/>
      <c r="O44" s="82"/>
      <c r="P44" s="176">
        <v>33</v>
      </c>
      <c r="Q44" s="168"/>
      <c r="R44" s="201">
        <v>2.9378995751344061E-3</v>
      </c>
      <c r="S44" s="82"/>
      <c r="T44" s="178">
        <f t="shared" si="5"/>
        <v>58.423789912670792</v>
      </c>
      <c r="U44" s="179">
        <f>(T43*'Markov Model_b'!mr_2)+U43</f>
        <v>41.576210087329208</v>
      </c>
      <c r="V44" s="179">
        <f t="shared" si="4"/>
        <v>100</v>
      </c>
      <c r="W44" s="183">
        <f>(T44*0)/(1+cDR)^'Markov Model_b'!cycle2</f>
        <v>0</v>
      </c>
      <c r="X44" s="179">
        <f t="shared" si="10"/>
        <v>58.423789912670792</v>
      </c>
      <c r="Y44" s="205">
        <f>(T44*(uPostT))/(1+oDR)^'Markov Model_b'!cycle</f>
        <v>40.890153001329111</v>
      </c>
      <c r="Z44" s="82"/>
      <c r="AA44" s="3"/>
      <c r="AB44" s="3"/>
      <c r="AC44" s="3"/>
      <c r="AD44" s="3"/>
      <c r="AE44" s="3"/>
      <c r="AF44" s="3"/>
      <c r="AG44" s="3"/>
      <c r="AH44" s="3"/>
      <c r="AI44" s="14"/>
      <c r="AJ44" s="14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</row>
    <row r="45" spans="1:60" ht="14.25" customHeight="1" x14ac:dyDescent="0.2">
      <c r="A45" s="311"/>
      <c r="B45" s="82"/>
      <c r="C45" s="176">
        <v>34</v>
      </c>
      <c r="D45" s="168"/>
      <c r="E45" s="201">
        <v>2.7980315650928955E-3</v>
      </c>
      <c r="F45" s="202"/>
      <c r="G45" s="465">
        <f t="shared" si="11"/>
        <v>61.839710409315458</v>
      </c>
      <c r="H45" s="179">
        <f t="shared" si="9"/>
        <v>38.160289590684542</v>
      </c>
      <c r="I45" s="181">
        <f t="shared" si="2"/>
        <v>100</v>
      </c>
      <c r="J45" s="156">
        <f>(G45*0)/(1+cDR)^'Markov Model_b'!cycle</f>
        <v>0</v>
      </c>
      <c r="K45" s="181">
        <f t="shared" si="12"/>
        <v>61.839710409315458</v>
      </c>
      <c r="L45" s="205">
        <f>(G45*(uPostT))/(1+oDR)^'Markov Model_b'!cycle</f>
        <v>43.17298484869432</v>
      </c>
      <c r="M45" s="82"/>
      <c r="N45" s="3"/>
      <c r="O45" s="82"/>
      <c r="P45" s="176">
        <v>34</v>
      </c>
      <c r="Q45" s="168"/>
      <c r="R45" s="201">
        <v>2.7980315650928955E-3</v>
      </c>
      <c r="S45" s="82"/>
      <c r="T45" s="178">
        <f t="shared" si="5"/>
        <v>58.260318304342782</v>
      </c>
      <c r="U45" s="179">
        <f>(T44*'Markov Model_b'!mr_2)+U44</f>
        <v>41.739681695657218</v>
      </c>
      <c r="V45" s="179">
        <f t="shared" si="4"/>
        <v>100</v>
      </c>
      <c r="W45" s="183">
        <f>(T45*0)/(1+cDR)^'Markov Model_b'!cycle2</f>
        <v>0</v>
      </c>
      <c r="X45" s="179">
        <f t="shared" si="10"/>
        <v>58.260318304342782</v>
      </c>
      <c r="Y45" s="205">
        <f>(T45*(uPostT))/(1+oDR)^'Markov Model_b'!cycle</f>
        <v>40.674055922723106</v>
      </c>
      <c r="Z45" s="82"/>
      <c r="AA45" s="3"/>
      <c r="AB45" s="3"/>
      <c r="AC45" s="3"/>
      <c r="AD45" s="3"/>
      <c r="AE45" s="3"/>
      <c r="AF45" s="3"/>
      <c r="AG45" s="3"/>
      <c r="AH45" s="3"/>
      <c r="AI45" s="14"/>
      <c r="AJ45" s="14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</row>
    <row r="46" spans="1:60" ht="14.25" customHeight="1" x14ac:dyDescent="0.2">
      <c r="A46" s="311"/>
      <c r="B46" s="82"/>
      <c r="C46" s="176">
        <v>35</v>
      </c>
      <c r="D46" s="168"/>
      <c r="E46" s="201">
        <v>2.665697482978624E-3</v>
      </c>
      <c r="F46" s="202"/>
      <c r="G46" s="465">
        <f t="shared" si="11"/>
        <v>61.67486444892922</v>
      </c>
      <c r="H46" s="179">
        <f t="shared" si="9"/>
        <v>38.32513555107078</v>
      </c>
      <c r="I46" s="181">
        <f t="shared" si="2"/>
        <v>100</v>
      </c>
      <c r="J46" s="156">
        <f>(G46*0)/(1+cDR)^'Markov Model_b'!cycle</f>
        <v>0</v>
      </c>
      <c r="K46" s="181">
        <f t="shared" si="12"/>
        <v>61.67486444892922</v>
      </c>
      <c r="L46" s="205">
        <f>(G46*(uPostT))/(1+oDR)^'Markov Model_b'!cycle</f>
        <v>42.95052242558652</v>
      </c>
      <c r="M46" s="82"/>
      <c r="N46" s="3"/>
      <c r="O46" s="82"/>
      <c r="P46" s="176">
        <v>35</v>
      </c>
      <c r="Q46" s="168"/>
      <c r="R46" s="201">
        <v>2.665697482978624E-3</v>
      </c>
      <c r="S46" s="82"/>
      <c r="T46" s="178">
        <f t="shared" si="5"/>
        <v>58.105013920481362</v>
      </c>
      <c r="U46" s="179">
        <f>(T45*'Markov Model_b'!mr_2)+U45</f>
        <v>41.894986079518638</v>
      </c>
      <c r="V46" s="179">
        <f t="shared" si="4"/>
        <v>100</v>
      </c>
      <c r="W46" s="183">
        <f>(T46*0)/(1+cDR)^'Markov Model_b'!cycle2</f>
        <v>0</v>
      </c>
      <c r="X46" s="179">
        <f t="shared" si="10"/>
        <v>58.105013920481362</v>
      </c>
      <c r="Y46" s="205">
        <f>(T46*(uPostT))/(1+oDR)^'Markov Model_b'!cycle</f>
        <v>40.46447001917943</v>
      </c>
      <c r="Z46" s="82"/>
      <c r="AA46" s="3"/>
      <c r="AB46" s="3"/>
      <c r="AC46" s="3"/>
      <c r="AD46" s="3"/>
      <c r="AE46" s="3"/>
      <c r="AF46" s="3"/>
      <c r="AG46" s="3"/>
      <c r="AH46" s="3"/>
      <c r="AI46" s="14"/>
      <c r="AJ46" s="14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</row>
    <row r="47" spans="1:60" ht="14.25" customHeight="1" x14ac:dyDescent="0.2">
      <c r="A47" s="311"/>
      <c r="B47" s="82"/>
      <c r="C47" s="176">
        <v>36</v>
      </c>
      <c r="D47" s="168"/>
      <c r="E47" s="201">
        <v>2.5404230383084814E-3</v>
      </c>
      <c r="F47" s="202"/>
      <c r="G47" s="465">
        <f t="shared" si="11"/>
        <v>61.518184202398608</v>
      </c>
      <c r="H47" s="179">
        <f t="shared" si="9"/>
        <v>38.481815797601392</v>
      </c>
      <c r="I47" s="181">
        <f t="shared" si="2"/>
        <v>100</v>
      </c>
      <c r="J47" s="156">
        <f>(G47*0)/(1+cDR)^'Markov Model_b'!cycle</f>
        <v>0</v>
      </c>
      <c r="K47" s="181">
        <f t="shared" si="12"/>
        <v>61.518184202398608</v>
      </c>
      <c r="L47" s="205">
        <f>(G47*(uPostT))/(1+oDR)^'Markov Model_b'!cycle</f>
        <v>42.73457349517124</v>
      </c>
      <c r="M47" s="82"/>
      <c r="N47" s="3"/>
      <c r="O47" s="82"/>
      <c r="P47" s="176">
        <v>36</v>
      </c>
      <c r="Q47" s="168"/>
      <c r="R47" s="201">
        <v>2.5404230383084814E-3</v>
      </c>
      <c r="S47" s="82"/>
      <c r="T47" s="178">
        <f t="shared" si="5"/>
        <v>57.957402604476535</v>
      </c>
      <c r="U47" s="179">
        <f>(T46*'Markov Model_b'!mr_2)+U46</f>
        <v>42.042597395523465</v>
      </c>
      <c r="V47" s="179">
        <f t="shared" si="4"/>
        <v>100</v>
      </c>
      <c r="W47" s="183">
        <f>(T47*0)/(1+cDR)^'Markov Model_b'!cycle2</f>
        <v>0</v>
      </c>
      <c r="X47" s="179">
        <f t="shared" si="10"/>
        <v>57.957402604476535</v>
      </c>
      <c r="Y47" s="205">
        <f>(T47*(uPostT))/(1+oDR)^'Markov Model_b'!cycle</f>
        <v>40.261020595820213</v>
      </c>
      <c r="Z47" s="82"/>
      <c r="AA47" s="3"/>
      <c r="AB47" s="3"/>
      <c r="AC47" s="3"/>
      <c r="AD47" s="3"/>
      <c r="AE47" s="3"/>
      <c r="AF47" s="3"/>
      <c r="AG47" s="3"/>
      <c r="AH47" s="3"/>
      <c r="AI47" s="14"/>
      <c r="AJ47" s="14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</row>
    <row r="48" spans="1:60" ht="14.25" customHeight="1" x14ac:dyDescent="0.2">
      <c r="A48" s="311"/>
      <c r="B48" s="82"/>
      <c r="C48" s="176">
        <v>37</v>
      </c>
      <c r="D48" s="168"/>
      <c r="E48" s="201">
        <v>2.4217689978662804E-3</v>
      </c>
      <c r="F48" s="202"/>
      <c r="G48" s="465">
        <f t="shared" si="11"/>
        <v>61.36920137109221</v>
      </c>
      <c r="H48" s="179">
        <f t="shared" si="9"/>
        <v>38.63079862890779</v>
      </c>
      <c r="I48" s="181">
        <f t="shared" si="2"/>
        <v>100</v>
      </c>
      <c r="J48" s="156">
        <f>(G48*0)/(1+cDR)^'Markov Model_b'!cycle</f>
        <v>0</v>
      </c>
      <c r="K48" s="181">
        <f t="shared" si="12"/>
        <v>61.36920137109221</v>
      </c>
      <c r="L48" s="205">
        <f>(G48*(uPostT))/(1+oDR)^'Markov Model_b'!cycle</f>
        <v>42.524768309170675</v>
      </c>
      <c r="M48" s="82"/>
      <c r="N48" s="3"/>
      <c r="O48" s="82"/>
      <c r="P48" s="176">
        <v>37</v>
      </c>
      <c r="Q48" s="168"/>
      <c r="R48" s="201">
        <v>2.4217689978662804E-3</v>
      </c>
      <c r="S48" s="82"/>
      <c r="T48" s="178">
        <f t="shared" si="5"/>
        <v>57.817043163652158</v>
      </c>
      <c r="U48" s="179">
        <f>(T47*'Markov Model_b'!mr_2)+U47</f>
        <v>42.182956836347842</v>
      </c>
      <c r="V48" s="179">
        <f t="shared" si="4"/>
        <v>100</v>
      </c>
      <c r="W48" s="183">
        <f>(T48*0)/(1+cDR)^'Markov Model_b'!cycle2</f>
        <v>0</v>
      </c>
      <c r="X48" s="179">
        <f t="shared" si="10"/>
        <v>57.817043163652158</v>
      </c>
      <c r="Y48" s="205">
        <f>(T48*(uPostT))/(1+oDR)^'Markov Model_b'!cycle</f>
        <v>40.063359306053663</v>
      </c>
      <c r="Z48" s="82"/>
      <c r="AA48" s="3"/>
      <c r="AB48" s="3"/>
      <c r="AC48" s="3"/>
      <c r="AD48" s="3"/>
      <c r="AE48" s="3"/>
      <c r="AF48" s="3"/>
      <c r="AG48" s="3"/>
      <c r="AH48" s="3"/>
      <c r="AI48" s="14"/>
      <c r="AJ48" s="14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</row>
    <row r="49" spans="1:60" ht="14.25" customHeight="1" x14ac:dyDescent="0.2">
      <c r="A49" s="311"/>
      <c r="B49" s="82"/>
      <c r="C49" s="176">
        <v>38</v>
      </c>
      <c r="D49" s="168"/>
      <c r="E49" s="201">
        <v>2.3093282043478158E-3</v>
      </c>
      <c r="F49" s="202"/>
      <c r="G49" s="465">
        <f t="shared" si="11"/>
        <v>61.227479743487649</v>
      </c>
      <c r="H49" s="179">
        <f t="shared" si="9"/>
        <v>38.772520256512351</v>
      </c>
      <c r="I49" s="181">
        <f t="shared" si="2"/>
        <v>100</v>
      </c>
      <c r="J49" s="156">
        <f>(G49*0)/(1+cDR)^'Markov Model_b'!cycle</f>
        <v>0</v>
      </c>
      <c r="K49" s="181">
        <f t="shared" si="12"/>
        <v>61.227479743487649</v>
      </c>
      <c r="L49" s="205">
        <f>(G49*(uPostT))/(1+oDR)^'Markov Model_b'!cycle</f>
        <v>42.320762755442352</v>
      </c>
      <c r="M49" s="82"/>
      <c r="N49" s="3"/>
      <c r="O49" s="82"/>
      <c r="P49" s="176">
        <v>38</v>
      </c>
      <c r="Q49" s="168"/>
      <c r="R49" s="201">
        <v>2.3093282043478158E-3</v>
      </c>
      <c r="S49" s="82"/>
      <c r="T49" s="178">
        <f t="shared" si="5"/>
        <v>57.683524635182344</v>
      </c>
      <c r="U49" s="179">
        <f>(T48*'Markov Model_b'!mr_2)+U48</f>
        <v>42.316475364817656</v>
      </c>
      <c r="V49" s="179">
        <f t="shared" si="4"/>
        <v>100</v>
      </c>
      <c r="W49" s="183">
        <f>(T49*0)/(1+cDR)^'Markov Model_b'!cycle2</f>
        <v>0</v>
      </c>
      <c r="X49" s="179">
        <f t="shared" si="10"/>
        <v>57.683524635182344</v>
      </c>
      <c r="Y49" s="205">
        <f>(T49*(uPostT))/(1+oDR)^'Markov Model_b'!cycle</f>
        <v>39.871161955558385</v>
      </c>
      <c r="Z49" s="82"/>
      <c r="AA49" s="3"/>
      <c r="AB49" s="3"/>
      <c r="AC49" s="3"/>
      <c r="AD49" s="3"/>
      <c r="AE49" s="3"/>
      <c r="AF49" s="3"/>
      <c r="AG49" s="3"/>
      <c r="AH49" s="3"/>
      <c r="AI49" s="14"/>
      <c r="AJ49" s="14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</row>
    <row r="50" spans="1:60" ht="14.25" customHeight="1" x14ac:dyDescent="0.2">
      <c r="A50" s="311"/>
      <c r="B50" s="82"/>
      <c r="C50" s="176">
        <v>39</v>
      </c>
      <c r="D50" s="168"/>
      <c r="E50" s="201">
        <v>2.2027228792133036E-3</v>
      </c>
      <c r="F50" s="202"/>
      <c r="G50" s="465">
        <f t="shared" si="11"/>
        <v>61.092612573020098</v>
      </c>
      <c r="H50" s="179">
        <f t="shared" si="9"/>
        <v>38.907387426979902</v>
      </c>
      <c r="I50" s="181">
        <f t="shared" si="2"/>
        <v>100</v>
      </c>
      <c r="J50" s="156">
        <f>(G50*0)/(1+cDR)^'Markov Model_b'!cycle</f>
        <v>0</v>
      </c>
      <c r="K50" s="181">
        <f t="shared" si="12"/>
        <v>61.092612573020098</v>
      </c>
      <c r="L50" s="205">
        <f>(G50*(uPostT))/(1+oDR)^'Markov Model_b'!cycle</f>
        <v>42.122236252424123</v>
      </c>
      <c r="M50" s="82"/>
      <c r="N50" s="3"/>
      <c r="O50" s="82"/>
      <c r="P50" s="176">
        <v>39</v>
      </c>
      <c r="Q50" s="168"/>
      <c r="R50" s="201">
        <v>2.2027228792133036E-3</v>
      </c>
      <c r="S50" s="82"/>
      <c r="T50" s="178">
        <f t="shared" si="5"/>
        <v>57.556463815714764</v>
      </c>
      <c r="U50" s="179">
        <f>(T49*'Markov Model_b'!mr_2)+U49</f>
        <v>42.443536184285236</v>
      </c>
      <c r="V50" s="179">
        <f t="shared" si="4"/>
        <v>100</v>
      </c>
      <c r="W50" s="183">
        <f>(T50*0)/(1+cDR)^'Markov Model_b'!cycle2</f>
        <v>0</v>
      </c>
      <c r="X50" s="179">
        <f t="shared" si="10"/>
        <v>57.556463815714764</v>
      </c>
      <c r="Y50" s="205">
        <f>(T50*(uPostT))/(1+oDR)^'Markov Model_b'!cycle</f>
        <v>39.684126518601552</v>
      </c>
      <c r="Z50" s="82"/>
      <c r="AA50" s="3"/>
      <c r="AB50" s="3"/>
      <c r="AC50" s="3"/>
      <c r="AD50" s="3"/>
      <c r="AE50" s="3"/>
      <c r="AF50" s="3"/>
      <c r="AG50" s="3"/>
      <c r="AH50" s="3"/>
      <c r="AI50" s="14"/>
      <c r="AJ50" s="14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</row>
    <row r="51" spans="1:60" ht="14.25" customHeight="1" x14ac:dyDescent="0.2">
      <c r="A51" s="311"/>
      <c r="B51" s="82"/>
      <c r="C51" s="176">
        <v>40</v>
      </c>
      <c r="D51" s="168"/>
      <c r="E51" s="201">
        <v>2.1016021799617479E-3</v>
      </c>
      <c r="F51" s="202"/>
      <c r="G51" s="465">
        <f t="shared" si="11"/>
        <v>60.964220205257078</v>
      </c>
      <c r="H51" s="179">
        <f t="shared" si="9"/>
        <v>39.035779794742922</v>
      </c>
      <c r="I51" s="181">
        <f t="shared" si="2"/>
        <v>100</v>
      </c>
      <c r="J51" s="156">
        <f>(G51*0)/(1+cDR)^'Markov Model_b'!cycle</f>
        <v>0</v>
      </c>
      <c r="K51" s="181">
        <f t="shared" si="12"/>
        <v>60.964220205257078</v>
      </c>
      <c r="L51" s="205">
        <f>(G51*(uPostT))/(1+oDR)^'Markov Model_b'!cycle</f>
        <v>41.928889844280455</v>
      </c>
      <c r="M51" s="82"/>
      <c r="N51" s="3"/>
      <c r="O51" s="82"/>
      <c r="P51" s="176">
        <v>40</v>
      </c>
      <c r="Q51" s="168"/>
      <c r="R51" s="201">
        <v>2.1016021799617479E-3</v>
      </c>
      <c r="S51" s="82"/>
      <c r="T51" s="178">
        <f t="shared" si="5"/>
        <v>57.435503025888771</v>
      </c>
      <c r="U51" s="179">
        <f>(T50*'Markov Model_b'!mr_2)+U50</f>
        <v>42.564496974111229</v>
      </c>
      <c r="V51" s="179">
        <f t="shared" si="4"/>
        <v>100</v>
      </c>
      <c r="W51" s="183">
        <f>(T51*0)/(1+cDR)^'Markov Model_b'!cycle2</f>
        <v>0</v>
      </c>
      <c r="X51" s="179">
        <f t="shared" si="10"/>
        <v>57.435503025888771</v>
      </c>
      <c r="Y51" s="205">
        <f>(T51*(uPostT))/(1+oDR)^'Markov Model_b'!cycle</f>
        <v>39.501971343441582</v>
      </c>
      <c r="Z51" s="82"/>
      <c r="AA51" s="3"/>
      <c r="AB51" s="3"/>
      <c r="AC51" s="3"/>
      <c r="AD51" s="3"/>
      <c r="AE51" s="3"/>
      <c r="AF51" s="3"/>
      <c r="AG51" s="3"/>
      <c r="AH51" s="3"/>
      <c r="AI51" s="14"/>
      <c r="AJ51" s="14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</row>
    <row r="52" spans="1:60" ht="14.25" customHeight="1" x14ac:dyDescent="0.2">
      <c r="A52" s="311"/>
      <c r="B52" s="82"/>
      <c r="C52" s="176">
        <v>41</v>
      </c>
      <c r="D52" s="168"/>
      <c r="E52" s="201">
        <v>2.0056399854406215E-3</v>
      </c>
      <c r="F52" s="202"/>
      <c r="G52" s="465">
        <f t="shared" si="11"/>
        <v>60.84194792753221</v>
      </c>
      <c r="H52" s="179">
        <f t="shared" si="9"/>
        <v>39.15805207246779</v>
      </c>
      <c r="I52" s="181">
        <f t="shared" si="2"/>
        <v>100</v>
      </c>
      <c r="J52" s="156">
        <f>(G52*0)/(1+cDR)^'Markov Model_b'!cycle</f>
        <v>0</v>
      </c>
      <c r="K52" s="181">
        <f t="shared" si="12"/>
        <v>60.84194792753221</v>
      </c>
      <c r="L52" s="205">
        <f>(G52*(uPostT))/(1+oDR)^'Markov Model_b'!cycle</f>
        <v>41.740444475075947</v>
      </c>
      <c r="M52" s="82"/>
      <c r="N52" s="3"/>
      <c r="O52" s="82"/>
      <c r="P52" s="176">
        <v>41</v>
      </c>
      <c r="Q52" s="168"/>
      <c r="R52" s="201">
        <v>2.0056399854406215E-3</v>
      </c>
      <c r="S52" s="82"/>
      <c r="T52" s="178">
        <f t="shared" si="5"/>
        <v>57.320308084436149</v>
      </c>
      <c r="U52" s="179">
        <f>(T51*'Markov Model_b'!mr_2)+U51</f>
        <v>42.679691915563851</v>
      </c>
      <c r="V52" s="179">
        <f t="shared" si="4"/>
        <v>100</v>
      </c>
      <c r="W52" s="183">
        <f>(T52*0)/(1+cDR)^'Markov Model_b'!cycle2</f>
        <v>0</v>
      </c>
      <c r="X52" s="179">
        <f t="shared" si="10"/>
        <v>57.320308084436149</v>
      </c>
      <c r="Y52" s="205">
        <f>(T52*(uPostT))/(1+oDR)^'Markov Model_b'!cycle</f>
        <v>39.324433526395453</v>
      </c>
      <c r="Z52" s="82"/>
      <c r="AA52" s="3"/>
      <c r="AB52" s="3"/>
      <c r="AC52" s="3"/>
      <c r="AD52" s="3"/>
      <c r="AE52" s="3"/>
      <c r="AF52" s="3"/>
      <c r="AG52" s="3"/>
      <c r="AH52" s="3"/>
      <c r="AI52" s="14"/>
      <c r="AJ52" s="14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</row>
    <row r="53" spans="1:60" ht="14.25" customHeight="1" x14ac:dyDescent="0.2">
      <c r="A53" s="311"/>
      <c r="B53" s="82"/>
      <c r="C53" s="176">
        <v>42</v>
      </c>
      <c r="D53" s="168"/>
      <c r="E53" s="201">
        <v>1.9145328857692046E-3</v>
      </c>
      <c r="F53" s="202"/>
      <c r="G53" s="465">
        <f t="shared" si="11"/>
        <v>60.725464017390692</v>
      </c>
      <c r="H53" s="179">
        <f t="shared" si="9"/>
        <v>39.274535982609308</v>
      </c>
      <c r="I53" s="181">
        <f t="shared" si="2"/>
        <v>100</v>
      </c>
      <c r="J53" s="156">
        <f>(G53*0)/(1+cDR)^'Markov Model_b'!cycle</f>
        <v>0</v>
      </c>
      <c r="K53" s="181">
        <f t="shared" si="12"/>
        <v>60.725464017390692</v>
      </c>
      <c r="L53" s="205">
        <f>(G53*(uPostT))/(1+oDR)^'Markov Model_b'!cycle</f>
        <v>41.556639422904532</v>
      </c>
      <c r="M53" s="82"/>
      <c r="N53" s="3"/>
      <c r="O53" s="82"/>
      <c r="P53" s="176">
        <v>42</v>
      </c>
      <c r="Q53" s="168"/>
      <c r="R53" s="201">
        <v>1.9145328857692046E-3</v>
      </c>
      <c r="S53" s="82"/>
      <c r="T53" s="178">
        <f t="shared" si="5"/>
        <v>57.210566469586077</v>
      </c>
      <c r="U53" s="179">
        <f>(T52*'Markov Model_b'!mr_2)+U52</f>
        <v>42.789433530413923</v>
      </c>
      <c r="V53" s="179">
        <f t="shared" si="4"/>
        <v>100</v>
      </c>
      <c r="W53" s="183">
        <f>(T53*0)/(1+cDR)^'Markov Model_b'!cycle2</f>
        <v>0</v>
      </c>
      <c r="X53" s="179">
        <f t="shared" si="10"/>
        <v>57.210566469586077</v>
      </c>
      <c r="Y53" s="205">
        <f>(T53*(uPostT))/(1+oDR)^'Markov Model_b'!cycle</f>
        <v>39.151267436603426</v>
      </c>
      <c r="Z53" s="82"/>
      <c r="AA53" s="3"/>
      <c r="AB53" s="3"/>
      <c r="AC53" s="3"/>
      <c r="AD53" s="3"/>
      <c r="AE53" s="3"/>
      <c r="AF53" s="3"/>
      <c r="AG53" s="3"/>
      <c r="AH53" s="3"/>
      <c r="AI53" s="14"/>
      <c r="AJ53" s="14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</row>
    <row r="54" spans="1:60" ht="14.25" customHeight="1" x14ac:dyDescent="0.2">
      <c r="A54" s="311"/>
      <c r="B54" s="82"/>
      <c r="C54" s="176">
        <v>43</v>
      </c>
      <c r="D54" s="168"/>
      <c r="E54" s="201">
        <v>1.8279983560672841E-3</v>
      </c>
      <c r="F54" s="202"/>
      <c r="G54" s="465">
        <f t="shared" si="11"/>
        <v>60.614457968995481</v>
      </c>
      <c r="H54" s="179">
        <f t="shared" si="9"/>
        <v>39.385542031004519</v>
      </c>
      <c r="I54" s="181">
        <f t="shared" si="2"/>
        <v>100</v>
      </c>
      <c r="J54" s="156">
        <f>(G54*0)/(1+cDR)^'Markov Model_b'!cycle</f>
        <v>0</v>
      </c>
      <c r="K54" s="181">
        <f t="shared" si="12"/>
        <v>60.614457968995481</v>
      </c>
      <c r="L54" s="205">
        <f>(G54*(uPostT))/(1+oDR)^'Markov Model_b'!cycle</f>
        <v>41.377230877162887</v>
      </c>
      <c r="M54" s="82"/>
      <c r="N54" s="3"/>
      <c r="O54" s="82"/>
      <c r="P54" s="176">
        <v>43</v>
      </c>
      <c r="Q54" s="168"/>
      <c r="R54" s="201">
        <v>1.8279983560672841E-3</v>
      </c>
      <c r="S54" s="82"/>
      <c r="T54" s="178">
        <f t="shared" si="5"/>
        <v>57.105985648129995</v>
      </c>
      <c r="U54" s="179">
        <f>(T53*'Markov Model_b'!mr_2)+U53</f>
        <v>42.894014351870005</v>
      </c>
      <c r="V54" s="179">
        <f t="shared" si="4"/>
        <v>100</v>
      </c>
      <c r="W54" s="183">
        <f>(T54*0)/(1+cDR)^'Markov Model_b'!cycle2</f>
        <v>0</v>
      </c>
      <c r="X54" s="179">
        <f t="shared" si="10"/>
        <v>57.105985648129995</v>
      </c>
      <c r="Y54" s="205">
        <f>(T54*(uPostT))/(1+oDR)^'Markov Model_b'!cycle</f>
        <v>38.982243375652239</v>
      </c>
      <c r="Z54" s="82"/>
      <c r="AA54" s="3"/>
      <c r="AB54" s="3"/>
      <c r="AC54" s="3"/>
      <c r="AD54" s="3"/>
      <c r="AE54" s="3"/>
      <c r="AF54" s="3"/>
      <c r="AG54" s="3"/>
      <c r="AH54" s="3"/>
      <c r="AI54" s="14"/>
      <c r="AJ54" s="14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</row>
    <row r="55" spans="1:60" ht="14.25" customHeight="1" x14ac:dyDescent="0.2">
      <c r="A55" s="311"/>
      <c r="B55" s="82"/>
      <c r="C55" s="176">
        <v>44</v>
      </c>
      <c r="D55" s="168"/>
      <c r="E55" s="201">
        <v>1.745773095483405E-3</v>
      </c>
      <c r="F55" s="202"/>
      <c r="G55" s="465">
        <f t="shared" si="11"/>
        <v>60.508638879075896</v>
      </c>
      <c r="H55" s="179">
        <f t="shared" si="9"/>
        <v>39.491361120924104</v>
      </c>
      <c r="I55" s="181">
        <f t="shared" si="2"/>
        <v>100</v>
      </c>
      <c r="J55" s="156">
        <f>(G55*0)/(1+cDR)^'Markov Model_b'!cycle</f>
        <v>0</v>
      </c>
      <c r="K55" s="181">
        <f t="shared" si="12"/>
        <v>60.508638879075896</v>
      </c>
      <c r="L55" s="205">
        <f>(G55*(uPostT))/(1+oDR)^'Markov Model_b'!cycle</f>
        <v>41.201990644121622</v>
      </c>
      <c r="M55" s="82"/>
      <c r="N55" s="3"/>
      <c r="O55" s="82"/>
      <c r="P55" s="176">
        <v>44</v>
      </c>
      <c r="Q55" s="168"/>
      <c r="R55" s="201">
        <v>1.745773095483405E-3</v>
      </c>
      <c r="S55" s="82"/>
      <c r="T55" s="178">
        <f t="shared" si="5"/>
        <v>57.00629155479443</v>
      </c>
      <c r="U55" s="179">
        <f>(T54*'Markov Model_b'!mr_2)+U54</f>
        <v>42.99370844520557</v>
      </c>
      <c r="V55" s="179">
        <f t="shared" si="4"/>
        <v>100</v>
      </c>
      <c r="W55" s="183">
        <f>(T55*0)/(1+cDR)^'Markov Model_b'!cycle2</f>
        <v>0</v>
      </c>
      <c r="X55" s="179">
        <f t="shared" si="10"/>
        <v>57.00629155479443</v>
      </c>
      <c r="Y55" s="205">
        <f>(T55*(uPostT))/(1+oDR)^'Markov Model_b'!cycle</f>
        <v>38.817146358070261</v>
      </c>
      <c r="Z55" s="82"/>
      <c r="AA55" s="3"/>
      <c r="AB55" s="3"/>
      <c r="AC55" s="3"/>
      <c r="AD55" s="3"/>
      <c r="AE55" s="3"/>
      <c r="AF55" s="3"/>
      <c r="AG55" s="3"/>
      <c r="AH55" s="3"/>
      <c r="AI55" s="14"/>
      <c r="AJ55" s="14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</row>
    <row r="56" spans="1:60" ht="14.25" customHeight="1" x14ac:dyDescent="0.2">
      <c r="A56" s="311"/>
      <c r="B56" s="82"/>
      <c r="C56" s="176">
        <v>45</v>
      </c>
      <c r="D56" s="168"/>
      <c r="E56" s="201">
        <v>1.6676115150338067E-3</v>
      </c>
      <c r="F56" s="202"/>
      <c r="G56" s="465">
        <f t="shared" si="11"/>
        <v>60.407733976122124</v>
      </c>
      <c r="H56" s="179">
        <f t="shared" si="9"/>
        <v>39.592266023877876</v>
      </c>
      <c r="I56" s="181">
        <f t="shared" si="2"/>
        <v>100</v>
      </c>
      <c r="J56" s="156">
        <f>(G56*0)/(1+cDR)^'Markov Model_b'!cycle</f>
        <v>0</v>
      </c>
      <c r="K56" s="181">
        <f t="shared" si="12"/>
        <v>60.407733976122124</v>
      </c>
      <c r="L56" s="205">
        <f>(G56*(uPostT))/(1+oDR)^'Markov Model_b'!cycle</f>
        <v>41.030704967662011</v>
      </c>
      <c r="M56" s="82"/>
      <c r="N56" s="3"/>
      <c r="O56" s="82"/>
      <c r="P56" s="176">
        <v>45</v>
      </c>
      <c r="Q56" s="168"/>
      <c r="R56" s="201">
        <v>1.6676115150338067E-3</v>
      </c>
      <c r="S56" s="82"/>
      <c r="T56" s="178">
        <f t="shared" si="5"/>
        <v>56.911227206568277</v>
      </c>
      <c r="U56" s="179">
        <f>(T55*'Markov Model_b'!mr_2)+U55</f>
        <v>43.088772793431723</v>
      </c>
      <c r="V56" s="179">
        <f t="shared" si="4"/>
        <v>100</v>
      </c>
      <c r="W56" s="183">
        <f>(T56*0)/(1+cDR)^'Markov Model_b'!cycle2</f>
        <v>0</v>
      </c>
      <c r="X56" s="179">
        <f t="shared" si="10"/>
        <v>56.911227206568277</v>
      </c>
      <c r="Y56" s="205">
        <f>(T56*(uPostT))/(1+oDR)^'Markov Model_b'!cycle</f>
        <v>38.655775000321981</v>
      </c>
      <c r="Z56" s="82"/>
      <c r="AA56" s="3"/>
      <c r="AB56" s="3"/>
      <c r="AC56" s="3"/>
      <c r="AD56" s="3"/>
      <c r="AE56" s="3"/>
      <c r="AF56" s="3"/>
      <c r="AG56" s="3"/>
      <c r="AH56" s="3"/>
      <c r="AI56" s="14"/>
      <c r="AJ56" s="14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</row>
    <row r="57" spans="1:60" ht="14.25" customHeight="1" x14ac:dyDescent="0.2">
      <c r="A57" s="311"/>
      <c r="B57" s="82"/>
      <c r="C57" s="176">
        <v>46</v>
      </c>
      <c r="D57" s="168"/>
      <c r="E57" s="201">
        <v>1.5932843595587998E-3</v>
      </c>
      <c r="F57" s="202"/>
      <c r="G57" s="465">
        <f t="shared" si="11"/>
        <v>60.311487278381577</v>
      </c>
      <c r="H57" s="179">
        <f t="shared" si="9"/>
        <v>39.688512721618423</v>
      </c>
      <c r="I57" s="181">
        <f t="shared" si="2"/>
        <v>100</v>
      </c>
      <c r="J57" s="156">
        <f>(G57*0)/(1+cDR)^'Markov Model_b'!cycle</f>
        <v>0</v>
      </c>
      <c r="K57" s="181">
        <f t="shared" si="12"/>
        <v>60.311487278381577</v>
      </c>
      <c r="L57" s="205">
        <f>(G57*(uPostT))/(1+oDR)^'Markov Model_b'!cycle</f>
        <v>40.863173453541513</v>
      </c>
      <c r="M57" s="82"/>
      <c r="N57" s="3"/>
      <c r="O57" s="82"/>
      <c r="P57" s="176">
        <v>46</v>
      </c>
      <c r="Q57" s="168"/>
      <c r="R57" s="201">
        <v>1.5932843595587998E-3</v>
      </c>
      <c r="S57" s="82"/>
      <c r="T57" s="178">
        <f t="shared" si="5"/>
        <v>56.820551438376754</v>
      </c>
      <c r="U57" s="179">
        <f>(T56*'Markov Model_b'!mr_2)+U56</f>
        <v>43.179448561623246</v>
      </c>
      <c r="V57" s="179">
        <f t="shared" si="4"/>
        <v>100</v>
      </c>
      <c r="W57" s="183">
        <f>(T57*0)/(1+cDR)^'Markov Model_b'!cycle2</f>
        <v>0</v>
      </c>
      <c r="X57" s="179">
        <f t="shared" si="10"/>
        <v>56.820551438376754</v>
      </c>
      <c r="Y57" s="205">
        <f>(T57*(uPostT))/(1+oDR)^'Markov Model_b'!cycle</f>
        <v>38.49794050733901</v>
      </c>
      <c r="Z57" s="82"/>
      <c r="AA57" s="3"/>
      <c r="AB57" s="3"/>
      <c r="AC57" s="3"/>
      <c r="AD57" s="3"/>
      <c r="AE57" s="3"/>
      <c r="AF57" s="3"/>
      <c r="AG57" s="3"/>
      <c r="AH57" s="3"/>
      <c r="AI57" s="14"/>
      <c r="AJ57" s="14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</row>
    <row r="58" spans="1:60" ht="14.25" customHeight="1" x14ac:dyDescent="0.2">
      <c r="A58" s="311"/>
      <c r="B58" s="82"/>
      <c r="C58" s="176">
        <v>47</v>
      </c>
      <c r="D58" s="168"/>
      <c r="E58" s="201">
        <v>1.5225774506744116E-3</v>
      </c>
      <c r="F58" s="202"/>
      <c r="G58" s="465">
        <f t="shared" si="11"/>
        <v>60.219658367834874</v>
      </c>
      <c r="H58" s="179">
        <f t="shared" si="9"/>
        <v>39.780341632165126</v>
      </c>
      <c r="I58" s="181">
        <f t="shared" si="2"/>
        <v>100</v>
      </c>
      <c r="J58" s="156">
        <f>(G58*0)/(1+cDR)^'Markov Model_b'!cycle</f>
        <v>0</v>
      </c>
      <c r="K58" s="181">
        <f t="shared" si="12"/>
        <v>60.219658367834874</v>
      </c>
      <c r="L58" s="205">
        <f>(G58*(uPostT))/(1+oDR)^'Markov Model_b'!cycle</f>
        <v>40.699208086861006</v>
      </c>
      <c r="M58" s="82"/>
      <c r="N58" s="3"/>
      <c r="O58" s="82"/>
      <c r="P58" s="176">
        <v>47</v>
      </c>
      <c r="Q58" s="168"/>
      <c r="R58" s="201">
        <v>1.5225774506744116E-3</v>
      </c>
      <c r="S58" s="82"/>
      <c r="T58" s="178">
        <f t="shared" si="5"/>
        <v>56.734037748021798</v>
      </c>
      <c r="U58" s="179">
        <f>(T57*'Markov Model_b'!mr_2)+U57</f>
        <v>43.265962251978202</v>
      </c>
      <c r="V58" s="179">
        <f t="shared" si="4"/>
        <v>100</v>
      </c>
      <c r="W58" s="183">
        <f>(T58*0)/(1+cDR)^'Markov Model_b'!cycle2</f>
        <v>0</v>
      </c>
      <c r="X58" s="179">
        <f t="shared" si="10"/>
        <v>56.734037748021798</v>
      </c>
      <c r="Y58" s="205">
        <f>(T58*(uPostT))/(1+oDR)^'Markov Model_b'!cycle</f>
        <v>38.343465746857987</v>
      </c>
      <c r="Z58" s="82"/>
      <c r="AA58" s="3"/>
      <c r="AB58" s="3"/>
      <c r="AC58" s="3"/>
      <c r="AD58" s="3"/>
      <c r="AE58" s="3"/>
      <c r="AF58" s="3"/>
      <c r="AG58" s="3"/>
      <c r="AH58" s="3"/>
      <c r="AI58" s="14"/>
      <c r="AJ58" s="14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</row>
    <row r="59" spans="1:60" ht="14.25" customHeight="1" x14ac:dyDescent="0.2">
      <c r="A59" s="311"/>
      <c r="B59" s="82"/>
      <c r="C59" s="176">
        <v>48</v>
      </c>
      <c r="D59" s="168"/>
      <c r="E59" s="201">
        <v>1.4552905389946802E-3</v>
      </c>
      <c r="F59" s="202"/>
      <c r="G59" s="465">
        <f t="shared" si="11"/>
        <v>60.13202126875067</v>
      </c>
      <c r="H59" s="179">
        <f t="shared" si="9"/>
        <v>39.86797873124933</v>
      </c>
      <c r="I59" s="181">
        <f t="shared" si="2"/>
        <v>100</v>
      </c>
      <c r="J59" s="156">
        <f>(G59*0)/(1+cDR)^'Markov Model_b'!cycle</f>
        <v>0</v>
      </c>
      <c r="K59" s="181">
        <f t="shared" si="12"/>
        <v>60.13202126875067</v>
      </c>
      <c r="L59" s="205">
        <f>(G59*(uPostT))/(1+oDR)^'Markov Model_b'!cycle</f>
        <v>40.538632333553728</v>
      </c>
      <c r="M59" s="82"/>
      <c r="N59" s="3"/>
      <c r="O59" s="82"/>
      <c r="P59" s="176">
        <v>48</v>
      </c>
      <c r="Q59" s="168"/>
      <c r="R59" s="201">
        <v>1.4552905389946802E-3</v>
      </c>
      <c r="S59" s="82"/>
      <c r="T59" s="178">
        <f t="shared" si="5"/>
        <v>56.651473239648134</v>
      </c>
      <c r="U59" s="179">
        <f>(T58*'Markov Model_b'!mr_2)+U58</f>
        <v>43.348526760351866</v>
      </c>
      <c r="V59" s="179">
        <f t="shared" si="4"/>
        <v>100</v>
      </c>
      <c r="W59" s="183">
        <f>(T59*0)/(1+cDR)^'Markov Model_b'!cycle2</f>
        <v>0</v>
      </c>
      <c r="X59" s="179">
        <f t="shared" si="10"/>
        <v>56.651473239648134</v>
      </c>
      <c r="Y59" s="205">
        <f>(T59*(uPostT))/(1+oDR)^'Markov Model_b'!cycle</f>
        <v>38.192184402917015</v>
      </c>
      <c r="Z59" s="82"/>
      <c r="AA59" s="3"/>
      <c r="AB59" s="3"/>
      <c r="AC59" s="3"/>
      <c r="AD59" s="3"/>
      <c r="AE59" s="3"/>
      <c r="AF59" s="3"/>
      <c r="AG59" s="3"/>
      <c r="AH59" s="3"/>
      <c r="AI59" s="14"/>
      <c r="AJ59" s="14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</row>
    <row r="60" spans="1:60" ht="14.25" customHeight="1" x14ac:dyDescent="0.2">
      <c r="A60" s="311"/>
      <c r="B60" s="82"/>
      <c r="C60" s="176">
        <v>49</v>
      </c>
      <c r="D60" s="168"/>
      <c r="E60" s="201">
        <v>1.3912362551388724E-3</v>
      </c>
      <c r="F60" s="202"/>
      <c r="G60" s="465">
        <f t="shared" si="11"/>
        <v>60.048363420666803</v>
      </c>
      <c r="H60" s="179">
        <f t="shared" si="9"/>
        <v>39.951636579333197</v>
      </c>
      <c r="I60" s="181">
        <f t="shared" si="2"/>
        <v>100</v>
      </c>
      <c r="J60" s="156">
        <f>(G60*0)/(1+cDR)^'Markov Model_b'!cycle</f>
        <v>0</v>
      </c>
      <c r="K60" s="181">
        <f t="shared" si="12"/>
        <v>60.048363420666803</v>
      </c>
      <c r="L60" s="205">
        <f>(G60*(uPostT))/(1+oDR)^'Markov Model_b'!cycle</f>
        <v>40.381280317723245</v>
      </c>
      <c r="M60" s="82"/>
      <c r="N60" s="3"/>
      <c r="O60" s="82"/>
      <c r="P60" s="176">
        <v>49</v>
      </c>
      <c r="Q60" s="168"/>
      <c r="R60" s="201">
        <v>1.3912362551388724E-3</v>
      </c>
      <c r="S60" s="82"/>
      <c r="T60" s="178">
        <f t="shared" si="5"/>
        <v>56.572657656170108</v>
      </c>
      <c r="U60" s="179">
        <f>(T59*'Markov Model_b'!mr_2)+U59</f>
        <v>43.427342343829892</v>
      </c>
      <c r="V60" s="179">
        <f t="shared" si="4"/>
        <v>100</v>
      </c>
      <c r="W60" s="183">
        <f>(T60*0)/(1+cDR)^'Markov Model_b'!cycle2</f>
        <v>0</v>
      </c>
      <c r="X60" s="179">
        <f t="shared" si="10"/>
        <v>56.572657656170108</v>
      </c>
      <c r="Y60" s="205">
        <f>(T60*(uPostT))/(1+oDR)^'Markov Model_b'!cycle</f>
        <v>38.043940200810717</v>
      </c>
      <c r="Z60" s="82"/>
      <c r="AA60" s="3"/>
      <c r="AB60" s="3"/>
      <c r="AC60" s="3"/>
      <c r="AD60" s="3"/>
      <c r="AE60" s="3"/>
      <c r="AF60" s="3"/>
      <c r="AG60" s="3"/>
      <c r="AH60" s="3"/>
      <c r="AI60" s="14"/>
      <c r="AJ60" s="14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</row>
    <row r="61" spans="1:60" ht="14.25" customHeight="1" x14ac:dyDescent="0.2">
      <c r="A61" s="311"/>
      <c r="B61" s="82"/>
      <c r="C61" s="176">
        <v>50</v>
      </c>
      <c r="D61" s="168"/>
      <c r="E61" s="201">
        <v>1.330239150125867E-3</v>
      </c>
      <c r="F61" s="202"/>
      <c r="G61" s="465">
        <f t="shared" si="11"/>
        <v>59.968484736743648</v>
      </c>
      <c r="H61" s="179">
        <f t="shared" si="9"/>
        <v>40.031515263256352</v>
      </c>
      <c r="I61" s="179">
        <f t="shared" si="2"/>
        <v>100</v>
      </c>
      <c r="J61" s="156">
        <f>(G61*0)/(1+cDR)^'Markov Model_b'!cycle</f>
        <v>0</v>
      </c>
      <c r="K61" s="181">
        <f t="shared" si="12"/>
        <v>59.968484736743648</v>
      </c>
      <c r="L61" s="205">
        <f>(G61*(uPostT))/(1+oDR)^'Markov Model_b'!cycle</f>
        <v>40.226996067543539</v>
      </c>
      <c r="M61" s="82"/>
      <c r="N61" s="3"/>
      <c r="O61" s="82"/>
      <c r="P61" s="176">
        <v>50</v>
      </c>
      <c r="Q61" s="168"/>
      <c r="R61" s="201">
        <v>1.330239150125867E-3</v>
      </c>
      <c r="S61" s="82"/>
      <c r="T61" s="178">
        <f t="shared" si="5"/>
        <v>56.497402492129204</v>
      </c>
      <c r="U61" s="179">
        <f>(T60*'Markov Model_b'!mr_2)+U60</f>
        <v>43.502597507870796</v>
      </c>
      <c r="V61" s="179">
        <f t="shared" si="4"/>
        <v>100</v>
      </c>
      <c r="W61" s="183">
        <f>(T61*0)/(1+cDR)^'Markov Model_b'!cycle2</f>
        <v>0</v>
      </c>
      <c r="X61" s="179">
        <f t="shared" si="10"/>
        <v>56.497402492129204</v>
      </c>
      <c r="Y61" s="205">
        <f>(T61*(uPostT))/(1+oDR)^'Markov Model_b'!cycle</f>
        <v>37.898586196638945</v>
      </c>
      <c r="Z61" s="82"/>
      <c r="AA61" s="3"/>
      <c r="AB61" s="3"/>
      <c r="AC61" s="3"/>
      <c r="AD61" s="3"/>
      <c r="AE61" s="3"/>
      <c r="AF61" s="3"/>
      <c r="AG61" s="3"/>
      <c r="AH61" s="3"/>
      <c r="AI61" s="14"/>
      <c r="AJ61" s="14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</row>
    <row r="62" spans="1:60" ht="14.25" customHeight="1" x14ac:dyDescent="0.2">
      <c r="A62" s="311"/>
      <c r="B62" s="82"/>
      <c r="C62" s="176">
        <v>51</v>
      </c>
      <c r="D62" s="168"/>
      <c r="E62" s="201">
        <v>1.2721348167378244E-3</v>
      </c>
      <c r="F62" s="202"/>
      <c r="G62" s="465">
        <f t="shared" si="11"/>
        <v>59.892196739403026</v>
      </c>
      <c r="H62" s="179">
        <f t="shared" si="9"/>
        <v>40.107803260596974</v>
      </c>
      <c r="I62" s="179">
        <f t="shared" si="2"/>
        <v>100</v>
      </c>
      <c r="J62" s="156">
        <f>(G62*0)/(1+cDR)^'Markov Model_b'!cycle</f>
        <v>0</v>
      </c>
      <c r="K62" s="181">
        <f t="shared" si="12"/>
        <v>59.892196739403026</v>
      </c>
      <c r="L62" s="205">
        <f>(G62*(uPostT))/(1+oDR)^'Markov Model_b'!cycle</f>
        <v>40.075632823215209</v>
      </c>
      <c r="M62" s="82"/>
      <c r="N62" s="3"/>
      <c r="O62" s="82"/>
      <c r="P62" s="176">
        <v>51</v>
      </c>
      <c r="Q62" s="168"/>
      <c r="R62" s="201">
        <v>1.2721348167378244E-3</v>
      </c>
      <c r="S62" s="82"/>
      <c r="T62" s="178">
        <f t="shared" si="5"/>
        <v>56.425530179363719</v>
      </c>
      <c r="U62" s="179">
        <f>(T61*'Markov Model_b'!mr_2)+U61</f>
        <v>43.574469820636281</v>
      </c>
      <c r="V62" s="179">
        <f t="shared" si="4"/>
        <v>100</v>
      </c>
      <c r="W62" s="183">
        <f>(T62*0)/(1+cDR)^'Markov Model_b'!cycle2</f>
        <v>0</v>
      </c>
      <c r="X62" s="179">
        <f t="shared" si="10"/>
        <v>56.425530179363719</v>
      </c>
      <c r="Y62" s="205">
        <f>(T62*(uPostT))/(1+oDR)^'Markov Model_b'!cycle</f>
        <v>37.75598412531977</v>
      </c>
      <c r="Z62" s="82"/>
      <c r="AA62" s="3"/>
      <c r="AB62" s="3"/>
      <c r="AC62" s="3"/>
      <c r="AD62" s="3"/>
      <c r="AE62" s="3"/>
      <c r="AF62" s="3"/>
      <c r="AG62" s="3"/>
      <c r="AH62" s="3"/>
      <c r="AI62" s="14"/>
      <c r="AJ62" s="14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</row>
    <row r="63" spans="1:60" ht="14.25" customHeight="1" x14ac:dyDescent="0.2">
      <c r="A63" s="311"/>
      <c r="B63" s="82"/>
      <c r="C63" s="176">
        <v>52</v>
      </c>
      <c r="D63" s="168"/>
      <c r="E63" s="201">
        <v>1.2167690842935786E-3</v>
      </c>
      <c r="F63" s="202"/>
      <c r="G63" s="465">
        <f t="shared" si="11"/>
        <v>59.819321766020089</v>
      </c>
      <c r="H63" s="179">
        <f t="shared" si="9"/>
        <v>40.180678233979911</v>
      </c>
      <c r="I63" s="179">
        <f t="shared" si="2"/>
        <v>100</v>
      </c>
      <c r="J63" s="156">
        <f>(G63*0)/(1+cDR)^'Markov Model_b'!cycle</f>
        <v>0</v>
      </c>
      <c r="K63" s="181">
        <f t="shared" si="12"/>
        <v>59.819321766020089</v>
      </c>
      <c r="L63" s="205">
        <f>(G63*(uPostT))/(1+oDR)^'Markov Model_b'!cycle</f>
        <v>39.927052401159514</v>
      </c>
      <c r="M63" s="82"/>
      <c r="N63" s="3"/>
      <c r="O63" s="82"/>
      <c r="P63" s="176">
        <v>52</v>
      </c>
      <c r="Q63" s="168"/>
      <c r="R63" s="201">
        <v>1.2167690842935786E-3</v>
      </c>
      <c r="S63" s="82"/>
      <c r="T63" s="178">
        <f t="shared" si="5"/>
        <v>56.356873338676593</v>
      </c>
      <c r="U63" s="179">
        <f>(T62*'Markov Model_b'!mr_2)+U62</f>
        <v>43.643126661323407</v>
      </c>
      <c r="V63" s="179">
        <f t="shared" si="4"/>
        <v>100</v>
      </c>
      <c r="W63" s="183">
        <f>(T63*0)/(1+cDR)^'Markov Model_b'!cycle2</f>
        <v>0</v>
      </c>
      <c r="X63" s="179">
        <f t="shared" si="10"/>
        <v>56.356873338676593</v>
      </c>
      <c r="Y63" s="205">
        <f>(T63*(uPostT))/(1+oDR)^'Markov Model_b'!cycle</f>
        <v>37.616003801585038</v>
      </c>
      <c r="Z63" s="82"/>
      <c r="AA63" s="3"/>
      <c r="AB63" s="3"/>
      <c r="AC63" s="3"/>
      <c r="AD63" s="3"/>
      <c r="AE63" s="3"/>
      <c r="AF63" s="3"/>
      <c r="AG63" s="3"/>
      <c r="AH63" s="3"/>
      <c r="AI63" s="14"/>
      <c r="AJ63" s="14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</row>
    <row r="64" spans="1:60" ht="14.25" customHeight="1" x14ac:dyDescent="0.2">
      <c r="A64" s="311"/>
      <c r="B64" s="82"/>
      <c r="C64" s="176">
        <v>53</v>
      </c>
      <c r="D64" s="168"/>
      <c r="E64" s="201">
        <v>1.1639972800415177E-3</v>
      </c>
      <c r="F64" s="202"/>
      <c r="G64" s="465">
        <f t="shared" si="11"/>
        <v>59.749692238190512</v>
      </c>
      <c r="H64" s="179">
        <f t="shared" si="9"/>
        <v>40.250307761809488</v>
      </c>
      <c r="I64" s="179">
        <f t="shared" si="2"/>
        <v>100</v>
      </c>
      <c r="J64" s="156">
        <f>(G64*0)/(1+cDR)^'Markov Model_b'!cycle</f>
        <v>0</v>
      </c>
      <c r="K64" s="181">
        <f t="shared" si="12"/>
        <v>59.749692238190512</v>
      </c>
      <c r="L64" s="205">
        <f>(G64*(uPostT))/(1+oDR)^'Markov Model_b'!cycle</f>
        <v>39.781124609241395</v>
      </c>
      <c r="M64" s="82"/>
      <c r="N64" s="3"/>
      <c r="O64" s="82"/>
      <c r="P64" s="176">
        <v>53</v>
      </c>
      <c r="Q64" s="168"/>
      <c r="R64" s="201">
        <v>1.1639972800415177E-3</v>
      </c>
      <c r="S64" s="82"/>
      <c r="T64" s="178">
        <f t="shared" si="5"/>
        <v>56.291274091398726</v>
      </c>
      <c r="U64" s="179">
        <f>(T63*'Markov Model_b'!mr_2)+U63</f>
        <v>43.708725908601274</v>
      </c>
      <c r="V64" s="179">
        <f t="shared" si="4"/>
        <v>100</v>
      </c>
      <c r="W64" s="183">
        <f>(T64*0)/(1+cDR)^'Markov Model_b'!cycle2</f>
        <v>0</v>
      </c>
      <c r="X64" s="179">
        <f t="shared" si="10"/>
        <v>56.291274091398726</v>
      </c>
      <c r="Y64" s="205">
        <f>(T64*(uPostT))/(1+oDR)^'Markov Model_b'!cycle</f>
        <v>37.478522569051329</v>
      </c>
      <c r="Z64" s="82"/>
      <c r="AA64" s="3"/>
      <c r="AB64" s="3"/>
      <c r="AC64" s="3"/>
      <c r="AD64" s="3"/>
      <c r="AE64" s="3"/>
      <c r="AF64" s="3"/>
      <c r="AG64" s="3"/>
      <c r="AH64" s="3"/>
      <c r="AI64" s="14"/>
      <c r="AJ64" s="14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</row>
    <row r="65" spans="1:60" ht="14.25" customHeight="1" x14ac:dyDescent="0.2">
      <c r="A65" s="311"/>
      <c r="B65" s="82"/>
      <c r="C65" s="176">
        <v>54</v>
      </c>
      <c r="D65" s="168"/>
      <c r="E65" s="201">
        <v>1.1136835510669463E-3</v>
      </c>
      <c r="F65" s="202"/>
      <c r="G65" s="465">
        <f t="shared" si="11"/>
        <v>59.683149988763525</v>
      </c>
      <c r="H65" s="179">
        <f t="shared" si="9"/>
        <v>40.316850011236475</v>
      </c>
      <c r="I65" s="179">
        <f t="shared" si="2"/>
        <v>100</v>
      </c>
      <c r="J65" s="156">
        <f>(G65*0)/(1+cDR)^'Markov Model_b'!cycle</f>
        <v>0</v>
      </c>
      <c r="K65" s="181">
        <f t="shared" si="12"/>
        <v>59.683149988763525</v>
      </c>
      <c r="L65" s="205">
        <f>(G65*(uPostT))/(1+oDR)^'Markov Model_b'!cycle</f>
        <v>39.637726708350264</v>
      </c>
      <c r="M65" s="82"/>
      <c r="N65" s="3"/>
      <c r="O65" s="82"/>
      <c r="P65" s="176">
        <v>54</v>
      </c>
      <c r="Q65" s="168"/>
      <c r="R65" s="201">
        <v>1.1136835510669463E-3</v>
      </c>
      <c r="S65" s="82"/>
      <c r="T65" s="178">
        <f t="shared" si="5"/>
        <v>56.228583425374538</v>
      </c>
      <c r="U65" s="179">
        <f>(T64*'Markov Model_b'!mr_2)+U64</f>
        <v>43.771416574625462</v>
      </c>
      <c r="V65" s="179">
        <f t="shared" si="4"/>
        <v>100</v>
      </c>
      <c r="W65" s="183">
        <f>(T65*0)/(1+cDR)^'Markov Model_b'!cycle2</f>
        <v>0</v>
      </c>
      <c r="X65" s="179">
        <f t="shared" si="10"/>
        <v>56.228583425374538</v>
      </c>
      <c r="Y65" s="205">
        <f>(T65*(uPostT))/(1+oDR)^'Markov Model_b'!cycle</f>
        <v>37.343424792965486</v>
      </c>
      <c r="Z65" s="82"/>
      <c r="AA65" s="3"/>
      <c r="AB65" s="3"/>
      <c r="AC65" s="3"/>
      <c r="AD65" s="3"/>
      <c r="AE65" s="3"/>
      <c r="AF65" s="3"/>
      <c r="AG65" s="3"/>
      <c r="AH65" s="3"/>
      <c r="AI65" s="14"/>
      <c r="AJ65" s="14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</row>
    <row r="66" spans="1:60" ht="14.25" customHeight="1" x14ac:dyDescent="0.2">
      <c r="A66" s="311"/>
      <c r="B66" s="82"/>
      <c r="C66" s="176">
        <v>55</v>
      </c>
      <c r="D66" s="168"/>
      <c r="E66" s="201">
        <v>1.0657002412179928E-3</v>
      </c>
      <c r="F66" s="202"/>
      <c r="G66" s="465">
        <f t="shared" si="11"/>
        <v>59.619545641423848</v>
      </c>
      <c r="H66" s="179">
        <f t="shared" si="9"/>
        <v>40.380454358576152</v>
      </c>
      <c r="I66" s="179">
        <f t="shared" si="2"/>
        <v>100</v>
      </c>
      <c r="J66" s="156">
        <f>(G66*0)/(1+cDR)^'Markov Model_b'!cycle</f>
        <v>0</v>
      </c>
      <c r="K66" s="181">
        <f t="shared" si="12"/>
        <v>59.619545641423848</v>
      </c>
      <c r="L66" s="205">
        <f>(G66*(uPostT))/(1+oDR)^'Markov Model_b'!cycle</f>
        <v>39.496742916145479</v>
      </c>
      <c r="M66" s="82"/>
      <c r="N66" s="3"/>
      <c r="O66" s="82"/>
      <c r="P66" s="176">
        <v>55</v>
      </c>
      <c r="Q66" s="168"/>
      <c r="R66" s="201">
        <v>1.0657002412179928E-3</v>
      </c>
      <c r="S66" s="82"/>
      <c r="T66" s="178">
        <f t="shared" si="5"/>
        <v>56.168660610454772</v>
      </c>
      <c r="U66" s="179">
        <f>(T65*'Markov Model_b'!mr_2)+U65</f>
        <v>43.831339389545228</v>
      </c>
      <c r="V66" s="179">
        <f t="shared" si="4"/>
        <v>100</v>
      </c>
      <c r="W66" s="183">
        <f>(T66*0)/(1+cDR)^'Markov Model_b'!cycle2</f>
        <v>0</v>
      </c>
      <c r="X66" s="179">
        <f t="shared" si="10"/>
        <v>56.168660610454772</v>
      </c>
      <c r="Y66" s="205">
        <f>(T66*(uPostT))/(1+oDR)^'Markov Model_b'!cycle</f>
        <v>37.210601392674029</v>
      </c>
      <c r="Z66" s="82"/>
      <c r="AA66" s="3"/>
      <c r="AB66" s="3"/>
      <c r="AC66" s="3"/>
      <c r="AD66" s="3"/>
      <c r="AE66" s="3"/>
      <c r="AF66" s="3"/>
      <c r="AG66" s="3"/>
      <c r="AH66" s="3"/>
      <c r="AI66" s="14"/>
      <c r="AJ66" s="14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</row>
    <row r="67" spans="1:60" ht="14.25" customHeight="1" x14ac:dyDescent="0.2">
      <c r="A67" s="311"/>
      <c r="B67" s="82"/>
      <c r="C67" s="176">
        <v>56</v>
      </c>
      <c r="D67" s="168"/>
      <c r="E67" s="201">
        <v>1.0199273180951374E-3</v>
      </c>
      <c r="F67" s="202"/>
      <c r="G67" s="465">
        <f t="shared" si="11"/>
        <v>59.558738038131743</v>
      </c>
      <c r="H67" s="179">
        <f t="shared" si="9"/>
        <v>40.441261961868257</v>
      </c>
      <c r="I67" s="179">
        <f t="shared" si="2"/>
        <v>100</v>
      </c>
      <c r="J67" s="156">
        <f>(G67*0)/(1+cDR)^'Markov Model_b'!cycle</f>
        <v>0</v>
      </c>
      <c r="K67" s="181">
        <f t="shared" si="12"/>
        <v>59.558738038131743</v>
      </c>
      <c r="L67" s="205">
        <f>(G67*(uPostT))/(1+oDR)^'Markov Model_b'!cycle</f>
        <v>39.358063949196541</v>
      </c>
      <c r="M67" s="82"/>
      <c r="N67" s="3"/>
      <c r="O67" s="82"/>
      <c r="P67" s="176">
        <v>56</v>
      </c>
      <c r="Q67" s="168"/>
      <c r="R67" s="201">
        <v>1.0199273180951374E-3</v>
      </c>
      <c r="S67" s="82"/>
      <c r="T67" s="178">
        <f t="shared" si="5"/>
        <v>56.111372659077354</v>
      </c>
      <c r="U67" s="179">
        <f>(T66*'Markov Model_b'!mr_2)+U66</f>
        <v>43.888627340922646</v>
      </c>
      <c r="V67" s="179">
        <f t="shared" si="4"/>
        <v>100</v>
      </c>
      <c r="W67" s="183">
        <f>(T67*0)/(1+cDR)^'Markov Model_b'!cycle2</f>
        <v>0</v>
      </c>
      <c r="X67" s="179">
        <f t="shared" si="10"/>
        <v>56.111372659077354</v>
      </c>
      <c r="Y67" s="205">
        <f>(T67*(uPostT))/(1+oDR)^'Markov Model_b'!cycle</f>
        <v>37.079949410265236</v>
      </c>
      <c r="Z67" s="82"/>
      <c r="AA67" s="3"/>
      <c r="AB67" s="3"/>
      <c r="AC67" s="3"/>
      <c r="AD67" s="3"/>
      <c r="AE67" s="3"/>
      <c r="AF67" s="3"/>
      <c r="AG67" s="3"/>
      <c r="AH67" s="3"/>
      <c r="AI67" s="14"/>
      <c r="AJ67" s="14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</row>
    <row r="68" spans="1:60" ht="14.25" customHeight="1" x14ac:dyDescent="0.2">
      <c r="A68" s="311"/>
      <c r="B68" s="82"/>
      <c r="C68" s="176">
        <v>57</v>
      </c>
      <c r="D68" s="168"/>
      <c r="E68" s="201">
        <v>9.7625184564359424E-4</v>
      </c>
      <c r="F68" s="202"/>
      <c r="G68" s="465">
        <f t="shared" si="11"/>
        <v>59.500593710197812</v>
      </c>
      <c r="H68" s="179">
        <f t="shared" si="9"/>
        <v>40.499406289802188</v>
      </c>
      <c r="I68" s="179">
        <f t="shared" si="2"/>
        <v>100</v>
      </c>
      <c r="J68" s="156">
        <f>(G68*0)/(1+cDR)^'Markov Model_b'!cycle</f>
        <v>0</v>
      </c>
      <c r="K68" s="181">
        <f t="shared" si="12"/>
        <v>59.500593710197812</v>
      </c>
      <c r="L68" s="205">
        <f>(G68*(uPostT))/(1+oDR)^'Markov Model_b'!cycle</f>
        <v>39.221586600124859</v>
      </c>
      <c r="M68" s="82"/>
      <c r="N68" s="3"/>
      <c r="O68" s="82"/>
      <c r="P68" s="176">
        <v>57</v>
      </c>
      <c r="Q68" s="168"/>
      <c r="R68" s="201">
        <v>9.7625184564359424E-4</v>
      </c>
      <c r="S68" s="82"/>
      <c r="T68" s="178">
        <f t="shared" si="5"/>
        <v>56.056593827957336</v>
      </c>
      <c r="U68" s="179">
        <f>(T67*'Markov Model_b'!mr_2)+U67</f>
        <v>43.943406172042664</v>
      </c>
      <c r="V68" s="179">
        <f t="shared" si="4"/>
        <v>100</v>
      </c>
      <c r="W68" s="183">
        <f>(T68*0)/(1+cDR)^'Markov Model_b'!cycle2</f>
        <v>0</v>
      </c>
      <c r="X68" s="179">
        <f t="shared" si="10"/>
        <v>56.056593827957336</v>
      </c>
      <c r="Y68" s="205">
        <f>(T68*(uPostT))/(1+oDR)^'Markov Model_b'!cycle</f>
        <v>36.951371612186627</v>
      </c>
      <c r="Z68" s="82"/>
      <c r="AA68" s="3"/>
      <c r="AB68" s="3"/>
      <c r="AC68" s="3"/>
      <c r="AD68" s="3"/>
      <c r="AE68" s="3"/>
      <c r="AF68" s="3"/>
      <c r="AG68" s="3"/>
      <c r="AH68" s="3"/>
      <c r="AI68" s="14"/>
      <c r="AJ68" s="14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</row>
    <row r="69" spans="1:60" ht="14.25" customHeight="1" x14ac:dyDescent="0.2">
      <c r="A69" s="311"/>
      <c r="B69" s="82"/>
      <c r="C69" s="176">
        <v>58</v>
      </c>
      <c r="D69" s="168"/>
      <c r="E69" s="201">
        <v>9.3456749830816976E-4</v>
      </c>
      <c r="F69" s="202"/>
      <c r="G69" s="465">
        <f t="shared" si="11"/>
        <v>59.444986389186219</v>
      </c>
      <c r="H69" s="179">
        <f t="shared" si="9"/>
        <v>40.555013610813781</v>
      </c>
      <c r="I69" s="179">
        <f t="shared" si="2"/>
        <v>100</v>
      </c>
      <c r="J69" s="156">
        <f>(G69*0)/(1+cDR)^'Markov Model_b'!cycle</f>
        <v>0</v>
      </c>
      <c r="K69" s="181">
        <f t="shared" si="12"/>
        <v>59.444986389186219</v>
      </c>
      <c r="L69" s="205">
        <f>(G69*(uPostT))/(1+oDR)^'Markov Model_b'!cycle</f>
        <v>39.08721334668958</v>
      </c>
      <c r="M69" s="82"/>
      <c r="N69" s="3"/>
      <c r="O69" s="82"/>
      <c r="P69" s="176">
        <v>58</v>
      </c>
      <c r="Q69" s="168"/>
      <c r="R69" s="201">
        <v>9.3456749830816976E-4</v>
      </c>
      <c r="S69" s="82"/>
      <c r="T69" s="178">
        <f t="shared" si="5"/>
        <v>56.004205157299864</v>
      </c>
      <c r="U69" s="179">
        <f>(T68*'Markov Model_b'!mr_2)+U68</f>
        <v>43.995794842700136</v>
      </c>
      <c r="V69" s="179">
        <f t="shared" si="4"/>
        <v>100</v>
      </c>
      <c r="W69" s="183">
        <f>(T69*0)/(1+cDR)^'Markov Model_b'!cycle2</f>
        <v>0</v>
      </c>
      <c r="X69" s="179">
        <f t="shared" si="10"/>
        <v>56.004205157299864</v>
      </c>
      <c r="Y69" s="205">
        <f>(T69*(uPostT))/(1+oDR)^'Markov Model_b'!cycle</f>
        <v>36.824776120957566</v>
      </c>
      <c r="Z69" s="82"/>
      <c r="AA69" s="3"/>
      <c r="AB69" s="3"/>
      <c r="AC69" s="3"/>
      <c r="AD69" s="3"/>
      <c r="AE69" s="3"/>
      <c r="AF69" s="3"/>
      <c r="AG69" s="3"/>
      <c r="AH69" s="3"/>
      <c r="AI69" s="14"/>
      <c r="AJ69" s="14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</row>
    <row r="70" spans="1:60" ht="14.25" customHeight="1" x14ac:dyDescent="0.2">
      <c r="A70" s="311"/>
      <c r="B70" s="82"/>
      <c r="C70" s="176">
        <v>59</v>
      </c>
      <c r="D70" s="168"/>
      <c r="E70" s="201">
        <v>8.9477411311816857E-4</v>
      </c>
      <c r="F70" s="202"/>
      <c r="G70" s="465">
        <f t="shared" si="11"/>
        <v>59.391796554210515</v>
      </c>
      <c r="H70" s="179">
        <f t="shared" si="9"/>
        <v>40.608203445789485</v>
      </c>
      <c r="I70" s="179">
        <f t="shared" si="2"/>
        <v>100</v>
      </c>
      <c r="J70" s="156">
        <f>(G70*0)/(1+cDR)^'Markov Model_b'!cycle</f>
        <v>0</v>
      </c>
      <c r="K70" s="181">
        <f t="shared" si="12"/>
        <v>59.391796554210515</v>
      </c>
      <c r="L70" s="205">
        <f>(G70*(uPostT))/(1+oDR)^'Markov Model_b'!cycle</f>
        <v>38.95485199005789</v>
      </c>
      <c r="M70" s="82"/>
      <c r="N70" s="3"/>
      <c r="O70" s="82"/>
      <c r="P70" s="176">
        <v>59</v>
      </c>
      <c r="Q70" s="168"/>
      <c r="R70" s="201">
        <v>8.9477411311816857E-4</v>
      </c>
      <c r="S70" s="82"/>
      <c r="T70" s="178">
        <f t="shared" si="5"/>
        <v>55.954094044299353</v>
      </c>
      <c r="U70" s="179">
        <f>(T69*'Markov Model_b'!mr_2)+U69</f>
        <v>44.045905955700647</v>
      </c>
      <c r="V70" s="179">
        <f t="shared" si="4"/>
        <v>100</v>
      </c>
      <c r="W70" s="183">
        <f>(T70*0)/(1+cDR)^'Markov Model_b'!cycle2</f>
        <v>0</v>
      </c>
      <c r="X70" s="179">
        <f t="shared" si="10"/>
        <v>55.954094044299353</v>
      </c>
      <c r="Y70" s="205">
        <f>(T70*(uPostT))/(1+oDR)^'Markov Model_b'!cycle</f>
        <v>36.700076074377222</v>
      </c>
      <c r="Z70" s="82"/>
      <c r="AA70" s="3"/>
      <c r="AB70" s="3"/>
      <c r="AC70" s="3"/>
      <c r="AD70" s="3"/>
      <c r="AE70" s="3"/>
      <c r="AF70" s="3"/>
      <c r="AG70" s="3"/>
      <c r="AH70" s="3"/>
      <c r="AI70" s="14"/>
      <c r="AJ70" s="14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</row>
    <row r="71" spans="1:60" ht="14.25" customHeight="1" x14ac:dyDescent="0.2">
      <c r="A71" s="311"/>
      <c r="B71" s="82"/>
      <c r="C71" s="176">
        <v>60</v>
      </c>
      <c r="D71" s="168"/>
      <c r="E71" s="201">
        <v>8.5677727639749124E-4</v>
      </c>
      <c r="F71" s="202"/>
      <c r="G71" s="465">
        <f t="shared" si="11"/>
        <v>59.340911012518447</v>
      </c>
      <c r="H71" s="179">
        <f t="shared" si="9"/>
        <v>40.659088987481553</v>
      </c>
      <c r="I71" s="179">
        <f t="shared" si="2"/>
        <v>100</v>
      </c>
      <c r="J71" s="156">
        <f>(G71*0)/(1+cDR)^'Markov Model_b'!cycle</f>
        <v>0</v>
      </c>
      <c r="K71" s="181">
        <f t="shared" si="12"/>
        <v>59.340911012518447</v>
      </c>
      <c r="L71" s="205">
        <f>(G71*(uPostT))/(1+oDR)^'Markov Model_b'!cycle</f>
        <v>38.824415319767965</v>
      </c>
      <c r="M71" s="82"/>
      <c r="N71" s="3"/>
      <c r="O71" s="82"/>
      <c r="P71" s="176">
        <v>60</v>
      </c>
      <c r="Q71" s="168"/>
      <c r="R71" s="201">
        <v>8.5677727639749124E-4</v>
      </c>
      <c r="S71" s="82"/>
      <c r="T71" s="178">
        <f t="shared" si="5"/>
        <v>55.906153848000791</v>
      </c>
      <c r="U71" s="179">
        <f>(T70*'Markov Model_b'!mr_2)+U70</f>
        <v>44.093846151999209</v>
      </c>
      <c r="V71" s="179">
        <f t="shared" si="4"/>
        <v>100</v>
      </c>
      <c r="W71" s="183">
        <f>(T71*0)/(1+cDR)^'Markov Model_b'!cycle2</f>
        <v>0</v>
      </c>
      <c r="X71" s="179">
        <f t="shared" si="10"/>
        <v>55.906153848000791</v>
      </c>
      <c r="Y71" s="205">
        <f>(T71*(uPostT))/(1+oDR)^'Markov Model_b'!cycle</f>
        <v>36.577189309879941</v>
      </c>
      <c r="Z71" s="82"/>
      <c r="AA71" s="3"/>
      <c r="AB71" s="3"/>
      <c r="AC71" s="3"/>
      <c r="AD71" s="3"/>
      <c r="AE71" s="3"/>
      <c r="AF71" s="3"/>
      <c r="AG71" s="3"/>
      <c r="AH71" s="3"/>
      <c r="AI71" s="14"/>
      <c r="AJ71" s="14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</row>
    <row r="72" spans="1:60" ht="14.25" customHeight="1" x14ac:dyDescent="0.2">
      <c r="A72" s="311"/>
      <c r="B72" s="82"/>
      <c r="C72" s="176">
        <v>61</v>
      </c>
      <c r="D72" s="168"/>
      <c r="E72" s="201">
        <v>8.2048794212530307E-4</v>
      </c>
      <c r="F72" s="202"/>
      <c r="G72" s="465">
        <f t="shared" si="11"/>
        <v>59.292222510557941</v>
      </c>
      <c r="H72" s="179">
        <f t="shared" si="9"/>
        <v>40.707777489442059</v>
      </c>
      <c r="I72" s="179">
        <f t="shared" si="2"/>
        <v>100</v>
      </c>
      <c r="J72" s="156">
        <f>(G72*0)/(1+cDR)^'Markov Model_b'!cycle</f>
        <v>0</v>
      </c>
      <c r="K72" s="181">
        <f t="shared" si="12"/>
        <v>59.292222510557941</v>
      </c>
      <c r="L72" s="205">
        <f>(G72*(uPostT))/(1+oDR)^'Markov Model_b'!cycle</f>
        <v>38.695820803130196</v>
      </c>
      <c r="M72" s="82"/>
      <c r="N72" s="3"/>
      <c r="O72" s="82"/>
      <c r="P72" s="176">
        <v>61</v>
      </c>
      <c r="Q72" s="168"/>
      <c r="R72" s="201">
        <v>8.2048794212530307E-4</v>
      </c>
      <c r="S72" s="82"/>
      <c r="T72" s="178">
        <f t="shared" si="5"/>
        <v>55.860283522877907</v>
      </c>
      <c r="U72" s="179">
        <f>(T71*'Markov Model_b'!mr_2)+U71</f>
        <v>44.139716477122093</v>
      </c>
      <c r="V72" s="179">
        <f t="shared" si="4"/>
        <v>100</v>
      </c>
      <c r="W72" s="183">
        <f>(T72*0)/(1+cDR)^'Markov Model_b'!cycle2</f>
        <v>0</v>
      </c>
      <c r="X72" s="179">
        <f t="shared" si="10"/>
        <v>55.860283522877907</v>
      </c>
      <c r="Y72" s="205">
        <f>(T72*(uPostT))/(1+oDR)^'Markov Model_b'!cycle</f>
        <v>36.456038071914563</v>
      </c>
      <c r="Z72" s="82"/>
      <c r="AA72" s="3"/>
      <c r="AB72" s="3"/>
      <c r="AC72" s="3"/>
      <c r="AD72" s="3"/>
      <c r="AE72" s="3"/>
      <c r="AF72" s="3"/>
      <c r="AG72" s="3"/>
      <c r="AH72" s="3"/>
      <c r="AI72" s="14"/>
      <c r="AJ72" s="14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</row>
    <row r="73" spans="1:60" ht="14.25" customHeight="1" x14ac:dyDescent="0.2">
      <c r="A73" s="311"/>
      <c r="B73" s="82"/>
      <c r="C73" s="176">
        <v>62</v>
      </c>
      <c r="D73" s="168"/>
      <c r="E73" s="201">
        <v>7.8582207924254854E-4</v>
      </c>
      <c r="F73" s="202"/>
      <c r="G73" s="465">
        <f t="shared" si="11"/>
        <v>59.245629372981782</v>
      </c>
      <c r="H73" s="179">
        <f t="shared" si="9"/>
        <v>40.754370627018218</v>
      </c>
      <c r="I73" s="179">
        <f t="shared" si="2"/>
        <v>100</v>
      </c>
      <c r="J73" s="156">
        <f>(G73*0)/(1+cDR)^'Markov Model_b'!cycle</f>
        <v>0</v>
      </c>
      <c r="K73" s="181">
        <f t="shared" si="12"/>
        <v>59.245629372981782</v>
      </c>
      <c r="L73" s="205">
        <f>(G73*(uPostT))/(1+oDR)^'Markov Model_b'!cycle</f>
        <v>38.568990297026133</v>
      </c>
      <c r="M73" s="82"/>
      <c r="N73" s="3"/>
      <c r="O73" s="82"/>
      <c r="P73" s="176">
        <v>62</v>
      </c>
      <c r="Q73" s="168"/>
      <c r="R73" s="201">
        <v>7.8582207924254854E-4</v>
      </c>
      <c r="S73" s="82"/>
      <c r="T73" s="178">
        <f t="shared" si="5"/>
        <v>55.816387278732883</v>
      </c>
      <c r="U73" s="179">
        <f>(T72*'Markov Model_b'!mr_2)+U72</f>
        <v>44.183612721267117</v>
      </c>
      <c r="V73" s="179">
        <f t="shared" si="4"/>
        <v>100</v>
      </c>
      <c r="W73" s="183">
        <f>(T73*0)/(1+cDR)^'Markov Model_b'!cycle2</f>
        <v>0</v>
      </c>
      <c r="X73" s="179">
        <f t="shared" si="10"/>
        <v>55.816387278732883</v>
      </c>
      <c r="Y73" s="205">
        <f>(T73*(uPostT))/(1+oDR)^'Markov Model_b'!cycle</f>
        <v>36.336548740424895</v>
      </c>
      <c r="Z73" s="82"/>
      <c r="AA73" s="3"/>
      <c r="AB73" s="3"/>
      <c r="AC73" s="3"/>
      <c r="AD73" s="3"/>
      <c r="AE73" s="3"/>
      <c r="AF73" s="3"/>
      <c r="AG73" s="3"/>
      <c r="AH73" s="3"/>
      <c r="AI73" s="14"/>
      <c r="AJ73" s="14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</row>
    <row r="74" spans="1:60" ht="14.25" customHeight="1" x14ac:dyDescent="0.2">
      <c r="A74" s="311"/>
      <c r="B74" s="82"/>
      <c r="C74" s="176">
        <v>63</v>
      </c>
      <c r="D74" s="168"/>
      <c r="E74" s="201">
        <v>7.5270034545421582E-4</v>
      </c>
      <c r="F74" s="202"/>
      <c r="G74" s="465">
        <f t="shared" si="11"/>
        <v>59.201035167286086</v>
      </c>
      <c r="H74" s="179">
        <f t="shared" si="9"/>
        <v>40.798964832713914</v>
      </c>
      <c r="I74" s="179">
        <f t="shared" si="2"/>
        <v>100</v>
      </c>
      <c r="J74" s="156">
        <f>(G74*0)/(1+cDR)^'Markov Model_b'!cycle</f>
        <v>0</v>
      </c>
      <c r="K74" s="181">
        <f t="shared" si="12"/>
        <v>59.201035167286086</v>
      </c>
      <c r="L74" s="205">
        <f>(G74*(uPostT))/(1+oDR)^'Markov Model_b'!cycle</f>
        <v>38.443849780255114</v>
      </c>
      <c r="M74" s="82"/>
      <c r="N74" s="3"/>
      <c r="O74" s="82"/>
      <c r="P74" s="176">
        <v>63</v>
      </c>
      <c r="Q74" s="168"/>
      <c r="R74" s="201">
        <v>7.5270034545421582E-4</v>
      </c>
      <c r="S74" s="82"/>
      <c r="T74" s="178">
        <f t="shared" si="5"/>
        <v>55.774374264746172</v>
      </c>
      <c r="U74" s="179">
        <f>(T73*'Markov Model_b'!mr_2)+U73</f>
        <v>44.225625735253828</v>
      </c>
      <c r="V74" s="179">
        <f t="shared" si="4"/>
        <v>100</v>
      </c>
      <c r="W74" s="183">
        <f>(T74*0)/(1+cDR)^'Markov Model_b'!cycle2</f>
        <v>0</v>
      </c>
      <c r="X74" s="179">
        <f t="shared" si="10"/>
        <v>55.774374264746172</v>
      </c>
      <c r="Y74" s="205">
        <f>(T74*(uPostT))/(1+oDR)^'Markov Model_b'!cycle</f>
        <v>36.218651578688643</v>
      </c>
      <c r="Z74" s="82"/>
      <c r="AA74" s="3"/>
      <c r="AB74" s="3"/>
      <c r="AC74" s="3"/>
      <c r="AD74" s="3"/>
      <c r="AE74" s="3"/>
      <c r="AF74" s="3"/>
      <c r="AG74" s="3"/>
      <c r="AH74" s="3"/>
      <c r="AI74" s="14"/>
      <c r="AJ74" s="14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</row>
    <row r="75" spans="1:60" ht="14.25" customHeight="1" x14ac:dyDescent="0.2">
      <c r="A75" s="311"/>
      <c r="B75" s="82"/>
      <c r="C75" s="176">
        <v>64</v>
      </c>
      <c r="D75" s="168"/>
      <c r="E75" s="201">
        <v>7.2104778530679425E-4</v>
      </c>
      <c r="F75" s="202"/>
      <c r="G75" s="465">
        <f t="shared" si="11"/>
        <v>59.158348391990842</v>
      </c>
      <c r="H75" s="179">
        <f t="shared" si="9"/>
        <v>40.841651608009158</v>
      </c>
      <c r="I75" s="179">
        <f t="shared" si="2"/>
        <v>100</v>
      </c>
      <c r="J75" s="156">
        <f>(G75*0)/(1+cDR)^'Markov Model_b'!cycle</f>
        <v>0</v>
      </c>
      <c r="K75" s="181">
        <f t="shared" si="12"/>
        <v>59.158348391990842</v>
      </c>
      <c r="L75" s="205">
        <f>(G75*(uPostT))/(1+oDR)^'Markov Model_b'!cycle</f>
        <v>38.320329104750506</v>
      </c>
      <c r="M75" s="82"/>
      <c r="N75" s="3"/>
      <c r="O75" s="82"/>
      <c r="P75" s="176">
        <v>64</v>
      </c>
      <c r="Q75" s="168"/>
      <c r="R75" s="201">
        <v>7.2104778530679425E-4</v>
      </c>
      <c r="S75" s="82"/>
      <c r="T75" s="178">
        <f t="shared" si="5"/>
        <v>55.734158275705703</v>
      </c>
      <c r="U75" s="179">
        <f>(T74*'Markov Model_b'!mr_2)+U74</f>
        <v>44.265841724294297</v>
      </c>
      <c r="V75" s="179">
        <f t="shared" si="4"/>
        <v>100</v>
      </c>
      <c r="W75" s="183">
        <f>(T75*0)/(1+cDR)^'Markov Model_b'!cycle2</f>
        <v>0</v>
      </c>
      <c r="X75" s="179">
        <f t="shared" si="10"/>
        <v>55.734158275705703</v>
      </c>
      <c r="Y75" s="205">
        <f>(T75*(uPostT))/(1+oDR)^'Markov Model_b'!cycle</f>
        <v>36.102280498933695</v>
      </c>
      <c r="Z75" s="82"/>
      <c r="AA75" s="3"/>
      <c r="AB75" s="3"/>
      <c r="AC75" s="3"/>
      <c r="AD75" s="3"/>
      <c r="AE75" s="3"/>
      <c r="AF75" s="3"/>
      <c r="AG75" s="3"/>
      <c r="AH75" s="3"/>
      <c r="AI75" s="14"/>
      <c r="AJ75" s="14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</row>
    <row r="76" spans="1:60" ht="14.25" customHeight="1" x14ac:dyDescent="0.2">
      <c r="A76" s="311"/>
      <c r="B76" s="82"/>
      <c r="C76" s="176">
        <v>65</v>
      </c>
      <c r="D76" s="168"/>
      <c r="E76" s="201">
        <v>6.9079355051876457E-4</v>
      </c>
      <c r="F76" s="202"/>
      <c r="G76" s="465">
        <f t="shared" si="11"/>
        <v>59.117482186462311</v>
      </c>
      <c r="H76" s="179">
        <f t="shared" si="9"/>
        <v>40.882517813537689</v>
      </c>
      <c r="I76" s="179">
        <f t="shared" si="2"/>
        <v>100</v>
      </c>
      <c r="J76" s="156">
        <f>(G76*0)/(1+cDR)^'Markov Model_b'!cycle</f>
        <v>0</v>
      </c>
      <c r="K76" s="181">
        <f t="shared" si="12"/>
        <v>59.117482186462311</v>
      </c>
      <c r="L76" s="205">
        <f>(G76*(uPostT))/(1+oDR)^'Markov Model_b'!cycle</f>
        <v>38.198361764140827</v>
      </c>
      <c r="M76" s="82"/>
      <c r="N76" s="3"/>
      <c r="O76" s="82"/>
      <c r="P76" s="176">
        <v>65</v>
      </c>
      <c r="Q76" s="168"/>
      <c r="R76" s="201">
        <v>6.9079355051876457E-4</v>
      </c>
      <c r="S76" s="82"/>
      <c r="T76" s="178">
        <f t="shared" si="5"/>
        <v>55.69565747862525</v>
      </c>
      <c r="U76" s="179">
        <f>(T75*'Markov Model_b'!mr_2)+U75</f>
        <v>44.30434252137475</v>
      </c>
      <c r="V76" s="179">
        <f t="shared" si="4"/>
        <v>100</v>
      </c>
      <c r="W76" s="183">
        <f>(T76*0)/(1+cDR)^'Markov Model_b'!cycle2</f>
        <v>0</v>
      </c>
      <c r="X76" s="179">
        <f t="shared" si="10"/>
        <v>55.69565747862525</v>
      </c>
      <c r="Y76" s="205">
        <f>(T76*(uPostT))/(1+oDR)^'Markov Model_b'!cycle</f>
        <v>35.987372844295265</v>
      </c>
      <c r="Z76" s="82"/>
      <c r="AA76" s="3"/>
      <c r="AB76" s="3"/>
      <c r="AC76" s="3"/>
      <c r="AD76" s="3"/>
      <c r="AE76" s="3"/>
      <c r="AF76" s="3"/>
      <c r="AG76" s="3"/>
      <c r="AH76" s="3"/>
      <c r="AI76" s="14"/>
      <c r="AJ76" s="14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</row>
    <row r="77" spans="1:60" ht="14.25" customHeight="1" x14ac:dyDescent="0.2">
      <c r="A77" s="311"/>
      <c r="B77" s="82"/>
      <c r="C77" s="176">
        <v>66</v>
      </c>
      <c r="D77" s="168"/>
      <c r="E77" s="201">
        <v>6.6187064073230939E-4</v>
      </c>
      <c r="F77" s="202"/>
      <c r="G77" s="465">
        <f t="shared" si="11"/>
        <v>59.078354060649076</v>
      </c>
      <c r="H77" s="179">
        <f t="shared" si="9"/>
        <v>40.921645939350924</v>
      </c>
      <c r="I77" s="179">
        <f t="shared" si="2"/>
        <v>100</v>
      </c>
      <c r="J77" s="156">
        <f>(G77*0)/(1+cDR)^'Markov Model_b'!cycle</f>
        <v>0</v>
      </c>
      <c r="K77" s="181">
        <f t="shared" si="12"/>
        <v>59.078354060649076</v>
      </c>
      <c r="L77" s="205">
        <f>(G77*(uPostT))/(1+oDR)^'Markov Model_b'!cycle</f>
        <v>38.077884678269406</v>
      </c>
      <c r="M77" s="82"/>
      <c r="N77" s="3"/>
      <c r="O77" s="82"/>
      <c r="P77" s="176">
        <v>66</v>
      </c>
      <c r="Q77" s="168"/>
      <c r="R77" s="201">
        <v>6.6187064073230939E-4</v>
      </c>
      <c r="S77" s="82"/>
      <c r="T77" s="178">
        <f t="shared" si="5"/>
        <v>55.658794158123868</v>
      </c>
      <c r="U77" s="179">
        <f>(T76*'Markov Model_b'!mr_2)+U76</f>
        <v>44.341205841876132</v>
      </c>
      <c r="V77" s="179">
        <f t="shared" si="4"/>
        <v>100</v>
      </c>
      <c r="W77" s="183">
        <f>(T77*0)/(1+cDR)^'Markov Model_b'!cycle2</f>
        <v>0</v>
      </c>
      <c r="X77" s="179">
        <f t="shared" si="10"/>
        <v>55.658794158123868</v>
      </c>
      <c r="Y77" s="205">
        <f>(T77*(uPostT))/(1+oDR)^'Markov Model_b'!cycle</f>
        <v>35.873869185808033</v>
      </c>
      <c r="Z77" s="82"/>
      <c r="AA77" s="3"/>
      <c r="AB77" s="3"/>
      <c r="AC77" s="3"/>
      <c r="AD77" s="3"/>
      <c r="AE77" s="3"/>
      <c r="AF77" s="3"/>
      <c r="AG77" s="3"/>
      <c r="AH77" s="3"/>
      <c r="AI77" s="14"/>
      <c r="AJ77" s="14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</row>
    <row r="78" spans="1:60" ht="14.25" customHeight="1" x14ac:dyDescent="0.25">
      <c r="A78" s="311"/>
      <c r="B78" s="82"/>
      <c r="C78" s="176">
        <v>67</v>
      </c>
      <c r="D78" s="168"/>
      <c r="E78" s="201">
        <v>6.3421566301369303E-4</v>
      </c>
      <c r="F78" s="202"/>
      <c r="G78" s="465">
        <f t="shared" si="11"/>
        <v>59.040885643158745</v>
      </c>
      <c r="H78" s="179">
        <f t="shared" si="9"/>
        <v>40.959114356841255</v>
      </c>
      <c r="I78" s="179">
        <f t="shared" si="2"/>
        <v>100</v>
      </c>
      <c r="J78" s="156">
        <f>(G78*0)/(1+cDR)^'Markov Model_b'!cycle</f>
        <v>0</v>
      </c>
      <c r="K78" s="181">
        <f t="shared" si="12"/>
        <v>59.040885643158745</v>
      </c>
      <c r="L78" s="205">
        <f>(G78*(uPostT))/(1+oDR)^'Markov Model_b'!cycle</f>
        <v>37.958837992410999</v>
      </c>
      <c r="M78" s="82"/>
      <c r="N78" s="3"/>
      <c r="O78" s="82"/>
      <c r="P78" s="176">
        <v>67</v>
      </c>
      <c r="Q78" s="168"/>
      <c r="R78" s="201">
        <v>6.3421566301369303E-4</v>
      </c>
      <c r="S78" s="82"/>
      <c r="T78" s="178">
        <f t="shared" si="5"/>
        <v>55.623494479084329</v>
      </c>
      <c r="U78" s="179">
        <f>(T77*'Markov Model_b'!mr_2)+U77</f>
        <v>44.376505520915671</v>
      </c>
      <c r="V78" s="179">
        <f t="shared" si="4"/>
        <v>100</v>
      </c>
      <c r="W78" s="183">
        <f>(T78*0)/(1+cDR)^'Markov Model_b'!cycle2</f>
        <v>0</v>
      </c>
      <c r="X78" s="179">
        <f t="shared" si="10"/>
        <v>55.623494479084329</v>
      </c>
      <c r="Y78" s="205">
        <f>(T78*(uPostT))/(1+oDR)^'Markov Model_b'!cycle</f>
        <v>35.761713133244371</v>
      </c>
      <c r="Z78" s="82"/>
      <c r="AA78" s="3"/>
      <c r="AB78" s="3"/>
      <c r="AC78" s="3"/>
      <c r="AD78" s="3"/>
      <c r="AE78" s="3"/>
      <c r="AF78" s="3"/>
      <c r="AG78" s="3"/>
      <c r="AH78" s="3"/>
      <c r="AI78" s="207"/>
      <c r="AJ78" s="14"/>
      <c r="AK78" s="3"/>
      <c r="AL78" s="3"/>
      <c r="AM78" s="3"/>
      <c r="AN78" s="3"/>
      <c r="AO78" s="3"/>
      <c r="AP78" s="3"/>
      <c r="AQ78" s="3"/>
      <c r="AR78" s="3"/>
      <c r="AS78" s="3"/>
      <c r="AT78" s="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</row>
    <row r="79" spans="1:60" ht="14.25" customHeight="1" x14ac:dyDescent="0.2">
      <c r="A79" s="311"/>
      <c r="B79" s="82"/>
      <c r="C79" s="176">
        <v>68</v>
      </c>
      <c r="D79" s="168"/>
      <c r="E79" s="201">
        <v>6.0776860858474668E-4</v>
      </c>
      <c r="F79" s="202"/>
      <c r="G79" s="465">
        <f t="shared" si="11"/>
        <v>59.005002446241789</v>
      </c>
      <c r="H79" s="179">
        <f t="shared" si="9"/>
        <v>40.994997553758211</v>
      </c>
      <c r="I79" s="179">
        <f t="shared" si="2"/>
        <v>100</v>
      </c>
      <c r="J79" s="156">
        <f>(G79*0)/(1+cDR)^'Markov Model_b'!cycle</f>
        <v>0</v>
      </c>
      <c r="K79" s="181">
        <f t="shared" si="12"/>
        <v>59.005002446241789</v>
      </c>
      <c r="L79" s="205">
        <f>(G79*(uPostT))/(1+oDR)^'Markov Model_b'!cycle</f>
        <v>37.841164890035756</v>
      </c>
      <c r="M79" s="82"/>
      <c r="N79" s="3"/>
      <c r="O79" s="82"/>
      <c r="P79" s="176">
        <v>68</v>
      </c>
      <c r="Q79" s="168"/>
      <c r="R79" s="201">
        <v>6.0776860858474668E-4</v>
      </c>
      <c r="S79" s="82"/>
      <c r="T79" s="178">
        <f t="shared" si="5"/>
        <v>55.589688265240156</v>
      </c>
      <c r="U79" s="179">
        <f>(T78*'Markov Model_b'!mr_2)+U78</f>
        <v>44.410311734759844</v>
      </c>
      <c r="V79" s="179">
        <f t="shared" si="4"/>
        <v>100</v>
      </c>
      <c r="W79" s="183">
        <f>(T79*0)/(1+cDR)^'Markov Model_b'!cycle2</f>
        <v>0</v>
      </c>
      <c r="X79" s="179">
        <f t="shared" si="10"/>
        <v>55.589688265240156</v>
      </c>
      <c r="Y79" s="205">
        <f>(T79*(uPostT))/(1+oDR)^'Markov Model_b'!cycle</f>
        <v>35.650851158715987</v>
      </c>
      <c r="Z79" s="82"/>
      <c r="AA79" s="3"/>
      <c r="AB79" s="3"/>
      <c r="AC79" s="3"/>
      <c r="AD79" s="3"/>
      <c r="AE79" s="3"/>
      <c r="AF79" s="3"/>
      <c r="AG79" s="3"/>
      <c r="AH79" s="3"/>
      <c r="AI79" s="14"/>
      <c r="AJ79" s="14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</row>
    <row r="80" spans="1:60" ht="14.25" customHeight="1" x14ac:dyDescent="0.2">
      <c r="A80" s="311"/>
      <c r="B80" s="82"/>
      <c r="C80" s="176">
        <v>69</v>
      </c>
      <c r="D80" s="168"/>
      <c r="E80" s="201">
        <v>5.8247264539929011E-4</v>
      </c>
      <c r="F80" s="202"/>
      <c r="G80" s="465">
        <f t="shared" si="11"/>
        <v>58.970633646375134</v>
      </c>
      <c r="H80" s="179">
        <f t="shared" si="9"/>
        <v>41.029366353624866</v>
      </c>
      <c r="I80" s="179">
        <f t="shared" si="2"/>
        <v>100</v>
      </c>
      <c r="J80" s="156">
        <f>(G80*0)/(1+cDR)^'Markov Model_b'!cycle</f>
        <v>0</v>
      </c>
      <c r="K80" s="181">
        <f t="shared" si="12"/>
        <v>58.970633646375134</v>
      </c>
      <c r="L80" s="205">
        <f>(G80*(uPostT))/(1+oDR)^'Markov Model_b'!cycle</f>
        <v>37.724811418072093</v>
      </c>
      <c r="M80" s="82"/>
      <c r="N80" s="3"/>
      <c r="O80" s="82"/>
      <c r="P80" s="176">
        <v>69</v>
      </c>
      <c r="Q80" s="168"/>
      <c r="R80" s="201">
        <v>5.8247264539929011E-4</v>
      </c>
      <c r="S80" s="82"/>
      <c r="T80" s="178">
        <f t="shared" si="5"/>
        <v>55.557308792459381</v>
      </c>
      <c r="U80" s="179">
        <f>(T79*'Markov Model_b'!mr_2)+U79</f>
        <v>44.442691207540619</v>
      </c>
      <c r="V80" s="179">
        <f t="shared" si="4"/>
        <v>100</v>
      </c>
      <c r="W80" s="183">
        <f>(T80*0)/(1+cDR)^'Markov Model_b'!cycle2</f>
        <v>0</v>
      </c>
      <c r="X80" s="179">
        <f t="shared" si="10"/>
        <v>55.557308792459381</v>
      </c>
      <c r="Y80" s="205">
        <f>(T80*(uPostT))/(1+oDR)^'Markov Model_b'!cycle</f>
        <v>35.541232432050712</v>
      </c>
      <c r="Z80" s="82"/>
      <c r="AA80" s="3"/>
      <c r="AB80" s="3"/>
      <c r="AC80" s="3"/>
      <c r="AD80" s="3"/>
      <c r="AE80" s="3"/>
      <c r="AF80" s="3"/>
      <c r="AG80" s="3"/>
      <c r="AH80" s="3"/>
      <c r="AI80" s="14"/>
      <c r="AJ80" s="14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</row>
    <row r="81" spans="1:60" ht="14.25" customHeight="1" x14ac:dyDescent="0.2">
      <c r="A81" s="311"/>
      <c r="B81" s="82"/>
      <c r="C81" s="176">
        <v>70</v>
      </c>
      <c r="D81" s="168"/>
      <c r="E81" s="201">
        <v>5.5827392530122255E-4</v>
      </c>
      <c r="F81" s="202"/>
      <c r="G81" s="465">
        <f t="shared" si="11"/>
        <v>58.937711879251871</v>
      </c>
      <c r="H81" s="179">
        <f t="shared" si="9"/>
        <v>41.062288120748129</v>
      </c>
      <c r="I81" s="179">
        <f t="shared" si="2"/>
        <v>100</v>
      </c>
      <c r="J81" s="156">
        <f>(G81*0)/(1+cDR)^'Markov Model_b'!cycle</f>
        <v>0</v>
      </c>
      <c r="K81" s="181">
        <f t="shared" si="12"/>
        <v>58.937711879251871</v>
      </c>
      <c r="L81" s="205">
        <f>(G81*(uPostT))/(1+oDR)^'Markov Model_b'!cycle</f>
        <v>37.6097263237112</v>
      </c>
      <c r="M81" s="82"/>
      <c r="N81" s="3"/>
      <c r="O81" s="82"/>
      <c r="P81" s="176">
        <v>70</v>
      </c>
      <c r="Q81" s="168"/>
      <c r="R81" s="201">
        <v>5.5827392530122255E-4</v>
      </c>
      <c r="S81" s="82"/>
      <c r="T81" s="178">
        <f t="shared" si="5"/>
        <v>55.526292595600644</v>
      </c>
      <c r="U81" s="179">
        <f>(T80*'Markov Model_b'!mr_2)+U80</f>
        <v>44.473707404399356</v>
      </c>
      <c r="V81" s="179">
        <f t="shared" si="4"/>
        <v>100</v>
      </c>
      <c r="W81" s="183">
        <f>(T81*0)/(1+cDR)^'Markov Model_b'!cycle2</f>
        <v>0</v>
      </c>
      <c r="X81" s="179">
        <f t="shared" si="10"/>
        <v>55.526292595600644</v>
      </c>
      <c r="Y81" s="205">
        <f>(T81*(uPostT))/(1+oDR)^'Markov Model_b'!cycle</f>
        <v>35.432808667043226</v>
      </c>
      <c r="Z81" s="82"/>
      <c r="AA81" s="3"/>
      <c r="AB81" s="3"/>
      <c r="AC81" s="3"/>
      <c r="AD81" s="3"/>
      <c r="AE81" s="3"/>
      <c r="AF81" s="3"/>
      <c r="AG81" s="3"/>
      <c r="AH81" s="3"/>
      <c r="AI81" s="14"/>
      <c r="AJ81" s="14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</row>
    <row r="82" spans="1:60" ht="14.25" customHeight="1" x14ac:dyDescent="0.2">
      <c r="A82" s="311"/>
      <c r="B82" s="82"/>
      <c r="C82" s="176">
        <v>71</v>
      </c>
      <c r="D82" s="168"/>
      <c r="E82" s="201">
        <v>5.3512140461448032E-4</v>
      </c>
      <c r="F82" s="202"/>
      <c r="G82" s="465">
        <f t="shared" si="11"/>
        <v>58.906173048086281</v>
      </c>
      <c r="H82" s="179">
        <f t="shared" si="9"/>
        <v>41.093826951913719</v>
      </c>
      <c r="I82" s="179">
        <f t="shared" si="2"/>
        <v>100</v>
      </c>
      <c r="J82" s="156">
        <f>(G82*0)/(1+cDR)^'Markov Model_b'!cycle</f>
        <v>0</v>
      </c>
      <c r="K82" s="181">
        <f t="shared" si="12"/>
        <v>58.906173048086281</v>
      </c>
      <c r="L82" s="205">
        <f>(G82*(uPostT))/(1+oDR)^'Markov Model_b'!cycle</f>
        <v>37.495860901878999</v>
      </c>
      <c r="M82" s="82"/>
      <c r="N82" s="3"/>
      <c r="O82" s="82"/>
      <c r="P82" s="176">
        <v>71</v>
      </c>
      <c r="Q82" s="168"/>
      <c r="R82" s="201">
        <v>5.3512140461448032E-4</v>
      </c>
      <c r="S82" s="82"/>
      <c r="T82" s="178">
        <f t="shared" si="5"/>
        <v>55.496579287913853</v>
      </c>
      <c r="U82" s="179">
        <f>(T81*'Markov Model_b'!mr_2)+U81</f>
        <v>44.503420712086147</v>
      </c>
      <c r="V82" s="179">
        <f t="shared" si="4"/>
        <v>100</v>
      </c>
      <c r="W82" s="183">
        <f>(T82*0)/(1+cDR)^'Markov Model_b'!cycle2</f>
        <v>0</v>
      </c>
      <c r="X82" s="179">
        <f t="shared" si="10"/>
        <v>55.496579287913853</v>
      </c>
      <c r="Y82" s="205">
        <f>(T82*(uPostT))/(1+oDR)^'Markov Model_b'!cycle</f>
        <v>35.325533977755498</v>
      </c>
      <c r="Z82" s="82"/>
      <c r="AA82" s="3"/>
      <c r="AB82" s="3"/>
      <c r="AC82" s="3"/>
      <c r="AD82" s="3"/>
      <c r="AE82" s="3"/>
      <c r="AF82" s="3"/>
      <c r="AG82" s="3"/>
      <c r="AH82" s="3"/>
      <c r="AI82" s="14"/>
      <c r="AJ82" s="14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</row>
    <row r="83" spans="1:60" ht="14.25" customHeight="1" x14ac:dyDescent="0.2">
      <c r="A83" s="311"/>
      <c r="B83" s="82"/>
      <c r="C83" s="176">
        <v>72</v>
      </c>
      <c r="D83" s="168"/>
      <c r="E83" s="201">
        <v>5.1296667710926114E-4</v>
      </c>
      <c r="F83" s="202"/>
      <c r="G83" s="465">
        <f t="shared" si="11"/>
        <v>58.875956144236582</v>
      </c>
      <c r="H83" s="179">
        <f t="shared" si="9"/>
        <v>41.124043855763418</v>
      </c>
      <c r="I83" s="179">
        <f t="shared" si="2"/>
        <v>100</v>
      </c>
      <c r="J83" s="156">
        <f>(G83*0)/(1+cDR)^'Markov Model_b'!cycle</f>
        <v>0</v>
      </c>
      <c r="K83" s="181">
        <f t="shared" si="12"/>
        <v>58.875956144236582</v>
      </c>
      <c r="L83" s="205">
        <f>(G83*(uPostT))/(1+oDR)^'Markov Model_b'!cycle</f>
        <v>37.383168852575373</v>
      </c>
      <c r="M83" s="82"/>
      <c r="N83" s="3"/>
      <c r="O83" s="82"/>
      <c r="P83" s="176">
        <v>72</v>
      </c>
      <c r="Q83" s="168"/>
      <c r="R83" s="201">
        <v>5.1296667710926114E-4</v>
      </c>
      <c r="S83" s="82"/>
      <c r="T83" s="178">
        <f t="shared" si="5"/>
        <v>55.4681113920456</v>
      </c>
      <c r="U83" s="179">
        <f>(T82*'Markov Model_b'!mr_2)+U82</f>
        <v>44.5318886079544</v>
      </c>
      <c r="V83" s="179">
        <f t="shared" si="4"/>
        <v>100</v>
      </c>
      <c r="W83" s="183">
        <f>(T83*0)/(1+cDR)^'Markov Model_b'!cycle2</f>
        <v>0</v>
      </c>
      <c r="X83" s="179">
        <f t="shared" si="10"/>
        <v>55.4681113920456</v>
      </c>
      <c r="Y83" s="205">
        <f>(T83*(uPostT))/(1+oDR)^'Markov Model_b'!cycle</f>
        <v>35.219364744113527</v>
      </c>
      <c r="Z83" s="82"/>
      <c r="AA83" s="3"/>
      <c r="AB83" s="3"/>
      <c r="AC83" s="3"/>
      <c r="AD83" s="3"/>
      <c r="AE83" s="3"/>
      <c r="AF83" s="3"/>
      <c r="AG83" s="3"/>
      <c r="AH83" s="3"/>
      <c r="AI83" s="14"/>
      <c r="AJ83" s="14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</row>
    <row r="84" spans="1:60" ht="14.25" customHeight="1" x14ac:dyDescent="0.2">
      <c r="A84" s="311"/>
      <c r="B84" s="82"/>
      <c r="C84" s="176">
        <v>73</v>
      </c>
      <c r="D84" s="168"/>
      <c r="E84" s="201">
        <v>4.9176381838583749E-4</v>
      </c>
      <c r="F84" s="202"/>
      <c r="G84" s="465">
        <f t="shared" si="11"/>
        <v>58.847003079231975</v>
      </c>
      <c r="H84" s="179">
        <f t="shared" si="9"/>
        <v>41.152996920768025</v>
      </c>
      <c r="I84" s="179">
        <f t="shared" si="2"/>
        <v>100</v>
      </c>
      <c r="J84" s="156">
        <f>(G84*0)/(1+cDR)^'Markov Model_b'!cycle</f>
        <v>0</v>
      </c>
      <c r="K84" s="181">
        <f t="shared" si="12"/>
        <v>58.847003079231975</v>
      </c>
      <c r="L84" s="205">
        <f>(G84*(uPostT))/(1+oDR)^'Markov Model_b'!cycle</f>
        <v>37.271606147348692</v>
      </c>
      <c r="M84" s="82"/>
      <c r="N84" s="3"/>
      <c r="O84" s="82"/>
      <c r="P84" s="176">
        <v>73</v>
      </c>
      <c r="Q84" s="168"/>
      <c r="R84" s="201">
        <v>4.9176381838583749E-4</v>
      </c>
      <c r="S84" s="82"/>
      <c r="T84" s="178">
        <f t="shared" si="5"/>
        <v>55.440834181788794</v>
      </c>
      <c r="U84" s="179">
        <f>(T83*'Markov Model_b'!mr_2)+U83</f>
        <v>44.559165818211206</v>
      </c>
      <c r="V84" s="179">
        <f t="shared" si="4"/>
        <v>100</v>
      </c>
      <c r="W84" s="183">
        <f>(T84*0)/(1+cDR)^'Markov Model_b'!cycle2</f>
        <v>0</v>
      </c>
      <c r="X84" s="179">
        <f t="shared" si="10"/>
        <v>55.440834181788794</v>
      </c>
      <c r="Y84" s="205">
        <f>(T84*(uPostT))/(1+oDR)^'Markov Model_b'!cycle</f>
        <v>35.114259486110562</v>
      </c>
      <c r="Z84" s="82"/>
      <c r="AA84" s="3"/>
      <c r="AB84" s="3"/>
      <c r="AC84" s="3"/>
      <c r="AD84" s="3"/>
      <c r="AE84" s="3"/>
      <c r="AF84" s="3"/>
      <c r="AG84" s="3"/>
      <c r="AH84" s="3"/>
      <c r="AI84" s="14"/>
      <c r="AJ84" s="14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</row>
    <row r="85" spans="1:60" ht="14.25" customHeight="1" x14ac:dyDescent="0.2">
      <c r="A85" s="311"/>
      <c r="B85" s="82"/>
      <c r="C85" s="176">
        <v>74</v>
      </c>
      <c r="D85" s="168"/>
      <c r="E85" s="201">
        <v>4.7146924079377595E-4</v>
      </c>
      <c r="F85" s="202"/>
      <c r="G85" s="465">
        <f t="shared" si="11"/>
        <v>58.819258527367218</v>
      </c>
      <c r="H85" s="179">
        <f t="shared" si="9"/>
        <v>41.180741472632782</v>
      </c>
      <c r="I85" s="179">
        <f t="shared" si="2"/>
        <v>100</v>
      </c>
      <c r="J85" s="156">
        <f>(G85*0)/(1+cDR)^'Markov Model_b'!cycle</f>
        <v>0</v>
      </c>
      <c r="K85" s="181">
        <f t="shared" si="12"/>
        <v>58.819258527367218</v>
      </c>
      <c r="L85" s="205">
        <f>(G85*(uPostT))/(1+oDR)^'Markov Model_b'!cycle</f>
        <v>37.161130904234653</v>
      </c>
      <c r="M85" s="82"/>
      <c r="N85" s="3"/>
      <c r="O85" s="82"/>
      <c r="P85" s="176">
        <v>74</v>
      </c>
      <c r="Q85" s="168"/>
      <c r="R85" s="201">
        <v>4.7146924079377595E-4</v>
      </c>
      <c r="S85" s="82"/>
      <c r="T85" s="178">
        <f t="shared" si="5"/>
        <v>55.414695533788134</v>
      </c>
      <c r="U85" s="179">
        <f>(T84*'Markov Model_b'!mr_2)+U84</f>
        <v>44.585304466211866</v>
      </c>
      <c r="V85" s="179">
        <f t="shared" si="4"/>
        <v>100</v>
      </c>
      <c r="W85" s="183">
        <f>(T85*0)/(1+cDR)^'Markov Model_b'!cycle2</f>
        <v>0</v>
      </c>
      <c r="X85" s="179">
        <f t="shared" si="10"/>
        <v>55.414695533788134</v>
      </c>
      <c r="Y85" s="205">
        <f>(T85*(uPostT))/(1+oDR)^'Markov Model_b'!cycle</f>
        <v>35.010178745984653</v>
      </c>
      <c r="Z85" s="82"/>
      <c r="AA85" s="3"/>
      <c r="AB85" s="3"/>
      <c r="AC85" s="3"/>
      <c r="AD85" s="3"/>
      <c r="AE85" s="3"/>
      <c r="AF85" s="3"/>
      <c r="AG85" s="3"/>
      <c r="AH85" s="3"/>
      <c r="AI85" s="14"/>
      <c r="AJ85" s="14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</row>
    <row r="86" spans="1:60" ht="14.25" customHeight="1" x14ac:dyDescent="0.2">
      <c r="A86" s="311"/>
      <c r="B86" s="82"/>
      <c r="C86" s="176">
        <v>75</v>
      </c>
      <c r="D86" s="168"/>
      <c r="E86" s="201">
        <v>4.5204155808509228E-4</v>
      </c>
      <c r="F86" s="202"/>
      <c r="G86" s="465">
        <f t="shared" si="11"/>
        <v>58.7926697780971</v>
      </c>
      <c r="H86" s="179">
        <f t="shared" si="9"/>
        <v>41.2073302219029</v>
      </c>
      <c r="I86" s="179">
        <f t="shared" si="2"/>
        <v>100</v>
      </c>
      <c r="J86" s="156">
        <f>(G86*0)/(1+cDR)^'Markov Model_b'!cycle</f>
        <v>0</v>
      </c>
      <c r="K86" s="181">
        <f t="shared" si="12"/>
        <v>58.7926697780971</v>
      </c>
      <c r="L86" s="205">
        <f>(G86*(uPostT))/(1+oDR)^'Markov Model_b'!cycle</f>
        <v>37.051703270544152</v>
      </c>
      <c r="M86" s="82"/>
      <c r="N86" s="3"/>
      <c r="O86" s="82"/>
      <c r="P86" s="176">
        <v>75</v>
      </c>
      <c r="Q86" s="168"/>
      <c r="R86" s="201">
        <v>4.5204155808509228E-4</v>
      </c>
      <c r="S86" s="82"/>
      <c r="T86" s="178">
        <f t="shared" si="5"/>
        <v>55.389645788478227</v>
      </c>
      <c r="U86" s="179">
        <f>(T85*'Markov Model_b'!mr_2)+U85</f>
        <v>44.610354211521773</v>
      </c>
      <c r="V86" s="179">
        <f t="shared" si="4"/>
        <v>100</v>
      </c>
      <c r="W86" s="183">
        <f>(T86*0)/(1+cDR)^'Markov Model_b'!cycle2</f>
        <v>0</v>
      </c>
      <c r="X86" s="179">
        <f t="shared" si="10"/>
        <v>55.389645788478227</v>
      </c>
      <c r="Y86" s="205">
        <f>(T86*(uPostT))/(1+oDR)^'Markov Model_b'!cycle</f>
        <v>34.907084977791008</v>
      </c>
      <c r="Z86" s="82"/>
      <c r="AA86" s="3"/>
      <c r="AB86" s="3"/>
      <c r="AC86" s="3"/>
      <c r="AD86" s="3"/>
      <c r="AE86" s="3"/>
      <c r="AF86" s="3"/>
      <c r="AG86" s="3"/>
      <c r="AH86" s="3"/>
      <c r="AI86" s="14"/>
      <c r="AJ86" s="14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</row>
    <row r="87" spans="1:60" ht="14.25" customHeight="1" x14ac:dyDescent="0.2">
      <c r="A87" s="311"/>
      <c r="B87" s="82"/>
      <c r="C87" s="176">
        <v>76</v>
      </c>
      <c r="D87" s="168"/>
      <c r="E87" s="201">
        <v>4.3344145906032416E-4</v>
      </c>
      <c r="F87" s="202"/>
      <c r="G87" s="465">
        <f t="shared" si="11"/>
        <v>58.767186597526432</v>
      </c>
      <c r="H87" s="179">
        <f t="shared" si="9"/>
        <v>41.232813402473568</v>
      </c>
      <c r="I87" s="179">
        <f t="shared" si="2"/>
        <v>100</v>
      </c>
      <c r="J87" s="156">
        <f>(G87*0)/(1+cDR)^'Markov Model_b'!cycle</f>
        <v>0</v>
      </c>
      <c r="K87" s="181">
        <f t="shared" si="12"/>
        <v>58.767186597526432</v>
      </c>
      <c r="L87" s="205">
        <f>(G87*(uPostT))/(1+oDR)^'Markov Model_b'!cycle</f>
        <v>36.943285312935558</v>
      </c>
      <c r="M87" s="82"/>
      <c r="N87" s="3"/>
      <c r="O87" s="82"/>
      <c r="P87" s="176">
        <v>76</v>
      </c>
      <c r="Q87" s="168"/>
      <c r="R87" s="201">
        <v>4.3344145906032416E-4</v>
      </c>
      <c r="S87" s="82"/>
      <c r="T87" s="178">
        <f t="shared" si="5"/>
        <v>55.365637619590835</v>
      </c>
      <c r="U87" s="179">
        <f>(T86*'Markov Model_b'!mr_2)+U86</f>
        <v>44.634362380409165</v>
      </c>
      <c r="V87" s="179">
        <f t="shared" si="4"/>
        <v>100</v>
      </c>
      <c r="W87" s="183">
        <f>(T87*0)/(1+cDR)^'Markov Model_b'!cycle2</f>
        <v>0</v>
      </c>
      <c r="X87" s="179">
        <f t="shared" si="10"/>
        <v>55.365637619590835</v>
      </c>
      <c r="Y87" s="205">
        <f>(T87*(uPostT))/(1+oDR)^'Markov Model_b'!cycle</f>
        <v>34.804942443837099</v>
      </c>
      <c r="Z87" s="82"/>
      <c r="AA87" s="3"/>
      <c r="AB87" s="3"/>
      <c r="AC87" s="3"/>
      <c r="AD87" s="3"/>
      <c r="AE87" s="3"/>
      <c r="AF87" s="3"/>
      <c r="AG87" s="3"/>
      <c r="AH87" s="3"/>
      <c r="AI87" s="14"/>
      <c r="AJ87" s="14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</row>
    <row r="88" spans="1:60" ht="14.25" customHeight="1" x14ac:dyDescent="0.2">
      <c r="A88" s="311"/>
      <c r="B88" s="82"/>
      <c r="C88" s="176">
        <v>77</v>
      </c>
      <c r="D88" s="168"/>
      <c r="E88" s="201">
        <v>4.1563158953511481E-4</v>
      </c>
      <c r="F88" s="202"/>
      <c r="G88" s="465">
        <f t="shared" si="11"/>
        <v>58.742761098348396</v>
      </c>
      <c r="H88" s="179">
        <f t="shared" si="9"/>
        <v>41.257238901651604</v>
      </c>
      <c r="I88" s="179">
        <f t="shared" si="2"/>
        <v>100</v>
      </c>
      <c r="J88" s="156">
        <f>(G88*0)/(1+cDR)^'Markov Model_b'!cycle</f>
        <v>0</v>
      </c>
      <c r="K88" s="181">
        <f t="shared" si="12"/>
        <v>58.742761098348396</v>
      </c>
      <c r="L88" s="205">
        <f>(G88*(uPostT))/(1+oDR)^'Markov Model_b'!cycle</f>
        <v>36.83584091425265</v>
      </c>
      <c r="M88" s="82"/>
      <c r="N88" s="3"/>
      <c r="O88" s="82"/>
      <c r="P88" s="176">
        <v>77</v>
      </c>
      <c r="Q88" s="168"/>
      <c r="R88" s="201">
        <v>4.1563158953511481E-4</v>
      </c>
      <c r="S88" s="82"/>
      <c r="T88" s="178">
        <f t="shared" si="5"/>
        <v>55.342625911621383</v>
      </c>
      <c r="U88" s="179">
        <f>(T87*'Markov Model_b'!mr_2)+U87</f>
        <v>44.657374088378617</v>
      </c>
      <c r="V88" s="179">
        <f t="shared" si="4"/>
        <v>100</v>
      </c>
      <c r="W88" s="183">
        <f>(T88*0)/(1+cDR)^'Markov Model_b'!cycle2</f>
        <v>0</v>
      </c>
      <c r="X88" s="179">
        <f t="shared" si="10"/>
        <v>55.342625911621383</v>
      </c>
      <c r="Y88" s="205">
        <f>(T88*(uPostT))/(1+oDR)^'Markov Model_b'!cycle</f>
        <v>34.703717117491756</v>
      </c>
      <c r="Z88" s="82"/>
      <c r="AA88" s="3"/>
      <c r="AB88" s="3"/>
      <c r="AC88" s="3"/>
      <c r="AD88" s="3"/>
      <c r="AE88" s="3"/>
      <c r="AF88" s="3"/>
      <c r="AG88" s="3"/>
      <c r="AH88" s="3"/>
      <c r="AI88" s="14"/>
      <c r="AJ88" s="14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</row>
    <row r="89" spans="1:60" ht="14.25" customHeight="1" x14ac:dyDescent="0.2">
      <c r="A89" s="311"/>
      <c r="B89" s="82"/>
      <c r="C89" s="176">
        <v>78</v>
      </c>
      <c r="D89" s="168"/>
      <c r="E89" s="201">
        <v>3.9857644200608222E-4</v>
      </c>
      <c r="F89" s="202"/>
      <c r="G89" s="465">
        <f t="shared" si="11"/>
        <v>58.719347617636203</v>
      </c>
      <c r="H89" s="179">
        <f t="shared" si="9"/>
        <v>41.280652382363797</v>
      </c>
      <c r="I89" s="179">
        <f t="shared" si="2"/>
        <v>100</v>
      </c>
      <c r="J89" s="156">
        <f>(G89*0)/(1+cDR)^'Markov Model_b'!cycle</f>
        <v>0</v>
      </c>
      <c r="K89" s="181">
        <f t="shared" si="12"/>
        <v>58.719347617636203</v>
      </c>
      <c r="L89" s="205">
        <f>(G89*(uPostT))/(1+oDR)^'Markov Model_b'!cycle</f>
        <v>36.729335676651132</v>
      </c>
      <c r="M89" s="82"/>
      <c r="N89" s="3"/>
      <c r="O89" s="82"/>
      <c r="P89" s="176">
        <v>78</v>
      </c>
      <c r="Q89" s="168"/>
      <c r="R89" s="201">
        <v>3.9857644200608222E-4</v>
      </c>
      <c r="S89" s="82"/>
      <c r="T89" s="178">
        <f t="shared" si="5"/>
        <v>55.320567644694258</v>
      </c>
      <c r="U89" s="179">
        <f>(T88*'Markov Model_b'!mr_2)+U88</f>
        <v>44.679432355305742</v>
      </c>
      <c r="V89" s="179">
        <f t="shared" si="4"/>
        <v>100</v>
      </c>
      <c r="W89" s="183">
        <f>(T89*0)/(1+cDR)^'Markov Model_b'!cycle2</f>
        <v>0</v>
      </c>
      <c r="X89" s="179">
        <f t="shared" si="10"/>
        <v>55.320567644694258</v>
      </c>
      <c r="Y89" s="205">
        <f>(T89*(uPostT))/(1+oDR)^'Markov Model_b'!cycle</f>
        <v>34.603376591918895</v>
      </c>
      <c r="Z89" s="82"/>
      <c r="AA89" s="3"/>
      <c r="AB89" s="3"/>
      <c r="AC89" s="3"/>
      <c r="AD89" s="3"/>
      <c r="AE89" s="3"/>
      <c r="AF89" s="3"/>
      <c r="AG89" s="3"/>
      <c r="AH89" s="3"/>
      <c r="AI89" s="14"/>
      <c r="AJ89" s="14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</row>
    <row r="90" spans="1:60" ht="14.25" customHeight="1" x14ac:dyDescent="0.2">
      <c r="A90" s="311"/>
      <c r="B90" s="82"/>
      <c r="C90" s="176">
        <v>79</v>
      </c>
      <c r="D90" s="168"/>
      <c r="E90" s="201">
        <v>3.8224225244848364E-4</v>
      </c>
      <c r="F90" s="202"/>
      <c r="G90" s="465">
        <f t="shared" si="11"/>
        <v>58.696902601940529</v>
      </c>
      <c r="H90" s="179">
        <f t="shared" si="9"/>
        <v>41.303097398059471</v>
      </c>
      <c r="I90" s="179">
        <f t="shared" si="2"/>
        <v>100</v>
      </c>
      <c r="J90" s="156">
        <f>(G90*0)/(1+cDR)^'Markov Model_b'!cycle</f>
        <v>0</v>
      </c>
      <c r="K90" s="181">
        <f t="shared" si="12"/>
        <v>58.696902601940529</v>
      </c>
      <c r="L90" s="205">
        <f>(G90*(uPostT))/(1+oDR)^'Markov Model_b'!cycle</f>
        <v>36.623736830574721</v>
      </c>
      <c r="M90" s="82"/>
      <c r="N90" s="3"/>
      <c r="O90" s="82"/>
      <c r="P90" s="176">
        <v>79</v>
      </c>
      <c r="Q90" s="168"/>
      <c r="R90" s="201">
        <v>3.8224225244848364E-4</v>
      </c>
      <c r="S90" s="82"/>
      <c r="T90" s="178">
        <f t="shared" si="5"/>
        <v>55.299421786311022</v>
      </c>
      <c r="U90" s="179">
        <f>(T89*'Markov Model_b'!mr_2)+U89</f>
        <v>44.700578213688978</v>
      </c>
      <c r="V90" s="179">
        <f t="shared" si="4"/>
        <v>100</v>
      </c>
      <c r="W90" s="183">
        <f>(T90*0)/(1+cDR)^'Markov Model_b'!cycle2</f>
        <v>0</v>
      </c>
      <c r="X90" s="179">
        <f t="shared" si="10"/>
        <v>55.299421786311022</v>
      </c>
      <c r="Y90" s="205">
        <f>(T90*(uPostT))/(1+oDR)^'Markov Model_b'!cycle</f>
        <v>34.503889994322279</v>
      </c>
      <c r="Z90" s="82"/>
      <c r="AA90" s="3"/>
      <c r="AB90" s="3"/>
      <c r="AC90" s="3"/>
      <c r="AD90" s="3"/>
      <c r="AE90" s="3"/>
      <c r="AF90" s="3"/>
      <c r="AG90" s="3"/>
      <c r="AH90" s="3"/>
      <c r="AI90" s="14"/>
      <c r="AJ90" s="14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</row>
    <row r="91" spans="1:60" ht="14.25" customHeight="1" x14ac:dyDescent="0.2">
      <c r="A91" s="311"/>
      <c r="B91" s="82"/>
      <c r="C91" s="176">
        <v>80</v>
      </c>
      <c r="D91" s="168"/>
      <c r="E91" s="201">
        <v>3.6659690372203846E-4</v>
      </c>
      <c r="F91" s="202"/>
      <c r="G91" s="465">
        <f t="shared" si="11"/>
        <v>58.675384499188581</v>
      </c>
      <c r="H91" s="179">
        <f t="shared" si="9"/>
        <v>41.324615500811419</v>
      </c>
      <c r="I91" s="179">
        <f t="shared" si="2"/>
        <v>100</v>
      </c>
      <c r="J91" s="156">
        <f>(G91*0)/(1+cDR)^'Markov Model_b'!cycle</f>
        <v>0</v>
      </c>
      <c r="K91" s="181">
        <f t="shared" si="12"/>
        <v>58.675384499188581</v>
      </c>
      <c r="L91" s="205">
        <f>(G91*(uPostT))/(1+oDR)^'Markov Model_b'!cycle</f>
        <v>36.519013149176949</v>
      </c>
      <c r="M91" s="82"/>
      <c r="N91" s="3"/>
      <c r="O91" s="82"/>
      <c r="P91" s="176">
        <v>80</v>
      </c>
      <c r="Q91" s="168"/>
      <c r="R91" s="201">
        <v>3.6659690372203846E-4</v>
      </c>
      <c r="S91" s="82"/>
      <c r="T91" s="178">
        <f t="shared" si="5"/>
        <v>55.279149189506541</v>
      </c>
      <c r="U91" s="179">
        <f>(T90*'Markov Model_b'!mr_2)+U90</f>
        <v>44.720850810493459</v>
      </c>
      <c r="V91" s="179">
        <f t="shared" si="4"/>
        <v>100</v>
      </c>
      <c r="W91" s="183">
        <f>(T91*0)/(1+cDR)^'Markov Model_b'!cycle2</f>
        <v>0</v>
      </c>
      <c r="X91" s="179">
        <f t="shared" si="10"/>
        <v>55.279149189506541</v>
      </c>
      <c r="Y91" s="205">
        <f>(T91*(uPostT))/(1+oDR)^'Markov Model_b'!cycle</f>
        <v>34.405227905320679</v>
      </c>
      <c r="Z91" s="82"/>
      <c r="AA91" s="3"/>
      <c r="AB91" s="3"/>
      <c r="AC91" s="3"/>
      <c r="AD91" s="3"/>
      <c r="AE91" s="3"/>
      <c r="AF91" s="3"/>
      <c r="AG91" s="3"/>
      <c r="AH91" s="3"/>
      <c r="AI91" s="14"/>
      <c r="AJ91" s="14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</row>
    <row r="92" spans="1:60" ht="14.25" customHeight="1" x14ac:dyDescent="0.2">
      <c r="A92" s="311"/>
      <c r="B92" s="82"/>
      <c r="C92" s="176">
        <v>81</v>
      </c>
      <c r="D92" s="168"/>
      <c r="E92" s="201">
        <v>3.5160983510645893E-4</v>
      </c>
      <c r="F92" s="202"/>
      <c r="G92" s="465">
        <f t="shared" si="11"/>
        <v>58.654753656920015</v>
      </c>
      <c r="H92" s="179">
        <f t="shared" si="9"/>
        <v>41.345246343079985</v>
      </c>
      <c r="I92" s="179">
        <f t="shared" si="2"/>
        <v>100</v>
      </c>
      <c r="J92" s="156">
        <f>(G92*0)/(1+cDR)^'Markov Model_b'!cycle</f>
        <v>0</v>
      </c>
      <c r="K92" s="181">
        <f t="shared" si="12"/>
        <v>58.654753656920015</v>
      </c>
      <c r="L92" s="205">
        <f>(G92*(uPostT))/(1+oDR)^'Markov Model_b'!cycle</f>
        <v>36.41513486781578</v>
      </c>
      <c r="M92" s="82"/>
      <c r="N92" s="3"/>
      <c r="O92" s="82"/>
      <c r="P92" s="176">
        <v>81</v>
      </c>
      <c r="Q92" s="168"/>
      <c r="R92" s="201">
        <v>3.5160983510645893E-4</v>
      </c>
      <c r="S92" s="82"/>
      <c r="T92" s="178">
        <f t="shared" si="5"/>
        <v>55.25971249697519</v>
      </c>
      <c r="U92" s="179">
        <f>(T91*'Markov Model_b'!mr_2)+U91</f>
        <v>44.74028750302481</v>
      </c>
      <c r="V92" s="179">
        <f t="shared" si="4"/>
        <v>100</v>
      </c>
      <c r="W92" s="183">
        <f>(T92*0)/(1+cDR)^'Markov Model_b'!cycle2</f>
        <v>0</v>
      </c>
      <c r="X92" s="179">
        <f t="shared" si="10"/>
        <v>55.25971249697519</v>
      </c>
      <c r="Y92" s="205">
        <f>(T92*(uPostT))/(1+oDR)^'Markov Model_b'!cycle</f>
        <v>34.307362283102343</v>
      </c>
      <c r="Z92" s="82"/>
      <c r="AA92" s="3"/>
      <c r="AB92" s="3"/>
      <c r="AC92" s="3"/>
      <c r="AD92" s="3"/>
      <c r="AE92" s="3"/>
      <c r="AF92" s="3"/>
      <c r="AG92" s="3"/>
      <c r="AH92" s="3"/>
      <c r="AI92" s="14"/>
      <c r="AJ92" s="14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</row>
    <row r="93" spans="1:60" ht="14.25" customHeight="1" x14ac:dyDescent="0.2">
      <c r="A93" s="311"/>
      <c r="B93" s="82"/>
      <c r="C93" s="176">
        <v>82</v>
      </c>
      <c r="D93" s="168"/>
      <c r="E93" s="201">
        <v>3.3725195752581927E-4</v>
      </c>
      <c r="F93" s="202"/>
      <c r="G93" s="465">
        <f t="shared" si="11"/>
        <v>58.634972226431024</v>
      </c>
      <c r="H93" s="179">
        <f t="shared" si="9"/>
        <v>41.365027773568976</v>
      </c>
      <c r="I93" s="179">
        <f t="shared" si="2"/>
        <v>100</v>
      </c>
      <c r="J93" s="156">
        <f>(G93*0)/(1+cDR)^'Markov Model_b'!cycle</f>
        <v>0</v>
      </c>
      <c r="K93" s="181">
        <f t="shared" si="12"/>
        <v>58.634972226431024</v>
      </c>
      <c r="L93" s="205">
        <f>(G93*(uPostT))/(1+oDR)^'Markov Model_b'!cycle</f>
        <v>36.312073608277345</v>
      </c>
      <c r="M93" s="82"/>
      <c r="N93" s="3"/>
      <c r="O93" s="82"/>
      <c r="P93" s="176">
        <v>82</v>
      </c>
      <c r="Q93" s="168"/>
      <c r="R93" s="201">
        <v>3.3725195752581927E-4</v>
      </c>
      <c r="S93" s="82"/>
      <c r="T93" s="178">
        <f t="shared" si="5"/>
        <v>55.241076050763269</v>
      </c>
      <c r="U93" s="179">
        <f>(T92*'Markov Model_b'!mr_2)+U92</f>
        <v>44.758923949236731</v>
      </c>
      <c r="V93" s="179">
        <f t="shared" si="4"/>
        <v>100</v>
      </c>
      <c r="W93" s="183">
        <f>(T93*0)/(1+cDR)^'Markov Model_b'!cycle2</f>
        <v>0</v>
      </c>
      <c r="X93" s="179">
        <f t="shared" si="10"/>
        <v>55.241076050763269</v>
      </c>
      <c r="Y93" s="205">
        <f>(T93*(uPostT))/(1+oDR)^'Markov Model_b'!cycle</f>
        <v>34.210266392034718</v>
      </c>
      <c r="Z93" s="82"/>
      <c r="AA93" s="3"/>
      <c r="AB93" s="3"/>
      <c r="AC93" s="3"/>
      <c r="AD93" s="3"/>
      <c r="AE93" s="3"/>
      <c r="AF93" s="3"/>
      <c r="AG93" s="3"/>
      <c r="AH93" s="3"/>
      <c r="AI93" s="14"/>
      <c r="AJ93" s="14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</row>
    <row r="94" spans="1:60" ht="14.25" customHeight="1" x14ac:dyDescent="0.2">
      <c r="A94" s="311"/>
      <c r="B94" s="82"/>
      <c r="C94" s="176">
        <v>83</v>
      </c>
      <c r="D94" s="168"/>
      <c r="E94" s="201">
        <v>3.2349557405259022E-4</v>
      </c>
      <c r="F94" s="202"/>
      <c r="G94" s="465">
        <f t="shared" si="11"/>
        <v>58.616004072431075</v>
      </c>
      <c r="H94" s="179">
        <f t="shared" si="9"/>
        <v>41.383995927568925</v>
      </c>
      <c r="I94" s="179">
        <f t="shared" si="2"/>
        <v>100</v>
      </c>
      <c r="J94" s="156">
        <f>(G94*0)/(1+cDR)^'Markov Model_b'!cycle</f>
        <v>0</v>
      </c>
      <c r="K94" s="181">
        <f t="shared" si="12"/>
        <v>58.616004072431075</v>
      </c>
      <c r="L94" s="205">
        <f>(G94*(uPostT))/(1+oDR)^'Markov Model_b'!cycle</f>
        <v>36.20980230741187</v>
      </c>
      <c r="M94" s="82"/>
      <c r="N94" s="3"/>
      <c r="O94" s="82"/>
      <c r="P94" s="176">
        <v>83</v>
      </c>
      <c r="Q94" s="168"/>
      <c r="R94" s="201">
        <v>3.2349557405259022E-4</v>
      </c>
      <c r="S94" s="82"/>
      <c r="T94" s="178">
        <f t="shared" si="5"/>
        <v>55.223205807154947</v>
      </c>
      <c r="U94" s="179">
        <f>(T93*'Markov Model_b'!mr_2)+U93</f>
        <v>44.776794192845053</v>
      </c>
      <c r="V94" s="179">
        <f t="shared" si="4"/>
        <v>100</v>
      </c>
      <c r="W94" s="183">
        <f>(T94*0)/(1+cDR)^'Markov Model_b'!cycle2</f>
        <v>0</v>
      </c>
      <c r="X94" s="179">
        <f t="shared" si="10"/>
        <v>55.223205807154947</v>
      </c>
      <c r="Y94" s="205">
        <f>(T94*(uPostT))/(1+oDR)^'Markov Model_b'!cycle</f>
        <v>34.113914735431166</v>
      </c>
      <c r="Z94" s="82"/>
      <c r="AA94" s="3"/>
      <c r="AB94" s="3"/>
      <c r="AC94" s="3"/>
      <c r="AD94" s="3"/>
      <c r="AE94" s="3"/>
      <c r="AF94" s="3"/>
      <c r="AG94" s="3"/>
      <c r="AH94" s="3"/>
      <c r="AI94" s="14"/>
      <c r="AJ94" s="14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</row>
    <row r="95" spans="1:60" ht="14.25" customHeight="1" x14ac:dyDescent="0.2">
      <c r="A95" s="311"/>
      <c r="B95" s="82"/>
      <c r="C95" s="176">
        <v>84</v>
      </c>
      <c r="D95" s="168"/>
      <c r="E95" s="201">
        <v>3.1031430532296733E-4</v>
      </c>
      <c r="F95" s="202"/>
      <c r="G95" s="465">
        <f t="shared" si="11"/>
        <v>58.59781468784653</v>
      </c>
      <c r="H95" s="179">
        <f t="shared" si="9"/>
        <v>41.40218531215347</v>
      </c>
      <c r="I95" s="179">
        <f t="shared" si="2"/>
        <v>100</v>
      </c>
      <c r="J95" s="156">
        <f>(G95*0)/(1+cDR)^'Markov Model_b'!cycle</f>
        <v>0</v>
      </c>
      <c r="K95" s="181">
        <f t="shared" si="12"/>
        <v>58.59781468784653</v>
      </c>
      <c r="L95" s="205">
        <f>(G95*(uPostT))/(1+oDR)^'Markov Model_b'!cycle</f>
        <v>36.108295149888249</v>
      </c>
      <c r="M95" s="82"/>
      <c r="N95" s="3"/>
      <c r="O95" s="82"/>
      <c r="P95" s="176">
        <v>84</v>
      </c>
      <c r="Q95" s="168"/>
      <c r="R95" s="201">
        <v>3.1031430532296733E-4</v>
      </c>
      <c r="S95" s="82"/>
      <c r="T95" s="178">
        <f t="shared" si="5"/>
        <v>55.20606925640719</v>
      </c>
      <c r="U95" s="179">
        <f>(T94*'Markov Model_b'!mr_2)+U94</f>
        <v>44.79393074359281</v>
      </c>
      <c r="V95" s="179">
        <f t="shared" si="4"/>
        <v>100</v>
      </c>
      <c r="W95" s="183">
        <f>(T95*0)/(1+cDR)^'Markov Model_b'!cycle2</f>
        <v>0</v>
      </c>
      <c r="X95" s="179">
        <f t="shared" si="10"/>
        <v>55.20606925640719</v>
      </c>
      <c r="Y95" s="205">
        <f>(T95*(uPostT))/(1+oDR)^'Markov Model_b'!cycle</f>
        <v>34.018282992197697</v>
      </c>
      <c r="Z95" s="82"/>
      <c r="AA95" s="3"/>
      <c r="AB95" s="3"/>
      <c r="AC95" s="3"/>
      <c r="AD95" s="3"/>
      <c r="AE95" s="3"/>
      <c r="AF95" s="3"/>
      <c r="AG95" s="3"/>
      <c r="AH95" s="3"/>
      <c r="AI95" s="14"/>
      <c r="AJ95" s="14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</row>
    <row r="96" spans="1:60" ht="14.25" customHeight="1" x14ac:dyDescent="0.2">
      <c r="A96" s="311"/>
      <c r="B96" s="82"/>
      <c r="C96" s="176">
        <v>85</v>
      </c>
      <c r="D96" s="168"/>
      <c r="E96" s="201">
        <v>2.9768301951277332E-4</v>
      </c>
      <c r="F96" s="202"/>
      <c r="G96" s="465">
        <f t="shared" si="11"/>
        <v>58.580371113433401</v>
      </c>
      <c r="H96" s="179">
        <f t="shared" si="9"/>
        <v>41.419628886566599</v>
      </c>
      <c r="I96" s="179">
        <f t="shared" si="2"/>
        <v>100</v>
      </c>
      <c r="J96" s="156">
        <f>(G96*0)/(1+cDR)^'Markov Model_b'!cycle</f>
        <v>0</v>
      </c>
      <c r="K96" s="181">
        <f t="shared" si="12"/>
        <v>58.580371113433401</v>
      </c>
      <c r="L96" s="205">
        <f>(G96*(uPostT))/(1+oDR)^'Markov Model_b'!cycle</f>
        <v>36.007527504796577</v>
      </c>
      <c r="M96" s="82"/>
      <c r="N96" s="3"/>
      <c r="O96" s="82"/>
      <c r="P96" s="176">
        <v>85</v>
      </c>
      <c r="Q96" s="168"/>
      <c r="R96" s="201">
        <v>2.9768301951277332E-4</v>
      </c>
      <c r="S96" s="82"/>
      <c r="T96" s="178">
        <f t="shared" si="5"/>
        <v>55.189635347015511</v>
      </c>
      <c r="U96" s="179">
        <f>(T95*'Markov Model_b'!mr_2)+U95</f>
        <v>44.810364652984489</v>
      </c>
      <c r="V96" s="179">
        <f t="shared" si="4"/>
        <v>100</v>
      </c>
      <c r="W96" s="183">
        <f>(T96*0)/(1+cDR)^'Markov Model_b'!cycle2</f>
        <v>0</v>
      </c>
      <c r="X96" s="179">
        <f t="shared" si="10"/>
        <v>55.189635347015511</v>
      </c>
      <c r="Y96" s="205">
        <f>(T96*(uPostT))/(1+oDR)^'Markov Model_b'!cycle</f>
        <v>33.923347957105179</v>
      </c>
      <c r="Z96" s="82"/>
      <c r="AA96" s="3"/>
      <c r="AB96" s="3"/>
      <c r="AC96" s="3"/>
      <c r="AD96" s="3"/>
      <c r="AE96" s="3"/>
      <c r="AF96" s="3"/>
      <c r="AG96" s="3"/>
      <c r="AH96" s="3"/>
      <c r="AI96" s="14"/>
      <c r="AJ96" s="14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</row>
    <row r="97" spans="1:60" ht="14.25" customHeight="1" x14ac:dyDescent="0.2">
      <c r="A97" s="311"/>
      <c r="B97" s="82"/>
      <c r="C97" s="176">
        <v>86</v>
      </c>
      <c r="D97" s="168"/>
      <c r="E97" s="201">
        <v>2.8557776656185085E-4</v>
      </c>
      <c r="F97" s="202"/>
      <c r="G97" s="465">
        <f t="shared" si="11"/>
        <v>58.56364186188646</v>
      </c>
      <c r="H97" s="179">
        <f t="shared" si="9"/>
        <v>41.43635813811354</v>
      </c>
      <c r="I97" s="179">
        <f t="shared" si="2"/>
        <v>100</v>
      </c>
      <c r="J97" s="156">
        <f>(G97*0)/(1+cDR)^'Markov Model_b'!cycle</f>
        <v>0</v>
      </c>
      <c r="K97" s="181">
        <f t="shared" si="12"/>
        <v>58.56364186188646</v>
      </c>
      <c r="L97" s="205">
        <f>(G97*(uPostT))/(1+oDR)^'Markov Model_b'!cycle</f>
        <v>35.907475865847729</v>
      </c>
      <c r="M97" s="82"/>
      <c r="N97" s="3"/>
      <c r="O97" s="82"/>
      <c r="P97" s="176">
        <v>86</v>
      </c>
      <c r="Q97" s="168"/>
      <c r="R97" s="201">
        <v>2.8557776656185085E-4</v>
      </c>
      <c r="S97" s="82"/>
      <c r="T97" s="178">
        <f t="shared" si="5"/>
        <v>55.173874414215746</v>
      </c>
      <c r="U97" s="179">
        <f>(T96*'Markov Model_b'!mr_2)+U96</f>
        <v>44.826125585784254</v>
      </c>
      <c r="V97" s="179">
        <f t="shared" si="4"/>
        <v>100</v>
      </c>
      <c r="W97" s="183">
        <f>(T97*0)/(1+cDR)^'Markov Model_b'!cycle2</f>
        <v>0</v>
      </c>
      <c r="X97" s="179">
        <f t="shared" si="10"/>
        <v>55.173874414215746</v>
      </c>
      <c r="Y97" s="205">
        <f>(T97*(uPostT))/(1+oDR)^'Markov Model_b'!cycle</f>
        <v>33.829087484450177</v>
      </c>
      <c r="Z97" s="82"/>
      <c r="AA97" s="3"/>
      <c r="AB97" s="3"/>
      <c r="AC97" s="3"/>
      <c r="AD97" s="3"/>
      <c r="AE97" s="3"/>
      <c r="AF97" s="3"/>
      <c r="AG97" s="3"/>
      <c r="AH97" s="3"/>
      <c r="AI97" s="14"/>
      <c r="AJ97" s="14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</row>
    <row r="98" spans="1:60" ht="14.25" customHeight="1" x14ac:dyDescent="0.2">
      <c r="A98" s="311"/>
      <c r="B98" s="82"/>
      <c r="C98" s="176">
        <v>87</v>
      </c>
      <c r="D98" s="168"/>
      <c r="E98" s="201">
        <v>2.739757163499057E-4</v>
      </c>
      <c r="F98" s="202"/>
      <c r="G98" s="465">
        <f t="shared" si="11"/>
        <v>58.547596846155287</v>
      </c>
      <c r="H98" s="179">
        <f t="shared" si="9"/>
        <v>41.452403153844713</v>
      </c>
      <c r="I98" s="179">
        <f t="shared" si="2"/>
        <v>100</v>
      </c>
      <c r="J98" s="156">
        <f>(G98*0)/(1+cDR)^'Markov Model_b'!cycle</f>
        <v>0</v>
      </c>
      <c r="K98" s="181">
        <f t="shared" si="12"/>
        <v>58.547596846155287</v>
      </c>
      <c r="L98" s="205">
        <f>(G98*(uPostT))/(1+oDR)^'Markov Model_b'!cycle</f>
        <v>35.808117794937722</v>
      </c>
      <c r="M98" s="82"/>
      <c r="N98" s="3"/>
      <c r="O98" s="82"/>
      <c r="P98" s="176">
        <v>87</v>
      </c>
      <c r="Q98" s="168"/>
      <c r="R98" s="201">
        <v>2.739757163499057E-4</v>
      </c>
      <c r="S98" s="82"/>
      <c r="T98" s="178">
        <f t="shared" si="5"/>
        <v>55.158758112449313</v>
      </c>
      <c r="U98" s="179">
        <f>(T97*'Markov Model_b'!mr_2)+U97</f>
        <v>44.841241887550687</v>
      </c>
      <c r="V98" s="179">
        <f t="shared" si="4"/>
        <v>100</v>
      </c>
      <c r="W98" s="183">
        <f>(T98*0)/(1+cDR)^'Markov Model_b'!cycle2</f>
        <v>0</v>
      </c>
      <c r="X98" s="179">
        <f t="shared" si="10"/>
        <v>55.158758112449313</v>
      </c>
      <c r="Y98" s="205">
        <f>(T98*(uPostT))/(1+oDR)^'Markov Model_b'!cycle</f>
        <v>33.735480434885943</v>
      </c>
      <c r="Z98" s="82"/>
      <c r="AA98" s="3"/>
      <c r="AB98" s="3"/>
      <c r="AC98" s="3"/>
      <c r="AD98" s="3"/>
      <c r="AE98" s="3"/>
      <c r="AF98" s="3"/>
      <c r="AG98" s="3"/>
      <c r="AH98" s="3"/>
      <c r="AI98" s="14"/>
      <c r="AJ98" s="14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</row>
    <row r="99" spans="1:60" ht="14.25" customHeight="1" x14ac:dyDescent="0.2">
      <c r="A99" s="311"/>
      <c r="B99" s="82"/>
      <c r="C99" s="176">
        <v>88</v>
      </c>
      <c r="D99" s="168"/>
      <c r="E99" s="201">
        <v>2.628551005567914E-4</v>
      </c>
      <c r="F99" s="202"/>
      <c r="G99" s="465">
        <f t="shared" si="11"/>
        <v>58.532207311698933</v>
      </c>
      <c r="H99" s="179">
        <f t="shared" si="9"/>
        <v>41.467792688301067</v>
      </c>
      <c r="I99" s="179">
        <f t="shared" si="2"/>
        <v>100</v>
      </c>
      <c r="J99" s="156">
        <f>(G99*0)/(1+cDR)^'Markov Model_b'!cycle</f>
        <v>0</v>
      </c>
      <c r="K99" s="181">
        <f t="shared" si="12"/>
        <v>58.532207311698933</v>
      </c>
      <c r="L99" s="205">
        <f>(G99*(uPostT))/(1+oDR)^'Markov Model_b'!cycle</f>
        <v>35.709431868861834</v>
      </c>
      <c r="M99" s="82"/>
      <c r="N99" s="3"/>
      <c r="O99" s="82"/>
      <c r="P99" s="176">
        <v>88</v>
      </c>
      <c r="Q99" s="168"/>
      <c r="R99" s="201">
        <v>2.628551005567914E-4</v>
      </c>
      <c r="S99" s="82"/>
      <c r="T99" s="178">
        <f t="shared" si="5"/>
        <v>55.144259351539077</v>
      </c>
      <c r="U99" s="179">
        <f>(T98*'Markov Model_b'!mr_2)+U98</f>
        <v>44.855740648460923</v>
      </c>
      <c r="V99" s="179">
        <f t="shared" si="4"/>
        <v>100</v>
      </c>
      <c r="W99" s="183">
        <f>(T99*0)/(1+cDR)^'Markov Model_b'!cycle2</f>
        <v>0</v>
      </c>
      <c r="X99" s="179">
        <f t="shared" si="10"/>
        <v>55.144259351539077</v>
      </c>
      <c r="Y99" s="205">
        <f>(T99*(uPostT))/(1+oDR)^'Markov Model_b'!cycle</f>
        <v>33.642506625220847</v>
      </c>
      <c r="Z99" s="82"/>
      <c r="AA99" s="3"/>
      <c r="AB99" s="3"/>
      <c r="AC99" s="3"/>
      <c r="AD99" s="3"/>
      <c r="AE99" s="3"/>
      <c r="AF99" s="3"/>
      <c r="AG99" s="3"/>
      <c r="AH99" s="3"/>
      <c r="AI99" s="14"/>
      <c r="AJ99" s="14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</row>
    <row r="100" spans="1:60" ht="14.25" customHeight="1" x14ac:dyDescent="0.2">
      <c r="A100" s="311"/>
      <c r="B100" s="82"/>
      <c r="C100" s="176">
        <v>89</v>
      </c>
      <c r="D100" s="168"/>
      <c r="E100" s="201">
        <v>2.5219515795393832E-4</v>
      </c>
      <c r="F100" s="202"/>
      <c r="G100" s="465">
        <f t="shared" si="11"/>
        <v>58.51744577243057</v>
      </c>
      <c r="H100" s="179">
        <f t="shared" si="9"/>
        <v>41.48255422756943</v>
      </c>
      <c r="I100" s="179">
        <f t="shared" si="2"/>
        <v>100</v>
      </c>
      <c r="J100" s="156">
        <f>(G100*0)/(1+cDR)^'Markov Model_b'!cycle</f>
        <v>0</v>
      </c>
      <c r="K100" s="181">
        <f t="shared" si="12"/>
        <v>58.51744577243057</v>
      </c>
      <c r="L100" s="205">
        <f>(G100*(uPostT))/(1+oDR)^'Markov Model_b'!cycle</f>
        <v>35.611397628978771</v>
      </c>
      <c r="M100" s="82"/>
      <c r="N100" s="3"/>
      <c r="O100" s="82"/>
      <c r="P100" s="176">
        <v>89</v>
      </c>
      <c r="Q100" s="168"/>
      <c r="R100" s="201">
        <v>2.5219515795393832E-4</v>
      </c>
      <c r="S100" s="82"/>
      <c r="T100" s="178">
        <f t="shared" si="5"/>
        <v>55.130352236341665</v>
      </c>
      <c r="U100" s="179">
        <f>(T99*'Markov Model_b'!mr_2)+U99</f>
        <v>44.869647763658335</v>
      </c>
      <c r="V100" s="179">
        <f t="shared" si="4"/>
        <v>100</v>
      </c>
      <c r="W100" s="183">
        <f>(T100*0)/(1+cDR)^'Markov Model_b'!cycle2</f>
        <v>0</v>
      </c>
      <c r="X100" s="179">
        <f t="shared" si="10"/>
        <v>55.130352236341665</v>
      </c>
      <c r="Y100" s="205">
        <f>(T100*(uPostT))/(1+oDR)^'Markov Model_b'!cycle</f>
        <v>33.550146780996037</v>
      </c>
      <c r="Z100" s="82"/>
      <c r="AA100" s="3"/>
      <c r="AB100" s="3"/>
      <c r="AC100" s="3"/>
      <c r="AD100" s="3"/>
      <c r="AE100" s="3"/>
      <c r="AF100" s="3"/>
      <c r="AG100" s="3"/>
      <c r="AH100" s="3"/>
      <c r="AI100" s="14"/>
      <c r="AJ100" s="14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</row>
    <row r="101" spans="1:60" ht="14.25" customHeight="1" x14ac:dyDescent="0.2">
      <c r="A101" s="311"/>
      <c r="B101" s="82"/>
      <c r="C101" s="176">
        <v>90</v>
      </c>
      <c r="D101" s="168"/>
      <c r="E101" s="201">
        <v>2.4197608289922012E-4</v>
      </c>
      <c r="F101" s="202"/>
      <c r="G101" s="465">
        <f t="shared" si="11"/>
        <v>58.503285950121288</v>
      </c>
      <c r="H101" s="179">
        <f t="shared" si="9"/>
        <v>41.496714049878712</v>
      </c>
      <c r="I101" s="179">
        <f t="shared" si="2"/>
        <v>100</v>
      </c>
      <c r="J101" s="156">
        <f>(G101*0)/(1+cDR)^'Markov Model_b'!cycle</f>
        <v>0</v>
      </c>
      <c r="K101" s="181">
        <f t="shared" si="12"/>
        <v>58.503285950121288</v>
      </c>
      <c r="L101" s="205">
        <f>(G101*(uPostT))/(1+oDR)^'Markov Model_b'!cycle</f>
        <v>35.513995533639843</v>
      </c>
      <c r="M101" s="82"/>
      <c r="N101" s="3"/>
      <c r="O101" s="82"/>
      <c r="P101" s="176">
        <v>90</v>
      </c>
      <c r="Q101" s="168"/>
      <c r="R101" s="201">
        <v>2.4197608289922012E-4</v>
      </c>
      <c r="S101" s="82"/>
      <c r="T101" s="178">
        <f t="shared" si="5"/>
        <v>55.117012009658659</v>
      </c>
      <c r="U101" s="179">
        <f>(T100*'Markov Model_b'!mr_2)+U100</f>
        <v>44.882987990341341</v>
      </c>
      <c r="V101" s="179">
        <f t="shared" si="4"/>
        <v>100</v>
      </c>
      <c r="W101" s="183">
        <f>(T101*0)/(1+cDR)^'Markov Model_b'!cycle2</f>
        <v>0</v>
      </c>
      <c r="X101" s="179">
        <f t="shared" si="10"/>
        <v>55.117012009658659</v>
      </c>
      <c r="Y101" s="205">
        <f>(T101*(uPostT))/(1+oDR)^'Markov Model_b'!cycle</f>
        <v>33.458382491668111</v>
      </c>
      <c r="Z101" s="82"/>
      <c r="AA101" s="3"/>
      <c r="AB101" s="3"/>
      <c r="AC101" s="3"/>
      <c r="AD101" s="3"/>
      <c r="AE101" s="3"/>
      <c r="AF101" s="3"/>
      <c r="AG101" s="3"/>
      <c r="AH101" s="3"/>
      <c r="AI101" s="14"/>
      <c r="AJ101" s="14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</row>
    <row r="102" spans="1:60" ht="14.25" customHeight="1" x14ac:dyDescent="0.2">
      <c r="A102" s="311"/>
      <c r="B102" s="82"/>
      <c r="C102" s="176">
        <v>91</v>
      </c>
      <c r="D102" s="168"/>
      <c r="E102" s="201">
        <v>2.3217897681970801E-4</v>
      </c>
      <c r="F102" s="202"/>
      <c r="G102" s="465">
        <f t="shared" si="11"/>
        <v>58.4897027170488</v>
      </c>
      <c r="H102" s="179">
        <f t="shared" si="9"/>
        <v>41.5102972829512</v>
      </c>
      <c r="I102" s="179">
        <f t="shared" si="2"/>
        <v>100</v>
      </c>
      <c r="J102" s="156">
        <f>(G102*0)/(1+cDR)^'Markov Model_b'!cycle</f>
        <v>0</v>
      </c>
      <c r="K102" s="181">
        <f t="shared" si="12"/>
        <v>58.4897027170488</v>
      </c>
      <c r="L102" s="205">
        <f>(G102*(uPostT))/(1+oDR)^'Markov Model_b'!cycle</f>
        <v>35.417206913211039</v>
      </c>
      <c r="M102" s="82"/>
      <c r="N102" s="3"/>
      <c r="O102" s="82"/>
      <c r="P102" s="176">
        <v>91</v>
      </c>
      <c r="Q102" s="168"/>
      <c r="R102" s="201">
        <v>2.3217897681970801E-4</v>
      </c>
      <c r="S102" s="82"/>
      <c r="T102" s="178">
        <f t="shared" si="5"/>
        <v>55.104214998204895</v>
      </c>
      <c r="U102" s="179">
        <f>(T101*'Markov Model_b'!mr_2)+U101</f>
        <v>44.895785001795105</v>
      </c>
      <c r="V102" s="179">
        <f t="shared" si="4"/>
        <v>100</v>
      </c>
      <c r="W102" s="183">
        <f>(T102*0)/(1+cDR)^'Markov Model_b'!cycle2</f>
        <v>0</v>
      </c>
      <c r="X102" s="179">
        <f t="shared" si="10"/>
        <v>55.104214998204895</v>
      </c>
      <c r="Y102" s="205">
        <f>(T102*(uPostT))/(1+oDR)^'Markov Model_b'!cycle</f>
        <v>33.367196168234571</v>
      </c>
      <c r="Z102" s="82"/>
      <c r="AA102" s="3"/>
      <c r="AB102" s="3"/>
      <c r="AC102" s="3"/>
      <c r="AD102" s="3"/>
      <c r="AE102" s="3"/>
      <c r="AF102" s="3"/>
      <c r="AG102" s="3"/>
      <c r="AH102" s="3"/>
      <c r="AI102" s="14"/>
      <c r="AJ102" s="14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</row>
    <row r="103" spans="1:60" ht="14.25" customHeight="1" x14ac:dyDescent="0.2">
      <c r="A103" s="311"/>
      <c r="B103" s="82"/>
      <c r="C103" s="176">
        <v>92</v>
      </c>
      <c r="D103" s="168"/>
      <c r="E103" s="201">
        <v>2.2278580248574764E-4</v>
      </c>
      <c r="F103" s="202"/>
      <c r="G103" s="465">
        <f t="shared" si="11"/>
        <v>58.476672041691828</v>
      </c>
      <c r="H103" s="179">
        <f t="shared" si="9"/>
        <v>41.523327958308172</v>
      </c>
      <c r="I103" s="179">
        <f t="shared" si="2"/>
        <v>100</v>
      </c>
      <c r="J103" s="156">
        <f>(G103*0)/(1+cDR)^'Markov Model_b'!cycle</f>
        <v>0</v>
      </c>
      <c r="K103" s="181">
        <f t="shared" si="12"/>
        <v>58.476672041691828</v>
      </c>
      <c r="L103" s="205">
        <f>(G103*(uPostT))/(1+oDR)^'Markov Model_b'!cycle</f>
        <v>35.321013927528256</v>
      </c>
      <c r="M103" s="82"/>
      <c r="N103" s="3"/>
      <c r="O103" s="82"/>
      <c r="P103" s="176">
        <v>92</v>
      </c>
      <c r="Q103" s="168"/>
      <c r="R103" s="201">
        <v>2.2278580248574764E-4</v>
      </c>
      <c r="S103" s="82"/>
      <c r="T103" s="178">
        <f t="shared" si="5"/>
        <v>55.09193856144617</v>
      </c>
      <c r="U103" s="179">
        <f>(T102*'Markov Model_b'!mr_2)+U102</f>
        <v>44.90806143855383</v>
      </c>
      <c r="V103" s="179">
        <f t="shared" si="4"/>
        <v>100</v>
      </c>
      <c r="W103" s="183">
        <f>(T103*0)/(1+cDR)^'Markov Model_b'!cycle2</f>
        <v>0</v>
      </c>
      <c r="X103" s="179">
        <f t="shared" si="10"/>
        <v>55.09193856144617</v>
      </c>
      <c r="Y103" s="205">
        <f>(T103*(uPostT))/(1+oDR)^'Markov Model_b'!cycle</f>
        <v>33.276571003151652</v>
      </c>
      <c r="Z103" s="82"/>
      <c r="AA103" s="3"/>
      <c r="AB103" s="3"/>
      <c r="AC103" s="3"/>
      <c r="AD103" s="3"/>
      <c r="AE103" s="3"/>
      <c r="AF103" s="3"/>
      <c r="AG103" s="3"/>
      <c r="AH103" s="3"/>
      <c r="AI103" s="14"/>
      <c r="AJ103" s="14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</row>
    <row r="104" spans="1:60" ht="14.25" customHeight="1" x14ac:dyDescent="0.2">
      <c r="A104" s="311"/>
      <c r="B104" s="82"/>
      <c r="C104" s="176">
        <v>93</v>
      </c>
      <c r="D104" s="168"/>
      <c r="E104" s="201">
        <v>2.1377934089261696E-4</v>
      </c>
      <c r="F104" s="202"/>
      <c r="G104" s="465">
        <f t="shared" si="11"/>
        <v>58.464170937285161</v>
      </c>
      <c r="H104" s="179">
        <f t="shared" si="9"/>
        <v>41.535829062714839</v>
      </c>
      <c r="I104" s="179">
        <f t="shared" si="2"/>
        <v>100</v>
      </c>
      <c r="J104" s="156">
        <f>(G104*0)/(1+cDR)^'Markov Model_b'!cycle</f>
        <v>0</v>
      </c>
      <c r="K104" s="181">
        <f t="shared" si="12"/>
        <v>58.464170937285161</v>
      </c>
      <c r="L104" s="205">
        <f>(G104*(uPostT))/(1+oDR)^'Markov Model_b'!cycle</f>
        <v>35.225399525637066</v>
      </c>
      <c r="M104" s="82"/>
      <c r="N104" s="3"/>
      <c r="O104" s="82"/>
      <c r="P104" s="176">
        <v>93</v>
      </c>
      <c r="Q104" s="168"/>
      <c r="R104" s="201">
        <v>2.1377934089261696E-4</v>
      </c>
      <c r="S104" s="82"/>
      <c r="T104" s="178">
        <f t="shared" si="5"/>
        <v>55.080161043132009</v>
      </c>
      <c r="U104" s="179">
        <f>(T103*'Markov Model_b'!mr_2)+U103</f>
        <v>44.919838956867991</v>
      </c>
      <c r="V104" s="179">
        <f t="shared" si="4"/>
        <v>100</v>
      </c>
      <c r="W104" s="183">
        <f>(T104*0)/(1+cDR)^'Markov Model_b'!cycle2</f>
        <v>0</v>
      </c>
      <c r="X104" s="179">
        <f t="shared" si="10"/>
        <v>55.080161043132009</v>
      </c>
      <c r="Y104" s="205">
        <f>(T104*(uPostT))/(1+oDR)^'Markov Model_b'!cycle</f>
        <v>33.186490932404411</v>
      </c>
      <c r="Z104" s="82"/>
      <c r="AA104" s="3"/>
      <c r="AB104" s="3"/>
      <c r="AC104" s="3"/>
      <c r="AD104" s="3"/>
      <c r="AE104" s="3"/>
      <c r="AF104" s="3"/>
      <c r="AG104" s="3"/>
      <c r="AH104" s="3"/>
      <c r="AI104" s="14"/>
      <c r="AJ104" s="14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</row>
    <row r="105" spans="1:60" ht="14.25" customHeight="1" x14ac:dyDescent="0.2">
      <c r="A105" s="311"/>
      <c r="B105" s="82"/>
      <c r="C105" s="176">
        <v>94</v>
      </c>
      <c r="D105" s="168"/>
      <c r="E105" s="201">
        <v>2.0514315058139942E-4</v>
      </c>
      <c r="F105" s="202"/>
      <c r="G105" s="465">
        <f t="shared" si="11"/>
        <v>58.452177413062955</v>
      </c>
      <c r="H105" s="179">
        <f t="shared" si="9"/>
        <v>41.547822586937045</v>
      </c>
      <c r="I105" s="179">
        <f t="shared" si="2"/>
        <v>100</v>
      </c>
      <c r="J105" s="156">
        <f>(G105*0)/(1+cDR)^'Markov Model_b'!cycle</f>
        <v>0</v>
      </c>
      <c r="K105" s="181">
        <f t="shared" si="12"/>
        <v>58.452177413062955</v>
      </c>
      <c r="L105" s="205">
        <f>(G105*(uPostT))/(1+oDR)^'Markov Model_b'!cycle</f>
        <v>35.130347407678705</v>
      </c>
      <c r="M105" s="82"/>
      <c r="N105" s="3"/>
      <c r="O105" s="82"/>
      <c r="P105" s="176">
        <v>94</v>
      </c>
      <c r="Q105" s="168"/>
      <c r="R105" s="201">
        <v>2.0514315058139942E-4</v>
      </c>
      <c r="S105" s="82"/>
      <c r="T105" s="178">
        <f t="shared" si="5"/>
        <v>55.068861725361089</v>
      </c>
      <c r="U105" s="179">
        <f>(T104*'Markov Model_b'!mr_2)+U104</f>
        <v>44.931138274638911</v>
      </c>
      <c r="V105" s="179">
        <f t="shared" si="4"/>
        <v>100</v>
      </c>
      <c r="W105" s="183">
        <f>(T105*0)/(1+cDR)^'Markov Model_b'!cycle2</f>
        <v>0</v>
      </c>
      <c r="X105" s="179">
        <f t="shared" si="10"/>
        <v>55.068861725361089</v>
      </c>
      <c r="Y105" s="205">
        <f>(T105*(uPostT))/(1+oDR)^'Markov Model_b'!cycle</f>
        <v>33.09694059959881</v>
      </c>
      <c r="Z105" s="82"/>
      <c r="AA105" s="3"/>
      <c r="AB105" s="3"/>
      <c r="AC105" s="3"/>
      <c r="AD105" s="3"/>
      <c r="AE105" s="3"/>
      <c r="AF105" s="3"/>
      <c r="AG105" s="3"/>
      <c r="AH105" s="3"/>
      <c r="AI105" s="14"/>
      <c r="AJ105" s="14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</row>
    <row r="106" spans="1:60" ht="14.25" customHeight="1" x14ac:dyDescent="0.2">
      <c r="A106" s="311"/>
      <c r="B106" s="82"/>
      <c r="C106" s="176">
        <v>95</v>
      </c>
      <c r="D106" s="168"/>
      <c r="E106" s="201">
        <v>1.9686152924058842E-4</v>
      </c>
      <c r="F106" s="202"/>
      <c r="G106" s="465">
        <f t="shared" si="11"/>
        <v>58.440670428029975</v>
      </c>
      <c r="H106" s="179">
        <f t="shared" si="9"/>
        <v>41.559329571970025</v>
      </c>
      <c r="I106" s="179">
        <f t="shared" si="2"/>
        <v>100</v>
      </c>
      <c r="J106" s="156">
        <f>(G106*0)/(1+cDR)^'Markov Model_b'!cycle</f>
        <v>0</v>
      </c>
      <c r="K106" s="181">
        <f t="shared" si="12"/>
        <v>58.440670428029975</v>
      </c>
      <c r="L106" s="205">
        <f>(G106*(uPostT))/(1+oDR)^'Markov Model_b'!cycle</f>
        <v>35.035841988793294</v>
      </c>
      <c r="M106" s="82"/>
      <c r="N106" s="3"/>
      <c r="O106" s="82"/>
      <c r="P106" s="176">
        <v>95</v>
      </c>
      <c r="Q106" s="168"/>
      <c r="R106" s="201">
        <v>1.9686152924058842E-4</v>
      </c>
      <c r="S106" s="82"/>
      <c r="T106" s="178">
        <f t="shared" si="5"/>
        <v>55.058020785028297</v>
      </c>
      <c r="U106" s="179">
        <f>(T105*'Markov Model_b'!mr_2)+U105</f>
        <v>44.941979214971703</v>
      </c>
      <c r="V106" s="179">
        <f t="shared" si="4"/>
        <v>100</v>
      </c>
      <c r="W106" s="183">
        <f>(T106*0)/(1+cDR)^'Markov Model_b'!cycle2</f>
        <v>0</v>
      </c>
      <c r="X106" s="179">
        <f t="shared" si="10"/>
        <v>55.058020785028297</v>
      </c>
      <c r="Y106" s="205">
        <f>(T106*(uPostT))/(1+oDR)^'Markov Model_b'!cycle</f>
        <v>33.007905321954311</v>
      </c>
      <c r="Z106" s="82"/>
      <c r="AA106" s="3"/>
      <c r="AB106" s="3"/>
      <c r="AC106" s="3"/>
      <c r="AD106" s="3"/>
      <c r="AE106" s="3"/>
      <c r="AF106" s="3"/>
      <c r="AG106" s="3"/>
      <c r="AH106" s="3"/>
      <c r="AI106" s="14"/>
      <c r="AJ106" s="14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</row>
    <row r="107" spans="1:60" ht="14.25" customHeight="1" x14ac:dyDescent="0.2">
      <c r="A107" s="311"/>
      <c r="B107" s="82"/>
      <c r="C107" s="176">
        <v>96</v>
      </c>
      <c r="D107" s="168"/>
      <c r="E107" s="201">
        <v>1.8891947744348325E-4</v>
      </c>
      <c r="F107" s="202"/>
      <c r="G107" s="465">
        <f t="shared" si="11"/>
        <v>58.429629847111265</v>
      </c>
      <c r="H107" s="179">
        <f t="shared" si="9"/>
        <v>41.570370152888735</v>
      </c>
      <c r="I107" s="179">
        <f t="shared" si="2"/>
        <v>100</v>
      </c>
      <c r="J107" s="156">
        <f>(G107*0)/(1+cDR)^'Markov Model_b'!cycle</f>
        <v>0</v>
      </c>
      <c r="K107" s="181">
        <f t="shared" si="12"/>
        <v>58.429629847111265</v>
      </c>
      <c r="L107" s="205">
        <f>(G107*(uPostT))/(1+oDR)^'Markov Model_b'!cycle</f>
        <v>34.941868364920673</v>
      </c>
      <c r="M107" s="82"/>
      <c r="N107" s="3"/>
      <c r="O107" s="82"/>
      <c r="P107" s="176">
        <v>96</v>
      </c>
      <c r="Q107" s="168"/>
      <c r="R107" s="201">
        <v>1.8891947744348325E-4</v>
      </c>
      <c r="S107" s="82"/>
      <c r="T107" s="178">
        <f t="shared" si="5"/>
        <v>55.047619252512519</v>
      </c>
      <c r="U107" s="179">
        <f>(T106*'Markov Model_b'!mr_2)+U106</f>
        <v>44.952380747487481</v>
      </c>
      <c r="V107" s="179">
        <f t="shared" si="4"/>
        <v>100</v>
      </c>
      <c r="W107" s="183">
        <f>(T107*0)/(1+cDR)^'Markov Model_b'!cycle2</f>
        <v>0</v>
      </c>
      <c r="X107" s="179">
        <f t="shared" si="10"/>
        <v>55.047619252512519</v>
      </c>
      <c r="Y107" s="205">
        <f>(T107*(uPostT))/(1+oDR)^'Markov Model_b'!cycle</f>
        <v>32.919371058084167</v>
      </c>
      <c r="Z107" s="82"/>
      <c r="AA107" s="3"/>
      <c r="AB107" s="3"/>
      <c r="AC107" s="3"/>
      <c r="AD107" s="3"/>
      <c r="AE107" s="3"/>
      <c r="AF107" s="3"/>
      <c r="AG107" s="3"/>
      <c r="AH107" s="3"/>
      <c r="AI107" s="14"/>
      <c r="AJ107" s="14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</row>
    <row r="108" spans="1:60" ht="14.25" customHeight="1" x14ac:dyDescent="0.2">
      <c r="A108" s="311"/>
      <c r="B108" s="82"/>
      <c r="C108" s="176">
        <v>97</v>
      </c>
      <c r="D108" s="168"/>
      <c r="E108" s="201">
        <v>1.813026643866511E-4</v>
      </c>
      <c r="F108" s="202"/>
      <c r="G108" s="465">
        <f t="shared" si="11"/>
        <v>58.419036399540857</v>
      </c>
      <c r="H108" s="179">
        <f t="shared" si="9"/>
        <v>41.580963600459143</v>
      </c>
      <c r="I108" s="179">
        <f t="shared" si="2"/>
        <v>100</v>
      </c>
      <c r="J108" s="156">
        <f>(G108*0)/(1+cDR)^'Markov Model_b'!cycle</f>
        <v>0</v>
      </c>
      <c r="K108" s="181">
        <f t="shared" si="12"/>
        <v>58.419036399540857</v>
      </c>
      <c r="L108" s="205">
        <f>(G108*(uPostT))/(1+oDR)^'Markov Model_b'!cycle</f>
        <v>34.848412280386498</v>
      </c>
      <c r="M108" s="82"/>
      <c r="N108" s="3"/>
      <c r="O108" s="82"/>
      <c r="P108" s="176">
        <v>97</v>
      </c>
      <c r="Q108" s="168"/>
      <c r="R108" s="201">
        <v>1.813026643866511E-4</v>
      </c>
      <c r="S108" s="82"/>
      <c r="T108" s="178">
        <f t="shared" si="5"/>
        <v>55.037638972473893</v>
      </c>
      <c r="U108" s="179">
        <f>(T107*'Markov Model_b'!mr_2)+U107</f>
        <v>44.962361027526107</v>
      </c>
      <c r="V108" s="179">
        <f t="shared" si="4"/>
        <v>100</v>
      </c>
      <c r="W108" s="183">
        <f>(T108*0)/(1+cDR)^'Markov Model_b'!cycle2</f>
        <v>0</v>
      </c>
      <c r="X108" s="179">
        <f t="shared" si="10"/>
        <v>55.037638972473893</v>
      </c>
      <c r="Y108" s="205">
        <f>(T108*(uPostT))/(1+oDR)^'Markov Model_b'!cycle</f>
        <v>32.831324377457754</v>
      </c>
      <c r="Z108" s="82"/>
      <c r="AA108" s="3"/>
      <c r="AB108" s="3"/>
      <c r="AC108" s="3"/>
      <c r="AD108" s="3"/>
      <c r="AE108" s="3"/>
      <c r="AF108" s="3"/>
      <c r="AG108" s="3"/>
      <c r="AH108" s="3"/>
      <c r="AI108" s="14"/>
      <c r="AJ108" s="14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</row>
    <row r="109" spans="1:60" ht="14.25" customHeight="1" x14ac:dyDescent="0.2">
      <c r="A109" s="311"/>
      <c r="B109" s="82"/>
      <c r="C109" s="176">
        <v>98</v>
      </c>
      <c r="D109" s="168"/>
      <c r="E109" s="201">
        <v>1.7399739550150173E-4</v>
      </c>
      <c r="F109" s="202"/>
      <c r="G109" s="465">
        <f t="shared" si="11"/>
        <v>58.408871639359631</v>
      </c>
      <c r="H109" s="179">
        <f t="shared" si="9"/>
        <v>41.591128360640369</v>
      </c>
      <c r="I109" s="179">
        <f t="shared" si="2"/>
        <v>100</v>
      </c>
      <c r="J109" s="156">
        <f>(G109*0)/(1+cDR)^'Markov Model_b'!cycle</f>
        <v>0</v>
      </c>
      <c r="K109" s="181">
        <f t="shared" si="12"/>
        <v>58.408871639359631</v>
      </c>
      <c r="L109" s="205">
        <f>(G109*(uPostT))/(1+oDR)^'Markov Model_b'!cycle</f>
        <v>34.755460097169433</v>
      </c>
      <c r="M109" s="82"/>
      <c r="N109" s="3"/>
      <c r="O109" s="82"/>
      <c r="P109" s="176">
        <v>98</v>
      </c>
      <c r="Q109" s="168"/>
      <c r="R109" s="201">
        <v>1.7399739550150173E-4</v>
      </c>
      <c r="S109" s="82"/>
      <c r="T109" s="178">
        <f t="shared" si="5"/>
        <v>55.028062566638127</v>
      </c>
      <c r="U109" s="179">
        <f>(T108*'Markov Model_b'!mr_2)+U108</f>
        <v>44.971937433361873</v>
      </c>
      <c r="V109" s="179">
        <f t="shared" si="4"/>
        <v>100</v>
      </c>
      <c r="W109" s="183">
        <f>(T109*0)/(1+cDR)^'Markov Model_b'!cycle2</f>
        <v>0</v>
      </c>
      <c r="X109" s="179">
        <f t="shared" si="10"/>
        <v>55.028062566638127</v>
      </c>
      <c r="Y109" s="205">
        <f>(T109*(uPostT))/(1+oDR)^'Markov Model_b'!cycle</f>
        <v>32.743752431446609</v>
      </c>
      <c r="Z109" s="82"/>
      <c r="AA109" s="3"/>
      <c r="AB109" s="3"/>
      <c r="AC109" s="3"/>
      <c r="AD109" s="3"/>
      <c r="AE109" s="3"/>
      <c r="AF109" s="3"/>
      <c r="AG109" s="3"/>
      <c r="AH109" s="3"/>
      <c r="AI109" s="14"/>
      <c r="AJ109" s="14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</row>
    <row r="110" spans="1:60" ht="14.25" customHeight="1" x14ac:dyDescent="0.2">
      <c r="A110" s="311"/>
      <c r="B110" s="82"/>
      <c r="C110" s="176">
        <v>99</v>
      </c>
      <c r="D110" s="168"/>
      <c r="E110" s="201">
        <v>1.6699058182578774E-4</v>
      </c>
      <c r="F110" s="202"/>
      <c r="G110" s="465">
        <f t="shared" si="11"/>
        <v>58.399117907900788</v>
      </c>
      <c r="H110" s="179">
        <f t="shared" si="9"/>
        <v>41.600882092099212</v>
      </c>
      <c r="I110" s="179">
        <f t="shared" si="2"/>
        <v>100</v>
      </c>
      <c r="J110" s="156">
        <f>(G110*0)/(1+cDR)^'Markov Model_b'!cycle</f>
        <v>0</v>
      </c>
      <c r="K110" s="181">
        <f t="shared" si="12"/>
        <v>58.399117907900788</v>
      </c>
      <c r="L110" s="205">
        <f>(G110*(uPostT))/(1+oDR)^'Markov Model_b'!cycle</f>
        <v>34.662998765751809</v>
      </c>
      <c r="M110" s="82"/>
      <c r="N110" s="3"/>
      <c r="O110" s="82"/>
      <c r="P110" s="176">
        <v>99</v>
      </c>
      <c r="Q110" s="168"/>
      <c r="R110" s="201">
        <v>1.6699058182578774E-4</v>
      </c>
      <c r="S110" s="82"/>
      <c r="T110" s="178">
        <f t="shared" si="5"/>
        <v>55.01887339845338</v>
      </c>
      <c r="U110" s="179">
        <f>(T109*'Markov Model_b'!mr_2)+U109</f>
        <v>44.98112660154662</v>
      </c>
      <c r="V110" s="179">
        <f t="shared" si="4"/>
        <v>100</v>
      </c>
      <c r="W110" s="183">
        <f>(T110*0)/(1+cDR)^'Markov Model_b'!cycle2</f>
        <v>0</v>
      </c>
      <c r="X110" s="179">
        <f t="shared" si="10"/>
        <v>55.01887339845338</v>
      </c>
      <c r="Y110" s="205">
        <f>(T110*(uPostT))/(1+oDR)^'Markov Model_b'!cycle</f>
        <v>32.656642925862265</v>
      </c>
      <c r="Z110" s="82"/>
      <c r="AA110" s="3"/>
      <c r="AB110" s="3"/>
      <c r="AC110" s="3"/>
      <c r="AD110" s="3"/>
      <c r="AE110" s="3"/>
      <c r="AF110" s="3"/>
      <c r="AG110" s="3"/>
      <c r="AH110" s="3"/>
      <c r="AI110" s="14"/>
      <c r="AJ110" s="14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</row>
    <row r="111" spans="1:60" ht="14.25" customHeight="1" x14ac:dyDescent="0.2">
      <c r="A111" s="311"/>
      <c r="B111" s="82"/>
      <c r="C111" s="176">
        <v>100</v>
      </c>
      <c r="D111" s="168"/>
      <c r="E111" s="201">
        <v>1.6026971102239829E-4</v>
      </c>
      <c r="F111" s="202"/>
      <c r="G111" s="465">
        <f t="shared" si="11"/>
        <v>58.389758298149722</v>
      </c>
      <c r="H111" s="179">
        <f t="shared" si="9"/>
        <v>41.610241701850278</v>
      </c>
      <c r="I111" s="179">
        <f t="shared" si="2"/>
        <v>100</v>
      </c>
      <c r="J111" s="156">
        <f>(G111*0)/(1+cDR)^'Markov Model_b'!cycle</f>
        <v>0</v>
      </c>
      <c r="K111" s="181">
        <f t="shared" si="12"/>
        <v>58.389758298149722</v>
      </c>
      <c r="L111" s="205">
        <f>(G111*(uPostT))/(1+oDR)^'Markov Model_b'!cycle</f>
        <v>34.571015797462785</v>
      </c>
      <c r="M111" s="82"/>
      <c r="N111" s="3"/>
      <c r="O111" s="82"/>
      <c r="P111" s="176">
        <v>100</v>
      </c>
      <c r="Q111" s="168"/>
      <c r="R111" s="201">
        <v>1.6026971102239829E-4</v>
      </c>
      <c r="S111" s="82"/>
      <c r="T111" s="178">
        <f t="shared" si="5"/>
        <v>55.010055539513033</v>
      </c>
      <c r="U111" s="179">
        <f>(T110*'Markov Model_b'!mr_2)+U110</f>
        <v>44.989944460486967</v>
      </c>
      <c r="V111" s="179">
        <f t="shared" si="4"/>
        <v>100</v>
      </c>
      <c r="W111" s="183">
        <f>(T111*0)/(1+cDR)^'Markov Model_b'!cycle2</f>
        <v>0</v>
      </c>
      <c r="X111" s="179">
        <f t="shared" si="10"/>
        <v>55.010055539513033</v>
      </c>
      <c r="Y111" s="205">
        <f>(T111*(uPostT))/(1+oDR)^'Markov Model_b'!cycle</f>
        <v>32.569984094900313</v>
      </c>
      <c r="Z111" s="82"/>
      <c r="AA111" s="3"/>
      <c r="AB111" s="3"/>
      <c r="AC111" s="3"/>
      <c r="AD111" s="3"/>
      <c r="AE111" s="3"/>
      <c r="AF111" s="3"/>
      <c r="AG111" s="3"/>
      <c r="AH111" s="3"/>
      <c r="AI111" s="14"/>
      <c r="AJ111" s="14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</row>
    <row r="112" spans="1:60" ht="14.25" customHeight="1" x14ac:dyDescent="0.2">
      <c r="A112" s="311"/>
      <c r="B112" s="82"/>
      <c r="C112" s="176">
        <v>101</v>
      </c>
      <c r="D112" s="168"/>
      <c r="E112" s="201">
        <v>1.5382281994869018E-4</v>
      </c>
      <c r="F112" s="202"/>
      <c r="G112" s="465">
        <f t="shared" si="11"/>
        <v>58.380776620872176</v>
      </c>
      <c r="H112" s="179">
        <f t="shared" si="9"/>
        <v>41.619223379127824</v>
      </c>
      <c r="I112" s="179">
        <f t="shared" si="2"/>
        <v>100</v>
      </c>
      <c r="J112" s="156">
        <f>(G112*0)/(1+cDR)^'Markov Model_b'!cycle</f>
        <v>0</v>
      </c>
      <c r="K112" s="181">
        <f t="shared" si="12"/>
        <v>58.380776620872176</v>
      </c>
      <c r="L112" s="205">
        <f>(G112*(uPostT))/(1+oDR)^'Markov Model_b'!cycle</f>
        <v>34.479499238228755</v>
      </c>
      <c r="M112" s="82"/>
      <c r="N112" s="3"/>
      <c r="O112" s="82"/>
      <c r="P112" s="176">
        <v>101</v>
      </c>
      <c r="Q112" s="168"/>
      <c r="R112" s="201">
        <v>1.5382281994869018E-4</v>
      </c>
      <c r="S112" s="82"/>
      <c r="T112" s="178">
        <f t="shared" si="5"/>
        <v>55.001593737644413</v>
      </c>
      <c r="U112" s="179">
        <f>(T111*'Markov Model_b'!mr_2)+U111</f>
        <v>44.998406262355587</v>
      </c>
      <c r="V112" s="179">
        <f t="shared" si="4"/>
        <v>100</v>
      </c>
      <c r="W112" s="183">
        <f>(T112*0)/(1+cDR)^'Markov Model_b'!cycle2</f>
        <v>0</v>
      </c>
      <c r="X112" s="179">
        <f t="shared" si="10"/>
        <v>55.001593737644413</v>
      </c>
      <c r="Y112" s="205">
        <f>(T112*(uPostT))/(1+oDR)^'Markov Model_b'!cycle</f>
        <v>32.483764676410132</v>
      </c>
      <c r="Z112" s="82"/>
      <c r="AA112" s="3"/>
      <c r="AB112" s="3"/>
      <c r="AC112" s="3"/>
      <c r="AD112" s="3"/>
      <c r="AE112" s="3"/>
      <c r="AF112" s="3"/>
      <c r="AG112" s="3"/>
      <c r="AH112" s="3"/>
      <c r="AI112" s="14"/>
      <c r="AJ112" s="14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</row>
    <row r="113" spans="1:60" ht="14.25" customHeight="1" x14ac:dyDescent="0.2">
      <c r="A113" s="311"/>
      <c r="B113" s="82"/>
      <c r="C113" s="176">
        <v>102</v>
      </c>
      <c r="D113" s="168"/>
      <c r="E113" s="201">
        <v>1.4763846867804631E-4</v>
      </c>
      <c r="F113" s="202"/>
      <c r="G113" s="465">
        <f t="shared" si="11"/>
        <v>58.372157372411635</v>
      </c>
      <c r="H113" s="179">
        <f t="shared" si="9"/>
        <v>41.627842627588365</v>
      </c>
      <c r="I113" s="179">
        <f t="shared" si="2"/>
        <v>100</v>
      </c>
      <c r="J113" s="156">
        <f>(G113*0)/(1+cDR)^'Markov Model_b'!cycle</f>
        <v>0</v>
      </c>
      <c r="K113" s="181">
        <f t="shared" si="12"/>
        <v>58.372157372411635</v>
      </c>
      <c r="L113" s="205">
        <f>(G113*(uPostT))/(1+oDR)^'Markov Model_b'!cycle</f>
        <v>34.388437643651329</v>
      </c>
      <c r="M113" s="82"/>
      <c r="N113" s="3"/>
      <c r="O113" s="82"/>
      <c r="P113" s="176">
        <v>102</v>
      </c>
      <c r="Q113" s="168"/>
      <c r="R113" s="201">
        <v>1.4763846867804631E-4</v>
      </c>
      <c r="S113" s="82"/>
      <c r="T113" s="178">
        <f t="shared" si="5"/>
        <v>54.993473386570138</v>
      </c>
      <c r="U113" s="179">
        <f>(T112*'Markov Model_b'!mr_2)+U112</f>
        <v>45.006526613429862</v>
      </c>
      <c r="V113" s="179">
        <f t="shared" si="4"/>
        <v>100</v>
      </c>
      <c r="W113" s="183">
        <f>(T113*0)/(1+cDR)^'Markov Model_b'!cycle2</f>
        <v>0</v>
      </c>
      <c r="X113" s="179">
        <f t="shared" si="10"/>
        <v>54.993473386570138</v>
      </c>
      <c r="Y113" s="205">
        <f>(T113*(uPostT))/(1+oDR)^'Markov Model_b'!cycle</f>
        <v>32.397973888415386</v>
      </c>
      <c r="Z113" s="82"/>
      <c r="AA113" s="3"/>
      <c r="AB113" s="3"/>
      <c r="AC113" s="3"/>
      <c r="AD113" s="3"/>
      <c r="AE113" s="3"/>
      <c r="AF113" s="3"/>
      <c r="AG113" s="3"/>
      <c r="AH113" s="3"/>
      <c r="AI113" s="14"/>
      <c r="AJ113" s="14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</row>
    <row r="114" spans="1:60" ht="14.25" customHeight="1" x14ac:dyDescent="0.2">
      <c r="A114" s="311"/>
      <c r="B114" s="82"/>
      <c r="C114" s="176">
        <v>103</v>
      </c>
      <c r="D114" s="168"/>
      <c r="E114" s="201">
        <v>1.4170571589045E-4</v>
      </c>
      <c r="F114" s="202"/>
      <c r="G114" s="465">
        <f t="shared" si="11"/>
        <v>58.363885704063108</v>
      </c>
      <c r="H114" s="179">
        <f t="shared" si="9"/>
        <v>41.636114295936892</v>
      </c>
      <c r="I114" s="179">
        <f t="shared" si="2"/>
        <v>100</v>
      </c>
      <c r="J114" s="156">
        <f>(G114*0)/(1+cDR)^'Markov Model_b'!cycle</f>
        <v>0</v>
      </c>
      <c r="K114" s="181">
        <f t="shared" si="12"/>
        <v>58.363885704063108</v>
      </c>
      <c r="L114" s="205">
        <f>(G114*(uPostT))/(1+oDR)^'Markov Model_b'!cycle</f>
        <v>34.297820055338327</v>
      </c>
      <c r="M114" s="82"/>
      <c r="N114" s="3"/>
      <c r="O114" s="82"/>
      <c r="P114" s="176">
        <v>103</v>
      </c>
      <c r="Q114" s="168"/>
      <c r="R114" s="201">
        <v>1.4170571589045E-4</v>
      </c>
      <c r="S114" s="82"/>
      <c r="T114" s="178">
        <f t="shared" si="5"/>
        <v>54.985680497054588</v>
      </c>
      <c r="U114" s="179">
        <f>(T113*'Markov Model_b'!mr_2)+U113</f>
        <v>45.014319502945412</v>
      </c>
      <c r="V114" s="179">
        <f t="shared" si="4"/>
        <v>100</v>
      </c>
      <c r="W114" s="183">
        <f>(T114*0)/(1+cDR)^'Markov Model_b'!cycle2</f>
        <v>0</v>
      </c>
      <c r="X114" s="179">
        <f t="shared" si="10"/>
        <v>54.985680497054588</v>
      </c>
      <c r="Y114" s="205">
        <f>(T114*(uPostT))/(1+oDR)^'Markov Model_b'!cycle</f>
        <v>32.312601406815084</v>
      </c>
      <c r="Z114" s="82"/>
      <c r="AA114" s="3"/>
      <c r="AB114" s="3"/>
      <c r="AC114" s="3"/>
      <c r="AD114" s="3"/>
      <c r="AE114" s="3"/>
      <c r="AF114" s="3"/>
      <c r="AG114" s="3"/>
      <c r="AH114" s="3"/>
      <c r="AI114" s="14"/>
      <c r="AJ114" s="14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</row>
    <row r="115" spans="1:60" ht="14.25" customHeight="1" x14ac:dyDescent="0.2">
      <c r="A115" s="311"/>
      <c r="B115" s="82"/>
      <c r="C115" s="176">
        <v>104</v>
      </c>
      <c r="D115" s="168"/>
      <c r="E115" s="201">
        <v>1.3601409554558908E-4</v>
      </c>
      <c r="F115" s="202"/>
      <c r="G115" s="465">
        <f t="shared" si="11"/>
        <v>58.355947392936542</v>
      </c>
      <c r="H115" s="179">
        <f t="shared" si="9"/>
        <v>41.644052607063458</v>
      </c>
      <c r="I115" s="179">
        <f t="shared" si="2"/>
        <v>100</v>
      </c>
      <c r="J115" s="156">
        <f>(G115*0)/(1+cDR)^'Markov Model_b'!cycle</f>
        <v>0</v>
      </c>
      <c r="K115" s="181">
        <f t="shared" si="12"/>
        <v>58.355947392936542</v>
      </c>
      <c r="L115" s="205">
        <f>(G115*(uPostT))/(1+oDR)^'Markov Model_b'!cycle</f>
        <v>34.20763597841826</v>
      </c>
      <c r="M115" s="82"/>
      <c r="N115" s="3"/>
      <c r="O115" s="82"/>
      <c r="P115" s="176">
        <v>104</v>
      </c>
      <c r="Q115" s="168"/>
      <c r="R115" s="201">
        <v>1.3601409554558908E-4</v>
      </c>
      <c r="S115" s="82"/>
      <c r="T115" s="178">
        <f t="shared" si="5"/>
        <v>54.978201669453824</v>
      </c>
      <c r="U115" s="179">
        <f>(T114*'Markov Model_b'!mr_2)+U114</f>
        <v>45.021798330546176</v>
      </c>
      <c r="V115" s="179">
        <f t="shared" si="4"/>
        <v>100</v>
      </c>
      <c r="W115" s="183">
        <f>(T115*0)/(1+cDR)^'Markov Model_b'!cycle2</f>
        <v>0</v>
      </c>
      <c r="X115" s="179">
        <f t="shared" si="10"/>
        <v>54.978201669453824</v>
      </c>
      <c r="Y115" s="205">
        <f>(T115*(uPostT))/(1+oDR)^'Markov Model_b'!cycle</f>
        <v>32.227637344199508</v>
      </c>
      <c r="Z115" s="82"/>
      <c r="AA115" s="3"/>
      <c r="AB115" s="3"/>
      <c r="AC115" s="3"/>
      <c r="AD115" s="3"/>
      <c r="AE115" s="3"/>
      <c r="AF115" s="3"/>
      <c r="AG115" s="3"/>
      <c r="AH115" s="3"/>
      <c r="AI115" s="14"/>
      <c r="AJ115" s="14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</row>
    <row r="116" spans="1:60" ht="14.25" customHeight="1" x14ac:dyDescent="0.2">
      <c r="A116" s="311"/>
      <c r="B116" s="82"/>
      <c r="C116" s="176">
        <v>105</v>
      </c>
      <c r="D116" s="168"/>
      <c r="E116" s="201">
        <v>1.3055359476821238E-4</v>
      </c>
      <c r="F116" s="202"/>
      <c r="G116" s="465">
        <f t="shared" si="11"/>
        <v>58.348328814228289</v>
      </c>
      <c r="H116" s="179">
        <f t="shared" si="9"/>
        <v>41.651671185771711</v>
      </c>
      <c r="I116" s="179">
        <f t="shared" si="2"/>
        <v>100</v>
      </c>
      <c r="J116" s="156">
        <f>(G116*0)/(1+cDR)^'Markov Model_b'!cycle</f>
        <v>0</v>
      </c>
      <c r="K116" s="181">
        <f t="shared" si="12"/>
        <v>58.348328814228289</v>
      </c>
      <c r="L116" s="205">
        <f>(G116*(uPostT))/(1+oDR)^'Markov Model_b'!cycle</f>
        <v>34.117875360172334</v>
      </c>
      <c r="M116" s="82"/>
      <c r="N116" s="3"/>
      <c r="O116" s="82"/>
      <c r="P116" s="176">
        <v>105</v>
      </c>
      <c r="Q116" s="168"/>
      <c r="R116" s="201">
        <v>1.3055359476821238E-4</v>
      </c>
      <c r="S116" s="82"/>
      <c r="T116" s="178">
        <f t="shared" si="5"/>
        <v>54.971024067591983</v>
      </c>
      <c r="U116" s="179">
        <f>(T115*'Markov Model_b'!mr_2)+U115</f>
        <v>45.028975932408017</v>
      </c>
      <c r="V116" s="179">
        <f t="shared" si="4"/>
        <v>100</v>
      </c>
      <c r="W116" s="183">
        <f>(T116*0)/(1+cDR)^'Markov Model_b'!cycle2</f>
        <v>0</v>
      </c>
      <c r="X116" s="179">
        <f t="shared" si="10"/>
        <v>54.971024067591983</v>
      </c>
      <c r="Y116" s="205">
        <f>(T116*(uPostT))/(1+oDR)^'Markov Model_b'!cycle</f>
        <v>32.143072229719046</v>
      </c>
      <c r="Z116" s="82"/>
      <c r="AA116" s="3"/>
      <c r="AB116" s="3"/>
      <c r="AC116" s="3"/>
      <c r="AD116" s="3"/>
      <c r="AE116" s="3"/>
      <c r="AF116" s="3"/>
      <c r="AG116" s="3"/>
      <c r="AH116" s="3"/>
      <c r="AI116" s="14"/>
      <c r="AJ116" s="14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</row>
    <row r="117" spans="1:60" ht="14.25" customHeight="1" x14ac:dyDescent="0.2">
      <c r="A117" s="311"/>
      <c r="B117" s="82"/>
      <c r="C117" s="176">
        <v>106</v>
      </c>
      <c r="D117" s="168"/>
      <c r="E117" s="201">
        <v>1.2531463286857836E-4</v>
      </c>
      <c r="F117" s="202"/>
      <c r="G117" s="465">
        <f t="shared" si="11"/>
        <v>58.341016914824436</v>
      </c>
      <c r="H117" s="179">
        <f t="shared" si="9"/>
        <v>41.658983085175564</v>
      </c>
      <c r="I117" s="179">
        <f t="shared" si="2"/>
        <v>100</v>
      </c>
      <c r="J117" s="156">
        <f>(G117*0)/(1+cDR)^'Markov Model_b'!cycle</f>
        <v>0</v>
      </c>
      <c r="K117" s="181">
        <f t="shared" si="12"/>
        <v>58.341016914824436</v>
      </c>
      <c r="L117" s="205">
        <f>(G117*(uPostT))/(1+oDR)^'Markov Model_b'!cycle</f>
        <v>34.028528569723015</v>
      </c>
      <c r="M117" s="82"/>
      <c r="N117" s="3"/>
      <c r="O117" s="82"/>
      <c r="P117" s="176">
        <v>106</v>
      </c>
      <c r="Q117" s="168"/>
      <c r="R117" s="201">
        <v>1.2531463286857836E-4</v>
      </c>
      <c r="S117" s="82"/>
      <c r="T117" s="178">
        <f t="shared" si="5"/>
        <v>54.964135393892541</v>
      </c>
      <c r="U117" s="179">
        <f>(T116*'Markov Model_b'!mr_2)+U116</f>
        <v>45.035864606107459</v>
      </c>
      <c r="V117" s="179">
        <f t="shared" si="4"/>
        <v>100</v>
      </c>
      <c r="W117" s="183">
        <f>(T117*0)/(1+cDR)^'Markov Model_b'!cycle2</f>
        <v>0</v>
      </c>
      <c r="X117" s="179">
        <f t="shared" si="10"/>
        <v>54.964135393892541</v>
      </c>
      <c r="Y117" s="205">
        <f>(T117*(uPostT))/(1+oDR)^'Markov Model_b'!cycle</f>
        <v>32.058896989948444</v>
      </c>
      <c r="Z117" s="82"/>
      <c r="AA117" s="3"/>
      <c r="AB117" s="3"/>
      <c r="AC117" s="3"/>
      <c r="AD117" s="3"/>
      <c r="AE117" s="3"/>
      <c r="AF117" s="3"/>
      <c r="AG117" s="3"/>
      <c r="AH117" s="3"/>
      <c r="AI117" s="14"/>
      <c r="AJ117" s="14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</row>
    <row r="118" spans="1:60" ht="14.25" customHeight="1" x14ac:dyDescent="0.2">
      <c r="A118" s="311"/>
      <c r="B118" s="82"/>
      <c r="C118" s="176">
        <v>107</v>
      </c>
      <c r="D118" s="168"/>
      <c r="E118" s="201">
        <v>1.2028804143726646E-4</v>
      </c>
      <c r="F118" s="202"/>
      <c r="G118" s="465">
        <f t="shared" si="11"/>
        <v>58.333999188164292</v>
      </c>
      <c r="H118" s="179">
        <f t="shared" si="9"/>
        <v>41.666000811835708</v>
      </c>
      <c r="I118" s="179">
        <f t="shared" si="2"/>
        <v>100</v>
      </c>
      <c r="J118" s="156">
        <f>(G118*0)/(1+cDR)^'Markov Model_b'!cycle</f>
        <v>0</v>
      </c>
      <c r="K118" s="181">
        <f t="shared" si="12"/>
        <v>58.333999188164292</v>
      </c>
      <c r="L118" s="205">
        <f>(G118*(uPostT))/(1+oDR)^'Markov Model_b'!cycle</f>
        <v>33.939586378721565</v>
      </c>
      <c r="M118" s="82"/>
      <c r="N118" s="3"/>
      <c r="O118" s="82"/>
      <c r="P118" s="176">
        <v>107</v>
      </c>
      <c r="Q118" s="168"/>
      <c r="R118" s="201">
        <v>1.2028804143726646E-4</v>
      </c>
      <c r="S118" s="82"/>
      <c r="T118" s="178">
        <f t="shared" si="5"/>
        <v>54.957523865696714</v>
      </c>
      <c r="U118" s="179">
        <f>(T117*'Markov Model_b'!mr_2)+U117</f>
        <v>45.042476134303286</v>
      </c>
      <c r="V118" s="179">
        <f t="shared" si="4"/>
        <v>100</v>
      </c>
      <c r="W118" s="183">
        <f>(T118*0)/(1+cDR)^'Markov Model_b'!cycle2</f>
        <v>0</v>
      </c>
      <c r="X118" s="179">
        <f t="shared" si="10"/>
        <v>54.957523865696714</v>
      </c>
      <c r="Y118" s="205">
        <f>(T118*(uPostT))/(1+oDR)^'Markov Model_b'!cycle</f>
        <v>31.975102930692152</v>
      </c>
      <c r="Z118" s="82"/>
      <c r="AA118" s="3"/>
      <c r="AB118" s="3"/>
      <c r="AC118" s="3"/>
      <c r="AD118" s="3"/>
      <c r="AE118" s="3"/>
      <c r="AF118" s="3"/>
      <c r="AG118" s="3"/>
      <c r="AH118" s="3"/>
      <c r="AI118" s="14"/>
      <c r="AJ118" s="14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</row>
    <row r="119" spans="1:60" ht="14.25" customHeight="1" x14ac:dyDescent="0.2">
      <c r="A119" s="311"/>
      <c r="B119" s="480"/>
      <c r="C119" s="481">
        <v>108</v>
      </c>
      <c r="D119" s="482"/>
      <c r="E119" s="483">
        <v>1.1546504544779346E-4</v>
      </c>
      <c r="F119" s="488"/>
      <c r="G119" s="489">
        <f t="shared" si="11"/>
        <v>58.327263650296878</v>
      </c>
      <c r="H119" s="485">
        <f t="shared" si="9"/>
        <v>41.672736349703122</v>
      </c>
      <c r="I119" s="485">
        <f t="shared" si="2"/>
        <v>100</v>
      </c>
      <c r="J119" s="486">
        <f>(G119*0)/(1+cDR)^'Markov Model_b'!cycle</f>
        <v>0</v>
      </c>
      <c r="K119" s="485">
        <f t="shared" si="12"/>
        <v>58.327263650296878</v>
      </c>
      <c r="L119" s="487">
        <f>(G119*(uPostT))/(1+oDR)^'Markov Model_b'!cycle</f>
        <v>33.851039942980414</v>
      </c>
      <c r="M119" s="480"/>
      <c r="N119" s="3"/>
      <c r="O119" s="480"/>
      <c r="P119" s="481">
        <v>108</v>
      </c>
      <c r="Q119" s="482"/>
      <c r="R119" s="483">
        <v>1.1546504544779346E-4</v>
      </c>
      <c r="S119" s="480"/>
      <c r="T119" s="484">
        <f t="shared" si="5"/>
        <v>54.951178192705861</v>
      </c>
      <c r="U119" s="485">
        <f>(T118*'Markov Model_b'!mr_2)+U118</f>
        <v>45.048821807294139</v>
      </c>
      <c r="V119" s="485">
        <f t="shared" si="4"/>
        <v>100</v>
      </c>
      <c r="W119" s="486">
        <f>(T119*0)/(1+cDR)^'Markov Model_b'!cycle2</f>
        <v>0</v>
      </c>
      <c r="X119" s="485">
        <f t="shared" si="10"/>
        <v>54.951178192705861</v>
      </c>
      <c r="Y119" s="487">
        <f>(T119*(uPostT))/(1+oDR)^'Markov Model_b'!cycle</f>
        <v>31.891681719679859</v>
      </c>
      <c r="Z119" s="480"/>
      <c r="AA119" s="3"/>
      <c r="AB119" s="3"/>
      <c r="AC119" s="3"/>
      <c r="AD119" s="3"/>
      <c r="AE119" s="3"/>
      <c r="AF119" s="3"/>
      <c r="AG119" s="3"/>
      <c r="AH119" s="3"/>
      <c r="AI119" s="14"/>
      <c r="AJ119" s="14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</row>
    <row r="120" spans="1:60" ht="14.25" customHeight="1" x14ac:dyDescent="0.2">
      <c r="A120" s="3"/>
      <c r="B120" s="289"/>
      <c r="C120" s="289"/>
      <c r="D120" s="289"/>
      <c r="E120" s="289"/>
      <c r="F120" s="289"/>
      <c r="G120" s="289"/>
      <c r="H120" s="289"/>
      <c r="I120" s="289"/>
      <c r="J120" s="479" t="s">
        <v>245</v>
      </c>
      <c r="K120" s="479" t="s">
        <v>442</v>
      </c>
      <c r="L120" s="479" t="s">
        <v>443</v>
      </c>
      <c r="M120" s="289"/>
      <c r="N120" s="3"/>
      <c r="O120" s="289"/>
      <c r="P120" s="289"/>
      <c r="Q120" s="289"/>
      <c r="R120" s="289"/>
      <c r="S120" s="289"/>
      <c r="T120" s="289"/>
      <c r="U120" s="289"/>
      <c r="V120" s="289"/>
      <c r="W120" s="479" t="s">
        <v>245</v>
      </c>
      <c r="X120" s="479" t="s">
        <v>442</v>
      </c>
      <c r="Y120" s="479" t="s">
        <v>443</v>
      </c>
      <c r="Z120" s="289"/>
      <c r="AA120" s="3"/>
      <c r="AB120" s="3"/>
      <c r="AC120" s="3"/>
      <c r="AD120" s="3"/>
      <c r="AE120" s="3"/>
      <c r="AF120" s="3"/>
      <c r="AG120" s="3"/>
      <c r="AH120" s="3"/>
      <c r="AI120" s="14"/>
      <c r="AJ120" s="14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</row>
    <row r="121" spans="1:60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474">
        <f>SUM(J11:J119)/cohortsize</f>
        <v>89216.373629588692</v>
      </c>
      <c r="K121" s="473">
        <f>(SUM(K12:K119)/12/cohortsize)+(K11/cohortsize)</f>
        <v>6.3863427306887042</v>
      </c>
      <c r="L121" s="473">
        <f>(SUM(L12:L119)/12/cohortsize)+(L11/cohortsize)</f>
        <v>3.915400478393372</v>
      </c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474">
        <f>SUM(W11:W119)/cohortsize</f>
        <v>75710.003151432553</v>
      </c>
      <c r="X121" s="473">
        <f>(SUM(X12:X119)/12/cohortsize)+(X11/cohortsize)</f>
        <v>6.0166898879025412</v>
      </c>
      <c r="Y121" s="473">
        <f>(SUM(Y12:Y119)/12/cohortsize)+(Y11/cohortsize)</f>
        <v>3.6764400530801655</v>
      </c>
      <c r="Z121" s="3"/>
      <c r="AA121" s="3"/>
      <c r="AB121" s="3"/>
      <c r="AC121" s="3"/>
      <c r="AD121" s="3"/>
      <c r="AE121" s="3"/>
      <c r="AF121" s="3"/>
      <c r="AG121" s="3"/>
      <c r="AH121" s="3"/>
      <c r="AI121" s="14"/>
      <c r="AJ121" s="14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</row>
    <row r="122" spans="1:60" s="287" customFormat="1" ht="14.25" customHeight="1" x14ac:dyDescent="0.2">
      <c r="A122" s="289"/>
      <c r="B122" s="289"/>
      <c r="C122" s="289"/>
      <c r="D122" s="289"/>
      <c r="E122" s="289"/>
      <c r="F122" s="289"/>
      <c r="G122" s="289"/>
      <c r="H122" s="289"/>
      <c r="I122" s="289"/>
      <c r="J122" s="474" t="s">
        <v>439</v>
      </c>
      <c r="K122" s="473" t="s">
        <v>441</v>
      </c>
      <c r="L122" s="473" t="s">
        <v>440</v>
      </c>
      <c r="M122" s="289"/>
      <c r="N122" s="289"/>
      <c r="O122" s="289"/>
      <c r="P122" s="289"/>
      <c r="Q122" s="289"/>
      <c r="R122" s="289"/>
      <c r="S122" s="289"/>
      <c r="T122" s="289"/>
      <c r="U122" s="289"/>
      <c r="V122" s="289"/>
      <c r="W122" s="474" t="s">
        <v>439</v>
      </c>
      <c r="X122" s="473" t="s">
        <v>441</v>
      </c>
      <c r="Y122" s="473" t="s">
        <v>440</v>
      </c>
      <c r="Z122" s="289"/>
      <c r="AA122" s="289"/>
      <c r="AB122" s="289"/>
      <c r="AC122" s="289"/>
      <c r="AD122" s="289"/>
      <c r="AE122" s="289"/>
      <c r="AF122" s="289"/>
      <c r="AG122" s="289"/>
      <c r="AH122" s="289"/>
      <c r="AI122" s="291"/>
      <c r="AJ122" s="291"/>
      <c r="AK122" s="289"/>
      <c r="AL122" s="289"/>
      <c r="AM122" s="289"/>
      <c r="AN122" s="289"/>
      <c r="AO122" s="289"/>
      <c r="AP122" s="289"/>
      <c r="AQ122" s="289"/>
      <c r="AR122" s="289"/>
      <c r="AS122" s="289"/>
      <c r="AT122" s="3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</row>
    <row r="123" spans="1:60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475">
        <f>SUM(J11:J35)</f>
        <v>8921637.362958869</v>
      </c>
      <c r="K123" s="473">
        <f>(SUM(K12:K119)/12)+(K11)</f>
        <v>638.63427306887047</v>
      </c>
      <c r="L123" s="473">
        <f>(SUM(L12:L119)/12)+(L11)</f>
        <v>391.54004783933715</v>
      </c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475">
        <f>SUM(W11:W35)</f>
        <v>7571000.3151432555</v>
      </c>
      <c r="X123" s="473">
        <f>(SUM(X12:X119)/12)+(X11)</f>
        <v>601.66898879025416</v>
      </c>
      <c r="Y123" s="473">
        <f>(SUM(Y12:Y119)/12)+(Y11)</f>
        <v>367.64400530801652</v>
      </c>
      <c r="Z123" s="3"/>
      <c r="AA123" s="3"/>
      <c r="AB123" s="3"/>
      <c r="AC123" s="3"/>
      <c r="AD123" s="3"/>
      <c r="AE123" s="3"/>
      <c r="AF123" s="3"/>
      <c r="AG123" s="3"/>
      <c r="AH123" s="3"/>
      <c r="AI123" s="14"/>
      <c r="AJ123" s="14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</row>
    <row r="124" spans="1:60" s="313" customFormat="1" ht="14.25" customHeight="1" x14ac:dyDescent="0.2">
      <c r="A124" s="289"/>
      <c r="B124" s="289"/>
      <c r="C124" s="289"/>
      <c r="D124" s="289"/>
      <c r="E124" s="289"/>
      <c r="F124" s="289"/>
      <c r="G124" s="289"/>
      <c r="H124" s="289"/>
      <c r="I124" s="289"/>
      <c r="J124" s="316"/>
      <c r="K124" s="290"/>
      <c r="L124" s="290"/>
      <c r="M124" s="289"/>
      <c r="N124" s="289"/>
      <c r="O124" s="289"/>
      <c r="P124" s="289"/>
      <c r="Q124" s="289"/>
      <c r="R124" s="289"/>
      <c r="S124" s="289"/>
      <c r="T124" s="289"/>
      <c r="U124" s="289"/>
      <c r="V124" s="289"/>
      <c r="W124" s="316"/>
      <c r="X124" s="290"/>
      <c r="Y124" s="290"/>
      <c r="Z124" s="289"/>
      <c r="AA124" s="289"/>
      <c r="AB124" s="289"/>
      <c r="AC124" s="289"/>
      <c r="AD124" s="289"/>
      <c r="AE124" s="289"/>
      <c r="AF124" s="289"/>
      <c r="AG124" s="289"/>
      <c r="AH124" s="289"/>
      <c r="AI124" s="291"/>
      <c r="AJ124" s="291"/>
      <c r="AK124" s="289"/>
      <c r="AL124" s="289"/>
      <c r="AM124" s="289"/>
      <c r="AN124" s="289"/>
      <c r="AO124" s="289"/>
      <c r="AP124" s="289"/>
      <c r="AQ124" s="289"/>
      <c r="AR124" s="289"/>
      <c r="AS124" s="289"/>
      <c r="AT124" s="3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</row>
    <row r="125" spans="1:60" ht="4.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14"/>
      <c r="AJ125" s="14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</row>
    <row r="126" spans="1:60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476" t="s">
        <v>230</v>
      </c>
      <c r="K126" s="478">
        <f>(J121-W121)/(L121-Y121)</f>
        <v>56521.369429491431</v>
      </c>
      <c r="L126" s="4" t="s">
        <v>462</v>
      </c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14"/>
      <c r="AJ126" s="14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</row>
    <row r="127" spans="1:60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421" t="s">
        <v>257</v>
      </c>
      <c r="K127" s="477">
        <f>(J121-W121)/(K121-X121)</f>
        <v>36537.986226090827</v>
      </c>
      <c r="L127" s="311" t="s">
        <v>456</v>
      </c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14"/>
      <c r="AJ127" s="14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</row>
    <row r="128" spans="1:60" ht="4.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14"/>
      <c r="AJ128" s="14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</row>
    <row r="129" spans="1:60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14"/>
      <c r="AJ129" s="14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</row>
    <row r="130" spans="1:60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29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14"/>
      <c r="AJ130" s="14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</row>
    <row r="131" spans="1:60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29"/>
      <c r="L131" s="22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14"/>
      <c r="AJ131" s="14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</row>
    <row r="132" spans="1:60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211"/>
      <c r="L132" s="466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14"/>
      <c r="AJ132" s="14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</row>
    <row r="133" spans="1:60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67"/>
      <c r="M133" s="4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14"/>
      <c r="AJ133" s="14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</row>
    <row r="134" spans="1:60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14"/>
      <c r="AJ134" s="14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</row>
    <row r="135" spans="1:60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14"/>
      <c r="AJ135" s="14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</row>
    <row r="136" spans="1:60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14"/>
      <c r="AJ136" s="14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</row>
    <row r="137" spans="1:60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14"/>
      <c r="AJ137" s="14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</row>
    <row r="138" spans="1:60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14"/>
      <c r="AJ138" s="14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</row>
    <row r="139" spans="1:60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14"/>
      <c r="AJ139" s="14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</row>
    <row r="140" spans="1:60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14"/>
      <c r="AJ140" s="14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</row>
    <row r="141" spans="1:60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14"/>
      <c r="AJ141" s="14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</row>
    <row r="142" spans="1:60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14"/>
      <c r="AJ142" s="14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</row>
    <row r="143" spans="1:60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14"/>
      <c r="AJ143" s="14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</row>
    <row r="144" spans="1:60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14"/>
      <c r="AJ144" s="14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</row>
    <row r="145" spans="1:60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14"/>
      <c r="AJ145" s="14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</row>
    <row r="146" spans="1:60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14"/>
      <c r="AJ146" s="14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</row>
    <row r="147" spans="1:60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14"/>
      <c r="AJ147" s="14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</row>
    <row r="148" spans="1:60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14"/>
      <c r="AJ148" s="14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</row>
    <row r="149" spans="1:60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14"/>
      <c r="AJ149" s="14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</row>
    <row r="150" spans="1:60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14"/>
      <c r="AJ150" s="14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</row>
    <row r="151" spans="1:60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14"/>
      <c r="AJ151" s="14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</row>
    <row r="152" spans="1:60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14"/>
      <c r="AJ152" s="14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</row>
    <row r="153" spans="1:60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14"/>
      <c r="AJ153" s="14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</row>
    <row r="154" spans="1:60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14"/>
      <c r="AJ154" s="14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</row>
    <row r="155" spans="1:60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14"/>
      <c r="AJ155" s="14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</row>
    <row r="156" spans="1:60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14"/>
      <c r="AJ156" s="14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</row>
    <row r="157" spans="1:60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14"/>
      <c r="AJ157" s="14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</row>
    <row r="158" spans="1:60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14"/>
      <c r="AJ158" s="14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</row>
    <row r="159" spans="1:60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14"/>
      <c r="AJ159" s="14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</row>
    <row r="160" spans="1:60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14"/>
      <c r="AJ160" s="14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</row>
    <row r="161" spans="1:58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14"/>
      <c r="AJ161" s="14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</row>
    <row r="162" spans="1:58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14"/>
      <c r="AJ162" s="14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</row>
    <row r="163" spans="1:58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14"/>
      <c r="AJ163" s="14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</row>
    <row r="164" spans="1:58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14"/>
      <c r="AJ164" s="14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</row>
    <row r="165" spans="1:58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14"/>
      <c r="AJ165" s="14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</row>
    <row r="166" spans="1:58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14"/>
      <c r="AJ166" s="14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</row>
    <row r="167" spans="1:58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14"/>
      <c r="AJ167" s="14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</row>
    <row r="168" spans="1:58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14"/>
      <c r="AJ168" s="14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</row>
    <row r="169" spans="1:58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14"/>
      <c r="AJ169" s="14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</row>
    <row r="170" spans="1:58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14"/>
      <c r="AJ170" s="14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</row>
    <row r="171" spans="1:58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14"/>
      <c r="AJ171" s="14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</row>
    <row r="172" spans="1:58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14"/>
      <c r="AJ172" s="14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</row>
    <row r="173" spans="1:58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14"/>
      <c r="AJ173" s="14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</row>
    <row r="174" spans="1:58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14"/>
      <c r="AJ174" s="14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</row>
    <row r="175" spans="1:58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14"/>
      <c r="AJ175" s="14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</row>
    <row r="176" spans="1:58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14"/>
      <c r="AJ176" s="14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</row>
    <row r="177" spans="1:58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14"/>
      <c r="AJ177" s="14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</row>
    <row r="178" spans="1:58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14"/>
      <c r="AJ178" s="14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</row>
    <row r="179" spans="1:58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14"/>
      <c r="AJ179" s="14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</row>
    <row r="180" spans="1:58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14"/>
      <c r="AJ180" s="14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</row>
    <row r="181" spans="1:58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14"/>
      <c r="AJ181" s="14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</row>
    <row r="182" spans="1:58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14"/>
      <c r="AJ182" s="14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</row>
    <row r="183" spans="1:58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14"/>
      <c r="AJ183" s="14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</row>
    <row r="184" spans="1:58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14"/>
      <c r="AJ184" s="14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</row>
    <row r="185" spans="1:58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14"/>
      <c r="AJ185" s="14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</row>
    <row r="186" spans="1:58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14"/>
      <c r="AJ186" s="14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</row>
    <row r="187" spans="1:58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14"/>
      <c r="AJ187" s="14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</row>
    <row r="188" spans="1:58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14"/>
      <c r="AJ188" s="14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</row>
    <row r="189" spans="1:58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14"/>
      <c r="AJ189" s="14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</row>
    <row r="190" spans="1:58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14"/>
      <c r="AJ190" s="14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</row>
    <row r="191" spans="1:58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14"/>
      <c r="AJ191" s="14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</row>
    <row r="192" spans="1:58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14"/>
      <c r="AJ192" s="14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</row>
    <row r="193" spans="1:58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14"/>
      <c r="AJ193" s="14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</row>
    <row r="194" spans="1:58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14"/>
      <c r="AJ194" s="14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</row>
    <row r="195" spans="1:58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14"/>
      <c r="AJ195" s="14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</row>
    <row r="196" spans="1:58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14"/>
      <c r="AJ196" s="14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</row>
    <row r="197" spans="1:58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14"/>
      <c r="AJ197" s="14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</row>
    <row r="198" spans="1:58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14"/>
      <c r="AJ198" s="14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</row>
    <row r="199" spans="1:58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14"/>
      <c r="AJ199" s="14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</row>
    <row r="200" spans="1:58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14"/>
      <c r="AJ200" s="14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</row>
    <row r="201" spans="1:58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14"/>
      <c r="AJ201" s="14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</row>
    <row r="202" spans="1:58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14"/>
      <c r="AJ202" s="14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</row>
    <row r="203" spans="1:58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14"/>
      <c r="AJ203" s="14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</row>
    <row r="204" spans="1:58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14"/>
      <c r="AJ204" s="14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</row>
    <row r="205" spans="1:58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14"/>
      <c r="AJ205" s="14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</row>
    <row r="206" spans="1:58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14"/>
      <c r="AJ206" s="14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</row>
    <row r="207" spans="1:58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14"/>
      <c r="AJ207" s="14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</row>
    <row r="208" spans="1:58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14"/>
      <c r="AJ208" s="14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</row>
    <row r="209" spans="1:58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14"/>
      <c r="AJ209" s="14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</row>
    <row r="210" spans="1:58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14"/>
      <c r="AJ210" s="14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</row>
    <row r="211" spans="1:58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14"/>
      <c r="AJ211" s="14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</row>
    <row r="212" spans="1:58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14"/>
      <c r="AJ212" s="14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</row>
    <row r="213" spans="1:58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14"/>
      <c r="AJ213" s="14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</row>
    <row r="214" spans="1:58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14"/>
      <c r="AJ214" s="14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</row>
    <row r="215" spans="1:58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14"/>
      <c r="AJ215" s="14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</row>
    <row r="216" spans="1:58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14"/>
      <c r="AJ216" s="14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</row>
    <row r="217" spans="1:58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14"/>
      <c r="AJ217" s="14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</row>
    <row r="218" spans="1:58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14"/>
      <c r="AJ218" s="14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</row>
    <row r="219" spans="1:58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14"/>
      <c r="AJ219" s="14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</row>
    <row r="220" spans="1:58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14"/>
      <c r="AJ220" s="14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</row>
    <row r="221" spans="1:58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14"/>
      <c r="AJ221" s="14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</row>
    <row r="222" spans="1:58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14"/>
      <c r="AJ222" s="14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</row>
    <row r="223" spans="1:58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14"/>
      <c r="AJ223" s="14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</row>
    <row r="224" spans="1:58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14"/>
      <c r="AJ224" s="14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</row>
    <row r="225" spans="1:58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14"/>
      <c r="AJ225" s="14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</row>
    <row r="226" spans="1:58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14"/>
      <c r="AJ226" s="14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</row>
    <row r="227" spans="1:58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14"/>
      <c r="AJ227" s="14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</row>
    <row r="228" spans="1:58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14"/>
      <c r="AJ228" s="14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</row>
    <row r="229" spans="1:58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14"/>
      <c r="AJ229" s="14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</row>
    <row r="230" spans="1:58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14"/>
      <c r="AJ230" s="14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</row>
    <row r="231" spans="1:58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14"/>
      <c r="AJ231" s="14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</row>
    <row r="232" spans="1:58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14"/>
      <c r="AJ232" s="14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</row>
    <row r="233" spans="1:58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14"/>
      <c r="AJ233" s="14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</row>
    <row r="234" spans="1:58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14"/>
      <c r="AJ234" s="14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</row>
    <row r="235" spans="1:58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14"/>
      <c r="AJ235" s="14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</row>
    <row r="236" spans="1:58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14"/>
      <c r="AJ236" s="14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</row>
    <row r="237" spans="1:58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14"/>
      <c r="AJ237" s="14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</row>
    <row r="238" spans="1:58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14"/>
      <c r="AJ238" s="14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</row>
    <row r="239" spans="1:58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14"/>
      <c r="AJ239" s="14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</row>
    <row r="240" spans="1:58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14"/>
      <c r="AJ240" s="14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</row>
    <row r="241" spans="1:58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14"/>
      <c r="AJ241" s="14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</row>
    <row r="242" spans="1:58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14"/>
      <c r="AJ242" s="14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</row>
    <row r="243" spans="1:58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14"/>
      <c r="AJ243" s="14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</row>
    <row r="244" spans="1:58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14"/>
      <c r="AJ244" s="14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</row>
    <row r="245" spans="1:58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14"/>
      <c r="AJ245" s="14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</row>
    <row r="246" spans="1:58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14"/>
      <c r="AJ246" s="14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</row>
    <row r="247" spans="1:58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14"/>
      <c r="AJ247" s="14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</row>
    <row r="248" spans="1:58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14"/>
      <c r="AJ248" s="14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</row>
    <row r="249" spans="1:58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14"/>
      <c r="AJ249" s="14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</row>
    <row r="250" spans="1:58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14"/>
      <c r="AJ250" s="14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</row>
    <row r="251" spans="1:58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14"/>
      <c r="AJ251" s="14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</row>
    <row r="252" spans="1:58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14"/>
      <c r="AJ252" s="14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</row>
    <row r="253" spans="1:58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14"/>
      <c r="AJ253" s="14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</row>
    <row r="254" spans="1:58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14"/>
      <c r="AJ254" s="14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</row>
    <row r="255" spans="1:58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14"/>
      <c r="AJ255" s="14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</row>
    <row r="256" spans="1:58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14"/>
      <c r="AJ256" s="14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</row>
    <row r="257" spans="1:58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14"/>
      <c r="AJ257" s="14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</row>
    <row r="258" spans="1:58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14"/>
      <c r="AJ258" s="14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</row>
    <row r="259" spans="1:58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14"/>
      <c r="AJ259" s="14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</row>
    <row r="260" spans="1:58" ht="14.25" customHeight="1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14"/>
      <c r="AJ260" s="14"/>
      <c r="AK260" s="3"/>
      <c r="AL260" s="3"/>
      <c r="AM260" s="3"/>
      <c r="AN260" s="3"/>
      <c r="AO260" s="3"/>
      <c r="AP260" s="3"/>
      <c r="AQ260" s="3"/>
      <c r="AR260" s="3"/>
      <c r="AS260" s="3"/>
      <c r="AT260" s="4"/>
      <c r="AU260" s="4"/>
      <c r="AV260" s="462"/>
      <c r="AW260" s="462"/>
      <c r="AX260" s="462"/>
      <c r="AY260" s="462"/>
      <c r="AZ260" s="462"/>
      <c r="BA260" s="462"/>
      <c r="BB260" s="462"/>
      <c r="BC260" s="462"/>
      <c r="BD260" s="462"/>
      <c r="BE260" s="462"/>
      <c r="BF260" s="462"/>
    </row>
    <row r="261" spans="1:58" ht="14.25" customHeight="1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14"/>
      <c r="AJ261" s="14"/>
      <c r="AK261" s="3"/>
      <c r="AL261" s="3"/>
      <c r="AM261" s="3"/>
      <c r="AN261" s="3"/>
      <c r="AO261" s="3"/>
      <c r="AP261" s="3"/>
      <c r="AQ261" s="3"/>
      <c r="AR261" s="3"/>
      <c r="AS261" s="3"/>
      <c r="AT261" s="4"/>
      <c r="AU261" s="4"/>
      <c r="AV261" s="462"/>
      <c r="AW261" s="462"/>
      <c r="AX261" s="462"/>
      <c r="AY261" s="462"/>
      <c r="AZ261" s="462"/>
      <c r="BA261" s="462"/>
      <c r="BB261" s="462"/>
      <c r="BC261" s="462"/>
      <c r="BD261" s="462"/>
      <c r="BE261" s="462"/>
      <c r="BF261" s="462"/>
    </row>
    <row r="262" spans="1:58" ht="14.25" customHeight="1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14"/>
      <c r="AJ262" s="14"/>
      <c r="AK262" s="3"/>
      <c r="AL262" s="3"/>
      <c r="AM262" s="3"/>
      <c r="AN262" s="3"/>
      <c r="AO262" s="3"/>
      <c r="AP262" s="3"/>
      <c r="AQ262" s="3"/>
      <c r="AR262" s="3"/>
      <c r="AS262" s="3"/>
      <c r="AT262" s="4"/>
      <c r="AU262" s="4"/>
      <c r="AV262" s="462"/>
      <c r="AW262" s="462"/>
      <c r="AX262" s="462"/>
      <c r="AY262" s="462"/>
      <c r="AZ262" s="462"/>
      <c r="BA262" s="462"/>
      <c r="BB262" s="462"/>
      <c r="BC262" s="462"/>
      <c r="BD262" s="462"/>
      <c r="BE262" s="462"/>
      <c r="BF262" s="462"/>
    </row>
    <row r="263" spans="1:58" ht="14.25" customHeight="1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14"/>
      <c r="AJ263" s="14"/>
      <c r="AK263" s="3"/>
      <c r="AL263" s="3"/>
      <c r="AM263" s="3"/>
      <c r="AN263" s="3"/>
      <c r="AO263" s="3"/>
      <c r="AP263" s="3"/>
      <c r="AQ263" s="3"/>
      <c r="AR263" s="3"/>
      <c r="AS263" s="3"/>
      <c r="AT263" s="4"/>
      <c r="AU263" s="4"/>
      <c r="AV263" s="462"/>
      <c r="AW263" s="462"/>
      <c r="AX263" s="462"/>
      <c r="AY263" s="462"/>
      <c r="AZ263" s="462"/>
      <c r="BA263" s="462"/>
      <c r="BB263" s="462"/>
      <c r="BC263" s="462"/>
      <c r="BD263" s="462"/>
      <c r="BE263" s="462"/>
      <c r="BF263" s="462"/>
    </row>
    <row r="264" spans="1:58" ht="14.25" customHeight="1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14"/>
      <c r="AJ264" s="14"/>
      <c r="AK264" s="3"/>
      <c r="AL264" s="3"/>
      <c r="AM264" s="3"/>
      <c r="AN264" s="3"/>
      <c r="AO264" s="3"/>
      <c r="AP264" s="3"/>
      <c r="AQ264" s="3"/>
      <c r="AR264" s="3"/>
      <c r="AS264" s="3"/>
      <c r="AT264" s="4"/>
      <c r="AU264" s="4"/>
      <c r="AV264" s="462"/>
      <c r="AW264" s="462"/>
      <c r="AX264" s="462"/>
      <c r="AY264" s="462"/>
      <c r="AZ264" s="462"/>
      <c r="BA264" s="462"/>
      <c r="BB264" s="462"/>
      <c r="BC264" s="462"/>
      <c r="BD264" s="462"/>
      <c r="BE264" s="462"/>
      <c r="BF264" s="462"/>
    </row>
    <row r="265" spans="1:58" ht="14.25" customHeight="1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14"/>
      <c r="AJ265" s="14"/>
      <c r="AK265" s="3"/>
      <c r="AL265" s="3"/>
      <c r="AM265" s="3"/>
      <c r="AN265" s="3"/>
      <c r="AO265" s="3"/>
      <c r="AP265" s="3"/>
      <c r="AQ265" s="3"/>
      <c r="AR265" s="3"/>
      <c r="AS265" s="3"/>
      <c r="AT265" s="4"/>
      <c r="AU265" s="4"/>
      <c r="AV265" s="462"/>
      <c r="AW265" s="462"/>
      <c r="AX265" s="462"/>
      <c r="AY265" s="462"/>
      <c r="AZ265" s="462"/>
      <c r="BA265" s="462"/>
      <c r="BB265" s="462"/>
      <c r="BC265" s="462"/>
      <c r="BD265" s="462"/>
      <c r="BE265" s="462"/>
      <c r="BF265" s="462"/>
    </row>
    <row r="266" spans="1:58" ht="14.25" customHeight="1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14"/>
      <c r="AJ266" s="14"/>
      <c r="AK266" s="3"/>
      <c r="AL266" s="3"/>
      <c r="AM266" s="3"/>
      <c r="AN266" s="3"/>
      <c r="AO266" s="3"/>
      <c r="AP266" s="3"/>
      <c r="AQ266" s="3"/>
      <c r="AR266" s="3"/>
      <c r="AS266" s="3"/>
      <c r="AT266" s="4"/>
      <c r="AU266" s="4"/>
      <c r="AV266" s="462"/>
      <c r="AW266" s="462"/>
      <c r="AX266" s="462"/>
      <c r="AY266" s="462"/>
      <c r="AZ266" s="462"/>
      <c r="BA266" s="462"/>
      <c r="BB266" s="462"/>
      <c r="BC266" s="462"/>
      <c r="BD266" s="462"/>
      <c r="BE266" s="462"/>
      <c r="BF266" s="462"/>
    </row>
    <row r="267" spans="1:58" ht="14.25" customHeight="1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14"/>
      <c r="AJ267" s="14"/>
      <c r="AK267" s="3"/>
      <c r="AL267" s="3"/>
      <c r="AM267" s="3"/>
      <c r="AN267" s="3"/>
      <c r="AO267" s="3"/>
      <c r="AP267" s="3"/>
      <c r="AQ267" s="3"/>
      <c r="AR267" s="3"/>
      <c r="AS267" s="3"/>
      <c r="AT267" s="4"/>
      <c r="AU267" s="4"/>
      <c r="AV267" s="462"/>
      <c r="AW267" s="462"/>
      <c r="AX267" s="462"/>
      <c r="AY267" s="462"/>
      <c r="AZ267" s="462"/>
      <c r="BA267" s="462"/>
      <c r="BB267" s="462"/>
      <c r="BC267" s="462"/>
      <c r="BD267" s="462"/>
      <c r="BE267" s="462"/>
      <c r="BF267" s="462"/>
    </row>
    <row r="268" spans="1:58" ht="14.25" customHeight="1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14"/>
      <c r="AJ268" s="14"/>
      <c r="AK268" s="3"/>
      <c r="AL268" s="3"/>
      <c r="AM268" s="3"/>
      <c r="AN268" s="3"/>
      <c r="AO268" s="3"/>
      <c r="AP268" s="3"/>
      <c r="AQ268" s="3"/>
      <c r="AR268" s="3"/>
      <c r="AS268" s="3"/>
      <c r="AT268" s="4"/>
      <c r="AU268" s="4"/>
      <c r="AV268" s="462"/>
      <c r="AW268" s="462"/>
      <c r="AX268" s="462"/>
      <c r="AY268" s="462"/>
      <c r="AZ268" s="462"/>
      <c r="BA268" s="462"/>
      <c r="BB268" s="462"/>
      <c r="BC268" s="462"/>
      <c r="BD268" s="462"/>
      <c r="BE268" s="462"/>
      <c r="BF268" s="462"/>
    </row>
    <row r="269" spans="1:58" ht="14.25" customHeight="1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14"/>
      <c r="AJ269" s="14"/>
      <c r="AK269" s="3"/>
      <c r="AL269" s="3"/>
      <c r="AM269" s="3"/>
      <c r="AN269" s="3"/>
      <c r="AO269" s="3"/>
      <c r="AP269" s="3"/>
      <c r="AQ269" s="3"/>
      <c r="AR269" s="3"/>
      <c r="AS269" s="3"/>
      <c r="AT269" s="4"/>
      <c r="AU269" s="4"/>
      <c r="AV269" s="462"/>
      <c r="AW269" s="462"/>
      <c r="AX269" s="462"/>
      <c r="AY269" s="462"/>
      <c r="AZ269" s="462"/>
      <c r="BA269" s="462"/>
      <c r="BB269" s="462"/>
      <c r="BC269" s="462"/>
      <c r="BD269" s="462"/>
      <c r="BE269" s="462"/>
      <c r="BF269" s="462"/>
    </row>
    <row r="270" spans="1:58" ht="14.25" customHeight="1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14"/>
      <c r="AJ270" s="14"/>
      <c r="AK270" s="3"/>
      <c r="AL270" s="3"/>
      <c r="AM270" s="3"/>
      <c r="AN270" s="3"/>
      <c r="AO270" s="3"/>
      <c r="AP270" s="3"/>
      <c r="AQ270" s="3"/>
      <c r="AR270" s="3"/>
      <c r="AS270" s="3"/>
      <c r="AT270" s="4"/>
      <c r="AU270" s="4"/>
      <c r="AV270" s="462"/>
      <c r="AW270" s="462"/>
      <c r="AX270" s="462"/>
      <c r="AY270" s="462"/>
      <c r="AZ270" s="462"/>
      <c r="BA270" s="462"/>
      <c r="BB270" s="462"/>
      <c r="BC270" s="462"/>
      <c r="BD270" s="462"/>
      <c r="BE270" s="462"/>
      <c r="BF270" s="462"/>
    </row>
    <row r="271" spans="1:58" ht="14.25" customHeight="1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14"/>
      <c r="AJ271" s="14"/>
      <c r="AK271" s="3"/>
      <c r="AL271" s="3"/>
      <c r="AM271" s="3"/>
      <c r="AN271" s="3"/>
      <c r="AO271" s="3"/>
      <c r="AP271" s="3"/>
      <c r="AQ271" s="3"/>
      <c r="AR271" s="3"/>
      <c r="AS271" s="3"/>
      <c r="AT271" s="4"/>
      <c r="AU271" s="4"/>
      <c r="AV271" s="462"/>
      <c r="AW271" s="462"/>
      <c r="AX271" s="462"/>
      <c r="AY271" s="462"/>
      <c r="AZ271" s="462"/>
      <c r="BA271" s="462"/>
      <c r="BB271" s="462"/>
      <c r="BC271" s="462"/>
      <c r="BD271" s="462"/>
      <c r="BE271" s="462"/>
      <c r="BF271" s="462"/>
    </row>
    <row r="272" spans="1:58" ht="14.25" customHeight="1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14"/>
      <c r="AJ272" s="14"/>
      <c r="AK272" s="3"/>
      <c r="AL272" s="3"/>
      <c r="AM272" s="3"/>
      <c r="AN272" s="3"/>
      <c r="AO272" s="3"/>
      <c r="AP272" s="3"/>
      <c r="AQ272" s="3"/>
      <c r="AR272" s="3"/>
      <c r="AS272" s="3"/>
      <c r="AT272" s="4"/>
      <c r="AU272" s="4"/>
      <c r="AV272" s="462"/>
      <c r="AW272" s="462"/>
      <c r="AX272" s="462"/>
      <c r="AY272" s="462"/>
      <c r="AZ272" s="462"/>
      <c r="BA272" s="462"/>
      <c r="BB272" s="462"/>
      <c r="BC272" s="462"/>
      <c r="BD272" s="462"/>
      <c r="BE272" s="462"/>
      <c r="BF272" s="462"/>
    </row>
    <row r="273" spans="1:58" ht="14.25" customHeight="1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14"/>
      <c r="AJ273" s="14"/>
      <c r="AK273" s="3"/>
      <c r="AL273" s="3"/>
      <c r="AM273" s="3"/>
      <c r="AN273" s="3"/>
      <c r="AO273" s="3"/>
      <c r="AP273" s="3"/>
      <c r="AQ273" s="3"/>
      <c r="AR273" s="3"/>
      <c r="AS273" s="3"/>
      <c r="AT273" s="4"/>
      <c r="AU273" s="4"/>
      <c r="AV273" s="462"/>
      <c r="AW273" s="462"/>
      <c r="AX273" s="462"/>
      <c r="AY273" s="462"/>
      <c r="AZ273" s="462"/>
      <c r="BA273" s="462"/>
      <c r="BB273" s="462"/>
      <c r="BC273" s="462"/>
      <c r="BD273" s="462"/>
      <c r="BE273" s="462"/>
      <c r="BF273" s="462"/>
    </row>
    <row r="274" spans="1:58" ht="14.25" customHeight="1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14"/>
      <c r="AJ274" s="14"/>
      <c r="AK274" s="3"/>
      <c r="AL274" s="3"/>
      <c r="AM274" s="3"/>
      <c r="AN274" s="3"/>
      <c r="AO274" s="3"/>
      <c r="AP274" s="3"/>
      <c r="AQ274" s="3"/>
      <c r="AR274" s="3"/>
      <c r="AS274" s="3"/>
      <c r="AT274" s="4"/>
      <c r="AU274" s="4"/>
      <c r="AV274" s="462"/>
      <c r="AW274" s="462"/>
      <c r="AX274" s="462"/>
      <c r="AY274" s="462"/>
      <c r="AZ274" s="462"/>
      <c r="BA274" s="462"/>
      <c r="BB274" s="462"/>
      <c r="BC274" s="462"/>
      <c r="BD274" s="462"/>
      <c r="BE274" s="462"/>
      <c r="BF274" s="462"/>
    </row>
    <row r="275" spans="1:58" ht="14.25" customHeight="1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14"/>
      <c r="AJ275" s="14"/>
      <c r="AK275" s="3"/>
      <c r="AL275" s="3"/>
      <c r="AM275" s="3"/>
      <c r="AN275" s="3"/>
      <c r="AO275" s="3"/>
      <c r="AP275" s="3"/>
      <c r="AQ275" s="3"/>
      <c r="AR275" s="3"/>
      <c r="AS275" s="3"/>
      <c r="AT275" s="4"/>
      <c r="AU275" s="4"/>
      <c r="AV275" s="462"/>
      <c r="AW275" s="462"/>
      <c r="AX275" s="462"/>
      <c r="AY275" s="462"/>
      <c r="AZ275" s="462"/>
      <c r="BA275" s="462"/>
      <c r="BB275" s="462"/>
      <c r="BC275" s="462"/>
      <c r="BD275" s="462"/>
      <c r="BE275" s="462"/>
      <c r="BF275" s="462"/>
    </row>
    <row r="276" spans="1:58" ht="14.25" customHeight="1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14"/>
      <c r="AJ276" s="14"/>
      <c r="AK276" s="3"/>
      <c r="AL276" s="3"/>
      <c r="AM276" s="3"/>
      <c r="AN276" s="3"/>
      <c r="AO276" s="3"/>
      <c r="AP276" s="3"/>
      <c r="AQ276" s="3"/>
      <c r="AR276" s="3"/>
      <c r="AS276" s="3"/>
      <c r="AT276" s="4"/>
      <c r="AU276" s="4"/>
      <c r="AV276" s="462"/>
      <c r="AW276" s="462"/>
      <c r="AX276" s="462"/>
      <c r="AY276" s="462"/>
      <c r="AZ276" s="462"/>
      <c r="BA276" s="462"/>
      <c r="BB276" s="462"/>
      <c r="BC276" s="462"/>
      <c r="BD276" s="462"/>
      <c r="BE276" s="462"/>
      <c r="BF276" s="462"/>
    </row>
    <row r="277" spans="1:58" ht="14.25" customHeight="1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14"/>
      <c r="AJ277" s="14"/>
      <c r="AK277" s="3"/>
      <c r="AL277" s="3"/>
      <c r="AM277" s="3"/>
      <c r="AN277" s="3"/>
      <c r="AO277" s="3"/>
      <c r="AP277" s="3"/>
      <c r="AQ277" s="3"/>
      <c r="AR277" s="3"/>
      <c r="AS277" s="3"/>
      <c r="AT277" s="4"/>
      <c r="AU277" s="4"/>
      <c r="AV277" s="462"/>
      <c r="AW277" s="462"/>
      <c r="AX277" s="462"/>
      <c r="AY277" s="462"/>
      <c r="AZ277" s="462"/>
      <c r="BA277" s="462"/>
      <c r="BB277" s="462"/>
      <c r="BC277" s="462"/>
      <c r="BD277" s="462"/>
      <c r="BE277" s="462"/>
      <c r="BF277" s="462"/>
    </row>
    <row r="278" spans="1:58" ht="14.25" customHeight="1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14"/>
      <c r="AJ278" s="14"/>
      <c r="AK278" s="3"/>
      <c r="AL278" s="3"/>
      <c r="AM278" s="3"/>
      <c r="AN278" s="3"/>
      <c r="AO278" s="3"/>
      <c r="AP278" s="3"/>
      <c r="AQ278" s="3"/>
      <c r="AR278" s="3"/>
      <c r="AS278" s="3"/>
      <c r="AT278" s="4"/>
      <c r="AU278" s="4"/>
      <c r="AV278" s="462"/>
      <c r="AW278" s="462"/>
      <c r="AX278" s="462"/>
      <c r="AY278" s="462"/>
      <c r="AZ278" s="462"/>
      <c r="BA278" s="462"/>
      <c r="BB278" s="462"/>
      <c r="BC278" s="462"/>
      <c r="BD278" s="462"/>
      <c r="BE278" s="462"/>
      <c r="BF278" s="462"/>
    </row>
    <row r="279" spans="1:58" ht="14.25" customHeight="1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14"/>
      <c r="AJ279" s="14"/>
      <c r="AK279" s="3"/>
      <c r="AL279" s="3"/>
      <c r="AM279" s="3"/>
      <c r="AN279" s="3"/>
      <c r="AO279" s="3"/>
      <c r="AP279" s="3"/>
      <c r="AQ279" s="3"/>
      <c r="AR279" s="3"/>
      <c r="AS279" s="3"/>
      <c r="AT279" s="4"/>
      <c r="AU279" s="4"/>
      <c r="AV279" s="462"/>
      <c r="AW279" s="462"/>
      <c r="AX279" s="462"/>
      <c r="AY279" s="462"/>
      <c r="AZ279" s="462"/>
      <c r="BA279" s="462"/>
      <c r="BB279" s="462"/>
      <c r="BC279" s="462"/>
      <c r="BD279" s="462"/>
      <c r="BE279" s="462"/>
      <c r="BF279" s="462"/>
    </row>
    <row r="280" spans="1:58" ht="14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14"/>
      <c r="AJ280" s="14"/>
      <c r="AK280" s="3"/>
      <c r="AL280" s="3"/>
      <c r="AM280" s="3"/>
      <c r="AN280" s="3"/>
      <c r="AO280" s="3"/>
      <c r="AP280" s="3"/>
      <c r="AQ280" s="3"/>
      <c r="AR280" s="3"/>
      <c r="AS280" s="3"/>
      <c r="AT280" s="4"/>
      <c r="AU280" s="4"/>
      <c r="AV280" s="462"/>
      <c r="AW280" s="462"/>
      <c r="AX280" s="462"/>
      <c r="AY280" s="462"/>
      <c r="AZ280" s="462"/>
      <c r="BA280" s="462"/>
      <c r="BB280" s="462"/>
      <c r="BC280" s="462"/>
      <c r="BD280" s="462"/>
      <c r="BE280" s="462"/>
      <c r="BF280" s="462"/>
    </row>
    <row r="281" spans="1:58" ht="14.25" customHeight="1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14"/>
      <c r="AJ281" s="14"/>
      <c r="AK281" s="3"/>
      <c r="AL281" s="3"/>
      <c r="AM281" s="3"/>
      <c r="AN281" s="3"/>
      <c r="AO281" s="3"/>
      <c r="AP281" s="3"/>
      <c r="AQ281" s="3"/>
      <c r="AR281" s="3"/>
      <c r="AS281" s="3"/>
      <c r="AT281" s="4"/>
      <c r="AU281" s="4"/>
      <c r="AV281" s="462"/>
      <c r="AW281" s="462"/>
      <c r="AX281" s="462"/>
      <c r="AY281" s="462"/>
      <c r="AZ281" s="462"/>
      <c r="BA281" s="462"/>
      <c r="BB281" s="462"/>
      <c r="BC281" s="462"/>
      <c r="BD281" s="462"/>
      <c r="BE281" s="462"/>
      <c r="BF281" s="462"/>
    </row>
    <row r="282" spans="1:58" ht="14.25" customHeight="1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14"/>
      <c r="AJ282" s="14"/>
      <c r="AK282" s="3"/>
      <c r="AL282" s="3"/>
      <c r="AM282" s="3"/>
      <c r="AN282" s="3"/>
      <c r="AO282" s="3"/>
      <c r="AP282" s="3"/>
      <c r="AQ282" s="3"/>
      <c r="AR282" s="3"/>
      <c r="AS282" s="3"/>
      <c r="AT282" s="4"/>
      <c r="AU282" s="4"/>
      <c r="AV282" s="462"/>
      <c r="AW282" s="462"/>
      <c r="AX282" s="462"/>
      <c r="AY282" s="462"/>
      <c r="AZ282" s="462"/>
      <c r="BA282" s="462"/>
      <c r="BB282" s="462"/>
      <c r="BC282" s="462"/>
      <c r="BD282" s="462"/>
      <c r="BE282" s="462"/>
      <c r="BF282" s="462"/>
    </row>
    <row r="283" spans="1:58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14"/>
      <c r="AJ283" s="14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</row>
    <row r="284" spans="1:58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14"/>
      <c r="AJ284" s="14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</row>
    <row r="285" spans="1:58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14"/>
      <c r="AJ285" s="14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</row>
    <row r="286" spans="1:58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14"/>
      <c r="AJ286" s="14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</row>
    <row r="287" spans="1:58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14"/>
      <c r="AJ287" s="14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</row>
    <row r="288" spans="1:58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14"/>
      <c r="AJ288" s="14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</row>
    <row r="289" spans="1:47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14"/>
      <c r="AJ289" s="14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</row>
    <row r="290" spans="1:47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14"/>
      <c r="AJ290" s="14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</row>
    <row r="291" spans="1:47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14"/>
      <c r="AJ291" s="14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</row>
    <row r="292" spans="1:47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14"/>
      <c r="AJ292" s="14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</row>
    <row r="293" spans="1:47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14"/>
      <c r="AJ293" s="14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</row>
    <row r="294" spans="1:47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14"/>
      <c r="AJ294" s="14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</row>
    <row r="295" spans="1:47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14"/>
      <c r="AJ295" s="14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</row>
    <row r="296" spans="1:47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14"/>
      <c r="AJ296" s="14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</row>
    <row r="297" spans="1:47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14"/>
      <c r="AJ297" s="14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</row>
    <row r="298" spans="1:47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14"/>
      <c r="AJ298" s="14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</row>
    <row r="299" spans="1:47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14"/>
      <c r="AJ299" s="14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</row>
    <row r="300" spans="1:47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14"/>
      <c r="AJ300" s="14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</row>
    <row r="301" spans="1:47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14"/>
      <c r="AJ301" s="14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</row>
    <row r="302" spans="1:47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14"/>
      <c r="AJ302" s="14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</row>
    <row r="303" spans="1:47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14"/>
      <c r="AJ303" s="14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</row>
    <row r="304" spans="1:47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14"/>
      <c r="AJ304" s="14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</row>
    <row r="305" spans="1:47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14"/>
      <c r="AJ305" s="14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</row>
    <row r="306" spans="1:47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14"/>
      <c r="AJ306" s="14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</row>
    <row r="307" spans="1:47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14"/>
      <c r="AJ307" s="14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</row>
    <row r="308" spans="1:47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14"/>
      <c r="AJ308" s="14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</row>
    <row r="309" spans="1:47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14"/>
      <c r="AJ309" s="14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</row>
    <row r="310" spans="1:47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14"/>
      <c r="AJ310" s="14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</row>
    <row r="311" spans="1:47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14"/>
      <c r="AJ311" s="14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</row>
    <row r="312" spans="1:47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14"/>
      <c r="AJ312" s="14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</row>
    <row r="313" spans="1:47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14"/>
      <c r="AJ313" s="14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</row>
    <row r="314" spans="1:47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14"/>
      <c r="AJ314" s="14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</row>
    <row r="315" spans="1:47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14"/>
      <c r="AJ315" s="14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</row>
    <row r="316" spans="1:47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14"/>
      <c r="AJ316" s="14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</row>
    <row r="317" spans="1:47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14"/>
      <c r="AJ317" s="14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</row>
    <row r="318" spans="1:47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14"/>
      <c r="AJ318" s="14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</row>
    <row r="319" spans="1:47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14"/>
      <c r="AJ319" s="14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</row>
    <row r="320" spans="1:47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14"/>
      <c r="AJ320" s="14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</row>
    <row r="321" spans="1:47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14"/>
      <c r="AJ321" s="14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</row>
    <row r="322" spans="1:47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14"/>
      <c r="AJ322" s="14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</row>
    <row r="323" spans="1:47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14"/>
      <c r="AJ323" s="14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</row>
    <row r="324" spans="1:47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14"/>
      <c r="AJ324" s="14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</row>
    <row r="325" spans="1:47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14"/>
      <c r="AJ325" s="14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</row>
    <row r="326" spans="1:47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14"/>
      <c r="AJ326" s="14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</row>
    <row r="327" spans="1:47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14"/>
      <c r="AJ327" s="14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</row>
    <row r="328" spans="1:47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14"/>
      <c r="AJ328" s="14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</row>
    <row r="329" spans="1:47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14"/>
      <c r="AJ329" s="14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</row>
    <row r="330" spans="1:47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14"/>
      <c r="AJ330" s="14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</row>
    <row r="331" spans="1:47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14"/>
      <c r="AJ331" s="14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</row>
    <row r="332" spans="1:47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14"/>
      <c r="AJ332" s="14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</row>
    <row r="333" spans="1:47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14"/>
      <c r="AJ333" s="14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</row>
    <row r="334" spans="1:47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14"/>
      <c r="AJ334" s="14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</row>
    <row r="335" spans="1:47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14"/>
      <c r="AJ335" s="14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</row>
    <row r="336" spans="1:47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14"/>
      <c r="AJ336" s="14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</row>
    <row r="337" spans="1:47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14"/>
      <c r="AJ337" s="14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</row>
    <row r="338" spans="1:47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14"/>
      <c r="AJ338" s="14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</row>
    <row r="339" spans="1:47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14"/>
      <c r="AJ339" s="14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</row>
    <row r="340" spans="1:47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14"/>
      <c r="AJ340" s="14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</row>
    <row r="341" spans="1:47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14"/>
      <c r="AJ341" s="14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</row>
    <row r="342" spans="1:47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14"/>
      <c r="AJ342" s="14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</row>
    <row r="343" spans="1:47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14"/>
      <c r="AJ343" s="14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</row>
    <row r="344" spans="1:47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14"/>
      <c r="AJ344" s="14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</row>
    <row r="345" spans="1:47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14"/>
      <c r="AJ345" s="14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</row>
    <row r="346" spans="1:47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14"/>
      <c r="AJ346" s="14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</row>
    <row r="347" spans="1:47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14"/>
      <c r="AJ347" s="14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</row>
    <row r="348" spans="1:47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14"/>
      <c r="AJ348" s="14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</row>
    <row r="349" spans="1:47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14"/>
      <c r="AJ349" s="14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</row>
    <row r="350" spans="1:47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14"/>
      <c r="AJ350" s="14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</row>
    <row r="351" spans="1:47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14"/>
      <c r="AJ351" s="14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</row>
    <row r="352" spans="1:47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14"/>
      <c r="AJ352" s="14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</row>
    <row r="353" spans="1:47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14"/>
      <c r="AJ353" s="14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</row>
    <row r="354" spans="1:47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14"/>
      <c r="AJ354" s="14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</row>
    <row r="355" spans="1:47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14"/>
      <c r="AJ355" s="14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</row>
    <row r="356" spans="1:47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14"/>
      <c r="AJ356" s="14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</row>
    <row r="357" spans="1:47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14"/>
      <c r="AJ357" s="14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</row>
    <row r="358" spans="1:47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14"/>
      <c r="AJ358" s="14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</row>
    <row r="359" spans="1:47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14"/>
      <c r="AJ359" s="14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</row>
    <row r="360" spans="1:47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14"/>
      <c r="AJ360" s="14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</row>
    <row r="361" spans="1:47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14"/>
      <c r="AJ361" s="14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</row>
    <row r="362" spans="1:47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14"/>
      <c r="AJ362" s="14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</row>
    <row r="363" spans="1:47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14"/>
      <c r="AJ363" s="14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</row>
    <row r="364" spans="1:47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14"/>
      <c r="AJ364" s="14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</row>
    <row r="365" spans="1:47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14"/>
      <c r="AJ365" s="14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</row>
    <row r="366" spans="1:47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14"/>
      <c r="AJ366" s="14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</row>
    <row r="367" spans="1:47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14"/>
      <c r="AJ367" s="14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</row>
    <row r="368" spans="1:47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14"/>
      <c r="AJ368" s="14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</row>
    <row r="369" spans="1:47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14"/>
      <c r="AJ369" s="14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</row>
    <row r="370" spans="1:47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14"/>
      <c r="AJ370" s="14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</row>
    <row r="371" spans="1:47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14"/>
      <c r="AJ371" s="14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</row>
    <row r="372" spans="1:47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14"/>
      <c r="AJ372" s="14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</row>
    <row r="373" spans="1:47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14"/>
      <c r="AJ373" s="14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</row>
    <row r="374" spans="1:47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14"/>
      <c r="AJ374" s="14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</row>
    <row r="375" spans="1:47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14"/>
      <c r="AJ375" s="14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</row>
    <row r="376" spans="1:47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14"/>
      <c r="AJ376" s="14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</row>
    <row r="377" spans="1:47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14"/>
      <c r="AJ377" s="14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</row>
    <row r="378" spans="1:47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14"/>
      <c r="AJ378" s="14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</row>
    <row r="379" spans="1:47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14"/>
      <c r="AJ379" s="14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</row>
    <row r="380" spans="1:47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14"/>
      <c r="AJ380" s="14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</row>
    <row r="381" spans="1:47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14"/>
      <c r="AJ381" s="14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</row>
    <row r="382" spans="1:47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14"/>
      <c r="AJ382" s="14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</row>
    <row r="383" spans="1:47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14"/>
      <c r="AJ383" s="14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</row>
    <row r="384" spans="1:47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14"/>
      <c r="AJ384" s="14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</row>
    <row r="385" spans="1:47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14"/>
      <c r="AJ385" s="14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</row>
    <row r="386" spans="1:47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14"/>
      <c r="AJ386" s="14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</row>
    <row r="387" spans="1:47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14"/>
      <c r="AJ387" s="14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</row>
    <row r="388" spans="1:47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14"/>
      <c r="AJ388" s="14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</row>
    <row r="389" spans="1:47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14"/>
      <c r="AJ389" s="14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</row>
    <row r="390" spans="1:47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14"/>
      <c r="AJ390" s="14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</row>
    <row r="391" spans="1:47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14"/>
      <c r="AJ391" s="14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</row>
    <row r="392" spans="1:47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14"/>
      <c r="AJ392" s="14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</row>
    <row r="393" spans="1:47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14"/>
      <c r="AJ393" s="14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</row>
    <row r="394" spans="1:47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14"/>
      <c r="AJ394" s="14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</row>
    <row r="395" spans="1:47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14"/>
      <c r="AJ395" s="14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</row>
    <row r="396" spans="1:47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14"/>
      <c r="AJ396" s="14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</row>
    <row r="397" spans="1:47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14"/>
      <c r="AJ397" s="14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</row>
    <row r="398" spans="1:47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14"/>
      <c r="AJ398" s="14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</row>
    <row r="399" spans="1:47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14"/>
      <c r="AJ399" s="14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</row>
    <row r="400" spans="1:47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14"/>
      <c r="AJ400" s="14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</row>
    <row r="401" spans="1:47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14"/>
      <c r="AJ401" s="14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</row>
    <row r="402" spans="1:47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14"/>
      <c r="AJ402" s="14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</row>
    <row r="403" spans="1:47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14"/>
      <c r="AJ403" s="14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</row>
    <row r="404" spans="1:47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14"/>
      <c r="AJ404" s="14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</row>
    <row r="405" spans="1:47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14"/>
      <c r="AJ405" s="14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</row>
    <row r="406" spans="1:47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14"/>
      <c r="AJ406" s="14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</row>
    <row r="407" spans="1:47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14"/>
      <c r="AJ407" s="14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</row>
    <row r="408" spans="1:47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14"/>
      <c r="AJ408" s="14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</row>
    <row r="409" spans="1:47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14"/>
      <c r="AJ409" s="14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</row>
    <row r="410" spans="1:47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14"/>
      <c r="AJ410" s="14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</row>
    <row r="411" spans="1:47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14"/>
      <c r="AJ411" s="14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</row>
    <row r="412" spans="1:47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14"/>
      <c r="AJ412" s="14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</row>
    <row r="413" spans="1:47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14"/>
      <c r="AJ413" s="14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</row>
    <row r="414" spans="1:47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14"/>
      <c r="AJ414" s="14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</row>
    <row r="415" spans="1:47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14"/>
      <c r="AJ415" s="14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</row>
    <row r="416" spans="1:47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14"/>
      <c r="AJ416" s="14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</row>
    <row r="417" spans="1:47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14"/>
      <c r="AJ417" s="14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</row>
    <row r="418" spans="1:47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14"/>
      <c r="AJ418" s="14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</row>
    <row r="419" spans="1:47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14"/>
      <c r="AJ419" s="14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</row>
    <row r="420" spans="1:47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14"/>
      <c r="AJ420" s="14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</row>
    <row r="421" spans="1:47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14"/>
      <c r="AJ421" s="14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</row>
    <row r="422" spans="1:47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14"/>
      <c r="AJ422" s="14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</row>
    <row r="423" spans="1:47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14"/>
      <c r="AJ423" s="14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</row>
    <row r="424" spans="1:47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14"/>
      <c r="AJ424" s="14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</row>
    <row r="425" spans="1:47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14"/>
      <c r="AJ425" s="14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</row>
    <row r="426" spans="1:47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14"/>
      <c r="AJ426" s="14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</row>
    <row r="427" spans="1:47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14"/>
      <c r="AJ427" s="14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</row>
    <row r="428" spans="1:47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14"/>
      <c r="AJ428" s="14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</row>
    <row r="429" spans="1:47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14"/>
      <c r="AJ429" s="14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</row>
    <row r="430" spans="1:47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14"/>
      <c r="AJ430" s="14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</row>
    <row r="431" spans="1:47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14"/>
      <c r="AJ431" s="14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</row>
    <row r="432" spans="1:47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14"/>
      <c r="AJ432" s="14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</row>
    <row r="433" spans="1:47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14"/>
      <c r="AJ433" s="14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</row>
    <row r="434" spans="1:47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14"/>
      <c r="AJ434" s="14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</row>
    <row r="435" spans="1:47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14"/>
      <c r="AJ435" s="14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</row>
    <row r="436" spans="1:47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14"/>
      <c r="AJ436" s="14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</row>
    <row r="437" spans="1:47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14"/>
      <c r="AJ437" s="14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</row>
    <row r="438" spans="1:47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14"/>
      <c r="AJ438" s="14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</row>
    <row r="439" spans="1:47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14"/>
      <c r="AJ439" s="14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</row>
    <row r="440" spans="1:47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14"/>
      <c r="AJ440" s="14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</row>
    <row r="441" spans="1:47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14"/>
      <c r="AJ441" s="14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</row>
    <row r="442" spans="1:47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14"/>
      <c r="AJ442" s="14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</row>
    <row r="443" spans="1:47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14"/>
      <c r="AJ443" s="14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</row>
    <row r="444" spans="1:47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14"/>
      <c r="AJ444" s="14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</row>
    <row r="445" spans="1:47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14"/>
      <c r="AJ445" s="14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</row>
    <row r="446" spans="1:47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14"/>
      <c r="AJ446" s="14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</row>
    <row r="447" spans="1:47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14"/>
      <c r="AJ447" s="14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</row>
    <row r="448" spans="1:47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14"/>
      <c r="AJ448" s="14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</row>
    <row r="449" spans="1:47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14"/>
      <c r="AJ449" s="14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</row>
    <row r="450" spans="1:47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14"/>
      <c r="AJ450" s="14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</row>
    <row r="451" spans="1:47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14"/>
      <c r="AJ451" s="14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</row>
    <row r="452" spans="1:47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14"/>
      <c r="AJ452" s="14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</row>
    <row r="453" spans="1:47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14"/>
      <c r="AJ453" s="14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</row>
    <row r="454" spans="1:47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14"/>
      <c r="AJ454" s="14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</row>
    <row r="455" spans="1:47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14"/>
      <c r="AJ455" s="14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</row>
    <row r="456" spans="1:47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14"/>
      <c r="AJ456" s="14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</row>
    <row r="457" spans="1:47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14"/>
      <c r="AJ457" s="14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</row>
    <row r="458" spans="1:47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14"/>
      <c r="AJ458" s="14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</row>
    <row r="459" spans="1:47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14"/>
      <c r="AJ459" s="14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</row>
    <row r="460" spans="1:47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14"/>
      <c r="AJ460" s="14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</row>
    <row r="461" spans="1:47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14"/>
      <c r="AJ461" s="14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</row>
    <row r="462" spans="1:47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14"/>
      <c r="AJ462" s="14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</row>
    <row r="463" spans="1:47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14"/>
      <c r="AJ463" s="14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</row>
    <row r="464" spans="1:47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14"/>
      <c r="AJ464" s="14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</row>
    <row r="465" spans="1:47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14"/>
      <c r="AJ465" s="14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</row>
    <row r="466" spans="1:47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14"/>
      <c r="AJ466" s="14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</row>
    <row r="467" spans="1:47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14"/>
      <c r="AJ467" s="14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</row>
    <row r="468" spans="1:47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14"/>
      <c r="AJ468" s="14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</row>
    <row r="469" spans="1:47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14"/>
      <c r="AJ469" s="14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</row>
    <row r="470" spans="1:47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14"/>
      <c r="AJ470" s="14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</row>
    <row r="471" spans="1:47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14"/>
      <c r="AJ471" s="14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</row>
    <row r="472" spans="1:47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14"/>
      <c r="AJ472" s="14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</row>
    <row r="473" spans="1:47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14"/>
      <c r="AJ473" s="14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</row>
    <row r="474" spans="1:47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14"/>
      <c r="AJ474" s="14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</row>
    <row r="475" spans="1:47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14"/>
      <c r="AJ475" s="14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</row>
    <row r="476" spans="1:47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14"/>
      <c r="AJ476" s="14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</row>
    <row r="477" spans="1:47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14"/>
      <c r="AJ477" s="14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</row>
    <row r="478" spans="1:47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14"/>
      <c r="AJ478" s="14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</row>
    <row r="479" spans="1:47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14"/>
      <c r="AJ479" s="14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</row>
    <row r="480" spans="1:47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14"/>
      <c r="AJ480" s="14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</row>
    <row r="481" spans="1:47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14"/>
      <c r="AJ481" s="14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</row>
    <row r="482" spans="1:47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14"/>
      <c r="AJ482" s="14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</row>
    <row r="483" spans="1:47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14"/>
      <c r="AJ483" s="14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</row>
    <row r="484" spans="1:47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14"/>
      <c r="AJ484" s="14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</row>
    <row r="485" spans="1:47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14"/>
      <c r="AJ485" s="14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</row>
    <row r="486" spans="1:47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14"/>
      <c r="AJ486" s="14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</row>
    <row r="487" spans="1:47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14"/>
      <c r="AJ487" s="14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</row>
    <row r="488" spans="1:47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14"/>
      <c r="AJ488" s="14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</row>
    <row r="489" spans="1:47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14"/>
      <c r="AJ489" s="14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</row>
    <row r="490" spans="1:47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14"/>
      <c r="AJ490" s="14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</row>
    <row r="491" spans="1:47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14"/>
      <c r="AJ491" s="14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</row>
    <row r="492" spans="1:47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14"/>
      <c r="AJ492" s="14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</row>
    <row r="493" spans="1:47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14"/>
      <c r="AJ493" s="14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</row>
    <row r="494" spans="1:47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14"/>
      <c r="AJ494" s="14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</row>
    <row r="495" spans="1:47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14"/>
      <c r="AJ495" s="14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</row>
    <row r="496" spans="1:47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14"/>
      <c r="AJ496" s="14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</row>
    <row r="497" spans="1:47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14"/>
      <c r="AJ497" s="14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</row>
    <row r="498" spans="1:47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14"/>
      <c r="AJ498" s="14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</row>
    <row r="499" spans="1:47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14"/>
      <c r="AJ499" s="14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</row>
    <row r="500" spans="1:47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14"/>
      <c r="AJ500" s="14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</row>
    <row r="501" spans="1:47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14"/>
      <c r="AJ501" s="14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</row>
    <row r="502" spans="1:47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14"/>
      <c r="AJ502" s="14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</row>
    <row r="503" spans="1:47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14"/>
      <c r="AJ503" s="14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</row>
    <row r="504" spans="1:47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14"/>
      <c r="AJ504" s="14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</row>
    <row r="505" spans="1:47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14"/>
      <c r="AJ505" s="14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</row>
    <row r="506" spans="1:47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14"/>
      <c r="AJ506" s="14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</row>
    <row r="507" spans="1:47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14"/>
      <c r="AJ507" s="14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</row>
    <row r="508" spans="1:47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14"/>
      <c r="AJ508" s="14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</row>
    <row r="509" spans="1:47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14"/>
      <c r="AJ509" s="14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</row>
    <row r="510" spans="1:47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14"/>
      <c r="AJ510" s="14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</row>
    <row r="511" spans="1:47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14"/>
      <c r="AJ511" s="14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</row>
    <row r="512" spans="1:47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14"/>
      <c r="AJ512" s="14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</row>
    <row r="513" spans="1:47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14"/>
      <c r="AJ513" s="14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</row>
    <row r="514" spans="1:47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14"/>
      <c r="AJ514" s="14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</row>
    <row r="515" spans="1:47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14"/>
      <c r="AJ515" s="14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</row>
    <row r="516" spans="1:47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14"/>
      <c r="AJ516" s="14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</row>
    <row r="517" spans="1:47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14"/>
      <c r="AJ517" s="14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</row>
    <row r="518" spans="1:47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14"/>
      <c r="AJ518" s="14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</row>
    <row r="519" spans="1:47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14"/>
      <c r="AJ519" s="14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</row>
    <row r="520" spans="1:47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14"/>
      <c r="AJ520" s="14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</row>
    <row r="521" spans="1:47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14"/>
      <c r="AJ521" s="14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</row>
    <row r="522" spans="1:47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14"/>
      <c r="AJ522" s="14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</row>
    <row r="523" spans="1:47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14"/>
      <c r="AJ523" s="14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</row>
    <row r="524" spans="1:47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14"/>
      <c r="AJ524" s="14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</row>
    <row r="525" spans="1:47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14"/>
      <c r="AJ525" s="14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</row>
    <row r="526" spans="1:47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14"/>
      <c r="AJ526" s="14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</row>
    <row r="527" spans="1:47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14"/>
      <c r="AJ527" s="14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</row>
    <row r="528" spans="1:47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14"/>
      <c r="AJ528" s="14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</row>
    <row r="529" spans="1:47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14"/>
      <c r="AJ529" s="14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</row>
    <row r="530" spans="1:47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14"/>
      <c r="AJ530" s="14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</row>
    <row r="531" spans="1:47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14"/>
      <c r="AJ531" s="14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</row>
    <row r="532" spans="1:47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14"/>
      <c r="AJ532" s="14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</row>
    <row r="533" spans="1:47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14"/>
      <c r="AJ533" s="14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</row>
    <row r="534" spans="1:47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14"/>
      <c r="AJ534" s="14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</row>
    <row r="535" spans="1:47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14"/>
      <c r="AJ535" s="14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</row>
    <row r="536" spans="1:47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14"/>
      <c r="AJ536" s="14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</row>
    <row r="537" spans="1:47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14"/>
      <c r="AJ537" s="14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</row>
    <row r="538" spans="1:47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14"/>
      <c r="AJ538" s="14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</row>
    <row r="539" spans="1:47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14"/>
      <c r="AJ539" s="14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</row>
    <row r="540" spans="1:47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14"/>
      <c r="AJ540" s="14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</row>
    <row r="541" spans="1:47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14"/>
      <c r="AJ541" s="14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</row>
    <row r="542" spans="1:47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14"/>
      <c r="AJ542" s="14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</row>
    <row r="543" spans="1:47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14"/>
      <c r="AJ543" s="14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</row>
    <row r="544" spans="1:47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14"/>
      <c r="AJ544" s="14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</row>
    <row r="545" spans="1:47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14"/>
      <c r="AJ545" s="14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</row>
    <row r="546" spans="1:47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14"/>
      <c r="AJ546" s="14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</row>
    <row r="547" spans="1:47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14"/>
      <c r="AJ547" s="14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</row>
    <row r="548" spans="1:47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14"/>
      <c r="AJ548" s="14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</row>
    <row r="549" spans="1:47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14"/>
      <c r="AJ549" s="14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</row>
    <row r="550" spans="1:47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14"/>
      <c r="AJ550" s="14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</row>
    <row r="551" spans="1:47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14"/>
      <c r="AJ551" s="14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</row>
    <row r="552" spans="1:47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14"/>
      <c r="AJ552" s="14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</row>
    <row r="553" spans="1:47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14"/>
      <c r="AJ553" s="14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</row>
    <row r="554" spans="1:47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14"/>
      <c r="AJ554" s="14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</row>
    <row r="555" spans="1:47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14"/>
      <c r="AJ555" s="14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</row>
    <row r="556" spans="1:47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14"/>
      <c r="AJ556" s="14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</row>
    <row r="557" spans="1:47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14"/>
      <c r="AJ557" s="14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</row>
    <row r="558" spans="1:47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14"/>
      <c r="AJ558" s="14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</row>
    <row r="559" spans="1:47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14"/>
      <c r="AJ559" s="14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</row>
    <row r="560" spans="1:47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14"/>
      <c r="AJ560" s="14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</row>
    <row r="561" spans="1:47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14"/>
      <c r="AJ561" s="14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</row>
    <row r="562" spans="1:47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14"/>
      <c r="AJ562" s="14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</row>
    <row r="563" spans="1:47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14"/>
      <c r="AJ563" s="14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</row>
    <row r="564" spans="1:47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14"/>
      <c r="AJ564" s="14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</row>
    <row r="565" spans="1:47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14"/>
      <c r="AJ565" s="14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</row>
    <row r="566" spans="1:47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14"/>
      <c r="AJ566" s="14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</row>
    <row r="567" spans="1:47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14"/>
      <c r="AJ567" s="14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</row>
    <row r="568" spans="1:47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14"/>
      <c r="AJ568" s="14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</row>
    <row r="569" spans="1:47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14"/>
      <c r="AJ569" s="14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</row>
    <row r="570" spans="1:47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14"/>
      <c r="AJ570" s="14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</row>
    <row r="571" spans="1:47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14"/>
      <c r="AJ571" s="14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</row>
    <row r="572" spans="1:47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14"/>
      <c r="AJ572" s="14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</row>
    <row r="573" spans="1:47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14"/>
      <c r="AJ573" s="14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</row>
    <row r="574" spans="1:47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14"/>
      <c r="AJ574" s="14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</row>
    <row r="575" spans="1:47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14"/>
      <c r="AJ575" s="14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</row>
    <row r="576" spans="1:47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14"/>
      <c r="AJ576" s="14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</row>
    <row r="577" spans="1:47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14"/>
      <c r="AJ577" s="14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</row>
    <row r="578" spans="1:47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14"/>
      <c r="AJ578" s="14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</row>
    <row r="579" spans="1:47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14"/>
      <c r="AJ579" s="14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</row>
    <row r="580" spans="1:47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14"/>
      <c r="AJ580" s="14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</row>
    <row r="581" spans="1:47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14"/>
      <c r="AJ581" s="14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</row>
    <row r="582" spans="1:47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14"/>
      <c r="AJ582" s="14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</row>
    <row r="583" spans="1:47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14"/>
      <c r="AJ583" s="14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</row>
    <row r="584" spans="1:47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14"/>
      <c r="AJ584" s="14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</row>
    <row r="585" spans="1:47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14"/>
      <c r="AJ585" s="14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</row>
    <row r="586" spans="1:47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14"/>
      <c r="AJ586" s="14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</row>
    <row r="587" spans="1:47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14"/>
      <c r="AJ587" s="14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</row>
    <row r="588" spans="1:47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14"/>
      <c r="AJ588" s="14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</row>
    <row r="589" spans="1:47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14"/>
      <c r="AJ589" s="14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</row>
    <row r="590" spans="1:47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14"/>
      <c r="AJ590" s="14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</row>
    <row r="591" spans="1:47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14"/>
      <c r="AJ591" s="14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</row>
    <row r="592" spans="1:47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14"/>
      <c r="AJ592" s="14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</row>
    <row r="593" spans="1:47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14"/>
      <c r="AJ593" s="14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</row>
    <row r="594" spans="1:47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14"/>
      <c r="AJ594" s="14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</row>
    <row r="595" spans="1:47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14"/>
      <c r="AJ595" s="14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</row>
    <row r="596" spans="1:47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14"/>
      <c r="AJ596" s="14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</row>
    <row r="597" spans="1:47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14"/>
      <c r="AJ597" s="14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</row>
    <row r="598" spans="1:47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14"/>
      <c r="AJ598" s="14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</row>
    <row r="599" spans="1:47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14"/>
      <c r="AJ599" s="14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</row>
    <row r="600" spans="1:47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14"/>
      <c r="AJ600" s="14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</row>
    <row r="601" spans="1:47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14"/>
      <c r="AJ601" s="14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</row>
    <row r="602" spans="1:47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14"/>
      <c r="AJ602" s="14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</row>
    <row r="603" spans="1:47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14"/>
      <c r="AJ603" s="14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</row>
    <row r="604" spans="1:47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14"/>
      <c r="AJ604" s="14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</row>
    <row r="605" spans="1:47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14"/>
      <c r="AJ605" s="14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</row>
    <row r="606" spans="1:47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14"/>
      <c r="AJ606" s="14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</row>
    <row r="607" spans="1:47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14"/>
      <c r="AJ607" s="14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</row>
    <row r="608" spans="1:47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14"/>
      <c r="AJ608" s="14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</row>
    <row r="609" spans="1:47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14"/>
      <c r="AJ609" s="14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</row>
    <row r="610" spans="1:47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14"/>
      <c r="AJ610" s="14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</row>
    <row r="611" spans="1:47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14"/>
      <c r="AJ611" s="14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</row>
    <row r="612" spans="1:47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14"/>
      <c r="AJ612" s="14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</row>
    <row r="613" spans="1:47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14"/>
      <c r="AJ613" s="14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</row>
    <row r="614" spans="1:47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14"/>
      <c r="AJ614" s="14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</row>
    <row r="615" spans="1:47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14"/>
      <c r="AJ615" s="14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</row>
    <row r="616" spans="1:47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14"/>
      <c r="AJ616" s="14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</row>
    <row r="617" spans="1:47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14"/>
      <c r="AJ617" s="14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</row>
    <row r="618" spans="1:47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14"/>
      <c r="AJ618" s="14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</row>
    <row r="619" spans="1:47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14"/>
      <c r="AJ619" s="14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</row>
    <row r="620" spans="1:47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14"/>
      <c r="AJ620" s="14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</row>
    <row r="621" spans="1:47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14"/>
      <c r="AJ621" s="14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</row>
    <row r="622" spans="1:47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14"/>
      <c r="AJ622" s="14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</row>
    <row r="623" spans="1:47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14"/>
      <c r="AJ623" s="14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</row>
    <row r="624" spans="1:47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14"/>
      <c r="AJ624" s="14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</row>
    <row r="625" spans="1:47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14"/>
      <c r="AJ625" s="14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</row>
    <row r="626" spans="1:47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14"/>
      <c r="AJ626" s="14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</row>
    <row r="627" spans="1:47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14"/>
      <c r="AJ627" s="14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</row>
    <row r="628" spans="1:47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14"/>
      <c r="AJ628" s="14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</row>
    <row r="629" spans="1:47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14"/>
      <c r="AJ629" s="14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</row>
    <row r="630" spans="1:47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14"/>
      <c r="AJ630" s="14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</row>
    <row r="631" spans="1:47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14"/>
      <c r="AJ631" s="14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</row>
    <row r="632" spans="1:47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14"/>
      <c r="AJ632" s="14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</row>
    <row r="633" spans="1:47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14"/>
      <c r="AJ633" s="14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</row>
    <row r="634" spans="1:47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14"/>
      <c r="AJ634" s="14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</row>
    <row r="635" spans="1:47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14"/>
      <c r="AJ635" s="14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</row>
    <row r="636" spans="1:47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14"/>
      <c r="AJ636" s="14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</row>
    <row r="637" spans="1:47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14"/>
      <c r="AJ637" s="14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</row>
    <row r="638" spans="1:47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14"/>
      <c r="AJ638" s="14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</row>
    <row r="639" spans="1:47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14"/>
      <c r="AJ639" s="14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</row>
    <row r="640" spans="1:47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14"/>
      <c r="AJ640" s="14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</row>
    <row r="641" spans="1:47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14"/>
      <c r="AJ641" s="14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</row>
    <row r="642" spans="1:47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14"/>
      <c r="AJ642" s="14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</row>
    <row r="643" spans="1:47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14"/>
      <c r="AJ643" s="14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</row>
    <row r="644" spans="1:47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14"/>
      <c r="AJ644" s="14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</row>
    <row r="645" spans="1:47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14"/>
      <c r="AJ645" s="14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</row>
    <row r="646" spans="1:47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14"/>
      <c r="AJ646" s="14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</row>
    <row r="647" spans="1:47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14"/>
      <c r="AJ647" s="14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</row>
    <row r="648" spans="1:47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14"/>
      <c r="AJ648" s="14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</row>
    <row r="649" spans="1:47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14"/>
      <c r="AJ649" s="14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</row>
    <row r="650" spans="1:47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14"/>
      <c r="AJ650" s="14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</row>
    <row r="651" spans="1:47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14"/>
      <c r="AJ651" s="14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</row>
    <row r="652" spans="1:47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14"/>
      <c r="AJ652" s="14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</row>
    <row r="653" spans="1:47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14"/>
      <c r="AJ653" s="14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</row>
    <row r="654" spans="1:47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14"/>
      <c r="AJ654" s="14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</row>
    <row r="655" spans="1:47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14"/>
      <c r="AJ655" s="14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</row>
    <row r="656" spans="1:47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14"/>
      <c r="AJ656" s="14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</row>
    <row r="657" spans="1:47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14"/>
      <c r="AJ657" s="14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</row>
    <row r="658" spans="1:47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14"/>
      <c r="AJ658" s="14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</row>
    <row r="659" spans="1:47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14"/>
      <c r="AJ659" s="14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</row>
    <row r="660" spans="1:47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14"/>
      <c r="AJ660" s="14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</row>
    <row r="661" spans="1:47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14"/>
      <c r="AJ661" s="14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</row>
    <row r="662" spans="1:47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14"/>
      <c r="AJ662" s="14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</row>
    <row r="663" spans="1:47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14"/>
      <c r="AJ663" s="14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</row>
    <row r="664" spans="1:47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14"/>
      <c r="AJ664" s="14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</row>
    <row r="665" spans="1:47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14"/>
      <c r="AJ665" s="14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</row>
    <row r="666" spans="1:47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14"/>
      <c r="AJ666" s="14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</row>
    <row r="667" spans="1:47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14"/>
      <c r="AJ667" s="14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</row>
    <row r="668" spans="1:47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14"/>
      <c r="AJ668" s="14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</row>
    <row r="669" spans="1:47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14"/>
      <c r="AJ669" s="14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</row>
    <row r="670" spans="1:47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14"/>
      <c r="AJ670" s="14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</row>
    <row r="671" spans="1:47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14"/>
      <c r="AJ671" s="14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</row>
    <row r="672" spans="1:47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14"/>
      <c r="AJ672" s="14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</row>
    <row r="673" spans="1:47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14"/>
      <c r="AJ673" s="14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</row>
    <row r="674" spans="1:47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14"/>
      <c r="AJ674" s="14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</row>
    <row r="675" spans="1:47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14"/>
      <c r="AJ675" s="14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</row>
    <row r="676" spans="1:47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14"/>
      <c r="AJ676" s="14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</row>
    <row r="677" spans="1:47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14"/>
      <c r="AJ677" s="14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</row>
    <row r="678" spans="1:47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14"/>
      <c r="AJ678" s="14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</row>
    <row r="679" spans="1:47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14"/>
      <c r="AJ679" s="14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</row>
    <row r="680" spans="1:47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14"/>
      <c r="AJ680" s="14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</row>
    <row r="681" spans="1:47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14"/>
      <c r="AJ681" s="14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</row>
    <row r="682" spans="1:47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14"/>
      <c r="AJ682" s="14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</row>
    <row r="683" spans="1:47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14"/>
      <c r="AJ683" s="14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</row>
    <row r="684" spans="1:47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14"/>
      <c r="AJ684" s="14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</row>
    <row r="685" spans="1:47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14"/>
      <c r="AJ685" s="14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</row>
    <row r="686" spans="1:47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14"/>
      <c r="AJ686" s="14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</row>
    <row r="687" spans="1:47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14"/>
      <c r="AJ687" s="14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</row>
    <row r="688" spans="1:47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14"/>
      <c r="AJ688" s="14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</row>
    <row r="689" spans="1:47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14"/>
      <c r="AJ689" s="14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</row>
    <row r="690" spans="1:47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14"/>
      <c r="AJ690" s="14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</row>
    <row r="691" spans="1:47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14"/>
      <c r="AJ691" s="14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</row>
    <row r="692" spans="1:47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14"/>
      <c r="AJ692" s="14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</row>
    <row r="693" spans="1:47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14"/>
      <c r="AJ693" s="14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</row>
    <row r="694" spans="1:47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14"/>
      <c r="AJ694" s="14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</row>
    <row r="695" spans="1:47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14"/>
      <c r="AJ695" s="14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</row>
    <row r="696" spans="1:47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14"/>
      <c r="AJ696" s="14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</row>
    <row r="697" spans="1:47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14"/>
      <c r="AJ697" s="14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</row>
    <row r="698" spans="1:47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14"/>
      <c r="AJ698" s="14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</row>
    <row r="699" spans="1:47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14"/>
      <c r="AJ699" s="14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</row>
    <row r="700" spans="1:47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14"/>
      <c r="AJ700" s="14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</row>
    <row r="701" spans="1:47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14"/>
      <c r="AJ701" s="14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</row>
    <row r="702" spans="1:47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14"/>
      <c r="AJ702" s="14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</row>
    <row r="703" spans="1:47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14"/>
      <c r="AJ703" s="14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</row>
    <row r="704" spans="1:47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14"/>
      <c r="AJ704" s="14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</row>
    <row r="705" spans="1:47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14"/>
      <c r="AJ705" s="14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</row>
    <row r="706" spans="1:47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14"/>
      <c r="AJ706" s="14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</row>
    <row r="707" spans="1:47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14"/>
      <c r="AJ707" s="14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</row>
    <row r="708" spans="1:47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14"/>
      <c r="AJ708" s="14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</row>
    <row r="709" spans="1:47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14"/>
      <c r="AJ709" s="14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</row>
    <row r="710" spans="1:47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14"/>
      <c r="AJ710" s="14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</row>
    <row r="711" spans="1:47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14"/>
      <c r="AJ711" s="14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</row>
    <row r="712" spans="1:47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14"/>
      <c r="AJ712" s="14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</row>
    <row r="713" spans="1:47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14"/>
      <c r="AJ713" s="14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</row>
    <row r="714" spans="1:47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14"/>
      <c r="AJ714" s="14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</row>
    <row r="715" spans="1:47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14"/>
      <c r="AJ715" s="14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</row>
    <row r="716" spans="1:47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14"/>
      <c r="AJ716" s="14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</row>
    <row r="717" spans="1:47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14"/>
      <c r="AJ717" s="14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</row>
    <row r="718" spans="1:47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14"/>
      <c r="AJ718" s="14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</row>
    <row r="719" spans="1:47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14"/>
      <c r="AJ719" s="14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</row>
    <row r="720" spans="1:47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14"/>
      <c r="AJ720" s="14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</row>
    <row r="721" spans="1:47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14"/>
      <c r="AJ721" s="14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</row>
    <row r="722" spans="1:47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14"/>
      <c r="AJ722" s="14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</row>
    <row r="723" spans="1:47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14"/>
      <c r="AJ723" s="14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</row>
    <row r="724" spans="1:47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14"/>
      <c r="AJ724" s="14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</row>
    <row r="725" spans="1:47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14"/>
      <c r="AJ725" s="14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</row>
    <row r="726" spans="1:47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14"/>
      <c r="AJ726" s="14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</row>
    <row r="727" spans="1:47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14"/>
      <c r="AJ727" s="14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</row>
    <row r="728" spans="1:47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14"/>
      <c r="AJ728" s="14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</row>
    <row r="729" spans="1:47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14"/>
      <c r="AJ729" s="14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</row>
    <row r="730" spans="1:47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14"/>
      <c r="AJ730" s="14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</row>
    <row r="731" spans="1:47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14"/>
      <c r="AJ731" s="14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</row>
    <row r="732" spans="1:47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14"/>
      <c r="AJ732" s="14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</row>
    <row r="733" spans="1:47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14"/>
      <c r="AJ733" s="14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</row>
    <row r="734" spans="1:47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14"/>
      <c r="AJ734" s="14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</row>
    <row r="735" spans="1:47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14"/>
      <c r="AJ735" s="14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</row>
    <row r="736" spans="1:47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14"/>
      <c r="AJ736" s="14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</row>
    <row r="737" spans="1:47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14"/>
      <c r="AJ737" s="14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</row>
    <row r="738" spans="1:47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14"/>
      <c r="AJ738" s="14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</row>
    <row r="739" spans="1:47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14"/>
      <c r="AJ739" s="14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</row>
    <row r="740" spans="1:47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14"/>
      <c r="AJ740" s="14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</row>
    <row r="741" spans="1:47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14"/>
      <c r="AJ741" s="14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</row>
    <row r="742" spans="1:47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14"/>
      <c r="AJ742" s="14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</row>
    <row r="743" spans="1:47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14"/>
      <c r="AJ743" s="14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</row>
    <row r="744" spans="1:47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14"/>
      <c r="AJ744" s="14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</row>
    <row r="745" spans="1:47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14"/>
      <c r="AJ745" s="14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</row>
    <row r="746" spans="1:47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14"/>
      <c r="AJ746" s="14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</row>
    <row r="747" spans="1:47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14"/>
      <c r="AJ747" s="14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</row>
    <row r="748" spans="1:47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14"/>
      <c r="AJ748" s="14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</row>
    <row r="749" spans="1:47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14"/>
      <c r="AJ749" s="14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</row>
    <row r="750" spans="1:47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14"/>
      <c r="AJ750" s="14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</row>
    <row r="751" spans="1:47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14"/>
      <c r="AJ751" s="14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</row>
    <row r="752" spans="1:47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14"/>
      <c r="AJ752" s="14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</row>
    <row r="753" spans="1:47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14"/>
      <c r="AJ753" s="14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</row>
    <row r="754" spans="1:47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14"/>
      <c r="AJ754" s="14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</row>
    <row r="755" spans="1:47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14"/>
      <c r="AJ755" s="14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</row>
    <row r="756" spans="1:47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14"/>
      <c r="AJ756" s="14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</row>
    <row r="757" spans="1:47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14"/>
      <c r="AJ757" s="14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</row>
    <row r="758" spans="1:47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14"/>
      <c r="AJ758" s="14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</row>
    <row r="759" spans="1:47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14"/>
      <c r="AJ759" s="14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</row>
    <row r="760" spans="1:47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14"/>
      <c r="AJ760" s="14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</row>
    <row r="761" spans="1:47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14"/>
      <c r="AJ761" s="14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</row>
    <row r="762" spans="1:47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14"/>
      <c r="AJ762" s="14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</row>
    <row r="763" spans="1:47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14"/>
      <c r="AJ763" s="14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</row>
    <row r="764" spans="1:47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14"/>
      <c r="AJ764" s="14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</row>
    <row r="765" spans="1:47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14"/>
      <c r="AJ765" s="14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</row>
    <row r="766" spans="1:47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14"/>
      <c r="AJ766" s="14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</row>
    <row r="767" spans="1:47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14"/>
      <c r="AJ767" s="14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</row>
    <row r="768" spans="1:47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14"/>
      <c r="AJ768" s="14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</row>
    <row r="769" spans="1:47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14"/>
      <c r="AJ769" s="14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</row>
    <row r="770" spans="1:47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14"/>
      <c r="AJ770" s="14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</row>
    <row r="771" spans="1:47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14"/>
      <c r="AJ771" s="14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</row>
    <row r="772" spans="1:47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14"/>
      <c r="AJ772" s="14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</row>
    <row r="773" spans="1:47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14"/>
      <c r="AJ773" s="14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</row>
    <row r="774" spans="1:47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14"/>
      <c r="AJ774" s="14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</row>
    <row r="775" spans="1:47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14"/>
      <c r="AJ775" s="14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</row>
    <row r="776" spans="1:47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14"/>
      <c r="AJ776" s="14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</row>
    <row r="777" spans="1:47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14"/>
      <c r="AJ777" s="14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</row>
    <row r="778" spans="1:47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14"/>
      <c r="AJ778" s="14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</row>
    <row r="779" spans="1:47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14"/>
      <c r="AJ779" s="14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</row>
    <row r="780" spans="1:47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14"/>
      <c r="AJ780" s="14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</row>
    <row r="781" spans="1:47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14"/>
      <c r="AJ781" s="14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</row>
    <row r="782" spans="1:47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14"/>
      <c r="AJ782" s="14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</row>
    <row r="783" spans="1:47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14"/>
      <c r="AJ783" s="14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</row>
    <row r="784" spans="1:47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14"/>
      <c r="AJ784" s="14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</row>
    <row r="785" spans="1:47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14"/>
      <c r="AJ785" s="14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</row>
    <row r="786" spans="1:47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14"/>
      <c r="AJ786" s="14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</row>
    <row r="787" spans="1:47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14"/>
      <c r="AJ787" s="14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</row>
    <row r="788" spans="1:47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14"/>
      <c r="AJ788" s="14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</row>
    <row r="789" spans="1:47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14"/>
      <c r="AJ789" s="14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</row>
    <row r="790" spans="1:47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14"/>
      <c r="AJ790" s="14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</row>
    <row r="791" spans="1:47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14"/>
      <c r="AJ791" s="14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</row>
    <row r="792" spans="1:47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14"/>
      <c r="AJ792" s="14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</row>
    <row r="793" spans="1:47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14"/>
      <c r="AJ793" s="14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</row>
    <row r="794" spans="1:47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14"/>
      <c r="AJ794" s="14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</row>
    <row r="795" spans="1:47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14"/>
      <c r="AJ795" s="14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</row>
    <row r="796" spans="1:47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14"/>
      <c r="AJ796" s="14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</row>
    <row r="797" spans="1:47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14"/>
      <c r="AJ797" s="14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</row>
    <row r="798" spans="1:47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14"/>
      <c r="AJ798" s="14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</row>
    <row r="799" spans="1:47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14"/>
      <c r="AJ799" s="14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</row>
    <row r="800" spans="1:47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14"/>
      <c r="AJ800" s="14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</row>
    <row r="801" spans="1:47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14"/>
      <c r="AJ801" s="14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</row>
    <row r="802" spans="1:47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14"/>
      <c r="AJ802" s="14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</row>
    <row r="803" spans="1:47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14"/>
      <c r="AJ803" s="14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</row>
    <row r="804" spans="1:47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14"/>
      <c r="AJ804" s="14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</row>
    <row r="805" spans="1:47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14"/>
      <c r="AJ805" s="14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</row>
    <row r="806" spans="1:47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14"/>
      <c r="AJ806" s="14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</row>
    <row r="807" spans="1:47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14"/>
      <c r="AJ807" s="14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</row>
    <row r="808" spans="1:47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14"/>
      <c r="AJ808" s="14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</row>
    <row r="809" spans="1:47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14"/>
      <c r="AJ809" s="14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</row>
    <row r="810" spans="1:47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14"/>
      <c r="AJ810" s="14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</row>
    <row r="811" spans="1:47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14"/>
      <c r="AJ811" s="14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</row>
    <row r="812" spans="1:47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14"/>
      <c r="AJ812" s="14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</row>
    <row r="813" spans="1:47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14"/>
      <c r="AJ813" s="14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</row>
    <row r="814" spans="1:47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14"/>
      <c r="AJ814" s="14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</row>
    <row r="815" spans="1:47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14"/>
      <c r="AJ815" s="14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</row>
    <row r="816" spans="1:47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14"/>
      <c r="AJ816" s="14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</row>
    <row r="817" spans="1:47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14"/>
      <c r="AJ817" s="14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</row>
    <row r="818" spans="1:47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14"/>
      <c r="AJ818" s="14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</row>
    <row r="819" spans="1:47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14"/>
      <c r="AJ819" s="14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</row>
    <row r="820" spans="1:47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14"/>
      <c r="AJ820" s="14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</row>
    <row r="821" spans="1:47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14"/>
      <c r="AJ821" s="14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</row>
    <row r="822" spans="1:47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14"/>
      <c r="AJ822" s="14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</row>
    <row r="823" spans="1:47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14"/>
      <c r="AJ823" s="14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</row>
    <row r="824" spans="1:47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14"/>
      <c r="AJ824" s="14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</row>
    <row r="825" spans="1:47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14"/>
      <c r="AJ825" s="14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</row>
    <row r="826" spans="1:47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14"/>
      <c r="AJ826" s="14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</row>
    <row r="827" spans="1:47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14"/>
      <c r="AJ827" s="14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</row>
    <row r="828" spans="1:47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14"/>
      <c r="AJ828" s="14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</row>
    <row r="829" spans="1:47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14"/>
      <c r="AJ829" s="14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</row>
    <row r="830" spans="1:47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14"/>
      <c r="AJ830" s="14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</row>
    <row r="831" spans="1:47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14"/>
      <c r="AJ831" s="14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</row>
    <row r="832" spans="1:47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14"/>
      <c r="AJ832" s="14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</row>
    <row r="833" spans="1:47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14"/>
      <c r="AJ833" s="14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</row>
    <row r="834" spans="1:47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14"/>
      <c r="AJ834" s="14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</row>
    <row r="835" spans="1:47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14"/>
      <c r="AJ835" s="14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</row>
    <row r="836" spans="1:47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14"/>
      <c r="AJ836" s="14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</row>
    <row r="837" spans="1:47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14"/>
      <c r="AJ837" s="14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</row>
    <row r="838" spans="1:47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14"/>
      <c r="AJ838" s="14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</row>
    <row r="839" spans="1:47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14"/>
      <c r="AJ839" s="14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</row>
    <row r="840" spans="1:47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14"/>
      <c r="AJ840" s="14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</row>
    <row r="841" spans="1:47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14"/>
      <c r="AJ841" s="14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</row>
    <row r="842" spans="1:47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14"/>
      <c r="AJ842" s="14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</row>
    <row r="843" spans="1:47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14"/>
      <c r="AJ843" s="14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</row>
    <row r="844" spans="1:47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14"/>
      <c r="AJ844" s="14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</row>
    <row r="845" spans="1:47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14"/>
      <c r="AJ845" s="14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</row>
    <row r="846" spans="1:47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14"/>
      <c r="AJ846" s="14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</row>
    <row r="847" spans="1:47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14"/>
      <c r="AJ847" s="14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</row>
    <row r="848" spans="1:47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14"/>
      <c r="AJ848" s="14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</row>
    <row r="849" spans="1:47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14"/>
      <c r="AJ849" s="14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</row>
    <row r="850" spans="1:47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14"/>
      <c r="AJ850" s="14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</row>
    <row r="851" spans="1:47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14"/>
      <c r="AJ851" s="14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</row>
    <row r="852" spans="1:47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14"/>
      <c r="AJ852" s="14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</row>
    <row r="853" spans="1:47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14"/>
      <c r="AJ853" s="14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</row>
    <row r="854" spans="1:47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14"/>
      <c r="AJ854" s="14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</row>
    <row r="855" spans="1:47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14"/>
      <c r="AJ855" s="14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</row>
    <row r="856" spans="1:47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14"/>
      <c r="AJ856" s="14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</row>
    <row r="857" spans="1:47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14"/>
      <c r="AJ857" s="14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</row>
    <row r="858" spans="1:47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14"/>
      <c r="AJ858" s="14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</row>
    <row r="859" spans="1:47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14"/>
      <c r="AJ859" s="14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</row>
    <row r="860" spans="1:47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14"/>
      <c r="AJ860" s="14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</row>
    <row r="861" spans="1:47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14"/>
      <c r="AJ861" s="14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</row>
    <row r="862" spans="1:47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14"/>
      <c r="AJ862" s="14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</row>
    <row r="863" spans="1:47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14"/>
      <c r="AJ863" s="14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</row>
    <row r="864" spans="1:47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14"/>
      <c r="AJ864" s="14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</row>
    <row r="865" spans="1:47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14"/>
      <c r="AJ865" s="14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</row>
    <row r="866" spans="1:47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14"/>
      <c r="AJ866" s="14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</row>
    <row r="867" spans="1:47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14"/>
      <c r="AJ867" s="14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</row>
    <row r="868" spans="1:47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14"/>
      <c r="AJ868" s="14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</row>
    <row r="869" spans="1:47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14"/>
      <c r="AJ869" s="14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</row>
    <row r="870" spans="1:47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14"/>
      <c r="AJ870" s="14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</row>
    <row r="871" spans="1:47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14"/>
      <c r="AJ871" s="14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</row>
    <row r="872" spans="1:47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14"/>
      <c r="AJ872" s="14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</row>
    <row r="873" spans="1:47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14"/>
      <c r="AJ873" s="14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</row>
    <row r="874" spans="1:47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14"/>
      <c r="AJ874" s="14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</row>
    <row r="875" spans="1:47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14"/>
      <c r="AJ875" s="14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</row>
    <row r="876" spans="1:47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14"/>
      <c r="AJ876" s="14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</row>
    <row r="877" spans="1:47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14"/>
      <c r="AJ877" s="14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</row>
    <row r="878" spans="1:47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14"/>
      <c r="AJ878" s="14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</row>
    <row r="879" spans="1:47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14"/>
      <c r="AJ879" s="14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</row>
    <row r="880" spans="1:47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14"/>
      <c r="AJ880" s="14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</row>
    <row r="881" spans="1:47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14"/>
      <c r="AJ881" s="14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</row>
    <row r="882" spans="1:47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14"/>
      <c r="AJ882" s="14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</row>
    <row r="883" spans="1:47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14"/>
      <c r="AJ883" s="14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</row>
    <row r="884" spans="1:47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14"/>
      <c r="AJ884" s="14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</row>
    <row r="885" spans="1:47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14"/>
      <c r="AJ885" s="14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</row>
    <row r="886" spans="1:47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14"/>
      <c r="AJ886" s="14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</row>
    <row r="887" spans="1:47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14"/>
      <c r="AJ887" s="14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</row>
    <row r="888" spans="1:47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14"/>
      <c r="AJ888" s="14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</row>
    <row r="889" spans="1:47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14"/>
      <c r="AJ889" s="14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</row>
    <row r="890" spans="1:47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14"/>
      <c r="AJ890" s="14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</row>
    <row r="891" spans="1:47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14"/>
      <c r="AJ891" s="14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</row>
    <row r="892" spans="1:47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14"/>
      <c r="AJ892" s="14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</row>
    <row r="893" spans="1:47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14"/>
      <c r="AJ893" s="14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</row>
    <row r="894" spans="1:47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14"/>
      <c r="AJ894" s="14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</row>
    <row r="895" spans="1:47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14"/>
      <c r="AJ895" s="14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</row>
    <row r="896" spans="1:47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14"/>
      <c r="AJ896" s="14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</row>
    <row r="897" spans="1:47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14"/>
      <c r="AJ897" s="14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</row>
    <row r="898" spans="1:47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14"/>
      <c r="AJ898" s="14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</row>
    <row r="899" spans="1:47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14"/>
      <c r="AJ899" s="14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</row>
    <row r="900" spans="1:47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14"/>
      <c r="AJ900" s="14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</row>
    <row r="901" spans="1:47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14"/>
      <c r="AJ901" s="14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</row>
    <row r="902" spans="1:47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14"/>
      <c r="AJ902" s="14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</row>
    <row r="903" spans="1:47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14"/>
      <c r="AJ903" s="14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</row>
    <row r="904" spans="1:47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14"/>
      <c r="AJ904" s="14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</row>
    <row r="905" spans="1:47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14"/>
      <c r="AJ905" s="14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</row>
    <row r="906" spans="1:47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14"/>
      <c r="AJ906" s="14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</row>
    <row r="907" spans="1:47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14"/>
      <c r="AJ907" s="14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</row>
    <row r="908" spans="1:47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14"/>
      <c r="AJ908" s="14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</row>
    <row r="909" spans="1:47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14"/>
      <c r="AJ909" s="14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</row>
    <row r="910" spans="1:47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14"/>
      <c r="AJ910" s="14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</row>
    <row r="911" spans="1:47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14"/>
      <c r="AJ911" s="14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</row>
    <row r="912" spans="1:47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14"/>
      <c r="AJ912" s="14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</row>
    <row r="913" spans="1:47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14"/>
      <c r="AJ913" s="14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</row>
    <row r="914" spans="1:47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14"/>
      <c r="AJ914" s="14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</row>
    <row r="915" spans="1:47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14"/>
      <c r="AJ915" s="14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</row>
    <row r="916" spans="1:47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14"/>
      <c r="AJ916" s="14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</row>
    <row r="917" spans="1:47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14"/>
      <c r="AJ917" s="14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</row>
    <row r="918" spans="1:47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14"/>
      <c r="AJ918" s="14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</row>
    <row r="919" spans="1:47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14"/>
      <c r="AJ919" s="14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</row>
    <row r="920" spans="1:47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14"/>
      <c r="AJ920" s="14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</row>
    <row r="921" spans="1:47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14"/>
      <c r="AJ921" s="14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</row>
    <row r="922" spans="1:47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14"/>
      <c r="AJ922" s="14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</row>
    <row r="923" spans="1:47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14"/>
      <c r="AJ923" s="14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</row>
    <row r="924" spans="1:47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14"/>
      <c r="AJ924" s="14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</row>
    <row r="925" spans="1:47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14"/>
      <c r="AJ925" s="14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</row>
    <row r="926" spans="1:47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14"/>
      <c r="AJ926" s="14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</row>
    <row r="927" spans="1:47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14"/>
      <c r="AJ927" s="14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</row>
    <row r="928" spans="1:47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14"/>
      <c r="AJ928" s="14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</row>
    <row r="929" spans="1:47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14"/>
      <c r="AJ929" s="14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</row>
    <row r="930" spans="1:47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14"/>
      <c r="AJ930" s="14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</row>
    <row r="931" spans="1:47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14"/>
      <c r="AJ931" s="14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</row>
    <row r="932" spans="1:47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14"/>
      <c r="AJ932" s="14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</row>
    <row r="933" spans="1:47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14"/>
      <c r="AJ933" s="14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</row>
    <row r="934" spans="1:47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14"/>
      <c r="AJ934" s="14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</row>
    <row r="935" spans="1:47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14"/>
      <c r="AJ935" s="14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</row>
    <row r="936" spans="1:47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14"/>
      <c r="AJ936" s="14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</row>
    <row r="937" spans="1:47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14"/>
      <c r="AJ937" s="14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</row>
    <row r="938" spans="1:47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14"/>
      <c r="AJ938" s="14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</row>
    <row r="939" spans="1:47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14"/>
      <c r="AJ939" s="14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</row>
    <row r="940" spans="1:47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14"/>
      <c r="AJ940" s="14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</row>
    <row r="941" spans="1:47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14"/>
      <c r="AJ941" s="14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</row>
    <row r="942" spans="1:47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14"/>
      <c r="AJ942" s="14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</row>
    <row r="943" spans="1:47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14"/>
      <c r="AJ943" s="14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</row>
    <row r="944" spans="1:47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14"/>
      <c r="AJ944" s="14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</row>
    <row r="945" spans="1:47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14"/>
      <c r="AJ945" s="14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</row>
    <row r="946" spans="1:47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14"/>
      <c r="AJ946" s="14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</row>
    <row r="947" spans="1:47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14"/>
      <c r="AJ947" s="14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</row>
    <row r="948" spans="1:47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14"/>
      <c r="AJ948" s="14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</row>
    <row r="949" spans="1:47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14"/>
      <c r="AJ949" s="14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</row>
    <row r="950" spans="1:47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14"/>
      <c r="AJ950" s="14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</row>
    <row r="951" spans="1:47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14"/>
      <c r="AJ951" s="14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</row>
    <row r="952" spans="1:47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14"/>
      <c r="AJ952" s="14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</row>
    <row r="953" spans="1:47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14"/>
      <c r="AJ953" s="14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</row>
    <row r="954" spans="1:47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14"/>
      <c r="AJ954" s="14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</row>
    <row r="955" spans="1:47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14"/>
      <c r="AJ955" s="14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</row>
    <row r="956" spans="1:47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14"/>
      <c r="AJ956" s="14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</row>
    <row r="957" spans="1:47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14"/>
      <c r="AJ957" s="14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</row>
    <row r="958" spans="1:47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14"/>
      <c r="AJ958" s="14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</row>
    <row r="959" spans="1:47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14"/>
      <c r="AJ959" s="14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</row>
    <row r="960" spans="1:47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14"/>
      <c r="AJ960" s="14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</row>
    <row r="961" spans="1:47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14"/>
      <c r="AJ961" s="14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</row>
    <row r="962" spans="1:47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14"/>
      <c r="AJ962" s="14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</row>
    <row r="963" spans="1:47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14"/>
      <c r="AJ963" s="14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</row>
    <row r="964" spans="1:47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14"/>
      <c r="AJ964" s="14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</row>
    <row r="965" spans="1:47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14"/>
      <c r="AJ965" s="14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</row>
    <row r="966" spans="1:47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14"/>
      <c r="AJ966" s="14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</row>
    <row r="967" spans="1:47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14"/>
      <c r="AJ967" s="14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</row>
    <row r="968" spans="1:47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14"/>
      <c r="AJ968" s="14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</row>
    <row r="969" spans="1:47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14"/>
      <c r="AJ969" s="14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</row>
    <row r="970" spans="1:47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14"/>
      <c r="AJ970" s="14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</row>
    <row r="971" spans="1:47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14"/>
      <c r="AJ971" s="14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</row>
    <row r="972" spans="1:47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14"/>
      <c r="AJ972" s="14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</row>
    <row r="973" spans="1:47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14"/>
      <c r="AJ973" s="14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</row>
    <row r="974" spans="1:47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14"/>
      <c r="AJ974" s="14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</row>
    <row r="975" spans="1:47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14"/>
      <c r="AJ975" s="14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</row>
    <row r="976" spans="1:47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14"/>
      <c r="AJ976" s="14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</row>
    <row r="977" spans="1:47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14"/>
      <c r="AJ977" s="14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</row>
    <row r="978" spans="1:47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14"/>
      <c r="AJ978" s="14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</row>
    <row r="979" spans="1:47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14"/>
      <c r="AJ979" s="14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</row>
    <row r="980" spans="1:47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14"/>
      <c r="AJ980" s="14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</row>
    <row r="981" spans="1:47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14"/>
      <c r="AJ981" s="14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</row>
    <row r="982" spans="1:47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14"/>
      <c r="AJ982" s="14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</row>
    <row r="983" spans="1:47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14"/>
      <c r="AJ983" s="14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</row>
    <row r="984" spans="1:47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14"/>
      <c r="AJ984" s="14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</row>
    <row r="985" spans="1:47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14"/>
      <c r="AJ985" s="14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</row>
    <row r="986" spans="1:47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14"/>
      <c r="AJ986" s="14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</row>
    <row r="987" spans="1:47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14"/>
      <c r="AJ987" s="14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</row>
    <row r="988" spans="1:47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14"/>
      <c r="AJ988" s="14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</row>
    <row r="989" spans="1:47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14"/>
      <c r="AJ989" s="14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</row>
    <row r="990" spans="1:47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14"/>
      <c r="AJ990" s="14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</row>
  </sheetData>
  <mergeCells count="2">
    <mergeCell ref="AC7:AG7"/>
    <mergeCell ref="B4:L5"/>
  </mergeCells>
  <pageMargins left="0.7" right="0.7" top="0.75" bottom="0.75" header="0" footer="0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CN999"/>
  <sheetViews>
    <sheetView zoomScale="115" zoomScaleNormal="115" workbookViewId="0">
      <selection activeCell="H46" sqref="H46"/>
    </sheetView>
  </sheetViews>
  <sheetFormatPr defaultColWidth="12.625" defaultRowHeight="15" customHeight="1" x14ac:dyDescent="0.2"/>
  <cols>
    <col min="1" max="1" width="3.625" customWidth="1"/>
    <col min="2" max="2" width="0.875" customWidth="1"/>
    <col min="3" max="3" width="3.625" customWidth="1"/>
    <col min="4" max="4" width="21.5" customWidth="1"/>
    <col min="5" max="5" width="15" customWidth="1"/>
    <col min="6" max="6" width="13.625" customWidth="1"/>
    <col min="7" max="7" width="13.125" customWidth="1"/>
    <col min="8" max="8" width="12.125" customWidth="1"/>
    <col min="9" max="9" width="12.375" customWidth="1"/>
    <col min="10" max="10" width="13.625" customWidth="1"/>
    <col min="11" max="11" width="1.875" customWidth="1"/>
    <col min="12" max="32" width="8" customWidth="1"/>
    <col min="33" max="33" width="7.625" customWidth="1"/>
  </cols>
  <sheetData>
    <row r="1" spans="1:92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325"/>
      <c r="AI1" s="325"/>
      <c r="AJ1" s="325"/>
      <c r="AK1" s="325"/>
      <c r="AL1" s="325"/>
      <c r="AM1" s="325"/>
      <c r="AN1" s="325"/>
      <c r="AO1" s="325"/>
      <c r="AP1" s="325"/>
      <c r="AQ1" s="325"/>
      <c r="AR1" s="325"/>
      <c r="AS1" s="325"/>
      <c r="AT1" s="325"/>
      <c r="AU1" s="325"/>
      <c r="AV1" s="325"/>
      <c r="AW1" s="325"/>
      <c r="AX1" s="325"/>
      <c r="AY1" s="325"/>
      <c r="AZ1" s="325"/>
      <c r="BA1" s="325"/>
      <c r="BB1" s="325"/>
      <c r="BC1" s="325"/>
      <c r="BD1" s="325"/>
      <c r="BE1" s="325"/>
      <c r="BF1" s="325"/>
      <c r="BG1" s="325"/>
      <c r="BH1" s="325"/>
      <c r="BI1" s="325"/>
      <c r="BJ1" s="325"/>
      <c r="BK1" s="325"/>
      <c r="BL1" s="325"/>
      <c r="BM1" s="325"/>
      <c r="BN1" s="325"/>
      <c r="BO1" s="325"/>
      <c r="BP1" s="325"/>
      <c r="BQ1" s="325"/>
      <c r="BR1" s="325"/>
      <c r="BS1" s="325"/>
      <c r="BT1" s="325"/>
      <c r="BU1" s="325"/>
      <c r="BV1" s="325"/>
      <c r="BW1" s="325"/>
      <c r="BX1" s="325"/>
      <c r="BY1" s="325"/>
      <c r="BZ1" s="325"/>
      <c r="CA1" s="325"/>
      <c r="CB1" s="325"/>
      <c r="CC1" s="325"/>
      <c r="CD1" s="325"/>
      <c r="CE1" s="325"/>
      <c r="CF1" s="325"/>
    </row>
    <row r="2" spans="1:92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325"/>
      <c r="AI2" s="325"/>
      <c r="AJ2" s="325"/>
      <c r="AK2" s="325"/>
      <c r="AL2" s="325"/>
      <c r="AM2" s="325"/>
      <c r="AN2" s="325"/>
      <c r="AO2" s="325"/>
      <c r="AP2" s="325"/>
      <c r="AQ2" s="325"/>
      <c r="AR2" s="325"/>
      <c r="AS2" s="325"/>
      <c r="AT2" s="325"/>
      <c r="AU2" s="325"/>
      <c r="AV2" s="325"/>
      <c r="AW2" s="325"/>
      <c r="AX2" s="325"/>
      <c r="AY2" s="325"/>
      <c r="AZ2" s="325"/>
      <c r="BA2" s="325"/>
      <c r="BB2" s="325"/>
      <c r="BC2" s="325"/>
      <c r="BD2" s="325"/>
      <c r="BE2" s="325"/>
      <c r="BF2" s="325"/>
      <c r="BG2" s="325"/>
      <c r="BH2" s="325"/>
      <c r="BI2" s="325"/>
      <c r="BJ2" s="325"/>
      <c r="BK2" s="325"/>
      <c r="BL2" s="325"/>
      <c r="BM2" s="325"/>
      <c r="BN2" s="325"/>
      <c r="BO2" s="325"/>
      <c r="BP2" s="325"/>
      <c r="BQ2" s="325"/>
      <c r="BR2" s="325"/>
      <c r="BS2" s="325"/>
      <c r="BT2" s="325"/>
      <c r="BU2" s="325"/>
      <c r="BV2" s="325"/>
      <c r="BW2" s="325"/>
      <c r="BX2" s="325"/>
      <c r="BY2" s="325"/>
      <c r="BZ2" s="325"/>
      <c r="CA2" s="325"/>
      <c r="CB2" s="325"/>
      <c r="CC2" s="325"/>
      <c r="CD2" s="325"/>
      <c r="CE2" s="325"/>
      <c r="CF2" s="325"/>
    </row>
    <row r="3" spans="1:92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325"/>
      <c r="AI3" s="325"/>
      <c r="AJ3" s="325"/>
      <c r="AK3" s="325"/>
      <c r="AL3" s="325"/>
      <c r="AM3" s="325"/>
      <c r="AN3" s="325"/>
      <c r="AO3" s="325"/>
      <c r="AP3" s="325"/>
      <c r="AQ3" s="325"/>
      <c r="AR3" s="325"/>
      <c r="AS3" s="325"/>
      <c r="AT3" s="325"/>
      <c r="AU3" s="325"/>
      <c r="AV3" s="325"/>
      <c r="AW3" s="325"/>
      <c r="AX3" s="325"/>
      <c r="AY3" s="325"/>
      <c r="AZ3" s="325"/>
      <c r="BA3" s="325"/>
      <c r="BB3" s="325"/>
      <c r="BC3" s="325"/>
      <c r="BD3" s="325"/>
      <c r="BE3" s="325"/>
      <c r="BF3" s="325"/>
      <c r="BG3" s="325"/>
      <c r="BH3" s="325"/>
      <c r="BI3" s="325"/>
      <c r="BJ3" s="325"/>
      <c r="BK3" s="325"/>
      <c r="BL3" s="325"/>
      <c r="BM3" s="325"/>
      <c r="BN3" s="325"/>
      <c r="BO3" s="325"/>
      <c r="BP3" s="325"/>
      <c r="BQ3" s="325"/>
      <c r="BR3" s="325"/>
      <c r="BS3" s="325"/>
      <c r="BT3" s="325"/>
      <c r="BU3" s="325"/>
      <c r="BV3" s="325"/>
      <c r="BW3" s="325"/>
      <c r="BX3" s="325"/>
      <c r="BY3" s="325"/>
      <c r="BZ3" s="325"/>
      <c r="CA3" s="325"/>
      <c r="CB3" s="325"/>
      <c r="CC3" s="325"/>
      <c r="CD3" s="325"/>
      <c r="CE3" s="325"/>
      <c r="CF3" s="325"/>
    </row>
    <row r="4" spans="1:92" ht="14.25" customHeight="1" x14ac:dyDescent="0.2">
      <c r="A4" s="212"/>
      <c r="B4" s="534" t="s">
        <v>259</v>
      </c>
      <c r="C4" s="535"/>
      <c r="D4" s="535"/>
      <c r="E4" s="535"/>
      <c r="F4" s="535"/>
      <c r="G4" s="535"/>
      <c r="H4" s="535"/>
      <c r="I4" s="536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325"/>
      <c r="AI4" s="325"/>
      <c r="AJ4" s="325"/>
      <c r="AK4" s="325"/>
      <c r="AL4" s="325"/>
      <c r="AM4" s="325"/>
      <c r="AN4" s="325"/>
      <c r="AO4" s="325"/>
      <c r="AP4" s="325"/>
      <c r="AQ4" s="325"/>
      <c r="AR4" s="325"/>
      <c r="AS4" s="325"/>
      <c r="AT4" s="325"/>
      <c r="AU4" s="325"/>
      <c r="AV4" s="325"/>
      <c r="AW4" s="325"/>
      <c r="AX4" s="325"/>
      <c r="AY4" s="325"/>
      <c r="AZ4" s="325"/>
      <c r="BA4" s="325"/>
      <c r="BB4" s="325"/>
      <c r="BC4" s="325"/>
      <c r="BD4" s="325"/>
      <c r="BE4" s="325"/>
      <c r="BF4" s="325"/>
      <c r="BG4" s="325"/>
      <c r="BH4" s="325"/>
      <c r="BI4" s="325"/>
      <c r="BJ4" s="325"/>
      <c r="BK4" s="325"/>
      <c r="BL4" s="325"/>
      <c r="BM4" s="325"/>
      <c r="BN4" s="325"/>
      <c r="BO4" s="325"/>
      <c r="BP4" s="325"/>
      <c r="BQ4" s="325"/>
      <c r="BR4" s="325"/>
      <c r="BS4" s="325"/>
      <c r="BT4" s="325"/>
      <c r="BU4" s="325"/>
      <c r="BV4" s="325"/>
      <c r="BW4" s="325"/>
      <c r="BX4" s="325"/>
      <c r="BY4" s="325"/>
      <c r="BZ4" s="325"/>
      <c r="CA4" s="325"/>
      <c r="CB4" s="325"/>
      <c r="CC4" s="325"/>
      <c r="CD4" s="325"/>
      <c r="CE4" s="325"/>
      <c r="CF4" s="325"/>
    </row>
    <row r="5" spans="1:92" ht="14.25" customHeight="1" x14ac:dyDescent="0.2">
      <c r="A5" s="212"/>
      <c r="B5" s="537"/>
      <c r="C5" s="538"/>
      <c r="D5" s="538"/>
      <c r="E5" s="538"/>
      <c r="F5" s="538"/>
      <c r="G5" s="538"/>
      <c r="H5" s="538"/>
      <c r="I5" s="539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325"/>
      <c r="AI5" s="325"/>
      <c r="AJ5" s="325"/>
      <c r="AK5" s="325"/>
      <c r="AL5" s="325"/>
      <c r="AM5" s="325"/>
      <c r="AN5" s="325"/>
      <c r="AO5" s="325"/>
      <c r="AP5" s="325"/>
      <c r="AQ5" s="325"/>
      <c r="AR5" s="325"/>
      <c r="AS5" s="325"/>
      <c r="AT5" s="325"/>
      <c r="AU5" s="325"/>
      <c r="AV5" s="325"/>
      <c r="AW5" s="325"/>
      <c r="AX5" s="325"/>
      <c r="AY5" s="325"/>
      <c r="AZ5" s="325"/>
      <c r="BA5" s="325"/>
      <c r="BB5" s="325"/>
      <c r="BC5" s="325"/>
      <c r="BD5" s="325"/>
      <c r="BE5" s="325"/>
      <c r="BF5" s="325"/>
      <c r="BG5" s="325"/>
      <c r="BH5" s="325"/>
      <c r="BI5" s="325"/>
      <c r="BJ5" s="325"/>
      <c r="BK5" s="325"/>
      <c r="BL5" s="325"/>
      <c r="BM5" s="325"/>
      <c r="BN5" s="325"/>
      <c r="BO5" s="325"/>
      <c r="BP5" s="325"/>
      <c r="BQ5" s="325"/>
      <c r="BR5" s="325"/>
      <c r="BS5" s="325"/>
      <c r="BT5" s="325"/>
      <c r="BU5" s="325"/>
      <c r="BV5" s="325"/>
      <c r="BW5" s="325"/>
      <c r="BX5" s="325"/>
      <c r="BY5" s="325"/>
      <c r="BZ5" s="325"/>
      <c r="CA5" s="325"/>
      <c r="CB5" s="325"/>
      <c r="CC5" s="325"/>
      <c r="CD5" s="325"/>
      <c r="CE5" s="325"/>
      <c r="CF5" s="325"/>
    </row>
    <row r="6" spans="1:92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24"/>
      <c r="AF6" s="324"/>
      <c r="AG6" s="324"/>
      <c r="AH6" s="325"/>
      <c r="AI6" s="325"/>
      <c r="AJ6" s="325"/>
      <c r="AK6" s="325"/>
      <c r="AL6" s="325"/>
      <c r="AM6" s="325"/>
      <c r="AN6" s="325"/>
      <c r="AO6" s="325"/>
      <c r="AP6" s="325"/>
      <c r="AQ6" s="325"/>
      <c r="AR6" s="325"/>
      <c r="AS6" s="325"/>
      <c r="AT6" s="325"/>
      <c r="AU6" s="325"/>
      <c r="AV6" s="325"/>
      <c r="AW6" s="325"/>
      <c r="AX6" s="325"/>
      <c r="AY6" s="325"/>
      <c r="AZ6" s="325"/>
      <c r="BA6" s="325"/>
      <c r="BB6" s="325"/>
      <c r="BC6" s="325"/>
      <c r="BD6" s="325"/>
      <c r="BE6" s="325"/>
      <c r="BF6" s="325"/>
      <c r="BG6" s="325"/>
      <c r="BH6" s="325"/>
      <c r="BI6" s="325"/>
      <c r="BJ6" s="325"/>
      <c r="BK6" s="325"/>
      <c r="BL6" s="325"/>
      <c r="BM6" s="325"/>
      <c r="BN6" s="325"/>
      <c r="BO6" s="325"/>
      <c r="BP6" s="325"/>
      <c r="BQ6" s="325"/>
      <c r="BR6" s="325"/>
      <c r="BS6" s="325"/>
      <c r="BT6" s="325"/>
      <c r="BU6" s="325"/>
      <c r="BV6" s="325"/>
      <c r="BW6" s="325"/>
      <c r="BX6" s="325"/>
      <c r="BY6" s="325"/>
      <c r="BZ6" s="325"/>
      <c r="CA6" s="325"/>
      <c r="CB6" s="325"/>
      <c r="CC6" s="325"/>
      <c r="CD6" s="325"/>
      <c r="CE6" s="325"/>
      <c r="CF6" s="325"/>
      <c r="CG6" s="325"/>
      <c r="CH6" s="325"/>
      <c r="CI6" s="325"/>
      <c r="CJ6" s="325"/>
      <c r="CK6" s="325"/>
      <c r="CL6" s="325"/>
      <c r="CM6" s="325"/>
      <c r="CN6" s="325"/>
    </row>
    <row r="7" spans="1:92" ht="3.75" customHeight="1" x14ac:dyDescent="0.2">
      <c r="A7" s="3"/>
      <c r="B7" s="82"/>
      <c r="C7" s="82"/>
      <c r="D7" s="82"/>
      <c r="E7" s="82"/>
      <c r="F7" s="82"/>
      <c r="G7" s="82"/>
      <c r="H7" s="82"/>
      <c r="I7" s="82"/>
      <c r="J7" s="82"/>
      <c r="K7" s="82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24"/>
      <c r="AF7" s="324"/>
      <c r="AG7" s="324"/>
      <c r="AH7" s="325"/>
      <c r="AI7" s="325"/>
      <c r="AJ7" s="325"/>
      <c r="AK7" s="325"/>
      <c r="AL7" s="325"/>
      <c r="AM7" s="325"/>
      <c r="AN7" s="325"/>
      <c r="AO7" s="325"/>
      <c r="AP7" s="325"/>
      <c r="AQ7" s="325"/>
      <c r="AR7" s="325"/>
      <c r="AS7" s="325"/>
      <c r="AT7" s="325"/>
      <c r="AU7" s="325"/>
      <c r="AV7" s="325"/>
      <c r="AW7" s="325"/>
      <c r="AX7" s="325"/>
      <c r="AY7" s="325"/>
      <c r="AZ7" s="325"/>
      <c r="BA7" s="325"/>
      <c r="BB7" s="325"/>
      <c r="BC7" s="325"/>
      <c r="BD7" s="325"/>
      <c r="BE7" s="325"/>
      <c r="BF7" s="325"/>
      <c r="BG7" s="325"/>
      <c r="BH7" s="325"/>
      <c r="BI7" s="325"/>
      <c r="BJ7" s="325"/>
      <c r="BK7" s="325"/>
      <c r="BL7" s="325"/>
      <c r="BM7" s="325"/>
      <c r="BN7" s="325"/>
      <c r="BO7" s="325"/>
      <c r="BP7" s="325"/>
      <c r="BQ7" s="325"/>
      <c r="BR7" s="325"/>
      <c r="BS7" s="325"/>
      <c r="BT7" s="325"/>
      <c r="BU7" s="325"/>
      <c r="BV7" s="325"/>
      <c r="BW7" s="325"/>
      <c r="BX7" s="325"/>
      <c r="BY7" s="325"/>
      <c r="BZ7" s="325"/>
      <c r="CA7" s="325"/>
      <c r="CB7" s="325"/>
      <c r="CC7" s="325"/>
      <c r="CD7" s="325"/>
      <c r="CE7" s="325"/>
      <c r="CF7" s="325"/>
      <c r="CG7" s="325"/>
      <c r="CH7" s="325"/>
      <c r="CI7" s="325"/>
      <c r="CJ7" s="325"/>
      <c r="CK7" s="325"/>
      <c r="CL7" s="325"/>
      <c r="CM7" s="325"/>
      <c r="CN7" s="325"/>
    </row>
    <row r="8" spans="1:92" ht="14.25" customHeight="1" x14ac:dyDescent="0.2">
      <c r="A8" s="3"/>
      <c r="B8" s="82"/>
      <c r="C8" s="82"/>
      <c r="D8" s="213" t="s">
        <v>260</v>
      </c>
      <c r="E8" s="82"/>
      <c r="F8" s="82"/>
      <c r="G8" s="82"/>
      <c r="H8" s="82"/>
      <c r="I8" s="82"/>
      <c r="J8" s="82"/>
      <c r="K8" s="82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24"/>
      <c r="AF8" s="324"/>
      <c r="AG8" s="324"/>
      <c r="AH8" s="325"/>
      <c r="AI8" s="325"/>
      <c r="AJ8" s="325"/>
      <c r="AK8" s="325"/>
      <c r="AL8" s="325"/>
      <c r="AM8" s="325"/>
      <c r="AN8" s="325"/>
      <c r="AO8" s="325"/>
      <c r="AP8" s="325"/>
      <c r="AQ8" s="325"/>
      <c r="AR8" s="325"/>
      <c r="AS8" s="325"/>
      <c r="AT8" s="325"/>
      <c r="AU8" s="325"/>
      <c r="AV8" s="325"/>
      <c r="AW8" s="325"/>
      <c r="AX8" s="325"/>
      <c r="AY8" s="325"/>
      <c r="AZ8" s="325"/>
      <c r="BA8" s="325"/>
      <c r="BB8" s="325"/>
      <c r="BC8" s="325"/>
      <c r="BD8" s="325"/>
      <c r="BE8" s="325"/>
      <c r="BF8" s="325"/>
      <c r="BG8" s="325"/>
      <c r="BH8" s="325"/>
      <c r="BI8" s="325"/>
      <c r="BJ8" s="325"/>
      <c r="BK8" s="325"/>
      <c r="BL8" s="325"/>
      <c r="BM8" s="325"/>
      <c r="BN8" s="325"/>
      <c r="BO8" s="325"/>
      <c r="BP8" s="325"/>
      <c r="BQ8" s="325"/>
      <c r="BR8" s="325"/>
      <c r="BS8" s="325"/>
      <c r="BT8" s="325"/>
      <c r="BU8" s="325"/>
      <c r="BV8" s="325"/>
      <c r="BW8" s="325"/>
      <c r="BX8" s="325"/>
      <c r="BY8" s="325"/>
      <c r="BZ8" s="325"/>
      <c r="CA8" s="325"/>
      <c r="CB8" s="325"/>
      <c r="CC8" s="325"/>
      <c r="CD8" s="325"/>
      <c r="CE8" s="325"/>
      <c r="CF8" s="325"/>
      <c r="CG8" s="325"/>
      <c r="CH8" s="325"/>
      <c r="CI8" s="325"/>
      <c r="CJ8" s="325"/>
      <c r="CK8" s="325"/>
      <c r="CL8" s="325"/>
      <c r="CM8" s="325"/>
      <c r="CN8" s="325"/>
    </row>
    <row r="9" spans="1:92" ht="5.25" customHeight="1" x14ac:dyDescent="0.2">
      <c r="A9" s="3"/>
      <c r="B9" s="82"/>
      <c r="C9" s="82"/>
      <c r="D9" s="82"/>
      <c r="E9" s="82"/>
      <c r="F9" s="82"/>
      <c r="G9" s="82"/>
      <c r="H9" s="82"/>
      <c r="I9" s="82"/>
      <c r="J9" s="82"/>
      <c r="K9" s="82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24"/>
      <c r="AF9" s="324"/>
      <c r="AG9" s="324"/>
      <c r="AH9" s="325"/>
      <c r="AI9" s="325"/>
      <c r="AJ9" s="325"/>
      <c r="AK9" s="325"/>
      <c r="AL9" s="325"/>
      <c r="AM9" s="325"/>
      <c r="AN9" s="325"/>
      <c r="AO9" s="325"/>
      <c r="AP9" s="325"/>
      <c r="AQ9" s="325"/>
      <c r="AR9" s="325"/>
      <c r="AS9" s="325"/>
      <c r="AT9" s="325"/>
      <c r="AU9" s="325"/>
      <c r="AV9" s="325"/>
      <c r="AW9" s="325"/>
      <c r="AX9" s="325"/>
      <c r="AY9" s="325"/>
      <c r="AZ9" s="325"/>
      <c r="BA9" s="325"/>
      <c r="BB9" s="325"/>
      <c r="BC9" s="325"/>
      <c r="BD9" s="325"/>
      <c r="BE9" s="325"/>
      <c r="BF9" s="325"/>
      <c r="BG9" s="325"/>
      <c r="BH9" s="325"/>
      <c r="BI9" s="325"/>
      <c r="BJ9" s="325"/>
      <c r="BK9" s="325"/>
      <c r="BL9" s="325"/>
      <c r="BM9" s="325"/>
      <c r="BN9" s="325"/>
      <c r="BO9" s="325"/>
      <c r="BP9" s="325"/>
      <c r="BQ9" s="325"/>
      <c r="BR9" s="325"/>
      <c r="BS9" s="325"/>
      <c r="BT9" s="325"/>
      <c r="BU9" s="325"/>
      <c r="BV9" s="325"/>
      <c r="BW9" s="325"/>
      <c r="BX9" s="325"/>
      <c r="BY9" s="325"/>
      <c r="BZ9" s="325"/>
      <c r="CA9" s="325"/>
      <c r="CB9" s="325"/>
      <c r="CC9" s="325"/>
      <c r="CD9" s="325"/>
      <c r="CE9" s="325"/>
      <c r="CF9" s="325"/>
      <c r="CG9" s="325"/>
      <c r="CH9" s="325"/>
      <c r="CI9" s="325"/>
      <c r="CJ9" s="325"/>
      <c r="CK9" s="325"/>
      <c r="CL9" s="325"/>
      <c r="CM9" s="325"/>
      <c r="CN9" s="325"/>
    </row>
    <row r="10" spans="1:92" ht="14.25" customHeight="1" x14ac:dyDescent="0.2">
      <c r="A10" s="3"/>
      <c r="B10" s="82"/>
      <c r="C10" s="82"/>
      <c r="D10" s="214" t="s">
        <v>261</v>
      </c>
      <c r="E10" s="215" t="s">
        <v>262</v>
      </c>
      <c r="F10" s="215" t="s">
        <v>263</v>
      </c>
      <c r="G10" s="215" t="s">
        <v>264</v>
      </c>
      <c r="H10" s="215" t="s">
        <v>265</v>
      </c>
      <c r="I10" s="215" t="s">
        <v>266</v>
      </c>
      <c r="J10" s="215" t="s">
        <v>267</v>
      </c>
      <c r="K10" s="82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24"/>
      <c r="AF10" s="324"/>
      <c r="AG10" s="324"/>
      <c r="AH10" s="325"/>
      <c r="AI10" s="325"/>
      <c r="AJ10" s="325"/>
      <c r="AK10" s="325"/>
      <c r="AL10" s="325"/>
      <c r="AM10" s="325"/>
      <c r="AN10" s="325"/>
      <c r="AO10" s="325"/>
      <c r="AP10" s="325"/>
      <c r="AQ10" s="325"/>
      <c r="AR10" s="325"/>
      <c r="AS10" s="325"/>
      <c r="AT10" s="325"/>
      <c r="AU10" s="325"/>
      <c r="AV10" s="325"/>
      <c r="AW10" s="325"/>
      <c r="AX10" s="325"/>
      <c r="AY10" s="325"/>
      <c r="AZ10" s="325"/>
      <c r="BA10" s="325"/>
      <c r="BB10" s="325"/>
      <c r="BC10" s="325"/>
      <c r="BD10" s="325"/>
      <c r="BE10" s="325"/>
      <c r="BF10" s="325"/>
      <c r="BG10" s="325"/>
      <c r="BH10" s="325"/>
      <c r="BI10" s="325"/>
      <c r="BJ10" s="325"/>
      <c r="BK10" s="325"/>
      <c r="BL10" s="325"/>
      <c r="BM10" s="325"/>
      <c r="BN10" s="325"/>
      <c r="BO10" s="325"/>
      <c r="BP10" s="325"/>
      <c r="BQ10" s="325"/>
      <c r="BR10" s="325"/>
      <c r="BS10" s="325"/>
      <c r="BT10" s="325"/>
      <c r="BU10" s="325"/>
      <c r="BV10" s="325"/>
      <c r="BW10" s="325"/>
      <c r="BX10" s="325"/>
      <c r="BY10" s="325"/>
      <c r="BZ10" s="325"/>
      <c r="CA10" s="325"/>
      <c r="CB10" s="325"/>
      <c r="CC10" s="325"/>
      <c r="CD10" s="325"/>
      <c r="CE10" s="325"/>
      <c r="CF10" s="325"/>
      <c r="CG10" s="325"/>
      <c r="CH10" s="325"/>
      <c r="CI10" s="325"/>
      <c r="CJ10" s="325"/>
      <c r="CK10" s="325"/>
      <c r="CL10" s="325"/>
      <c r="CM10" s="325"/>
      <c r="CN10" s="325"/>
    </row>
    <row r="11" spans="1:92" ht="3" customHeight="1" x14ac:dyDescent="0.2">
      <c r="A11" s="3"/>
      <c r="B11" s="216"/>
      <c r="C11" s="553" t="s">
        <v>268</v>
      </c>
      <c r="D11" s="114"/>
      <c r="E11" s="114"/>
      <c r="F11" s="114"/>
      <c r="G11" s="114"/>
      <c r="H11" s="114"/>
      <c r="I11" s="114"/>
      <c r="J11" s="114"/>
      <c r="K11" s="82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24"/>
      <c r="AF11" s="324"/>
      <c r="AG11" s="324"/>
      <c r="AH11" s="325"/>
      <c r="AI11" s="325"/>
      <c r="AJ11" s="325"/>
      <c r="AK11" s="325"/>
      <c r="AL11" s="325"/>
      <c r="AM11" s="325"/>
      <c r="AN11" s="325"/>
      <c r="AO11" s="325"/>
      <c r="AP11" s="325"/>
      <c r="AQ11" s="325"/>
      <c r="AR11" s="325"/>
      <c r="AS11" s="325"/>
      <c r="AT11" s="325"/>
      <c r="AU11" s="325"/>
      <c r="AV11" s="325"/>
      <c r="AW11" s="325"/>
      <c r="AX11" s="325"/>
      <c r="AY11" s="325"/>
      <c r="AZ11" s="325"/>
      <c r="BA11" s="325"/>
      <c r="BB11" s="325"/>
      <c r="BC11" s="325"/>
      <c r="BD11" s="325"/>
      <c r="BE11" s="325"/>
      <c r="BF11" s="325"/>
      <c r="BG11" s="325"/>
      <c r="BH11" s="325"/>
      <c r="BI11" s="325"/>
      <c r="BJ11" s="325"/>
      <c r="BK11" s="325"/>
      <c r="BL11" s="325"/>
      <c r="BM11" s="325"/>
      <c r="BN11" s="325"/>
      <c r="BO11" s="325"/>
      <c r="BP11" s="325"/>
      <c r="BQ11" s="325"/>
      <c r="BR11" s="325"/>
      <c r="BS11" s="325"/>
      <c r="BT11" s="325"/>
      <c r="BU11" s="325"/>
      <c r="BV11" s="325"/>
      <c r="BW11" s="325"/>
      <c r="BX11" s="325"/>
      <c r="BY11" s="325"/>
      <c r="BZ11" s="325"/>
      <c r="CA11" s="325"/>
      <c r="CB11" s="325"/>
      <c r="CC11" s="325"/>
      <c r="CD11" s="325"/>
      <c r="CE11" s="325"/>
      <c r="CF11" s="325"/>
      <c r="CG11" s="325"/>
      <c r="CH11" s="325"/>
      <c r="CI11" s="325"/>
      <c r="CJ11" s="325"/>
      <c r="CK11" s="325"/>
      <c r="CL11" s="325"/>
      <c r="CM11" s="325"/>
      <c r="CN11" s="325"/>
    </row>
    <row r="12" spans="1:92" ht="14.25" customHeight="1" x14ac:dyDescent="0.2">
      <c r="A12" s="3"/>
      <c r="B12" s="82"/>
      <c r="C12" s="554"/>
      <c r="D12" s="217" t="s">
        <v>269</v>
      </c>
      <c r="E12" s="218">
        <f>Parameters!D21</f>
        <v>0.16</v>
      </c>
      <c r="F12" s="219">
        <f>E12-Parameters!E21</f>
        <v>0.13972663880083211</v>
      </c>
      <c r="G12" s="219">
        <f>E12+Parameters!E21</f>
        <v>0.1802733611991679</v>
      </c>
      <c r="H12" s="220">
        <v>55537.09</v>
      </c>
      <c r="I12" s="220">
        <v>57505.65</v>
      </c>
      <c r="J12" s="220">
        <f t="shared" ref="J12:J35" si="0">I12-H12</f>
        <v>1968.5600000000049</v>
      </c>
      <c r="K12" s="82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24"/>
      <c r="AF12" s="324"/>
      <c r="AG12" s="324"/>
      <c r="AH12" s="325"/>
      <c r="AI12" s="325"/>
      <c r="AJ12" s="325"/>
      <c r="AK12" s="325"/>
      <c r="AL12" s="325"/>
      <c r="AM12" s="325"/>
      <c r="AN12" s="325"/>
      <c r="AO12" s="325"/>
      <c r="AP12" s="325"/>
      <c r="AQ12" s="325"/>
      <c r="AR12" s="325"/>
      <c r="AS12" s="325"/>
      <c r="AT12" s="325"/>
      <c r="AU12" s="325"/>
      <c r="AV12" s="325"/>
      <c r="AW12" s="325"/>
      <c r="AX12" s="325"/>
      <c r="AY12" s="325"/>
      <c r="AZ12" s="325"/>
      <c r="BA12" s="325"/>
      <c r="BB12" s="325"/>
      <c r="BC12" s="325"/>
      <c r="BD12" s="325"/>
      <c r="BE12" s="325"/>
      <c r="BF12" s="325"/>
      <c r="BG12" s="325"/>
      <c r="BH12" s="325"/>
      <c r="BI12" s="325"/>
      <c r="BJ12" s="325"/>
      <c r="BK12" s="325"/>
      <c r="BL12" s="325"/>
      <c r="BM12" s="325"/>
      <c r="BN12" s="325"/>
      <c r="BO12" s="325"/>
      <c r="BP12" s="325"/>
      <c r="BQ12" s="325"/>
      <c r="BR12" s="325"/>
      <c r="BS12" s="325"/>
      <c r="BT12" s="325"/>
      <c r="BU12" s="325"/>
      <c r="BV12" s="325"/>
      <c r="BW12" s="325"/>
      <c r="BX12" s="325"/>
      <c r="BY12" s="325"/>
      <c r="BZ12" s="325"/>
      <c r="CA12" s="325"/>
      <c r="CB12" s="325"/>
      <c r="CC12" s="325"/>
      <c r="CD12" s="325"/>
      <c r="CE12" s="325"/>
      <c r="CF12" s="325"/>
      <c r="CG12" s="325"/>
      <c r="CH12" s="325"/>
      <c r="CI12" s="325"/>
      <c r="CJ12" s="325"/>
      <c r="CK12" s="325"/>
      <c r="CL12" s="325"/>
      <c r="CM12" s="325"/>
      <c r="CN12" s="325"/>
    </row>
    <row r="13" spans="1:92" ht="14.25" customHeight="1" x14ac:dyDescent="0.2">
      <c r="A13" s="3"/>
      <c r="B13" s="82"/>
      <c r="C13" s="554"/>
      <c r="D13" s="217" t="s">
        <v>459</v>
      </c>
      <c r="E13" s="221">
        <f>Parameters!B28</f>
        <v>0.4</v>
      </c>
      <c r="F13" s="221">
        <f>E13-Parameters!E28</f>
        <v>0.36253656753673225</v>
      </c>
      <c r="G13" s="221">
        <f>E13+Parameters!E28</f>
        <v>0.4374634324632678</v>
      </c>
      <c r="H13" s="222">
        <v>58420.94</v>
      </c>
      <c r="I13" s="222">
        <v>54621.8</v>
      </c>
      <c r="J13" s="220">
        <f t="shared" si="0"/>
        <v>-3799.1399999999994</v>
      </c>
      <c r="K13" s="82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24"/>
      <c r="AF13" s="324"/>
      <c r="AG13" s="324"/>
      <c r="AH13" s="325"/>
      <c r="AI13" s="325"/>
      <c r="AJ13" s="325"/>
      <c r="AK13" s="325"/>
      <c r="AL13" s="325"/>
      <c r="AM13" s="325"/>
      <c r="AN13" s="325"/>
      <c r="AO13" s="325"/>
      <c r="AP13" s="325"/>
      <c r="AQ13" s="325"/>
      <c r="AR13" s="325"/>
      <c r="AS13" s="325"/>
      <c r="AT13" s="325"/>
      <c r="AU13" s="325"/>
      <c r="AV13" s="325"/>
      <c r="AW13" s="325"/>
      <c r="AX13" s="325"/>
      <c r="AY13" s="325"/>
      <c r="AZ13" s="325"/>
      <c r="BA13" s="325"/>
      <c r="BB13" s="325"/>
      <c r="BC13" s="325"/>
      <c r="BD13" s="325"/>
      <c r="BE13" s="325"/>
      <c r="BF13" s="325"/>
      <c r="BG13" s="325"/>
      <c r="BH13" s="325"/>
      <c r="BI13" s="325"/>
      <c r="BJ13" s="325"/>
      <c r="BK13" s="325"/>
      <c r="BL13" s="325"/>
      <c r="BM13" s="325"/>
      <c r="BN13" s="325"/>
      <c r="BO13" s="325"/>
      <c r="BP13" s="325"/>
      <c r="BQ13" s="325"/>
      <c r="BR13" s="325"/>
      <c r="BS13" s="325"/>
      <c r="BT13" s="325"/>
      <c r="BU13" s="325"/>
      <c r="BV13" s="325"/>
      <c r="BW13" s="325"/>
      <c r="BX13" s="325"/>
      <c r="BY13" s="325"/>
      <c r="BZ13" s="325"/>
      <c r="CA13" s="325"/>
      <c r="CB13" s="325"/>
      <c r="CC13" s="325"/>
      <c r="CD13" s="325"/>
      <c r="CE13" s="325"/>
      <c r="CF13" s="325"/>
      <c r="CG13" s="325"/>
      <c r="CH13" s="325"/>
      <c r="CI13" s="325"/>
      <c r="CJ13" s="325"/>
      <c r="CK13" s="325"/>
      <c r="CL13" s="325"/>
      <c r="CM13" s="325"/>
      <c r="CN13" s="325"/>
    </row>
    <row r="14" spans="1:92" ht="14.25" customHeight="1" x14ac:dyDescent="0.2">
      <c r="A14" s="3"/>
      <c r="B14" s="82"/>
      <c r="C14" s="554"/>
      <c r="D14" s="217" t="s">
        <v>270</v>
      </c>
      <c r="E14" s="221">
        <f>'Calculated Inputs'!V33</f>
        <v>0.34799999999999998</v>
      </c>
      <c r="F14" s="221">
        <f>E14-Parameters!E22</f>
        <v>0.252</v>
      </c>
      <c r="G14" s="221">
        <f>E14+Parameters!E22</f>
        <v>0.44399999999999995</v>
      </c>
      <c r="H14" s="222">
        <v>58799.91</v>
      </c>
      <c r="I14" s="222">
        <v>54242.83</v>
      </c>
      <c r="J14" s="220">
        <f t="shared" si="0"/>
        <v>-4557.0800000000017</v>
      </c>
      <c r="K14" s="82"/>
      <c r="L14" s="3"/>
      <c r="M14" s="22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24"/>
      <c r="AF14" s="324"/>
      <c r="AG14" s="324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5"/>
      <c r="AT14" s="325"/>
      <c r="AU14" s="325"/>
      <c r="AV14" s="325"/>
      <c r="AW14" s="325"/>
      <c r="AX14" s="325"/>
      <c r="AY14" s="325"/>
      <c r="AZ14" s="325"/>
      <c r="BA14" s="325"/>
      <c r="BB14" s="325"/>
      <c r="BC14" s="325"/>
      <c r="BD14" s="325"/>
      <c r="BE14" s="325"/>
      <c r="BF14" s="325"/>
      <c r="BG14" s="325"/>
      <c r="BH14" s="325"/>
      <c r="BI14" s="325"/>
      <c r="BJ14" s="325"/>
      <c r="BK14" s="325"/>
      <c r="BL14" s="325"/>
      <c r="BM14" s="325"/>
      <c r="BN14" s="325"/>
      <c r="BO14" s="325"/>
      <c r="BP14" s="325"/>
      <c r="BQ14" s="325"/>
      <c r="BR14" s="325"/>
      <c r="BS14" s="325"/>
      <c r="BT14" s="325"/>
      <c r="BU14" s="325"/>
      <c r="BV14" s="325"/>
      <c r="BW14" s="325"/>
      <c r="BX14" s="325"/>
      <c r="BY14" s="325"/>
      <c r="BZ14" s="325"/>
      <c r="CA14" s="325"/>
      <c r="CB14" s="325"/>
      <c r="CC14" s="325"/>
      <c r="CD14" s="325"/>
      <c r="CE14" s="325"/>
      <c r="CF14" s="325"/>
      <c r="CG14" s="325"/>
      <c r="CH14" s="325"/>
      <c r="CI14" s="325"/>
      <c r="CJ14" s="325"/>
      <c r="CK14" s="325"/>
      <c r="CL14" s="325"/>
      <c r="CM14" s="325"/>
      <c r="CN14" s="325"/>
    </row>
    <row r="15" spans="1:92" ht="14.25" customHeight="1" x14ac:dyDescent="0.2">
      <c r="A15" s="3"/>
      <c r="B15" s="82"/>
      <c r="C15" s="554"/>
      <c r="D15" s="217" t="s">
        <v>271</v>
      </c>
      <c r="E15" s="221">
        <f>Parameters!D23</f>
        <v>1.4999999999999999E-2</v>
      </c>
      <c r="F15" s="221">
        <f>E15-Parameters!E23</f>
        <v>8.1833996846558607E-3</v>
      </c>
      <c r="G15" s="221">
        <f>E15+Parameters!E23</f>
        <v>2.1816600315344138E-2</v>
      </c>
      <c r="H15" s="222">
        <v>55802.99</v>
      </c>
      <c r="I15" s="222">
        <v>57239.75</v>
      </c>
      <c r="J15" s="220">
        <f t="shared" si="0"/>
        <v>1436.760000000002</v>
      </c>
      <c r="K15" s="82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24"/>
      <c r="AF15" s="324"/>
      <c r="AG15" s="324"/>
      <c r="AH15" s="325"/>
      <c r="AI15" s="325"/>
      <c r="AJ15" s="325"/>
      <c r="AK15" s="325"/>
      <c r="AL15" s="325"/>
      <c r="AM15" s="325"/>
      <c r="AN15" s="325"/>
      <c r="AO15" s="325"/>
      <c r="AP15" s="325"/>
      <c r="AQ15" s="325"/>
      <c r="AR15" s="325"/>
      <c r="AS15" s="325"/>
      <c r="AT15" s="325"/>
      <c r="AU15" s="325"/>
      <c r="AV15" s="325"/>
      <c r="AW15" s="325"/>
      <c r="AX15" s="325"/>
      <c r="AY15" s="325"/>
      <c r="AZ15" s="325"/>
      <c r="BA15" s="325"/>
      <c r="BB15" s="325"/>
      <c r="BC15" s="325"/>
      <c r="BD15" s="325"/>
      <c r="BE15" s="325"/>
      <c r="BF15" s="325"/>
      <c r="BG15" s="325"/>
      <c r="BH15" s="325"/>
      <c r="BI15" s="325"/>
      <c r="BJ15" s="325"/>
      <c r="BK15" s="325"/>
      <c r="BL15" s="325"/>
      <c r="BM15" s="325"/>
      <c r="BN15" s="325"/>
      <c r="BO15" s="325"/>
      <c r="BP15" s="325"/>
      <c r="BQ15" s="325"/>
      <c r="BR15" s="325"/>
      <c r="BS15" s="325"/>
      <c r="BT15" s="325"/>
      <c r="BU15" s="325"/>
      <c r="BV15" s="325"/>
      <c r="BW15" s="325"/>
      <c r="BX15" s="325"/>
      <c r="BY15" s="325"/>
      <c r="BZ15" s="325"/>
      <c r="CA15" s="325"/>
      <c r="CB15" s="325"/>
      <c r="CC15" s="325"/>
      <c r="CD15" s="325"/>
      <c r="CE15" s="325"/>
      <c r="CF15" s="325"/>
      <c r="CG15" s="325"/>
      <c r="CH15" s="325"/>
      <c r="CI15" s="325"/>
      <c r="CJ15" s="325"/>
      <c r="CK15" s="325"/>
      <c r="CL15" s="325"/>
      <c r="CM15" s="325"/>
      <c r="CN15" s="325"/>
    </row>
    <row r="16" spans="1:92" ht="14.25" customHeight="1" x14ac:dyDescent="0.2">
      <c r="A16" s="3"/>
      <c r="B16" s="82"/>
      <c r="C16" s="554"/>
      <c r="D16" s="217" t="s">
        <v>460</v>
      </c>
      <c r="E16" s="221">
        <f>Parameters!D30</f>
        <v>1.7999999999999999E-2</v>
      </c>
      <c r="F16" s="221">
        <f>E16-Parameters!E30</f>
        <v>7.872470752228437E-3</v>
      </c>
      <c r="G16" s="221">
        <f>E16+Parameters!E30</f>
        <v>2.8127529247771559E-2</v>
      </c>
      <c r="H16" s="222">
        <v>59131.72</v>
      </c>
      <c r="I16" s="222">
        <v>53911.02</v>
      </c>
      <c r="J16" s="220">
        <f t="shared" si="0"/>
        <v>-5220.7000000000044</v>
      </c>
      <c r="K16" s="82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24"/>
      <c r="AF16" s="324"/>
      <c r="AG16" s="324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5"/>
      <c r="BC16" s="325"/>
      <c r="BD16" s="325"/>
      <c r="BE16" s="325"/>
      <c r="BF16" s="325"/>
      <c r="BG16" s="325"/>
      <c r="BH16" s="325"/>
      <c r="BI16" s="325"/>
      <c r="BJ16" s="325"/>
      <c r="BK16" s="325"/>
      <c r="BL16" s="325"/>
      <c r="BM16" s="325"/>
      <c r="BN16" s="325"/>
      <c r="BO16" s="325"/>
      <c r="BP16" s="325"/>
      <c r="BQ16" s="325"/>
      <c r="BR16" s="325"/>
      <c r="BS16" s="325"/>
      <c r="BT16" s="325"/>
      <c r="BU16" s="325"/>
      <c r="BV16" s="325"/>
      <c r="BW16" s="325"/>
      <c r="BX16" s="325"/>
      <c r="BY16" s="325"/>
      <c r="BZ16" s="325"/>
      <c r="CA16" s="325"/>
      <c r="CB16" s="325"/>
      <c r="CC16" s="325"/>
      <c r="CD16" s="325"/>
      <c r="CE16" s="325"/>
      <c r="CF16" s="325"/>
      <c r="CG16" s="325"/>
      <c r="CH16" s="325"/>
      <c r="CI16" s="325"/>
      <c r="CJ16" s="325"/>
      <c r="CK16" s="325"/>
      <c r="CL16" s="325"/>
      <c r="CM16" s="325"/>
      <c r="CN16" s="325"/>
    </row>
    <row r="17" spans="1:92" ht="14.25" customHeight="1" x14ac:dyDescent="0.2">
      <c r="A17" s="3"/>
      <c r="B17" s="82"/>
      <c r="C17" s="554"/>
      <c r="D17" s="217" t="s">
        <v>272</v>
      </c>
      <c r="E17" s="221">
        <f>Parameters!D24</f>
        <v>0.86199999999999999</v>
      </c>
      <c r="F17" s="221">
        <f>E17-Parameters!E24</f>
        <v>0.76200000000000001</v>
      </c>
      <c r="G17" s="221">
        <f>E17+Parameters!E24</f>
        <v>0.96199999999999997</v>
      </c>
      <c r="H17" s="222">
        <v>56457.49</v>
      </c>
      <c r="I17" s="222">
        <v>56585.25</v>
      </c>
      <c r="J17" s="220">
        <f t="shared" si="0"/>
        <v>127.76000000000204</v>
      </c>
      <c r="K17" s="82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24"/>
      <c r="AF17" s="324"/>
      <c r="AG17" s="324"/>
      <c r="AH17" s="325"/>
      <c r="AI17" s="325"/>
      <c r="AJ17" s="325"/>
      <c r="AK17" s="325"/>
      <c r="AL17" s="325"/>
      <c r="AM17" s="325"/>
      <c r="AN17" s="325"/>
      <c r="AO17" s="325"/>
      <c r="AP17" s="325"/>
      <c r="AQ17" s="325"/>
      <c r="AR17" s="325"/>
      <c r="AS17" s="325"/>
      <c r="AT17" s="325"/>
      <c r="AU17" s="325"/>
      <c r="AV17" s="325"/>
      <c r="AW17" s="325"/>
      <c r="AX17" s="325"/>
      <c r="AY17" s="325"/>
      <c r="AZ17" s="325"/>
      <c r="BA17" s="325"/>
      <c r="BB17" s="325"/>
      <c r="BC17" s="325"/>
      <c r="BD17" s="325"/>
      <c r="BE17" s="325"/>
      <c r="BF17" s="325"/>
      <c r="BG17" s="325"/>
      <c r="BH17" s="325"/>
      <c r="BI17" s="325"/>
      <c r="BJ17" s="325"/>
      <c r="BK17" s="325"/>
      <c r="BL17" s="325"/>
      <c r="BM17" s="325"/>
      <c r="BN17" s="325"/>
      <c r="BO17" s="325"/>
      <c r="BP17" s="325"/>
      <c r="BQ17" s="325"/>
      <c r="BR17" s="325"/>
      <c r="BS17" s="325"/>
      <c r="BT17" s="325"/>
      <c r="BU17" s="325"/>
      <c r="BV17" s="325"/>
      <c r="BW17" s="325"/>
      <c r="BX17" s="325"/>
      <c r="BY17" s="325"/>
      <c r="BZ17" s="325"/>
      <c r="CA17" s="325"/>
      <c r="CB17" s="325"/>
      <c r="CC17" s="325"/>
      <c r="CD17" s="325"/>
      <c r="CE17" s="325"/>
      <c r="CF17" s="325"/>
      <c r="CG17" s="325"/>
      <c r="CH17" s="325"/>
      <c r="CI17" s="325"/>
      <c r="CJ17" s="325"/>
      <c r="CK17" s="325"/>
      <c r="CL17" s="325"/>
      <c r="CM17" s="325"/>
      <c r="CN17" s="325"/>
    </row>
    <row r="18" spans="1:92" ht="14.25" customHeight="1" x14ac:dyDescent="0.2">
      <c r="A18" s="3"/>
      <c r="B18" s="82"/>
      <c r="C18" s="554"/>
      <c r="D18" s="217" t="s">
        <v>461</v>
      </c>
      <c r="E18" s="221">
        <f>Parameters!D31</f>
        <v>0.90399999999999991</v>
      </c>
      <c r="F18" s="221">
        <f>E18-Parameters!E31</f>
        <v>0.81399999999999995</v>
      </c>
      <c r="G18" s="221">
        <f>E18+Parameters!E31</f>
        <v>0.99399999999999988</v>
      </c>
      <c r="H18" s="222">
        <v>56693.86</v>
      </c>
      <c r="I18" s="222">
        <v>56348.88</v>
      </c>
      <c r="J18" s="220">
        <f t="shared" si="0"/>
        <v>-344.9800000000032</v>
      </c>
      <c r="K18" s="82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24"/>
      <c r="AF18" s="324"/>
      <c r="AG18" s="324"/>
      <c r="AH18" s="325"/>
      <c r="AI18" s="325"/>
      <c r="AJ18" s="325"/>
      <c r="AK18" s="325"/>
      <c r="AL18" s="325"/>
      <c r="AM18" s="325"/>
      <c r="AN18" s="325"/>
      <c r="AO18" s="325"/>
      <c r="AP18" s="325"/>
      <c r="AQ18" s="325"/>
      <c r="AR18" s="325"/>
      <c r="AS18" s="325"/>
      <c r="AT18" s="325"/>
      <c r="AU18" s="325"/>
      <c r="AV18" s="325"/>
      <c r="AW18" s="325"/>
      <c r="AX18" s="325"/>
      <c r="AY18" s="325"/>
      <c r="AZ18" s="325"/>
      <c r="BA18" s="325"/>
      <c r="BB18" s="325"/>
      <c r="BC18" s="325"/>
      <c r="BD18" s="325"/>
      <c r="BE18" s="325"/>
      <c r="BF18" s="325"/>
      <c r="BG18" s="325"/>
      <c r="BH18" s="325"/>
      <c r="BI18" s="325"/>
      <c r="BJ18" s="325"/>
      <c r="BK18" s="325"/>
      <c r="BL18" s="325"/>
      <c r="BM18" s="325"/>
      <c r="BN18" s="325"/>
      <c r="BO18" s="325"/>
      <c r="BP18" s="325"/>
      <c r="BQ18" s="325"/>
      <c r="BR18" s="325"/>
      <c r="BS18" s="325"/>
      <c r="BT18" s="325"/>
      <c r="BU18" s="325"/>
      <c r="BV18" s="325"/>
      <c r="BW18" s="325"/>
      <c r="BX18" s="325"/>
      <c r="BY18" s="325"/>
      <c r="BZ18" s="325"/>
      <c r="CA18" s="325"/>
      <c r="CB18" s="325"/>
      <c r="CC18" s="325"/>
      <c r="CD18" s="325"/>
      <c r="CE18" s="325"/>
      <c r="CF18" s="325"/>
      <c r="CG18" s="325"/>
      <c r="CH18" s="325"/>
      <c r="CI18" s="325"/>
      <c r="CJ18" s="325"/>
      <c r="CK18" s="325"/>
      <c r="CL18" s="325"/>
      <c r="CM18" s="325"/>
      <c r="CN18" s="325"/>
    </row>
    <row r="19" spans="1:92" ht="14.25" customHeight="1" x14ac:dyDescent="0.2">
      <c r="A19" s="3"/>
      <c r="B19" s="82"/>
      <c r="C19" s="554"/>
      <c r="D19" s="217" t="s">
        <v>463</v>
      </c>
      <c r="E19" s="221">
        <f>Parameters!D25</f>
        <v>0.81200000000000006</v>
      </c>
      <c r="F19" s="221">
        <v>0.79</v>
      </c>
      <c r="G19" s="221">
        <f>E19+Parameters!E25</f>
        <v>0.83435312147687579</v>
      </c>
      <c r="H19" s="222">
        <v>89651.82</v>
      </c>
      <c r="I19" s="222">
        <v>44375.02</v>
      </c>
      <c r="J19" s="220">
        <f t="shared" si="0"/>
        <v>-45276.80000000001</v>
      </c>
      <c r="K19" s="82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24"/>
      <c r="AF19" s="324"/>
      <c r="AG19" s="324"/>
      <c r="AH19" s="325"/>
      <c r="AI19" s="325"/>
      <c r="AJ19" s="325"/>
      <c r="AK19" s="325"/>
      <c r="AL19" s="325"/>
      <c r="AM19" s="325"/>
      <c r="AN19" s="325"/>
      <c r="AO19" s="325"/>
      <c r="AP19" s="325"/>
      <c r="AQ19" s="325"/>
      <c r="AR19" s="325"/>
      <c r="AS19" s="325"/>
      <c r="AT19" s="325"/>
      <c r="AU19" s="325"/>
      <c r="AV19" s="325"/>
      <c r="AW19" s="325"/>
      <c r="AX19" s="325"/>
      <c r="AY19" s="325"/>
      <c r="AZ19" s="325"/>
      <c r="BA19" s="325"/>
      <c r="BB19" s="325"/>
      <c r="BC19" s="325"/>
      <c r="BD19" s="325"/>
      <c r="BE19" s="325"/>
      <c r="BF19" s="325"/>
      <c r="BG19" s="325"/>
      <c r="BH19" s="325"/>
      <c r="BI19" s="325"/>
      <c r="BJ19" s="325"/>
      <c r="BK19" s="325"/>
      <c r="BL19" s="325"/>
      <c r="BM19" s="325"/>
      <c r="BN19" s="325"/>
      <c r="BO19" s="325"/>
      <c r="BP19" s="325"/>
      <c r="BQ19" s="325"/>
      <c r="BR19" s="325"/>
      <c r="BS19" s="325"/>
      <c r="BT19" s="325"/>
      <c r="BU19" s="325"/>
      <c r="BV19" s="325"/>
      <c r="BW19" s="325"/>
      <c r="BX19" s="325"/>
      <c r="BY19" s="325"/>
      <c r="BZ19" s="325"/>
      <c r="CA19" s="325"/>
      <c r="CB19" s="325"/>
      <c r="CC19" s="325"/>
      <c r="CD19" s="325"/>
      <c r="CE19" s="325"/>
      <c r="CF19" s="325"/>
      <c r="CG19" s="325"/>
      <c r="CH19" s="325"/>
      <c r="CI19" s="325"/>
      <c r="CJ19" s="325"/>
      <c r="CK19" s="325"/>
      <c r="CL19" s="325"/>
      <c r="CM19" s="325"/>
      <c r="CN19" s="325"/>
    </row>
    <row r="20" spans="1:92" ht="14.25" customHeight="1" x14ac:dyDescent="0.2">
      <c r="A20" s="3"/>
      <c r="B20" s="82"/>
      <c r="C20" s="555"/>
      <c r="D20" s="217" t="s">
        <v>464</v>
      </c>
      <c r="E20" s="224">
        <f>Parameters!D32</f>
        <v>0.76500000000000001</v>
      </c>
      <c r="F20" s="224">
        <f>E20-Parameters!E32</f>
        <v>0.73249579369860496</v>
      </c>
      <c r="G20" s="224">
        <f>E20+Parameters!E32</f>
        <v>0.79750420630139507</v>
      </c>
      <c r="H20" s="225">
        <v>40958.6</v>
      </c>
      <c r="I20" s="225">
        <v>143210.03</v>
      </c>
      <c r="J20" s="220">
        <f t="shared" si="0"/>
        <v>102251.43</v>
      </c>
      <c r="K20" s="82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24"/>
      <c r="AF20" s="324"/>
      <c r="AG20" s="324"/>
      <c r="AH20" s="325"/>
      <c r="AI20" s="325"/>
      <c r="AJ20" s="325"/>
      <c r="AK20" s="325"/>
      <c r="AL20" s="325"/>
      <c r="AM20" s="325"/>
      <c r="AN20" s="325"/>
      <c r="AO20" s="325"/>
      <c r="AP20" s="325"/>
      <c r="AQ20" s="325"/>
      <c r="AR20" s="325"/>
      <c r="AS20" s="325"/>
      <c r="AT20" s="325"/>
      <c r="AU20" s="325"/>
      <c r="AV20" s="325"/>
      <c r="AW20" s="325"/>
      <c r="AX20" s="325"/>
      <c r="AY20" s="325"/>
      <c r="AZ20" s="325"/>
      <c r="BA20" s="325"/>
      <c r="BB20" s="325"/>
      <c r="BC20" s="325"/>
      <c r="BD20" s="325"/>
      <c r="BE20" s="325"/>
      <c r="BF20" s="325"/>
      <c r="BG20" s="325"/>
      <c r="BH20" s="325"/>
      <c r="BI20" s="325"/>
      <c r="BJ20" s="325"/>
      <c r="BK20" s="325"/>
      <c r="BL20" s="325"/>
      <c r="BM20" s="325"/>
      <c r="BN20" s="325"/>
      <c r="BO20" s="325"/>
      <c r="BP20" s="325"/>
      <c r="BQ20" s="325"/>
      <c r="BR20" s="325"/>
      <c r="BS20" s="325"/>
      <c r="BT20" s="325"/>
      <c r="BU20" s="325"/>
      <c r="BV20" s="325"/>
      <c r="BW20" s="325"/>
      <c r="BX20" s="325"/>
      <c r="BY20" s="325"/>
      <c r="BZ20" s="325"/>
      <c r="CA20" s="325"/>
      <c r="CB20" s="325"/>
      <c r="CC20" s="325"/>
      <c r="CD20" s="325"/>
      <c r="CE20" s="325"/>
      <c r="CF20" s="325"/>
      <c r="CG20" s="325"/>
      <c r="CH20" s="325"/>
      <c r="CI20" s="325"/>
      <c r="CJ20" s="325"/>
      <c r="CK20" s="325"/>
      <c r="CL20" s="325"/>
      <c r="CM20" s="325"/>
      <c r="CN20" s="325"/>
    </row>
    <row r="21" spans="1:92" ht="14.25" customHeight="1" x14ac:dyDescent="0.2">
      <c r="A21" s="3"/>
      <c r="B21" s="82"/>
      <c r="C21" s="553" t="s">
        <v>274</v>
      </c>
      <c r="D21" s="226" t="s">
        <v>275</v>
      </c>
      <c r="E21" s="220">
        <f>Parameters!D34</f>
        <v>12182.016</v>
      </c>
      <c r="F21" s="220">
        <f>OWSA!E21-Parameters!E34</f>
        <v>9745.612799999999</v>
      </c>
      <c r="G21" s="220">
        <f>E21+Parameters!E34</f>
        <v>14618.4192</v>
      </c>
      <c r="H21" s="220">
        <v>46327.15</v>
      </c>
      <c r="I21" s="220">
        <v>66715.460000000006</v>
      </c>
      <c r="J21" s="220">
        <f t="shared" si="0"/>
        <v>20388.310000000005</v>
      </c>
      <c r="K21" s="82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24"/>
      <c r="AF21" s="324"/>
      <c r="AG21" s="324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5"/>
      <c r="BC21" s="325"/>
      <c r="BD21" s="325"/>
      <c r="BE21" s="325"/>
      <c r="BF21" s="325"/>
      <c r="BG21" s="325"/>
      <c r="BH21" s="325"/>
      <c r="BI21" s="325"/>
      <c r="BJ21" s="325"/>
      <c r="BK21" s="325"/>
      <c r="BL21" s="325"/>
      <c r="BM21" s="325"/>
      <c r="BN21" s="325"/>
      <c r="BO21" s="325"/>
      <c r="BP21" s="325"/>
      <c r="BQ21" s="325"/>
      <c r="BR21" s="325"/>
      <c r="BS21" s="325"/>
      <c r="BT21" s="325"/>
      <c r="BU21" s="325"/>
      <c r="BV21" s="325"/>
      <c r="BW21" s="325"/>
      <c r="BX21" s="325"/>
      <c r="BY21" s="325"/>
      <c r="BZ21" s="325"/>
      <c r="CA21" s="325"/>
      <c r="CB21" s="325"/>
      <c r="CC21" s="325"/>
      <c r="CD21" s="325"/>
      <c r="CE21" s="325"/>
      <c r="CF21" s="325"/>
      <c r="CG21" s="325"/>
      <c r="CH21" s="325"/>
      <c r="CI21" s="325"/>
      <c r="CJ21" s="325"/>
      <c r="CK21" s="325"/>
      <c r="CL21" s="325"/>
      <c r="CM21" s="325"/>
      <c r="CN21" s="325"/>
    </row>
    <row r="22" spans="1:92" ht="14.25" customHeight="1" x14ac:dyDescent="0.2">
      <c r="A22" s="3"/>
      <c r="B22" s="82"/>
      <c r="C22" s="554"/>
      <c r="D22" s="217" t="s">
        <v>276</v>
      </c>
      <c r="E22" s="222">
        <f>Parameters!D36</f>
        <v>18604.830000000002</v>
      </c>
      <c r="F22" s="222">
        <f>E22-Parameters!E36</f>
        <v>14883.864000000001</v>
      </c>
      <c r="G22" s="222">
        <f>E22+Parameters!E36</f>
        <v>22325.796000000002</v>
      </c>
      <c r="H22" s="222">
        <v>56590.5</v>
      </c>
      <c r="I22" s="222">
        <v>56452.23</v>
      </c>
      <c r="J22" s="220">
        <f t="shared" si="0"/>
        <v>-138.2699999999968</v>
      </c>
      <c r="K22" s="82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24"/>
      <c r="AF22" s="324"/>
      <c r="AG22" s="324"/>
      <c r="AH22" s="325"/>
      <c r="AI22" s="325"/>
      <c r="AJ22" s="325"/>
      <c r="AK22" s="325"/>
      <c r="AL22" s="325"/>
      <c r="AM22" s="325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325"/>
      <c r="BJ22" s="325"/>
      <c r="BK22" s="325"/>
      <c r="BL22" s="325"/>
      <c r="BM22" s="325"/>
      <c r="BN22" s="325"/>
      <c r="BO22" s="325"/>
      <c r="BP22" s="325"/>
      <c r="BQ22" s="325"/>
      <c r="BR22" s="325"/>
      <c r="BS22" s="325"/>
      <c r="BT22" s="325"/>
      <c r="BU22" s="325"/>
      <c r="BV22" s="325"/>
      <c r="BW22" s="325"/>
      <c r="BX22" s="325"/>
      <c r="BY22" s="325"/>
      <c r="BZ22" s="325"/>
      <c r="CA22" s="325"/>
      <c r="CB22" s="325"/>
      <c r="CC22" s="325"/>
      <c r="CD22" s="325"/>
      <c r="CE22" s="325"/>
      <c r="CF22" s="325"/>
      <c r="CG22" s="325"/>
      <c r="CH22" s="325"/>
      <c r="CI22" s="325"/>
      <c r="CJ22" s="325"/>
      <c r="CK22" s="325"/>
      <c r="CL22" s="325"/>
      <c r="CM22" s="325"/>
      <c r="CN22" s="325"/>
    </row>
    <row r="23" spans="1:92" ht="14.25" customHeight="1" x14ac:dyDescent="0.2">
      <c r="A23" s="3"/>
      <c r="B23" s="82"/>
      <c r="C23" s="554"/>
      <c r="D23" s="217" t="s">
        <v>277</v>
      </c>
      <c r="E23" s="222">
        <f>Parameters!D37</f>
        <v>1237.24</v>
      </c>
      <c r="F23" s="222">
        <f>E23-Parameters!E37</f>
        <v>989.79200000000003</v>
      </c>
      <c r="G23" s="222">
        <f>E23+Parameters!E37</f>
        <v>1484.6880000000001</v>
      </c>
      <c r="H23" s="222">
        <v>56769.69</v>
      </c>
      <c r="I23" s="222">
        <v>56272.53</v>
      </c>
      <c r="J23" s="220">
        <f t="shared" si="0"/>
        <v>-497.16000000000349</v>
      </c>
      <c r="K23" s="82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24"/>
      <c r="AF23" s="324"/>
      <c r="AG23" s="324"/>
      <c r="AH23" s="325"/>
      <c r="AI23" s="325"/>
      <c r="AJ23" s="325"/>
      <c r="AK23" s="325"/>
      <c r="AL23" s="325"/>
      <c r="AM23" s="325"/>
      <c r="AN23" s="325"/>
      <c r="AO23" s="325"/>
      <c r="AP23" s="325"/>
      <c r="AQ23" s="325"/>
      <c r="AR23" s="325"/>
      <c r="AS23" s="325"/>
      <c r="AT23" s="325"/>
      <c r="AU23" s="325"/>
      <c r="AV23" s="325"/>
      <c r="AW23" s="325"/>
      <c r="AX23" s="325"/>
      <c r="AY23" s="325"/>
      <c r="AZ23" s="325"/>
      <c r="BA23" s="325"/>
      <c r="BB23" s="325"/>
      <c r="BC23" s="325"/>
      <c r="BD23" s="325"/>
      <c r="BE23" s="325"/>
      <c r="BF23" s="325"/>
      <c r="BG23" s="325"/>
      <c r="BH23" s="325"/>
      <c r="BI23" s="325"/>
      <c r="BJ23" s="325"/>
      <c r="BK23" s="325"/>
      <c r="BL23" s="325"/>
      <c r="BM23" s="325"/>
      <c r="BN23" s="325"/>
      <c r="BO23" s="325"/>
      <c r="BP23" s="325"/>
      <c r="BQ23" s="325"/>
      <c r="BR23" s="325"/>
      <c r="BS23" s="325"/>
      <c r="BT23" s="325"/>
      <c r="BU23" s="325"/>
      <c r="BV23" s="325"/>
      <c r="BW23" s="325"/>
      <c r="BX23" s="325"/>
      <c r="BY23" s="325"/>
      <c r="BZ23" s="325"/>
      <c r="CA23" s="325"/>
      <c r="CB23" s="325"/>
      <c r="CC23" s="325"/>
      <c r="CD23" s="325"/>
      <c r="CE23" s="325"/>
      <c r="CF23" s="325"/>
      <c r="CG23" s="325"/>
      <c r="CH23" s="325"/>
      <c r="CI23" s="325"/>
      <c r="CJ23" s="325"/>
      <c r="CK23" s="325"/>
      <c r="CL23" s="325"/>
      <c r="CM23" s="325"/>
      <c r="CN23" s="325"/>
    </row>
    <row r="24" spans="1:92" ht="14.25" customHeight="1" x14ac:dyDescent="0.2">
      <c r="A24" s="3"/>
      <c r="B24" s="82"/>
      <c r="C24" s="554"/>
      <c r="D24" s="217" t="s">
        <v>278</v>
      </c>
      <c r="E24" s="222">
        <f>Parameters!D38</f>
        <v>45002</v>
      </c>
      <c r="F24" s="222">
        <f>E24-Parameters!E38</f>
        <v>36001.599999999999</v>
      </c>
      <c r="G24" s="222">
        <f>E24+Parameters!E38</f>
        <v>54002.400000000001</v>
      </c>
      <c r="H24" s="222">
        <v>56688.59</v>
      </c>
      <c r="I24" s="222">
        <v>56354.15</v>
      </c>
      <c r="J24" s="220">
        <f t="shared" si="0"/>
        <v>-334.43999999999505</v>
      </c>
      <c r="K24" s="82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24"/>
      <c r="AF24" s="324"/>
      <c r="AG24" s="324"/>
      <c r="AH24" s="325"/>
      <c r="AI24" s="325"/>
      <c r="AJ24" s="325"/>
      <c r="AK24" s="325"/>
      <c r="AL24" s="325"/>
      <c r="AM24" s="325"/>
      <c r="AN24" s="325"/>
      <c r="AO24" s="325"/>
      <c r="AP24" s="325"/>
      <c r="AQ24" s="325"/>
      <c r="AR24" s="325"/>
      <c r="AS24" s="325"/>
      <c r="AT24" s="325"/>
      <c r="AU24" s="325"/>
      <c r="AV24" s="325"/>
      <c r="AW24" s="325"/>
      <c r="AX24" s="325"/>
      <c r="AY24" s="325"/>
      <c r="AZ24" s="325"/>
      <c r="BA24" s="325"/>
      <c r="BB24" s="325"/>
      <c r="BC24" s="325"/>
      <c r="BD24" s="325"/>
      <c r="BE24" s="325"/>
      <c r="BF24" s="325"/>
      <c r="BG24" s="325"/>
      <c r="BH24" s="325"/>
      <c r="BI24" s="325"/>
      <c r="BJ24" s="325"/>
      <c r="BK24" s="325"/>
      <c r="BL24" s="325"/>
      <c r="BM24" s="325"/>
      <c r="BN24" s="325"/>
      <c r="BO24" s="325"/>
      <c r="BP24" s="325"/>
      <c r="BQ24" s="325"/>
      <c r="BR24" s="325"/>
      <c r="BS24" s="325"/>
      <c r="BT24" s="325"/>
      <c r="BU24" s="325"/>
      <c r="BV24" s="325"/>
      <c r="BW24" s="325"/>
      <c r="BX24" s="325"/>
      <c r="BY24" s="325"/>
      <c r="BZ24" s="325"/>
      <c r="CA24" s="325"/>
      <c r="CB24" s="325"/>
      <c r="CC24" s="325"/>
      <c r="CD24" s="325"/>
      <c r="CE24" s="325"/>
      <c r="CF24" s="325"/>
      <c r="CG24" s="325"/>
      <c r="CH24" s="325"/>
      <c r="CI24" s="325"/>
      <c r="CJ24" s="325"/>
      <c r="CK24" s="325"/>
      <c r="CL24" s="325"/>
      <c r="CM24" s="325"/>
      <c r="CN24" s="325"/>
    </row>
    <row r="25" spans="1:92" ht="14.25" customHeight="1" x14ac:dyDescent="0.2">
      <c r="A25" s="3"/>
      <c r="B25" s="82"/>
      <c r="C25" s="554"/>
      <c r="D25" s="217" t="s">
        <v>279</v>
      </c>
      <c r="E25" s="222">
        <f>Parameters!D39</f>
        <v>98442</v>
      </c>
      <c r="F25" s="222">
        <f>E25-Parameters!E39</f>
        <v>78753.600000000006</v>
      </c>
      <c r="G25" s="222">
        <f>E25+Parameters!E39</f>
        <v>118130.4</v>
      </c>
      <c r="H25" s="222">
        <v>56916.84</v>
      </c>
      <c r="I25" s="222">
        <v>56125.9</v>
      </c>
      <c r="J25" s="220">
        <f t="shared" si="0"/>
        <v>-790.93999999999505</v>
      </c>
      <c r="K25" s="82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24"/>
      <c r="AF25" s="324"/>
      <c r="AG25" s="324"/>
      <c r="AH25" s="325"/>
      <c r="AI25" s="325"/>
      <c r="AJ25" s="325"/>
      <c r="AK25" s="325"/>
      <c r="AL25" s="325"/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25"/>
      <c r="BF25" s="325"/>
      <c r="BG25" s="325"/>
      <c r="BH25" s="325"/>
      <c r="BI25" s="325"/>
      <c r="BJ25" s="325"/>
      <c r="BK25" s="325"/>
      <c r="BL25" s="325"/>
      <c r="BM25" s="325"/>
      <c r="BN25" s="325"/>
      <c r="BO25" s="325"/>
      <c r="BP25" s="325"/>
      <c r="BQ25" s="325"/>
      <c r="BR25" s="325"/>
      <c r="BS25" s="325"/>
      <c r="BT25" s="325"/>
      <c r="BU25" s="325"/>
      <c r="BV25" s="325"/>
      <c r="BW25" s="325"/>
      <c r="BX25" s="325"/>
      <c r="BY25" s="325"/>
      <c r="BZ25" s="325"/>
      <c r="CA25" s="325"/>
      <c r="CB25" s="325"/>
      <c r="CC25" s="325"/>
      <c r="CD25" s="325"/>
      <c r="CE25" s="325"/>
      <c r="CF25" s="325"/>
      <c r="CG25" s="325"/>
      <c r="CH25" s="325"/>
      <c r="CI25" s="325"/>
      <c r="CJ25" s="325"/>
      <c r="CK25" s="325"/>
      <c r="CL25" s="325"/>
      <c r="CM25" s="325"/>
      <c r="CN25" s="325"/>
    </row>
    <row r="26" spans="1:92" ht="14.25" customHeight="1" x14ac:dyDescent="0.2">
      <c r="A26" s="3"/>
      <c r="B26" s="82"/>
      <c r="C26" s="554"/>
      <c r="D26" s="217" t="s">
        <v>79</v>
      </c>
      <c r="E26" s="225">
        <f>Parameters!D40</f>
        <v>23632</v>
      </c>
      <c r="F26" s="222">
        <f>E26-Parameters!E40</f>
        <v>18905.599999999999</v>
      </c>
      <c r="G26" s="222">
        <f>E26+Parameters!E40</f>
        <v>28358.400000000001</v>
      </c>
      <c r="H26" s="222">
        <v>58183.17</v>
      </c>
      <c r="I26" s="222">
        <v>54869.57</v>
      </c>
      <c r="J26" s="220">
        <f t="shared" si="0"/>
        <v>-3313.5999999999985</v>
      </c>
      <c r="K26" s="82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24"/>
      <c r="AF26" s="324"/>
      <c r="AG26" s="324"/>
      <c r="AH26" s="325"/>
      <c r="AI26" s="325"/>
      <c r="AJ26" s="325"/>
      <c r="AK26" s="325"/>
      <c r="AL26" s="325"/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25"/>
      <c r="BF26" s="325"/>
      <c r="BG26" s="325"/>
      <c r="BH26" s="325"/>
      <c r="BI26" s="325"/>
      <c r="BJ26" s="325"/>
      <c r="BK26" s="325"/>
      <c r="BL26" s="325"/>
      <c r="BM26" s="325"/>
      <c r="BN26" s="325"/>
      <c r="BO26" s="325"/>
      <c r="BP26" s="325"/>
      <c r="BQ26" s="325"/>
      <c r="BR26" s="325"/>
      <c r="BS26" s="325"/>
      <c r="BT26" s="325"/>
      <c r="BU26" s="325"/>
      <c r="BV26" s="325"/>
      <c r="BW26" s="325"/>
      <c r="BX26" s="325"/>
      <c r="BY26" s="325"/>
      <c r="BZ26" s="325"/>
      <c r="CA26" s="325"/>
      <c r="CB26" s="325"/>
      <c r="CC26" s="325"/>
      <c r="CD26" s="325"/>
      <c r="CE26" s="325"/>
      <c r="CF26" s="325"/>
      <c r="CG26" s="325"/>
      <c r="CH26" s="325"/>
      <c r="CI26" s="325"/>
      <c r="CJ26" s="325"/>
      <c r="CK26" s="325"/>
      <c r="CL26" s="325"/>
      <c r="CM26" s="325"/>
      <c r="CN26" s="325"/>
    </row>
    <row r="27" spans="1:92" ht="14.25" customHeight="1" x14ac:dyDescent="0.2">
      <c r="A27" s="3"/>
      <c r="B27" s="82"/>
      <c r="C27" s="555"/>
      <c r="D27" s="217" t="s">
        <v>280</v>
      </c>
      <c r="E27" s="225">
        <f>Parameters!D41</f>
        <v>8624.6029999999992</v>
      </c>
      <c r="F27" s="225">
        <f>E27-Parameters!E41</f>
        <v>6899.6823999999997</v>
      </c>
      <c r="G27" s="225">
        <f>E27+Parameters!E41</f>
        <v>10349.523599999999</v>
      </c>
      <c r="H27" s="225">
        <v>52881.29</v>
      </c>
      <c r="I27" s="225">
        <v>60163.12</v>
      </c>
      <c r="J27" s="220">
        <f t="shared" si="0"/>
        <v>7281.8300000000017</v>
      </c>
      <c r="K27" s="82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24"/>
      <c r="AF27" s="324"/>
      <c r="AG27" s="324"/>
      <c r="AH27" s="325"/>
      <c r="AI27" s="325"/>
      <c r="AJ27" s="325"/>
      <c r="AK27" s="325"/>
      <c r="AL27" s="325"/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25"/>
      <c r="AX27" s="325"/>
      <c r="AY27" s="325"/>
      <c r="AZ27" s="325"/>
      <c r="BA27" s="325"/>
      <c r="BB27" s="325"/>
      <c r="BC27" s="325"/>
      <c r="BD27" s="325"/>
      <c r="BE27" s="325"/>
      <c r="BF27" s="325"/>
      <c r="BG27" s="325"/>
      <c r="BH27" s="325"/>
      <c r="BI27" s="325"/>
      <c r="BJ27" s="325"/>
      <c r="BK27" s="325"/>
      <c r="BL27" s="325"/>
      <c r="BM27" s="325"/>
      <c r="BN27" s="325"/>
      <c r="BO27" s="325"/>
      <c r="BP27" s="325"/>
      <c r="BQ27" s="325"/>
      <c r="BR27" s="325"/>
      <c r="BS27" s="325"/>
      <c r="BT27" s="325"/>
      <c r="BU27" s="325"/>
      <c r="BV27" s="325"/>
      <c r="BW27" s="325"/>
      <c r="BX27" s="325"/>
      <c r="BY27" s="325"/>
      <c r="BZ27" s="325"/>
      <c r="CA27" s="325"/>
      <c r="CB27" s="325"/>
      <c r="CC27" s="325"/>
      <c r="CD27" s="325"/>
      <c r="CE27" s="325"/>
      <c r="CF27" s="325"/>
      <c r="CG27" s="325"/>
      <c r="CH27" s="325"/>
      <c r="CI27" s="325"/>
      <c r="CJ27" s="325"/>
      <c r="CK27" s="325"/>
      <c r="CL27" s="325"/>
      <c r="CM27" s="325"/>
      <c r="CN27" s="325"/>
    </row>
    <row r="28" spans="1:92" ht="16.5" customHeight="1" x14ac:dyDescent="0.2">
      <c r="A28" s="3"/>
      <c r="B28" s="82"/>
      <c r="C28" s="553" t="s">
        <v>281</v>
      </c>
      <c r="D28" s="227" t="s">
        <v>473</v>
      </c>
      <c r="E28" s="219">
        <f>Parameters!D43</f>
        <v>0.63900000000000001</v>
      </c>
      <c r="F28" s="219">
        <v>0.55000000000000004</v>
      </c>
      <c r="G28" s="219">
        <v>0.75700000000000001</v>
      </c>
      <c r="H28" s="220">
        <v>63446.74</v>
      </c>
      <c r="I28" s="220">
        <v>49375.76</v>
      </c>
      <c r="J28" s="220">
        <f t="shared" si="0"/>
        <v>-14070.979999999996</v>
      </c>
      <c r="K28" s="82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24"/>
      <c r="AF28" s="324"/>
      <c r="AG28" s="324"/>
      <c r="AH28" s="325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/>
      <c r="AX28" s="325"/>
      <c r="AY28" s="325"/>
      <c r="AZ28" s="325"/>
      <c r="BA28" s="325"/>
      <c r="BB28" s="325"/>
      <c r="BC28" s="325"/>
      <c r="BD28" s="325"/>
      <c r="BE28" s="325"/>
      <c r="BF28" s="325"/>
      <c r="BG28" s="325"/>
      <c r="BH28" s="325"/>
      <c r="BI28" s="325"/>
      <c r="BJ28" s="325"/>
      <c r="BK28" s="325"/>
      <c r="BL28" s="325"/>
      <c r="BM28" s="325"/>
      <c r="BN28" s="325"/>
      <c r="BO28" s="325"/>
      <c r="BP28" s="325"/>
      <c r="BQ28" s="325"/>
      <c r="BR28" s="325"/>
      <c r="BS28" s="325"/>
      <c r="BT28" s="325"/>
      <c r="BU28" s="325"/>
      <c r="BV28" s="325"/>
      <c r="BW28" s="325"/>
      <c r="BX28" s="325"/>
      <c r="BY28" s="325"/>
      <c r="BZ28" s="325"/>
      <c r="CA28" s="325"/>
      <c r="CB28" s="325"/>
      <c r="CC28" s="325"/>
      <c r="CD28" s="325"/>
      <c r="CE28" s="325"/>
      <c r="CF28" s="325"/>
      <c r="CG28" s="325"/>
      <c r="CH28" s="325"/>
      <c r="CI28" s="325"/>
      <c r="CJ28" s="325"/>
      <c r="CK28" s="325"/>
      <c r="CL28" s="325"/>
      <c r="CM28" s="325"/>
      <c r="CN28" s="325"/>
    </row>
    <row r="29" spans="1:92" ht="15" customHeight="1" x14ac:dyDescent="0.2">
      <c r="A29" s="3"/>
      <c r="B29" s="82"/>
      <c r="C29" s="554"/>
      <c r="D29" s="497" t="s">
        <v>474</v>
      </c>
      <c r="E29" s="221">
        <f>Parameters!D44</f>
        <v>0.66900000000000004</v>
      </c>
      <c r="F29" s="221">
        <f>E29-Parameters!E44</f>
        <v>0.58800000000000008</v>
      </c>
      <c r="G29" s="221">
        <f>E29+Parameters!E44</f>
        <v>0.75</v>
      </c>
      <c r="H29" s="222">
        <v>52182.559999999998</v>
      </c>
      <c r="I29" s="222">
        <v>61647.12</v>
      </c>
      <c r="J29" s="220">
        <f t="shared" si="0"/>
        <v>9464.5600000000049</v>
      </c>
      <c r="K29" s="82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24"/>
      <c r="AF29" s="324"/>
      <c r="AG29" s="324"/>
      <c r="AH29" s="325"/>
      <c r="AI29" s="325"/>
      <c r="AJ29" s="325"/>
      <c r="AK29" s="325"/>
      <c r="AL29" s="325"/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  <c r="BA29" s="325"/>
      <c r="BB29" s="325"/>
      <c r="BC29" s="325"/>
      <c r="BD29" s="325"/>
      <c r="BE29" s="325"/>
      <c r="BF29" s="325"/>
      <c r="BG29" s="325"/>
      <c r="BH29" s="325"/>
      <c r="BI29" s="325"/>
      <c r="BJ29" s="325"/>
      <c r="BK29" s="325"/>
      <c r="BL29" s="325"/>
      <c r="BM29" s="325"/>
      <c r="BN29" s="325"/>
      <c r="BO29" s="325"/>
      <c r="BP29" s="325"/>
      <c r="BQ29" s="325"/>
      <c r="BR29" s="325"/>
      <c r="BS29" s="325"/>
      <c r="BT29" s="325"/>
      <c r="BU29" s="325"/>
      <c r="BV29" s="325"/>
      <c r="BW29" s="325"/>
      <c r="BX29" s="325"/>
      <c r="BY29" s="325"/>
      <c r="BZ29" s="325"/>
      <c r="CA29" s="325"/>
      <c r="CB29" s="325"/>
      <c r="CC29" s="325"/>
      <c r="CD29" s="325"/>
      <c r="CE29" s="325"/>
      <c r="CF29" s="325"/>
      <c r="CG29" s="325"/>
      <c r="CH29" s="325"/>
      <c r="CI29" s="325"/>
      <c r="CJ29" s="325"/>
      <c r="CK29" s="325"/>
      <c r="CL29" s="325"/>
      <c r="CM29" s="325"/>
      <c r="CN29" s="325"/>
    </row>
    <row r="30" spans="1:92" ht="17.25" customHeight="1" x14ac:dyDescent="0.2">
      <c r="A30" s="3"/>
      <c r="B30" s="82"/>
      <c r="C30" s="554"/>
      <c r="D30" s="497" t="s">
        <v>477</v>
      </c>
      <c r="E30" s="229">
        <f>Parameters!D45</f>
        <v>0.753</v>
      </c>
      <c r="F30" s="229">
        <f>E30-Parameters!E45</f>
        <v>0.67100000000000004</v>
      </c>
      <c r="G30" s="229">
        <f>E30+Parameters!E45</f>
        <v>0.83499999999999996</v>
      </c>
      <c r="H30" s="225">
        <v>61795.09</v>
      </c>
      <c r="I30" s="225">
        <v>52077.01</v>
      </c>
      <c r="J30" s="220">
        <f t="shared" si="0"/>
        <v>-9718.0799999999945</v>
      </c>
      <c r="K30" s="82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24"/>
      <c r="AF30" s="324"/>
      <c r="AG30" s="324"/>
      <c r="AH30" s="325"/>
      <c r="AI30" s="325"/>
      <c r="AJ30" s="325"/>
      <c r="AK30" s="325"/>
      <c r="AL30" s="325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5"/>
      <c r="BK30" s="325"/>
      <c r="BL30" s="325"/>
      <c r="BM30" s="325"/>
      <c r="BN30" s="325"/>
      <c r="BO30" s="325"/>
      <c r="BP30" s="325"/>
      <c r="BQ30" s="325"/>
      <c r="BR30" s="325"/>
      <c r="BS30" s="325"/>
      <c r="BT30" s="325"/>
      <c r="BU30" s="325"/>
      <c r="BV30" s="325"/>
      <c r="BW30" s="325"/>
      <c r="BX30" s="325"/>
      <c r="BY30" s="325"/>
      <c r="BZ30" s="325"/>
      <c r="CA30" s="325"/>
      <c r="CB30" s="325"/>
      <c r="CC30" s="325"/>
      <c r="CD30" s="325"/>
      <c r="CE30" s="325"/>
      <c r="CF30" s="325"/>
      <c r="CG30" s="325"/>
      <c r="CH30" s="325"/>
      <c r="CI30" s="325"/>
      <c r="CJ30" s="325"/>
      <c r="CK30" s="325"/>
      <c r="CL30" s="325"/>
      <c r="CM30" s="325"/>
      <c r="CN30" s="325"/>
    </row>
    <row r="31" spans="1:92" ht="17.25" customHeight="1" x14ac:dyDescent="0.2">
      <c r="A31" s="3"/>
      <c r="B31" s="82"/>
      <c r="C31" s="554"/>
      <c r="D31" s="497" t="s">
        <v>478</v>
      </c>
      <c r="E31" s="221">
        <f>Parameters!D46</f>
        <v>0.72</v>
      </c>
      <c r="F31" s="221">
        <f>E31-Parameters!E46</f>
        <v>0.63880000000000003</v>
      </c>
      <c r="G31" s="221">
        <f>E31+Parameters!E46</f>
        <v>0.80119999999999991</v>
      </c>
      <c r="H31" s="225">
        <v>52467.85</v>
      </c>
      <c r="I31" s="225">
        <v>61253.65</v>
      </c>
      <c r="J31" s="220">
        <f t="shared" si="0"/>
        <v>8785.8000000000029</v>
      </c>
      <c r="K31" s="82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24"/>
      <c r="AF31" s="324"/>
      <c r="AG31" s="324"/>
      <c r="AH31" s="325"/>
      <c r="AI31" s="325"/>
      <c r="AJ31" s="325"/>
      <c r="AK31" s="325"/>
      <c r="AL31" s="325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5"/>
      <c r="BK31" s="325"/>
      <c r="BL31" s="325"/>
      <c r="BM31" s="325"/>
      <c r="BN31" s="325"/>
      <c r="BO31" s="325"/>
      <c r="BP31" s="325"/>
      <c r="BQ31" s="325"/>
      <c r="BR31" s="325"/>
      <c r="BS31" s="325"/>
      <c r="BT31" s="325"/>
      <c r="BU31" s="325"/>
      <c r="BV31" s="325"/>
      <c r="BW31" s="325"/>
      <c r="BX31" s="325"/>
      <c r="BY31" s="325"/>
      <c r="BZ31" s="325"/>
      <c r="CA31" s="325"/>
      <c r="CB31" s="325"/>
      <c r="CC31" s="325"/>
      <c r="CD31" s="325"/>
      <c r="CE31" s="325"/>
      <c r="CF31" s="325"/>
      <c r="CG31" s="325"/>
      <c r="CH31" s="325"/>
      <c r="CI31" s="325"/>
      <c r="CJ31" s="325"/>
      <c r="CK31" s="325"/>
      <c r="CL31" s="325"/>
      <c r="CM31" s="325"/>
      <c r="CN31" s="325"/>
    </row>
    <row r="32" spans="1:92" ht="17.25" customHeight="1" x14ac:dyDescent="0.2">
      <c r="A32" s="3"/>
      <c r="B32" s="82"/>
      <c r="C32" s="554"/>
      <c r="D32" s="497" t="s">
        <v>479</v>
      </c>
      <c r="E32" s="229">
        <f>Parameters!D47</f>
        <v>0.751</v>
      </c>
      <c r="F32" s="229">
        <f>E32-Parameters!E47</f>
        <v>0.66900000000000004</v>
      </c>
      <c r="G32" s="229">
        <f>E32+Parameters!E47</f>
        <v>0.83299999999999996</v>
      </c>
      <c r="H32" s="225">
        <v>61810.45</v>
      </c>
      <c r="I32" s="225">
        <v>52066.11</v>
      </c>
      <c r="J32" s="220">
        <f t="shared" si="0"/>
        <v>-9744.3399999999965</v>
      </c>
      <c r="K32" s="82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24"/>
      <c r="AF32" s="324"/>
      <c r="AG32" s="324"/>
      <c r="AH32" s="325"/>
      <c r="AI32" s="325"/>
      <c r="AJ32" s="325"/>
      <c r="AK32" s="325"/>
      <c r="AL32" s="325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5"/>
      <c r="BR32" s="325"/>
      <c r="BS32" s="325"/>
      <c r="BT32" s="325"/>
      <c r="BU32" s="325"/>
      <c r="BV32" s="325"/>
      <c r="BW32" s="325"/>
      <c r="BX32" s="325"/>
      <c r="BY32" s="325"/>
      <c r="BZ32" s="325"/>
      <c r="CA32" s="325"/>
      <c r="CB32" s="325"/>
      <c r="CC32" s="325"/>
      <c r="CD32" s="325"/>
      <c r="CE32" s="325"/>
      <c r="CF32" s="325"/>
      <c r="CG32" s="325"/>
      <c r="CH32" s="325"/>
      <c r="CI32" s="325"/>
      <c r="CJ32" s="325"/>
      <c r="CK32" s="325"/>
      <c r="CL32" s="325"/>
      <c r="CM32" s="325"/>
      <c r="CN32" s="325"/>
    </row>
    <row r="33" spans="1:92" ht="17.25" customHeight="1" x14ac:dyDescent="0.2">
      <c r="A33" s="3"/>
      <c r="B33" s="82"/>
      <c r="C33" s="554"/>
      <c r="D33" s="497" t="s">
        <v>480</v>
      </c>
      <c r="E33" s="229">
        <f>Parameters!D48</f>
        <v>0.75800000000000001</v>
      </c>
      <c r="F33" s="221">
        <f>E33-Parameters!E48</f>
        <v>0.68510000000000004</v>
      </c>
      <c r="G33" s="221">
        <f>E33+Parameters!E48</f>
        <v>0.83089999999999997</v>
      </c>
      <c r="H33" s="225">
        <v>53015.15</v>
      </c>
      <c r="I33" s="225">
        <v>60524.21</v>
      </c>
      <c r="J33" s="220">
        <f t="shared" si="0"/>
        <v>7509.0599999999977</v>
      </c>
      <c r="K33" s="82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24"/>
      <c r="AF33" s="324"/>
      <c r="AG33" s="324"/>
      <c r="AH33" s="325"/>
      <c r="AI33" s="325"/>
      <c r="AJ33" s="325"/>
      <c r="AK33" s="325"/>
      <c r="AL33" s="325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5"/>
      <c r="BK33" s="325"/>
      <c r="BL33" s="325"/>
      <c r="BM33" s="325"/>
      <c r="BN33" s="325"/>
      <c r="BO33" s="325"/>
      <c r="BP33" s="325"/>
      <c r="BQ33" s="325"/>
      <c r="BR33" s="325"/>
      <c r="BS33" s="325"/>
      <c r="BT33" s="325"/>
      <c r="BU33" s="325"/>
      <c r="BV33" s="325"/>
      <c r="BW33" s="325"/>
      <c r="BX33" s="325"/>
      <c r="BY33" s="325"/>
      <c r="BZ33" s="325"/>
      <c r="CA33" s="325"/>
      <c r="CB33" s="325"/>
      <c r="CC33" s="325"/>
      <c r="CD33" s="325"/>
      <c r="CE33" s="325"/>
      <c r="CF33" s="325"/>
      <c r="CG33" s="325"/>
      <c r="CH33" s="325"/>
      <c r="CI33" s="325"/>
      <c r="CJ33" s="325"/>
      <c r="CK33" s="325"/>
      <c r="CL33" s="325"/>
      <c r="CM33" s="325"/>
      <c r="CN33" s="325"/>
    </row>
    <row r="34" spans="1:92" ht="17.25" customHeight="1" x14ac:dyDescent="0.2">
      <c r="A34" s="3"/>
      <c r="B34" s="82"/>
      <c r="C34" s="554"/>
      <c r="D34" s="497" t="s">
        <v>481</v>
      </c>
      <c r="E34" s="229">
        <f>Parameters!D49</f>
        <v>0.78600000000000003</v>
      </c>
      <c r="F34" s="229">
        <f>E34-Parameters!E49</f>
        <v>0.72300000000000009</v>
      </c>
      <c r="G34" s="229">
        <f>E34+Parameters!E49</f>
        <v>0.84899999999999998</v>
      </c>
      <c r="H34" s="225">
        <v>60309.72</v>
      </c>
      <c r="I34" s="225">
        <v>53180.82</v>
      </c>
      <c r="J34" s="220">
        <f t="shared" si="0"/>
        <v>-7128.9000000000015</v>
      </c>
      <c r="K34" s="82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24"/>
      <c r="AF34" s="324"/>
      <c r="AG34" s="324"/>
      <c r="AH34" s="325"/>
      <c r="AI34" s="325"/>
      <c r="AJ34" s="325"/>
      <c r="AK34" s="325"/>
      <c r="AL34" s="325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5"/>
      <c r="BK34" s="325"/>
      <c r="BL34" s="325"/>
      <c r="BM34" s="325"/>
      <c r="BN34" s="325"/>
      <c r="BO34" s="325"/>
      <c r="BP34" s="325"/>
      <c r="BQ34" s="325"/>
      <c r="BR34" s="325"/>
      <c r="BS34" s="325"/>
      <c r="BT34" s="325"/>
      <c r="BU34" s="325"/>
      <c r="BV34" s="325"/>
      <c r="BW34" s="325"/>
      <c r="BX34" s="325"/>
      <c r="BY34" s="325"/>
      <c r="BZ34" s="325"/>
      <c r="CA34" s="325"/>
      <c r="CB34" s="325"/>
      <c r="CC34" s="325"/>
      <c r="CD34" s="325"/>
      <c r="CE34" s="325"/>
      <c r="CF34" s="325"/>
      <c r="CG34" s="325"/>
      <c r="CH34" s="325"/>
      <c r="CI34" s="325"/>
      <c r="CJ34" s="325"/>
      <c r="CK34" s="325"/>
      <c r="CL34" s="325"/>
      <c r="CM34" s="325"/>
      <c r="CN34" s="325"/>
    </row>
    <row r="35" spans="1:92" ht="17.25" customHeight="1" x14ac:dyDescent="0.2">
      <c r="A35" s="3"/>
      <c r="B35" s="82"/>
      <c r="C35" s="556"/>
      <c r="D35" s="501" t="s">
        <v>482</v>
      </c>
      <c r="E35" s="502">
        <f>Parameters!D50</f>
        <v>0.76800000000000002</v>
      </c>
      <c r="F35" s="502">
        <f>E35-Parameters!E50</f>
        <v>0.68600000000000005</v>
      </c>
      <c r="G35" s="502">
        <f>E35+Parameters!E50</f>
        <v>0.85</v>
      </c>
      <c r="H35" s="503">
        <v>52660.18</v>
      </c>
      <c r="I35" s="503">
        <v>60993.58</v>
      </c>
      <c r="J35" s="504">
        <f t="shared" si="0"/>
        <v>8333.4000000000015</v>
      </c>
      <c r="K35" s="82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24"/>
      <c r="AF35" s="324"/>
      <c r="AG35" s="324"/>
      <c r="AH35" s="325"/>
      <c r="AI35" s="325"/>
      <c r="AJ35" s="325"/>
      <c r="AK35" s="325"/>
      <c r="AL35" s="325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5"/>
      <c r="BK35" s="325"/>
      <c r="BL35" s="325"/>
      <c r="BM35" s="325"/>
      <c r="BN35" s="325"/>
      <c r="BO35" s="325"/>
      <c r="BP35" s="325"/>
      <c r="BQ35" s="325"/>
      <c r="BR35" s="325"/>
      <c r="BS35" s="325"/>
      <c r="BT35" s="325"/>
      <c r="BU35" s="325"/>
      <c r="BV35" s="325"/>
      <c r="BW35" s="325"/>
      <c r="BX35" s="325"/>
      <c r="BY35" s="325"/>
      <c r="BZ35" s="325"/>
      <c r="CA35" s="325"/>
      <c r="CB35" s="325"/>
      <c r="CC35" s="325"/>
      <c r="CD35" s="325"/>
      <c r="CE35" s="325"/>
      <c r="CF35" s="325"/>
      <c r="CG35" s="325"/>
      <c r="CH35" s="325"/>
      <c r="CI35" s="325"/>
      <c r="CJ35" s="325"/>
      <c r="CK35" s="325"/>
      <c r="CL35" s="325"/>
      <c r="CM35" s="325"/>
      <c r="CN35" s="325"/>
    </row>
    <row r="36" spans="1:92" s="493" customFormat="1" ht="17.25" customHeight="1" x14ac:dyDescent="0.2">
      <c r="A36" s="3"/>
      <c r="B36" s="82"/>
      <c r="C36" s="413"/>
      <c r="D36" s="497" t="s">
        <v>544</v>
      </c>
      <c r="E36" s="498">
        <v>0.76</v>
      </c>
      <c r="F36" s="498">
        <v>0.60799999999999998</v>
      </c>
      <c r="G36" s="498">
        <v>0.91200000000000003</v>
      </c>
      <c r="H36" s="499">
        <v>68979.64</v>
      </c>
      <c r="I36" s="499">
        <v>47874.8</v>
      </c>
      <c r="J36" s="500">
        <f t="shared" ref="J36:J37" si="1">I36-H36</f>
        <v>-21104.839999999997</v>
      </c>
      <c r="K36" s="8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24"/>
      <c r="AF36" s="324"/>
      <c r="AG36" s="324"/>
      <c r="AH36" s="325"/>
      <c r="AI36" s="325"/>
      <c r="AJ36" s="325"/>
      <c r="AK36" s="325"/>
      <c r="AL36" s="325"/>
      <c r="AM36" s="325"/>
      <c r="AN36" s="325"/>
      <c r="AO36" s="325"/>
      <c r="AP36" s="325"/>
      <c r="AQ36" s="325"/>
      <c r="AR36" s="325"/>
      <c r="AS36" s="325"/>
      <c r="AT36" s="325"/>
      <c r="AU36" s="325"/>
      <c r="AV36" s="325"/>
      <c r="AW36" s="325"/>
      <c r="AX36" s="325"/>
      <c r="AY36" s="325"/>
      <c r="AZ36" s="325"/>
      <c r="BA36" s="325"/>
      <c r="BB36" s="325"/>
      <c r="BC36" s="325"/>
      <c r="BD36" s="325"/>
      <c r="BE36" s="325"/>
      <c r="BF36" s="325"/>
      <c r="BG36" s="325"/>
      <c r="BH36" s="325"/>
      <c r="BI36" s="325"/>
      <c r="BJ36" s="325"/>
      <c r="BK36" s="325"/>
      <c r="BL36" s="325"/>
      <c r="BM36" s="325"/>
      <c r="BN36" s="325"/>
      <c r="BO36" s="325"/>
      <c r="BP36" s="325"/>
      <c r="BQ36" s="325"/>
      <c r="BR36" s="325"/>
      <c r="BS36" s="325"/>
      <c r="BT36" s="325"/>
      <c r="BU36" s="325"/>
      <c r="BV36" s="325"/>
      <c r="BW36" s="325"/>
      <c r="BX36" s="325"/>
      <c r="BY36" s="325"/>
      <c r="BZ36" s="325"/>
      <c r="CA36" s="325"/>
      <c r="CB36" s="325"/>
      <c r="CC36" s="325"/>
      <c r="CD36" s="325"/>
      <c r="CE36" s="325"/>
      <c r="CF36" s="325"/>
      <c r="CG36" s="325"/>
      <c r="CH36" s="325"/>
      <c r="CI36" s="325"/>
      <c r="CJ36" s="325"/>
      <c r="CK36" s="325"/>
      <c r="CL36" s="325"/>
      <c r="CM36" s="325"/>
      <c r="CN36" s="325"/>
    </row>
    <row r="37" spans="1:92" s="493" customFormat="1" ht="17.25" customHeight="1" x14ac:dyDescent="0.2">
      <c r="A37" s="3"/>
      <c r="B37" s="82"/>
      <c r="C37" s="82"/>
      <c r="D37" s="228" t="s">
        <v>545</v>
      </c>
      <c r="E37" s="496">
        <v>0.03</v>
      </c>
      <c r="F37" s="496">
        <v>0.01</v>
      </c>
      <c r="G37" s="496">
        <v>0.05</v>
      </c>
      <c r="H37" s="225">
        <v>52520.58</v>
      </c>
      <c r="I37" s="225">
        <v>60701.18</v>
      </c>
      <c r="J37" s="220">
        <f t="shared" si="1"/>
        <v>8180.5999999999985</v>
      </c>
      <c r="K37" s="82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24"/>
      <c r="AF37" s="324"/>
      <c r="AG37" s="324"/>
      <c r="AH37" s="325"/>
      <c r="AI37" s="325"/>
      <c r="AJ37" s="325"/>
      <c r="AK37" s="325"/>
      <c r="AL37" s="325"/>
      <c r="AM37" s="325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25"/>
      <c r="BJ37" s="325"/>
      <c r="BK37" s="325"/>
      <c r="BL37" s="325"/>
      <c r="BM37" s="325"/>
      <c r="BN37" s="325"/>
      <c r="BO37" s="325"/>
      <c r="BP37" s="325"/>
      <c r="BQ37" s="325"/>
      <c r="BR37" s="325"/>
      <c r="BS37" s="325"/>
      <c r="BT37" s="325"/>
      <c r="BU37" s="325"/>
      <c r="BV37" s="325"/>
      <c r="BW37" s="325"/>
      <c r="BX37" s="325"/>
      <c r="BY37" s="325"/>
      <c r="BZ37" s="325"/>
      <c r="CA37" s="325"/>
      <c r="CB37" s="325"/>
      <c r="CC37" s="325"/>
      <c r="CD37" s="325"/>
      <c r="CE37" s="325"/>
      <c r="CF37" s="325"/>
      <c r="CG37" s="325"/>
      <c r="CH37" s="325"/>
      <c r="CI37" s="325"/>
      <c r="CJ37" s="325"/>
      <c r="CK37" s="325"/>
      <c r="CL37" s="325"/>
      <c r="CM37" s="325"/>
      <c r="CN37" s="325"/>
    </row>
    <row r="38" spans="1:92" ht="5.25" customHeight="1" x14ac:dyDescent="0.2">
      <c r="A38" s="3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24"/>
      <c r="AF38" s="324"/>
      <c r="AG38" s="324"/>
      <c r="AH38" s="325"/>
      <c r="AI38" s="325"/>
      <c r="AJ38" s="325"/>
      <c r="AK38" s="325"/>
      <c r="AL38" s="325"/>
      <c r="AM38" s="325"/>
      <c r="AN38" s="325"/>
      <c r="AO38" s="325"/>
      <c r="AP38" s="325"/>
      <c r="AQ38" s="325"/>
      <c r="AR38" s="325"/>
      <c r="AS38" s="325"/>
      <c r="AT38" s="325"/>
      <c r="AU38" s="325"/>
      <c r="AV38" s="325"/>
      <c r="AW38" s="325"/>
      <c r="AX38" s="325"/>
      <c r="AY38" s="325"/>
      <c r="AZ38" s="325"/>
      <c r="BA38" s="325"/>
      <c r="BB38" s="325"/>
      <c r="BC38" s="325"/>
      <c r="BD38" s="325"/>
      <c r="BE38" s="325"/>
      <c r="BF38" s="325"/>
      <c r="BG38" s="325"/>
      <c r="BH38" s="325"/>
      <c r="BI38" s="325"/>
      <c r="BJ38" s="325"/>
      <c r="BK38" s="325"/>
      <c r="BL38" s="325"/>
      <c r="BM38" s="325"/>
      <c r="BN38" s="325"/>
      <c r="BO38" s="325"/>
      <c r="BP38" s="325"/>
      <c r="BQ38" s="325"/>
      <c r="BR38" s="325"/>
      <c r="BS38" s="325"/>
      <c r="BT38" s="325"/>
      <c r="BU38" s="325"/>
      <c r="BV38" s="325"/>
      <c r="BW38" s="325"/>
      <c r="BX38" s="325"/>
      <c r="BY38" s="325"/>
      <c r="BZ38" s="325"/>
      <c r="CA38" s="325"/>
      <c r="CB38" s="325"/>
      <c r="CC38" s="325"/>
      <c r="CD38" s="325"/>
      <c r="CE38" s="325"/>
      <c r="CF38" s="325"/>
      <c r="CG38" s="325"/>
      <c r="CH38" s="325"/>
      <c r="CI38" s="325"/>
      <c r="CJ38" s="325"/>
      <c r="CK38" s="325"/>
      <c r="CL38" s="325"/>
      <c r="CM38" s="325"/>
      <c r="CN38" s="325"/>
    </row>
    <row r="39" spans="1:92" ht="8.2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24"/>
      <c r="AF39" s="324"/>
      <c r="AG39" s="324"/>
      <c r="AH39" s="325"/>
      <c r="AI39" s="325"/>
      <c r="AJ39" s="325"/>
      <c r="AK39" s="325"/>
      <c r="AL39" s="325"/>
      <c r="AM39" s="325"/>
      <c r="AN39" s="325"/>
      <c r="AO39" s="325"/>
      <c r="AP39" s="325"/>
      <c r="AQ39" s="325"/>
      <c r="AR39" s="325"/>
      <c r="AS39" s="325"/>
      <c r="AT39" s="325"/>
      <c r="AU39" s="325"/>
      <c r="AV39" s="325"/>
      <c r="AW39" s="325"/>
      <c r="AX39" s="325"/>
      <c r="AY39" s="325"/>
      <c r="AZ39" s="325"/>
      <c r="BA39" s="325"/>
      <c r="BB39" s="325"/>
      <c r="BC39" s="325"/>
      <c r="BD39" s="325"/>
      <c r="BE39" s="325"/>
      <c r="BF39" s="325"/>
      <c r="BG39" s="325"/>
      <c r="BH39" s="325"/>
      <c r="BI39" s="325"/>
      <c r="BJ39" s="325"/>
      <c r="BK39" s="325"/>
      <c r="BL39" s="325"/>
      <c r="BM39" s="325"/>
      <c r="BN39" s="325"/>
      <c r="BO39" s="325"/>
      <c r="BP39" s="325"/>
      <c r="BQ39" s="325"/>
      <c r="BR39" s="325"/>
      <c r="BS39" s="325"/>
      <c r="BT39" s="325"/>
      <c r="BU39" s="325"/>
      <c r="BV39" s="325"/>
      <c r="BW39" s="325"/>
      <c r="BX39" s="325"/>
      <c r="BY39" s="325"/>
      <c r="BZ39" s="325"/>
      <c r="CA39" s="325"/>
      <c r="CB39" s="325"/>
      <c r="CC39" s="325"/>
      <c r="CD39" s="325"/>
      <c r="CE39" s="325"/>
      <c r="CF39" s="325"/>
      <c r="CG39" s="325"/>
      <c r="CH39" s="325"/>
      <c r="CI39" s="325"/>
      <c r="CJ39" s="325"/>
      <c r="CK39" s="325"/>
      <c r="CL39" s="325"/>
      <c r="CM39" s="325"/>
      <c r="CN39" s="325"/>
    </row>
    <row r="40" spans="1:92" ht="16.5" customHeight="1" x14ac:dyDescent="0.2">
      <c r="A40" s="3"/>
      <c r="B40" s="3"/>
      <c r="C40" s="3"/>
      <c r="D40" s="3"/>
      <c r="E40" s="3"/>
      <c r="F40" s="3"/>
      <c r="G40" s="3"/>
      <c r="H40" s="61"/>
      <c r="I40" s="61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24"/>
      <c r="AF40" s="324"/>
      <c r="AG40" s="324"/>
      <c r="AH40" s="325"/>
      <c r="AI40" s="325"/>
      <c r="AJ40" s="325"/>
      <c r="AK40" s="325"/>
      <c r="AL40" s="325"/>
      <c r="AM40" s="325"/>
      <c r="AN40" s="325"/>
      <c r="AO40" s="325"/>
      <c r="AP40" s="325"/>
      <c r="AQ40" s="325"/>
      <c r="AR40" s="325"/>
      <c r="AS40" s="325"/>
      <c r="AT40" s="325"/>
      <c r="AU40" s="325"/>
      <c r="AV40" s="325"/>
      <c r="AW40" s="325"/>
      <c r="AX40" s="325"/>
      <c r="AY40" s="325"/>
      <c r="AZ40" s="325"/>
      <c r="BA40" s="325"/>
      <c r="BB40" s="325"/>
      <c r="BC40" s="325"/>
      <c r="BD40" s="325"/>
      <c r="BE40" s="325"/>
      <c r="BF40" s="325"/>
      <c r="BG40" s="325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  <c r="BR40" s="325"/>
      <c r="BS40" s="325"/>
      <c r="BT40" s="325"/>
      <c r="BU40" s="325"/>
      <c r="BV40" s="325"/>
      <c r="BW40" s="325"/>
      <c r="BX40" s="325"/>
      <c r="BY40" s="325"/>
      <c r="BZ40" s="325"/>
      <c r="CA40" s="325"/>
      <c r="CB40" s="325"/>
      <c r="CC40" s="325"/>
      <c r="CD40" s="325"/>
      <c r="CE40" s="325"/>
      <c r="CF40" s="325"/>
      <c r="CG40" s="325"/>
      <c r="CH40" s="325"/>
      <c r="CI40" s="325"/>
      <c r="CJ40" s="325"/>
      <c r="CK40" s="325"/>
      <c r="CL40" s="325"/>
      <c r="CM40" s="325"/>
      <c r="CN40" s="325"/>
    </row>
    <row r="41" spans="1:92" ht="14.25" customHeight="1" x14ac:dyDescent="0.2">
      <c r="A41" s="3"/>
      <c r="B41" s="3"/>
      <c r="C41" s="3"/>
      <c r="D41" s="3"/>
      <c r="E41" s="3"/>
      <c r="F41" s="3"/>
      <c r="G41" s="3"/>
      <c r="H41" s="61"/>
      <c r="I41" s="61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24"/>
      <c r="AF41" s="324"/>
      <c r="AG41" s="324"/>
      <c r="AH41" s="325"/>
      <c r="AI41" s="325"/>
      <c r="AJ41" s="325"/>
      <c r="AK41" s="325"/>
      <c r="AL41" s="325"/>
      <c r="AM41" s="325"/>
      <c r="AN41" s="325"/>
      <c r="AO41" s="325"/>
      <c r="AP41" s="325"/>
      <c r="AQ41" s="325"/>
      <c r="AR41" s="325"/>
      <c r="AS41" s="325"/>
      <c r="AT41" s="325"/>
      <c r="AU41" s="325"/>
      <c r="AV41" s="325"/>
      <c r="AW41" s="325"/>
      <c r="AX41" s="325"/>
      <c r="AY41" s="325"/>
      <c r="AZ41" s="325"/>
      <c r="BA41" s="325"/>
      <c r="BB41" s="325"/>
      <c r="BC41" s="325"/>
      <c r="BD41" s="325"/>
      <c r="BE41" s="325"/>
      <c r="BF41" s="325"/>
      <c r="BG41" s="325"/>
      <c r="BH41" s="325"/>
      <c r="BI41" s="325"/>
      <c r="BJ41" s="325"/>
      <c r="BK41" s="325"/>
      <c r="BL41" s="325"/>
      <c r="BM41" s="325"/>
      <c r="BN41" s="325"/>
      <c r="BO41" s="325"/>
      <c r="BP41" s="325"/>
      <c r="BQ41" s="325"/>
      <c r="BR41" s="325"/>
      <c r="BS41" s="325"/>
      <c r="BT41" s="325"/>
      <c r="BU41" s="325"/>
      <c r="BV41" s="325"/>
      <c r="BW41" s="325"/>
      <c r="BX41" s="325"/>
      <c r="BY41" s="325"/>
      <c r="BZ41" s="325"/>
      <c r="CA41" s="325"/>
      <c r="CB41" s="325"/>
      <c r="CC41" s="325"/>
      <c r="CD41" s="325"/>
      <c r="CE41" s="325"/>
      <c r="CF41" s="325"/>
      <c r="CG41" s="325"/>
      <c r="CH41" s="325"/>
      <c r="CI41" s="325"/>
      <c r="CJ41" s="325"/>
      <c r="CK41" s="325"/>
      <c r="CL41" s="325"/>
      <c r="CM41" s="325"/>
      <c r="CN41" s="325"/>
    </row>
    <row r="42" spans="1:92" ht="14.2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24"/>
      <c r="AF42" s="324"/>
      <c r="AG42" s="324"/>
      <c r="AH42" s="325"/>
      <c r="AI42" s="325"/>
      <c r="AJ42" s="325"/>
      <c r="AK42" s="325"/>
      <c r="AL42" s="325"/>
      <c r="AM42" s="325"/>
      <c r="AN42" s="325"/>
      <c r="AO42" s="325"/>
      <c r="AP42" s="325"/>
      <c r="AQ42" s="325"/>
      <c r="AR42" s="325"/>
      <c r="AS42" s="325"/>
      <c r="AT42" s="325"/>
      <c r="AU42" s="325"/>
      <c r="AV42" s="325"/>
      <c r="AW42" s="325"/>
      <c r="AX42" s="325"/>
      <c r="AY42" s="325"/>
      <c r="AZ42" s="325"/>
      <c r="BA42" s="325"/>
      <c r="BB42" s="325"/>
      <c r="BC42" s="325"/>
      <c r="BD42" s="325"/>
      <c r="BE42" s="325"/>
      <c r="BF42" s="325"/>
      <c r="BG42" s="325"/>
      <c r="BH42" s="325"/>
      <c r="BI42" s="325"/>
      <c r="BJ42" s="325"/>
      <c r="BK42" s="325"/>
      <c r="BL42" s="325"/>
      <c r="BM42" s="325"/>
      <c r="BN42" s="325"/>
      <c r="BO42" s="325"/>
      <c r="BP42" s="325"/>
      <c r="BQ42" s="325"/>
      <c r="BR42" s="325"/>
      <c r="BS42" s="325"/>
      <c r="BT42" s="325"/>
      <c r="BU42" s="325"/>
      <c r="BV42" s="325"/>
      <c r="BW42" s="325"/>
      <c r="BX42" s="325"/>
      <c r="BY42" s="325"/>
      <c r="BZ42" s="325"/>
      <c r="CA42" s="325"/>
      <c r="CB42" s="325"/>
      <c r="CC42" s="325"/>
      <c r="CD42" s="325"/>
      <c r="CE42" s="325"/>
      <c r="CF42" s="325"/>
      <c r="CG42" s="325"/>
      <c r="CH42" s="325"/>
      <c r="CI42" s="325"/>
      <c r="CJ42" s="325"/>
      <c r="CK42" s="325"/>
      <c r="CL42" s="325"/>
      <c r="CM42" s="325"/>
      <c r="CN42" s="325"/>
    </row>
    <row r="43" spans="1:92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24"/>
      <c r="AF43" s="324"/>
      <c r="AG43" s="324"/>
      <c r="AH43" s="325"/>
      <c r="AI43" s="325"/>
      <c r="AJ43" s="325"/>
      <c r="AK43" s="325"/>
      <c r="AL43" s="325"/>
      <c r="AM43" s="325"/>
      <c r="AN43" s="325"/>
      <c r="AO43" s="325"/>
      <c r="AP43" s="325"/>
      <c r="AQ43" s="325"/>
      <c r="AR43" s="325"/>
      <c r="AS43" s="325"/>
      <c r="AT43" s="325"/>
      <c r="AU43" s="325"/>
      <c r="AV43" s="325"/>
      <c r="AW43" s="325"/>
      <c r="AX43" s="325"/>
      <c r="AY43" s="325"/>
      <c r="AZ43" s="325"/>
      <c r="BA43" s="325"/>
      <c r="BB43" s="325"/>
      <c r="BC43" s="325"/>
      <c r="BD43" s="325"/>
      <c r="BE43" s="325"/>
      <c r="BF43" s="325"/>
      <c r="BG43" s="325"/>
      <c r="BH43" s="325"/>
      <c r="BI43" s="325"/>
      <c r="BJ43" s="325"/>
      <c r="BK43" s="325"/>
      <c r="BL43" s="325"/>
      <c r="BM43" s="325"/>
      <c r="BN43" s="325"/>
      <c r="BO43" s="325"/>
      <c r="BP43" s="325"/>
      <c r="BQ43" s="325"/>
      <c r="BR43" s="325"/>
      <c r="BS43" s="325"/>
      <c r="BT43" s="325"/>
      <c r="BU43" s="325"/>
      <c r="BV43" s="325"/>
      <c r="BW43" s="325"/>
      <c r="BX43" s="325"/>
      <c r="BY43" s="325"/>
      <c r="BZ43" s="325"/>
      <c r="CA43" s="325"/>
      <c r="CB43" s="325"/>
      <c r="CC43" s="325"/>
      <c r="CD43" s="325"/>
      <c r="CE43" s="325"/>
      <c r="CF43" s="325"/>
      <c r="CG43" s="325"/>
      <c r="CH43" s="325"/>
      <c r="CI43" s="325"/>
      <c r="CJ43" s="325"/>
      <c r="CK43" s="325"/>
      <c r="CL43" s="325"/>
      <c r="CM43" s="325"/>
      <c r="CN43" s="325"/>
    </row>
    <row r="44" spans="1:92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24"/>
      <c r="AF44" s="324"/>
      <c r="AG44" s="324"/>
      <c r="AH44" s="325"/>
      <c r="AI44" s="325"/>
      <c r="AJ44" s="325"/>
      <c r="AK44" s="325"/>
      <c r="AL44" s="325"/>
      <c r="AM44" s="325"/>
      <c r="AN44" s="325"/>
      <c r="AO44" s="325"/>
      <c r="AP44" s="325"/>
      <c r="AQ44" s="325"/>
      <c r="AR44" s="325"/>
      <c r="AS44" s="325"/>
      <c r="AT44" s="325"/>
      <c r="AU44" s="325"/>
      <c r="AV44" s="325"/>
      <c r="AW44" s="325"/>
      <c r="AX44" s="325"/>
      <c r="AY44" s="325"/>
      <c r="AZ44" s="325"/>
      <c r="BA44" s="325"/>
      <c r="BB44" s="325"/>
      <c r="BC44" s="325"/>
      <c r="BD44" s="325"/>
      <c r="BE44" s="325"/>
      <c r="BF44" s="325"/>
      <c r="BG44" s="325"/>
      <c r="BH44" s="325"/>
      <c r="BI44" s="325"/>
      <c r="BJ44" s="325"/>
      <c r="BK44" s="325"/>
      <c r="BL44" s="325"/>
      <c r="BM44" s="325"/>
      <c r="BN44" s="325"/>
      <c r="BO44" s="325"/>
      <c r="BP44" s="325"/>
      <c r="BQ44" s="325"/>
      <c r="BR44" s="325"/>
      <c r="BS44" s="325"/>
      <c r="BT44" s="325"/>
      <c r="BU44" s="325"/>
      <c r="BV44" s="325"/>
      <c r="BW44" s="325"/>
      <c r="BX44" s="325"/>
      <c r="BY44" s="325"/>
      <c r="BZ44" s="325"/>
      <c r="CA44" s="325"/>
      <c r="CB44" s="325"/>
      <c r="CC44" s="325"/>
      <c r="CD44" s="325"/>
      <c r="CE44" s="325"/>
      <c r="CF44" s="325"/>
      <c r="CG44" s="325"/>
      <c r="CH44" s="325"/>
      <c r="CI44" s="325"/>
      <c r="CJ44" s="325"/>
      <c r="CK44" s="325"/>
      <c r="CL44" s="325"/>
      <c r="CM44" s="325"/>
      <c r="CN44" s="325"/>
    </row>
    <row r="45" spans="1:92" ht="14.25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24"/>
      <c r="AF45" s="324"/>
      <c r="AG45" s="324"/>
      <c r="AH45" s="325"/>
      <c r="AI45" s="325"/>
      <c r="AJ45" s="325"/>
      <c r="AK45" s="325"/>
      <c r="AL45" s="325"/>
      <c r="AM45" s="325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325"/>
      <c r="BO45" s="325"/>
      <c r="BP45" s="325"/>
      <c r="BQ45" s="325"/>
      <c r="BR45" s="325"/>
      <c r="BS45" s="325"/>
      <c r="BT45" s="325"/>
      <c r="BU45" s="325"/>
      <c r="BV45" s="325"/>
      <c r="BW45" s="325"/>
      <c r="BX45" s="325"/>
      <c r="BY45" s="325"/>
      <c r="BZ45" s="325"/>
      <c r="CA45" s="325"/>
      <c r="CB45" s="325"/>
      <c r="CC45" s="325"/>
      <c r="CD45" s="325"/>
      <c r="CE45" s="325"/>
      <c r="CF45" s="325"/>
      <c r="CG45" s="325"/>
      <c r="CH45" s="325"/>
      <c r="CI45" s="325"/>
      <c r="CJ45" s="325"/>
      <c r="CK45" s="325"/>
      <c r="CL45" s="325"/>
      <c r="CM45" s="325"/>
      <c r="CN45" s="325"/>
    </row>
    <row r="46" spans="1:92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24"/>
      <c r="AF46" s="324"/>
      <c r="AG46" s="324"/>
      <c r="AH46" s="325"/>
      <c r="AI46" s="325"/>
      <c r="AJ46" s="325"/>
      <c r="AK46" s="325"/>
      <c r="AL46" s="325"/>
      <c r="AM46" s="325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325"/>
      <c r="BO46" s="325"/>
      <c r="BP46" s="325"/>
      <c r="BQ46" s="325"/>
      <c r="BR46" s="325"/>
      <c r="BS46" s="325"/>
      <c r="BT46" s="325"/>
      <c r="BU46" s="325"/>
      <c r="BV46" s="325"/>
      <c r="BW46" s="325"/>
      <c r="BX46" s="325"/>
      <c r="BY46" s="325"/>
      <c r="BZ46" s="325"/>
      <c r="CA46" s="325"/>
      <c r="CB46" s="325"/>
      <c r="CC46" s="325"/>
      <c r="CD46" s="325"/>
      <c r="CE46" s="325"/>
      <c r="CF46" s="325"/>
      <c r="CG46" s="325"/>
      <c r="CH46" s="325"/>
      <c r="CI46" s="325"/>
      <c r="CJ46" s="325"/>
      <c r="CK46" s="325"/>
      <c r="CL46" s="325"/>
      <c r="CM46" s="325"/>
      <c r="CN46" s="325"/>
    </row>
    <row r="47" spans="1:92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24"/>
      <c r="AH47" s="325"/>
      <c r="AI47" s="325"/>
      <c r="AJ47" s="325"/>
      <c r="AK47" s="325"/>
      <c r="AL47" s="325"/>
      <c r="AM47" s="325"/>
      <c r="AN47" s="325"/>
      <c r="AO47" s="325"/>
      <c r="AP47" s="325"/>
      <c r="AQ47" s="325"/>
      <c r="AR47" s="325"/>
      <c r="AS47" s="325"/>
      <c r="AT47" s="325"/>
      <c r="AU47" s="325"/>
      <c r="AV47" s="325"/>
      <c r="AW47" s="325"/>
      <c r="AX47" s="325"/>
      <c r="AY47" s="325"/>
      <c r="AZ47" s="325"/>
      <c r="BA47" s="325"/>
      <c r="BB47" s="325"/>
      <c r="BC47" s="325"/>
      <c r="BD47" s="325"/>
      <c r="BE47" s="325"/>
      <c r="BF47" s="325"/>
      <c r="BG47" s="325"/>
      <c r="BH47" s="325"/>
      <c r="BI47" s="325"/>
      <c r="BJ47" s="325"/>
      <c r="BK47" s="325"/>
      <c r="BL47" s="325"/>
      <c r="BM47" s="325"/>
      <c r="BN47" s="325"/>
      <c r="BO47" s="325"/>
      <c r="BP47" s="325"/>
      <c r="BQ47" s="325"/>
      <c r="BR47" s="325"/>
      <c r="BS47" s="325"/>
      <c r="BT47" s="325"/>
      <c r="BU47" s="325"/>
      <c r="BV47" s="325"/>
      <c r="BW47" s="325"/>
      <c r="BX47" s="325"/>
      <c r="BY47" s="325"/>
      <c r="BZ47" s="325"/>
      <c r="CA47" s="325"/>
      <c r="CB47" s="325"/>
      <c r="CC47" s="325"/>
      <c r="CD47" s="325"/>
      <c r="CE47" s="325"/>
      <c r="CF47" s="325"/>
      <c r="CG47" s="325"/>
      <c r="CH47" s="325"/>
      <c r="CI47" s="325"/>
      <c r="CJ47" s="325"/>
      <c r="CK47" s="325"/>
      <c r="CL47" s="325"/>
      <c r="CM47" s="325"/>
      <c r="CN47" s="325"/>
    </row>
    <row r="48" spans="1:92" ht="14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24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  <c r="AR48" s="325"/>
      <c r="AS48" s="325"/>
      <c r="AT48" s="325"/>
      <c r="AU48" s="325"/>
      <c r="AV48" s="325"/>
      <c r="AW48" s="325"/>
      <c r="AX48" s="325"/>
      <c r="AY48" s="325"/>
      <c r="AZ48" s="325"/>
      <c r="BA48" s="325"/>
      <c r="BB48" s="325"/>
      <c r="BC48" s="325"/>
      <c r="BD48" s="325"/>
      <c r="BE48" s="325"/>
      <c r="BF48" s="325"/>
      <c r="BG48" s="325"/>
      <c r="BH48" s="325"/>
      <c r="BI48" s="325"/>
      <c r="BJ48" s="325"/>
      <c r="BK48" s="325"/>
      <c r="BL48" s="325"/>
      <c r="BM48" s="325"/>
      <c r="BN48" s="325"/>
      <c r="BO48" s="325"/>
      <c r="BP48" s="325"/>
      <c r="BQ48" s="325"/>
      <c r="BR48" s="325"/>
      <c r="BS48" s="325"/>
      <c r="BT48" s="325"/>
      <c r="BU48" s="325"/>
      <c r="BV48" s="325"/>
      <c r="BW48" s="325"/>
      <c r="BX48" s="325"/>
      <c r="BY48" s="325"/>
      <c r="BZ48" s="325"/>
      <c r="CA48" s="325"/>
      <c r="CB48" s="325"/>
      <c r="CC48" s="325"/>
      <c r="CD48" s="325"/>
      <c r="CE48" s="325"/>
      <c r="CF48" s="325"/>
      <c r="CG48" s="325"/>
      <c r="CH48" s="325"/>
      <c r="CI48" s="325"/>
      <c r="CJ48" s="325"/>
      <c r="CK48" s="325"/>
      <c r="CL48" s="325"/>
      <c r="CM48" s="325"/>
      <c r="CN48" s="325"/>
    </row>
    <row r="49" spans="1:92" ht="245.25" hidden="1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24"/>
      <c r="AH49" s="325"/>
      <c r="AI49" s="325"/>
      <c r="AJ49" s="325"/>
      <c r="AK49" s="325"/>
      <c r="AL49" s="325"/>
      <c r="AM49" s="325"/>
      <c r="AN49" s="325"/>
      <c r="AO49" s="325"/>
      <c r="AP49" s="325"/>
      <c r="AQ49" s="325"/>
      <c r="AR49" s="325"/>
      <c r="AS49" s="325"/>
      <c r="AT49" s="325"/>
      <c r="AU49" s="325"/>
      <c r="AV49" s="325"/>
      <c r="AW49" s="325"/>
      <c r="AX49" s="325"/>
      <c r="AY49" s="325"/>
      <c r="AZ49" s="325"/>
      <c r="BA49" s="325"/>
      <c r="BB49" s="325"/>
      <c r="BC49" s="325"/>
      <c r="BD49" s="325"/>
      <c r="BE49" s="325"/>
      <c r="BF49" s="325"/>
      <c r="BG49" s="325"/>
      <c r="BH49" s="325"/>
      <c r="BI49" s="325"/>
      <c r="BJ49" s="325"/>
      <c r="BK49" s="325"/>
      <c r="BL49" s="325"/>
      <c r="BM49" s="325"/>
      <c r="BN49" s="325"/>
      <c r="BO49" s="325"/>
      <c r="BP49" s="325"/>
      <c r="BQ49" s="325"/>
      <c r="BR49" s="325"/>
      <c r="BS49" s="325"/>
      <c r="BT49" s="325"/>
      <c r="BU49" s="325"/>
      <c r="BV49" s="325"/>
      <c r="BW49" s="325"/>
      <c r="BX49" s="325"/>
      <c r="BY49" s="325"/>
      <c r="BZ49" s="325"/>
      <c r="CA49" s="325"/>
      <c r="CB49" s="325"/>
      <c r="CC49" s="325"/>
      <c r="CD49" s="325"/>
      <c r="CE49" s="325"/>
      <c r="CF49" s="325"/>
      <c r="CG49" s="325"/>
      <c r="CH49" s="325"/>
      <c r="CI49" s="325"/>
      <c r="CJ49" s="325"/>
      <c r="CK49" s="325"/>
      <c r="CL49" s="325"/>
      <c r="CM49" s="325"/>
      <c r="CN49" s="325"/>
    </row>
    <row r="50" spans="1:92" ht="14.25" hidden="1" customHeight="1" x14ac:dyDescent="0.2">
      <c r="A50" s="3"/>
      <c r="B50" s="3"/>
      <c r="C50" s="3"/>
      <c r="D50" s="65" t="s">
        <v>468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24"/>
      <c r="AH50" s="325"/>
      <c r="AI50" s="325"/>
      <c r="AJ50" s="325"/>
      <c r="AK50" s="325"/>
      <c r="AL50" s="325"/>
      <c r="AM50" s="325"/>
      <c r="AN50" s="325"/>
      <c r="AO50" s="325"/>
      <c r="AP50" s="325"/>
      <c r="AQ50" s="325"/>
      <c r="AR50" s="325"/>
      <c r="AS50" s="325"/>
      <c r="AT50" s="325"/>
      <c r="AU50" s="325"/>
      <c r="AV50" s="325"/>
      <c r="AW50" s="325"/>
      <c r="AX50" s="325"/>
      <c r="AY50" s="325"/>
      <c r="AZ50" s="325"/>
      <c r="BA50" s="325"/>
      <c r="BB50" s="325"/>
      <c r="BC50" s="325"/>
      <c r="BD50" s="325"/>
      <c r="BE50" s="325"/>
      <c r="BF50" s="325"/>
      <c r="BG50" s="325"/>
      <c r="BH50" s="325"/>
      <c r="BI50" s="325"/>
      <c r="BJ50" s="325"/>
      <c r="BK50" s="325"/>
      <c r="BL50" s="325"/>
      <c r="BM50" s="325"/>
      <c r="BN50" s="325"/>
      <c r="BO50" s="325"/>
      <c r="BP50" s="325"/>
      <c r="BQ50" s="325"/>
      <c r="BR50" s="325"/>
      <c r="BS50" s="325"/>
      <c r="BT50" s="325"/>
      <c r="BU50" s="325"/>
      <c r="BV50" s="325"/>
      <c r="BW50" s="325"/>
      <c r="BX50" s="325"/>
      <c r="BY50" s="325"/>
      <c r="BZ50" s="325"/>
      <c r="CA50" s="325"/>
      <c r="CB50" s="325"/>
      <c r="CC50" s="325"/>
      <c r="CD50" s="325"/>
      <c r="CE50" s="325"/>
      <c r="CF50" s="325"/>
      <c r="CG50" s="325"/>
      <c r="CH50" s="325"/>
      <c r="CI50" s="325"/>
      <c r="CJ50" s="325"/>
      <c r="CK50" s="325"/>
      <c r="CL50" s="325"/>
      <c r="CM50" s="325"/>
      <c r="CN50" s="325"/>
    </row>
    <row r="51" spans="1:92" ht="14.25" hidden="1" customHeight="1" x14ac:dyDescent="0.2">
      <c r="A51" s="3"/>
      <c r="B51" s="3"/>
      <c r="C51" s="3"/>
      <c r="D51" s="4" t="s">
        <v>282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24"/>
      <c r="AH51" s="325"/>
      <c r="AI51" s="325"/>
      <c r="AJ51" s="325"/>
      <c r="AK51" s="325"/>
      <c r="AL51" s="325"/>
      <c r="AM51" s="325"/>
      <c r="AN51" s="325"/>
      <c r="AO51" s="325"/>
      <c r="AP51" s="325"/>
      <c r="AQ51" s="325"/>
      <c r="AR51" s="325"/>
      <c r="AS51" s="325"/>
      <c r="AT51" s="325"/>
      <c r="AU51" s="325"/>
      <c r="AV51" s="325"/>
      <c r="AW51" s="325"/>
      <c r="AX51" s="325"/>
      <c r="AY51" s="325"/>
      <c r="AZ51" s="325"/>
      <c r="BA51" s="325"/>
      <c r="BB51" s="325"/>
      <c r="BC51" s="325"/>
      <c r="BD51" s="325"/>
      <c r="BE51" s="325"/>
      <c r="BF51" s="325"/>
      <c r="BG51" s="325"/>
      <c r="BH51" s="325"/>
      <c r="BI51" s="325"/>
      <c r="BJ51" s="325"/>
      <c r="BK51" s="325"/>
      <c r="BL51" s="325"/>
      <c r="BM51" s="325"/>
      <c r="BN51" s="325"/>
      <c r="BO51" s="325"/>
      <c r="BP51" s="325"/>
      <c r="BQ51" s="325"/>
      <c r="BR51" s="325"/>
      <c r="BS51" s="325"/>
      <c r="BT51" s="325"/>
      <c r="BU51" s="325"/>
      <c r="BV51" s="325"/>
      <c r="BW51" s="325"/>
      <c r="BX51" s="325"/>
      <c r="BY51" s="325"/>
      <c r="BZ51" s="325"/>
      <c r="CA51" s="325"/>
      <c r="CB51" s="325"/>
      <c r="CC51" s="325"/>
      <c r="CD51" s="325"/>
      <c r="CE51" s="325"/>
      <c r="CF51" s="325"/>
      <c r="CG51" s="325"/>
      <c r="CH51" s="325"/>
      <c r="CI51" s="325"/>
      <c r="CJ51" s="325"/>
      <c r="CK51" s="325"/>
      <c r="CL51" s="325"/>
      <c r="CM51" s="325"/>
      <c r="CN51" s="325"/>
    </row>
    <row r="52" spans="1:92" ht="14.25" hidden="1" customHeight="1" x14ac:dyDescent="0.2">
      <c r="A52" s="3"/>
      <c r="B52" s="3"/>
      <c r="C52" s="3"/>
      <c r="D52" s="3" t="s">
        <v>283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24"/>
      <c r="AH52" s="325"/>
      <c r="AI52" s="325"/>
      <c r="AJ52" s="325"/>
      <c r="AK52" s="325"/>
      <c r="AL52" s="325"/>
      <c r="AM52" s="325"/>
      <c r="AN52" s="325"/>
      <c r="AO52" s="325"/>
      <c r="AP52" s="325"/>
      <c r="AQ52" s="325"/>
      <c r="AR52" s="325"/>
      <c r="AS52" s="325"/>
      <c r="AT52" s="325"/>
      <c r="AU52" s="325"/>
      <c r="AV52" s="325"/>
      <c r="AW52" s="325"/>
      <c r="AX52" s="325"/>
      <c r="AY52" s="325"/>
      <c r="AZ52" s="325"/>
      <c r="BA52" s="325"/>
      <c r="BB52" s="325"/>
      <c r="BC52" s="325"/>
      <c r="BD52" s="325"/>
      <c r="BE52" s="325"/>
      <c r="BF52" s="325"/>
      <c r="BG52" s="325"/>
      <c r="BH52" s="325"/>
      <c r="BI52" s="325"/>
      <c r="BJ52" s="325"/>
      <c r="BK52" s="325"/>
      <c r="BL52" s="325"/>
      <c r="BM52" s="325"/>
      <c r="BN52" s="325"/>
      <c r="BO52" s="325"/>
      <c r="BP52" s="325"/>
      <c r="BQ52" s="325"/>
      <c r="BR52" s="325"/>
      <c r="BS52" s="325"/>
      <c r="BT52" s="325"/>
      <c r="BU52" s="325"/>
      <c r="BV52" s="325"/>
      <c r="BW52" s="325"/>
      <c r="BX52" s="325"/>
      <c r="BY52" s="325"/>
      <c r="BZ52" s="325"/>
      <c r="CA52" s="325"/>
      <c r="CB52" s="325"/>
      <c r="CC52" s="325"/>
      <c r="CD52" s="325"/>
      <c r="CE52" s="325"/>
      <c r="CF52" s="325"/>
      <c r="CG52" s="325"/>
      <c r="CH52" s="325"/>
      <c r="CI52" s="325"/>
      <c r="CJ52" s="325"/>
      <c r="CK52" s="325"/>
      <c r="CL52" s="325"/>
      <c r="CM52" s="325"/>
      <c r="CN52" s="325"/>
    </row>
    <row r="53" spans="1:92" ht="14.25" hidden="1" customHeight="1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24"/>
      <c r="AH53" s="325"/>
      <c r="AI53" s="325"/>
      <c r="AJ53" s="325"/>
      <c r="AK53" s="325"/>
      <c r="AL53" s="325"/>
      <c r="AM53" s="325"/>
      <c r="AN53" s="325"/>
      <c r="AO53" s="325"/>
      <c r="AP53" s="325"/>
      <c r="AQ53" s="325"/>
      <c r="AR53" s="325"/>
      <c r="AS53" s="325"/>
      <c r="AT53" s="325"/>
      <c r="AU53" s="325"/>
      <c r="AV53" s="325"/>
      <c r="AW53" s="325"/>
      <c r="AX53" s="325"/>
      <c r="AY53" s="325"/>
      <c r="AZ53" s="325"/>
      <c r="BA53" s="325"/>
      <c r="BB53" s="325"/>
      <c r="BC53" s="325"/>
      <c r="BD53" s="325"/>
      <c r="BE53" s="325"/>
      <c r="BF53" s="325"/>
      <c r="BG53" s="325"/>
      <c r="BH53" s="325"/>
      <c r="BI53" s="325"/>
      <c r="BJ53" s="325"/>
      <c r="BK53" s="325"/>
      <c r="BL53" s="325"/>
      <c r="BM53" s="325"/>
      <c r="BN53" s="325"/>
      <c r="BO53" s="325"/>
      <c r="BP53" s="325"/>
      <c r="BQ53" s="325"/>
      <c r="BR53" s="325"/>
      <c r="BS53" s="325"/>
      <c r="BT53" s="325"/>
      <c r="BU53" s="325"/>
      <c r="BV53" s="325"/>
      <c r="BW53" s="325"/>
      <c r="BX53" s="325"/>
      <c r="BY53" s="325"/>
      <c r="BZ53" s="325"/>
      <c r="CA53" s="325"/>
      <c r="CB53" s="325"/>
      <c r="CC53" s="325"/>
      <c r="CD53" s="325"/>
      <c r="CE53" s="325"/>
      <c r="CF53" s="325"/>
      <c r="CG53" s="325"/>
      <c r="CH53" s="325"/>
      <c r="CI53" s="325"/>
      <c r="CJ53" s="325"/>
      <c r="CK53" s="325"/>
      <c r="CL53" s="325"/>
      <c r="CM53" s="325"/>
      <c r="CN53" s="325"/>
    </row>
    <row r="54" spans="1:92" ht="14.25" hidden="1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24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5"/>
      <c r="BN54" s="325"/>
      <c r="BO54" s="325"/>
      <c r="BP54" s="325"/>
      <c r="BQ54" s="325"/>
      <c r="BR54" s="325"/>
      <c r="BS54" s="325"/>
      <c r="BT54" s="325"/>
      <c r="BU54" s="325"/>
      <c r="BV54" s="325"/>
      <c r="BW54" s="325"/>
      <c r="BX54" s="325"/>
      <c r="BY54" s="325"/>
      <c r="BZ54" s="325"/>
      <c r="CA54" s="325"/>
      <c r="CB54" s="325"/>
      <c r="CC54" s="325"/>
      <c r="CD54" s="325"/>
      <c r="CE54" s="325"/>
      <c r="CF54" s="325"/>
      <c r="CG54" s="325"/>
      <c r="CH54" s="325"/>
      <c r="CI54" s="325"/>
      <c r="CJ54" s="325"/>
      <c r="CK54" s="325"/>
      <c r="CL54" s="325"/>
      <c r="CM54" s="325"/>
      <c r="CN54" s="325"/>
    </row>
    <row r="55" spans="1:92" ht="14.25" hidden="1" customHeight="1" x14ac:dyDescent="0.2">
      <c r="A55" s="3"/>
      <c r="B55" s="3"/>
      <c r="C55" s="3"/>
      <c r="D55" s="4" t="s">
        <v>273</v>
      </c>
      <c r="E55" s="3"/>
      <c r="F55" s="3"/>
      <c r="G55" s="4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24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  <c r="AR55" s="325"/>
      <c r="AS55" s="325"/>
      <c r="AT55" s="325"/>
      <c r="AU55" s="325"/>
      <c r="AV55" s="325"/>
      <c r="AW55" s="325"/>
      <c r="AX55" s="325"/>
      <c r="AY55" s="325"/>
      <c r="AZ55" s="325"/>
      <c r="BA55" s="325"/>
      <c r="BB55" s="325"/>
      <c r="BC55" s="325"/>
      <c r="BD55" s="325"/>
      <c r="BE55" s="325"/>
      <c r="BF55" s="325"/>
      <c r="BG55" s="325"/>
      <c r="BH55" s="325"/>
      <c r="BI55" s="325"/>
      <c r="BJ55" s="325"/>
      <c r="BK55" s="325"/>
      <c r="BL55" s="325"/>
      <c r="BM55" s="325"/>
      <c r="BN55" s="325"/>
      <c r="BO55" s="325"/>
      <c r="BP55" s="325"/>
      <c r="BQ55" s="325"/>
      <c r="BR55" s="325"/>
      <c r="BS55" s="325"/>
      <c r="BT55" s="325"/>
      <c r="BU55" s="325"/>
      <c r="BV55" s="325"/>
      <c r="BW55" s="325"/>
      <c r="BX55" s="325"/>
      <c r="BY55" s="325"/>
      <c r="BZ55" s="325"/>
      <c r="CA55" s="325"/>
      <c r="CB55" s="325"/>
      <c r="CC55" s="325"/>
      <c r="CD55" s="325"/>
      <c r="CE55" s="325"/>
      <c r="CF55" s="325"/>
      <c r="CG55" s="325"/>
      <c r="CH55" s="325"/>
      <c r="CI55" s="325"/>
      <c r="CJ55" s="325"/>
      <c r="CK55" s="325"/>
      <c r="CL55" s="325"/>
      <c r="CM55" s="325"/>
      <c r="CN55" s="325"/>
    </row>
    <row r="56" spans="1:92" ht="14.25" hidden="1" customHeight="1" x14ac:dyDescent="0.2">
      <c r="A56" s="3"/>
      <c r="B56" s="3"/>
      <c r="C56" s="3"/>
      <c r="D56" s="52" t="s">
        <v>284</v>
      </c>
      <c r="E56" s="52" t="s">
        <v>285</v>
      </c>
      <c r="F56" s="3"/>
      <c r="G56" s="52"/>
      <c r="H56" s="5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24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  <c r="AR56" s="325"/>
      <c r="AS56" s="325"/>
      <c r="AT56" s="325"/>
      <c r="AU56" s="325"/>
      <c r="AV56" s="325"/>
      <c r="AW56" s="325"/>
      <c r="AX56" s="325"/>
      <c r="AY56" s="325"/>
      <c r="AZ56" s="325"/>
      <c r="BA56" s="325"/>
      <c r="BB56" s="325"/>
      <c r="BC56" s="325"/>
      <c r="BD56" s="325"/>
      <c r="BE56" s="325"/>
      <c r="BF56" s="325"/>
      <c r="BG56" s="325"/>
      <c r="BH56" s="325"/>
      <c r="BI56" s="325"/>
      <c r="BJ56" s="325"/>
      <c r="BK56" s="325"/>
      <c r="BL56" s="325"/>
      <c r="BM56" s="325"/>
      <c r="BN56" s="325"/>
      <c r="BO56" s="325"/>
      <c r="BP56" s="325"/>
      <c r="BQ56" s="325"/>
      <c r="BR56" s="325"/>
      <c r="BS56" s="325"/>
      <c r="BT56" s="325"/>
      <c r="BU56" s="325"/>
      <c r="BV56" s="325"/>
      <c r="BW56" s="325"/>
      <c r="BX56" s="325"/>
      <c r="BY56" s="325"/>
      <c r="BZ56" s="325"/>
      <c r="CA56" s="325"/>
      <c r="CB56" s="325"/>
      <c r="CC56" s="325"/>
      <c r="CD56" s="325"/>
      <c r="CE56" s="325"/>
      <c r="CF56" s="325"/>
      <c r="CG56" s="325"/>
      <c r="CH56" s="325"/>
      <c r="CI56" s="325"/>
      <c r="CJ56" s="325"/>
      <c r="CK56" s="325"/>
      <c r="CL56" s="325"/>
      <c r="CM56" s="325"/>
      <c r="CN56" s="325"/>
    </row>
    <row r="57" spans="1:92" ht="14.25" hidden="1" customHeight="1" x14ac:dyDescent="0.2">
      <c r="A57" s="3"/>
      <c r="B57" s="3"/>
      <c r="C57" s="3"/>
      <c r="D57" s="230">
        <v>0.65</v>
      </c>
      <c r="E57" s="186">
        <v>13526.26</v>
      </c>
      <c r="F57" s="3"/>
      <c r="G57" s="230"/>
      <c r="H57" s="186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24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  <c r="AR57" s="325"/>
      <c r="AS57" s="325"/>
      <c r="AT57" s="325"/>
      <c r="AU57" s="325"/>
      <c r="AV57" s="325"/>
      <c r="AW57" s="325"/>
      <c r="AX57" s="325"/>
      <c r="AY57" s="325"/>
      <c r="AZ57" s="325"/>
      <c r="BA57" s="325"/>
      <c r="BB57" s="325"/>
      <c r="BC57" s="325"/>
      <c r="BD57" s="325"/>
      <c r="BE57" s="325"/>
      <c r="BF57" s="325"/>
      <c r="BG57" s="325"/>
      <c r="BH57" s="325"/>
      <c r="BI57" s="325"/>
      <c r="BJ57" s="325"/>
      <c r="BK57" s="325"/>
      <c r="BL57" s="325"/>
      <c r="BM57" s="325"/>
      <c r="BN57" s="325"/>
      <c r="BO57" s="325"/>
      <c r="BP57" s="325"/>
      <c r="BQ57" s="325"/>
      <c r="BR57" s="325"/>
      <c r="BS57" s="325"/>
      <c r="BT57" s="325"/>
      <c r="BU57" s="325"/>
      <c r="BV57" s="325"/>
      <c r="BW57" s="325"/>
      <c r="BX57" s="325"/>
      <c r="BY57" s="325"/>
      <c r="BZ57" s="325"/>
      <c r="CA57" s="325"/>
      <c r="CB57" s="325"/>
      <c r="CC57" s="325"/>
      <c r="CD57" s="325"/>
      <c r="CE57" s="325"/>
      <c r="CF57" s="325"/>
      <c r="CG57" s="325"/>
      <c r="CH57" s="325"/>
      <c r="CI57" s="325"/>
      <c r="CJ57" s="325"/>
      <c r="CK57" s="325"/>
      <c r="CL57" s="325"/>
      <c r="CM57" s="325"/>
      <c r="CN57" s="325"/>
    </row>
    <row r="58" spans="1:92" ht="14.25" hidden="1" customHeight="1" x14ac:dyDescent="0.2">
      <c r="A58" s="3"/>
      <c r="B58" s="3"/>
      <c r="C58" s="3"/>
      <c r="D58" s="230">
        <v>0.66</v>
      </c>
      <c r="E58" s="186">
        <v>14532.9</v>
      </c>
      <c r="F58" s="3"/>
      <c r="G58" s="230"/>
      <c r="H58" s="186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24"/>
      <c r="AH58" s="325"/>
      <c r="AI58" s="325"/>
      <c r="AJ58" s="325"/>
      <c r="AK58" s="325"/>
      <c r="AL58" s="325"/>
      <c r="AM58" s="325"/>
      <c r="AN58" s="325"/>
      <c r="AO58" s="325"/>
      <c r="AP58" s="325"/>
      <c r="AQ58" s="325"/>
      <c r="AR58" s="325"/>
      <c r="AS58" s="325"/>
      <c r="AT58" s="325"/>
      <c r="AU58" s="325"/>
      <c r="AV58" s="325"/>
      <c r="AW58" s="325"/>
      <c r="AX58" s="325"/>
      <c r="AY58" s="325"/>
      <c r="AZ58" s="325"/>
      <c r="BA58" s="325"/>
      <c r="BB58" s="325"/>
      <c r="BC58" s="325"/>
      <c r="BD58" s="325"/>
      <c r="BE58" s="325"/>
      <c r="BF58" s="325"/>
      <c r="BG58" s="325"/>
      <c r="BH58" s="325"/>
      <c r="BI58" s="325"/>
      <c r="BJ58" s="325"/>
      <c r="BK58" s="325"/>
      <c r="BL58" s="325"/>
      <c r="BM58" s="325"/>
      <c r="BN58" s="325"/>
      <c r="BO58" s="325"/>
      <c r="BP58" s="325"/>
      <c r="BQ58" s="325"/>
      <c r="BR58" s="325"/>
      <c r="BS58" s="325"/>
      <c r="BT58" s="325"/>
      <c r="BU58" s="325"/>
      <c r="BV58" s="325"/>
      <c r="BW58" s="325"/>
      <c r="BX58" s="325"/>
      <c r="BY58" s="325"/>
      <c r="BZ58" s="325"/>
      <c r="CA58" s="325"/>
      <c r="CB58" s="325"/>
      <c r="CC58" s="325"/>
      <c r="CD58" s="325"/>
      <c r="CE58" s="325"/>
      <c r="CF58" s="325"/>
      <c r="CG58" s="325"/>
      <c r="CH58" s="325"/>
      <c r="CI58" s="325"/>
      <c r="CJ58" s="325"/>
      <c r="CK58" s="325"/>
      <c r="CL58" s="325"/>
      <c r="CM58" s="325"/>
      <c r="CN58" s="325"/>
    </row>
    <row r="59" spans="1:92" ht="14.25" hidden="1" customHeight="1" x14ac:dyDescent="0.2">
      <c r="A59" s="3"/>
      <c r="B59" s="3"/>
      <c r="C59" s="3"/>
      <c r="D59" s="230">
        <v>0.67</v>
      </c>
      <c r="E59" s="186">
        <v>15693.18</v>
      </c>
      <c r="F59" s="3"/>
      <c r="G59" s="230"/>
      <c r="H59" s="186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24"/>
      <c r="AH59" s="325"/>
      <c r="AI59" s="325"/>
      <c r="AJ59" s="325"/>
      <c r="AK59" s="325"/>
      <c r="AL59" s="325"/>
      <c r="AM59" s="325"/>
      <c r="AN59" s="325"/>
      <c r="AO59" s="325"/>
      <c r="AP59" s="325"/>
      <c r="AQ59" s="325"/>
      <c r="AR59" s="325"/>
      <c r="AS59" s="325"/>
      <c r="AT59" s="325"/>
      <c r="AU59" s="325"/>
      <c r="AV59" s="325"/>
      <c r="AW59" s="325"/>
      <c r="AX59" s="325"/>
      <c r="AY59" s="325"/>
      <c r="AZ59" s="325"/>
      <c r="BA59" s="325"/>
      <c r="BB59" s="325"/>
      <c r="BC59" s="325"/>
      <c r="BD59" s="325"/>
      <c r="BE59" s="325"/>
      <c r="BF59" s="325"/>
      <c r="BG59" s="325"/>
      <c r="BH59" s="325"/>
      <c r="BI59" s="325"/>
      <c r="BJ59" s="325"/>
      <c r="BK59" s="325"/>
      <c r="BL59" s="325"/>
      <c r="BM59" s="325"/>
      <c r="BN59" s="325"/>
      <c r="BO59" s="325"/>
      <c r="BP59" s="325"/>
      <c r="BQ59" s="325"/>
      <c r="BR59" s="325"/>
      <c r="BS59" s="325"/>
      <c r="BT59" s="325"/>
      <c r="BU59" s="325"/>
      <c r="BV59" s="325"/>
      <c r="BW59" s="325"/>
      <c r="BX59" s="325"/>
      <c r="BY59" s="325"/>
      <c r="BZ59" s="325"/>
      <c r="CA59" s="325"/>
      <c r="CB59" s="325"/>
      <c r="CC59" s="325"/>
      <c r="CD59" s="325"/>
      <c r="CE59" s="325"/>
      <c r="CF59" s="325"/>
      <c r="CG59" s="325"/>
      <c r="CH59" s="325"/>
      <c r="CI59" s="325"/>
      <c r="CJ59" s="325"/>
      <c r="CK59" s="325"/>
      <c r="CL59" s="325"/>
      <c r="CM59" s="325"/>
      <c r="CN59" s="325"/>
    </row>
    <row r="60" spans="1:92" ht="14.25" hidden="1" customHeight="1" x14ac:dyDescent="0.2">
      <c r="A60" s="3"/>
      <c r="B60" s="3"/>
      <c r="C60" s="3"/>
      <c r="D60" s="230">
        <v>0.68</v>
      </c>
      <c r="E60" s="186">
        <v>17060.96</v>
      </c>
      <c r="F60" s="3"/>
      <c r="G60" s="230"/>
      <c r="H60" s="186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24"/>
      <c r="AH60" s="325"/>
      <c r="AI60" s="325"/>
      <c r="AJ60" s="325"/>
      <c r="AK60" s="325"/>
      <c r="AL60" s="325"/>
      <c r="AM60" s="325"/>
      <c r="AN60" s="325"/>
      <c r="AO60" s="325"/>
      <c r="AP60" s="325"/>
      <c r="AQ60" s="325"/>
      <c r="AR60" s="325"/>
      <c r="AS60" s="325"/>
      <c r="AT60" s="325"/>
      <c r="AU60" s="325"/>
      <c r="AV60" s="325"/>
      <c r="AW60" s="325"/>
      <c r="AX60" s="325"/>
      <c r="AY60" s="325"/>
      <c r="AZ60" s="325"/>
      <c r="BA60" s="325"/>
      <c r="BB60" s="325"/>
      <c r="BC60" s="325"/>
      <c r="BD60" s="325"/>
      <c r="BE60" s="325"/>
      <c r="BF60" s="325"/>
      <c r="BG60" s="325"/>
      <c r="BH60" s="325"/>
      <c r="BI60" s="325"/>
      <c r="BJ60" s="325"/>
      <c r="BK60" s="325"/>
      <c r="BL60" s="325"/>
      <c r="BM60" s="325"/>
      <c r="BN60" s="325"/>
      <c r="BO60" s="325"/>
      <c r="BP60" s="325"/>
      <c r="BQ60" s="325"/>
      <c r="BR60" s="325"/>
      <c r="BS60" s="325"/>
      <c r="BT60" s="325"/>
      <c r="BU60" s="325"/>
      <c r="BV60" s="325"/>
      <c r="BW60" s="325"/>
      <c r="BX60" s="325"/>
      <c r="BY60" s="325"/>
      <c r="BZ60" s="325"/>
      <c r="CA60" s="325"/>
      <c r="CB60" s="325"/>
      <c r="CC60" s="325"/>
      <c r="CD60" s="325"/>
      <c r="CE60" s="325"/>
      <c r="CF60" s="325"/>
      <c r="CG60" s="325"/>
      <c r="CH60" s="325"/>
      <c r="CI60" s="325"/>
      <c r="CJ60" s="325"/>
      <c r="CK60" s="325"/>
      <c r="CL60" s="325"/>
      <c r="CM60" s="325"/>
      <c r="CN60" s="325"/>
    </row>
    <row r="61" spans="1:92" ht="14.25" hidden="1" customHeight="1" x14ac:dyDescent="0.2">
      <c r="A61" s="3"/>
      <c r="B61" s="3"/>
      <c r="C61" s="3"/>
      <c r="D61" s="230">
        <v>0.69</v>
      </c>
      <c r="E61" s="186">
        <v>18697.349999999999</v>
      </c>
      <c r="F61" s="3"/>
      <c r="G61" s="230"/>
      <c r="H61" s="186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24"/>
      <c r="AH61" s="325"/>
      <c r="AI61" s="325"/>
      <c r="AJ61" s="325"/>
      <c r="AK61" s="325"/>
      <c r="AL61" s="325"/>
      <c r="AM61" s="325"/>
      <c r="AN61" s="325"/>
      <c r="AO61" s="325"/>
      <c r="AP61" s="325"/>
      <c r="AQ61" s="325"/>
      <c r="AR61" s="325"/>
      <c r="AS61" s="325"/>
      <c r="AT61" s="325"/>
      <c r="AU61" s="325"/>
      <c r="AV61" s="325"/>
      <c r="AW61" s="325"/>
      <c r="AX61" s="325"/>
      <c r="AY61" s="325"/>
      <c r="AZ61" s="325"/>
      <c r="BA61" s="325"/>
      <c r="BB61" s="325"/>
      <c r="BC61" s="325"/>
      <c r="BD61" s="325"/>
      <c r="BE61" s="325"/>
      <c r="BF61" s="325"/>
      <c r="BG61" s="325"/>
      <c r="BH61" s="325"/>
      <c r="BI61" s="325"/>
      <c r="BJ61" s="325"/>
      <c r="BK61" s="325"/>
      <c r="BL61" s="325"/>
      <c r="BM61" s="325"/>
      <c r="BN61" s="325"/>
      <c r="BO61" s="325"/>
      <c r="BP61" s="325"/>
      <c r="BQ61" s="325"/>
      <c r="BR61" s="325"/>
      <c r="BS61" s="325"/>
      <c r="BT61" s="325"/>
      <c r="BU61" s="325"/>
      <c r="BV61" s="325"/>
      <c r="BW61" s="325"/>
      <c r="BX61" s="325"/>
      <c r="BY61" s="325"/>
      <c r="BZ61" s="325"/>
      <c r="CA61" s="325"/>
      <c r="CB61" s="325"/>
      <c r="CC61" s="325"/>
      <c r="CD61" s="325"/>
      <c r="CE61" s="325"/>
      <c r="CF61" s="325"/>
      <c r="CG61" s="325"/>
      <c r="CH61" s="325"/>
      <c r="CI61" s="325"/>
      <c r="CJ61" s="325"/>
      <c r="CK61" s="325"/>
      <c r="CL61" s="325"/>
      <c r="CM61" s="325"/>
      <c r="CN61" s="325"/>
    </row>
    <row r="62" spans="1:92" ht="14.25" hidden="1" customHeight="1" x14ac:dyDescent="0.2">
      <c r="A62" s="3"/>
      <c r="B62" s="3"/>
      <c r="C62" s="3"/>
      <c r="D62" s="230">
        <v>0.7</v>
      </c>
      <c r="E62" s="186">
        <v>20690</v>
      </c>
      <c r="F62" s="3"/>
      <c r="G62" s="230"/>
      <c r="H62" s="186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24"/>
      <c r="AH62" s="325"/>
      <c r="AI62" s="325"/>
      <c r="AJ62" s="325"/>
      <c r="AK62" s="325"/>
      <c r="AL62" s="325"/>
      <c r="AM62" s="325"/>
      <c r="AN62" s="325"/>
      <c r="AO62" s="325"/>
      <c r="AP62" s="325"/>
      <c r="AQ62" s="325"/>
      <c r="AR62" s="325"/>
      <c r="AS62" s="325"/>
      <c r="AT62" s="325"/>
      <c r="AU62" s="325"/>
      <c r="AV62" s="325"/>
      <c r="AW62" s="325"/>
      <c r="AX62" s="325"/>
      <c r="AY62" s="325"/>
      <c r="AZ62" s="325"/>
      <c r="BA62" s="325"/>
      <c r="BB62" s="325"/>
      <c r="BC62" s="325"/>
      <c r="BD62" s="325"/>
      <c r="BE62" s="325"/>
      <c r="BF62" s="325"/>
      <c r="BG62" s="325"/>
      <c r="BH62" s="325"/>
      <c r="BI62" s="325"/>
      <c r="BJ62" s="325"/>
      <c r="BK62" s="325"/>
      <c r="BL62" s="325"/>
      <c r="BM62" s="325"/>
      <c r="BN62" s="325"/>
      <c r="BO62" s="325"/>
      <c r="BP62" s="325"/>
      <c r="BQ62" s="325"/>
      <c r="BR62" s="325"/>
      <c r="BS62" s="325"/>
      <c r="BT62" s="325"/>
      <c r="BU62" s="325"/>
      <c r="BV62" s="325"/>
      <c r="BW62" s="325"/>
      <c r="BX62" s="325"/>
      <c r="BY62" s="325"/>
      <c r="BZ62" s="325"/>
      <c r="CA62" s="325"/>
      <c r="CB62" s="325"/>
      <c r="CC62" s="325"/>
      <c r="CD62" s="325"/>
      <c r="CE62" s="325"/>
      <c r="CF62" s="325"/>
      <c r="CG62" s="325"/>
      <c r="CH62" s="325"/>
      <c r="CI62" s="325"/>
      <c r="CJ62" s="325"/>
      <c r="CK62" s="325"/>
      <c r="CL62" s="325"/>
      <c r="CM62" s="325"/>
      <c r="CN62" s="325"/>
    </row>
    <row r="63" spans="1:92" ht="14.25" hidden="1" customHeight="1" x14ac:dyDescent="0.2">
      <c r="A63" s="3"/>
      <c r="B63" s="3"/>
      <c r="C63" s="3"/>
      <c r="D63" s="230">
        <v>0.71</v>
      </c>
      <c r="E63" s="186">
        <v>23169.42</v>
      </c>
      <c r="F63" s="3"/>
      <c r="G63" s="230"/>
      <c r="H63" s="186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24"/>
      <c r="AH63" s="325"/>
      <c r="AI63" s="325"/>
      <c r="AJ63" s="325"/>
      <c r="AK63" s="325"/>
      <c r="AL63" s="325"/>
      <c r="AM63" s="325"/>
      <c r="AN63" s="325"/>
      <c r="AO63" s="325"/>
      <c r="AP63" s="325"/>
      <c r="AQ63" s="325"/>
      <c r="AR63" s="325"/>
      <c r="AS63" s="325"/>
      <c r="AT63" s="325"/>
      <c r="AU63" s="325"/>
      <c r="AV63" s="325"/>
      <c r="AW63" s="325"/>
      <c r="AX63" s="325"/>
      <c r="AY63" s="325"/>
      <c r="AZ63" s="325"/>
      <c r="BA63" s="325"/>
      <c r="BB63" s="325"/>
      <c r="BC63" s="325"/>
      <c r="BD63" s="325"/>
      <c r="BE63" s="325"/>
      <c r="BF63" s="325"/>
      <c r="BG63" s="325"/>
      <c r="BH63" s="325"/>
      <c r="BI63" s="325"/>
      <c r="BJ63" s="325"/>
      <c r="BK63" s="325"/>
      <c r="BL63" s="325"/>
      <c r="BM63" s="325"/>
      <c r="BN63" s="325"/>
      <c r="BO63" s="325"/>
      <c r="BP63" s="325"/>
      <c r="BQ63" s="325"/>
      <c r="BR63" s="325"/>
      <c r="BS63" s="325"/>
      <c r="BT63" s="325"/>
      <c r="BU63" s="325"/>
      <c r="BV63" s="325"/>
      <c r="BW63" s="325"/>
      <c r="BX63" s="325"/>
      <c r="BY63" s="325"/>
      <c r="BZ63" s="325"/>
      <c r="CA63" s="325"/>
      <c r="CB63" s="325"/>
      <c r="CC63" s="325"/>
      <c r="CD63" s="325"/>
      <c r="CE63" s="325"/>
      <c r="CF63" s="325"/>
      <c r="CG63" s="325"/>
      <c r="CH63" s="325"/>
      <c r="CI63" s="325"/>
      <c r="CJ63" s="325"/>
      <c r="CK63" s="325"/>
      <c r="CL63" s="325"/>
      <c r="CM63" s="325"/>
      <c r="CN63" s="325"/>
    </row>
    <row r="64" spans="1:92" ht="14.25" hidden="1" customHeight="1" x14ac:dyDescent="0.2">
      <c r="A64" s="3"/>
      <c r="B64" s="3"/>
      <c r="C64" s="35"/>
      <c r="D64" s="230">
        <v>0.72</v>
      </c>
      <c r="E64" s="186">
        <v>26338.7</v>
      </c>
      <c r="F64" s="3"/>
      <c r="G64" s="230"/>
      <c r="H64" s="186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24"/>
      <c r="AH64" s="325"/>
      <c r="AI64" s="325"/>
      <c r="AJ64" s="325"/>
      <c r="AK64" s="325"/>
      <c r="AL64" s="325"/>
      <c r="AM64" s="325"/>
      <c r="AN64" s="325"/>
      <c r="AO64" s="325"/>
      <c r="AP64" s="325"/>
      <c r="AQ64" s="325"/>
      <c r="AR64" s="325"/>
      <c r="AS64" s="325"/>
      <c r="AT64" s="325"/>
      <c r="AU64" s="325"/>
      <c r="AV64" s="325"/>
      <c r="AW64" s="325"/>
      <c r="AX64" s="325"/>
      <c r="AY64" s="325"/>
      <c r="AZ64" s="325"/>
      <c r="BA64" s="325"/>
      <c r="BB64" s="325"/>
      <c r="BC64" s="325"/>
      <c r="BD64" s="325"/>
      <c r="BE64" s="325"/>
      <c r="BF64" s="325"/>
      <c r="BG64" s="325"/>
      <c r="BH64" s="325"/>
      <c r="BI64" s="325"/>
      <c r="BJ64" s="325"/>
      <c r="BK64" s="325"/>
      <c r="BL64" s="325"/>
      <c r="BM64" s="325"/>
      <c r="BN64" s="325"/>
      <c r="BO64" s="325"/>
      <c r="BP64" s="325"/>
      <c r="BQ64" s="325"/>
      <c r="BR64" s="325"/>
      <c r="BS64" s="325"/>
      <c r="BT64" s="325"/>
      <c r="BU64" s="325"/>
      <c r="BV64" s="325"/>
      <c r="BW64" s="325"/>
      <c r="BX64" s="325"/>
      <c r="BY64" s="325"/>
      <c r="BZ64" s="325"/>
      <c r="CA64" s="325"/>
      <c r="CB64" s="325"/>
      <c r="CC64" s="325"/>
      <c r="CD64" s="325"/>
      <c r="CE64" s="325"/>
      <c r="CF64" s="325"/>
      <c r="CG64" s="325"/>
      <c r="CH64" s="325"/>
      <c r="CI64" s="325"/>
      <c r="CJ64" s="325"/>
      <c r="CK64" s="325"/>
      <c r="CL64" s="325"/>
      <c r="CM64" s="325"/>
      <c r="CN64" s="325"/>
    </row>
    <row r="65" spans="1:92" ht="14.25" hidden="1" customHeight="1" x14ac:dyDescent="0.2">
      <c r="A65" s="3"/>
      <c r="B65" s="3"/>
      <c r="C65" s="3"/>
      <c r="D65" s="230">
        <v>0.73</v>
      </c>
      <c r="E65" s="186">
        <v>30532.13</v>
      </c>
      <c r="F65" s="3"/>
      <c r="G65" s="230"/>
      <c r="H65" s="186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24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325"/>
      <c r="AX65" s="325"/>
      <c r="AY65" s="325"/>
      <c r="AZ65" s="325"/>
      <c r="BA65" s="325"/>
      <c r="BB65" s="325"/>
      <c r="BC65" s="325"/>
      <c r="BD65" s="325"/>
      <c r="BE65" s="325"/>
      <c r="BF65" s="325"/>
      <c r="BG65" s="325"/>
      <c r="BH65" s="325"/>
      <c r="BI65" s="325"/>
      <c r="BJ65" s="325"/>
      <c r="BK65" s="325"/>
      <c r="BL65" s="325"/>
      <c r="BM65" s="325"/>
      <c r="BN65" s="325"/>
      <c r="BO65" s="325"/>
      <c r="BP65" s="325"/>
      <c r="BQ65" s="325"/>
      <c r="BR65" s="325"/>
      <c r="BS65" s="325"/>
      <c r="BT65" s="325"/>
      <c r="BU65" s="325"/>
      <c r="BV65" s="325"/>
      <c r="BW65" s="325"/>
      <c r="BX65" s="325"/>
      <c r="BY65" s="325"/>
      <c r="BZ65" s="325"/>
      <c r="CA65" s="325"/>
      <c r="CB65" s="325"/>
      <c r="CC65" s="325"/>
      <c r="CD65" s="325"/>
      <c r="CE65" s="325"/>
      <c r="CF65" s="325"/>
      <c r="CG65" s="325"/>
      <c r="CH65" s="325"/>
      <c r="CI65" s="325"/>
      <c r="CJ65" s="325"/>
      <c r="CK65" s="325"/>
      <c r="CL65" s="325"/>
      <c r="CM65" s="325"/>
      <c r="CN65" s="325"/>
    </row>
    <row r="66" spans="1:92" ht="14.25" hidden="1" customHeight="1" x14ac:dyDescent="0.2">
      <c r="A66" s="3"/>
      <c r="B66" s="3"/>
      <c r="C66" s="3"/>
      <c r="D66" s="230">
        <v>0.74</v>
      </c>
      <c r="E66" s="186">
        <v>36341.67</v>
      </c>
      <c r="F66" s="3"/>
      <c r="G66" s="230"/>
      <c r="H66" s="186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24"/>
      <c r="AH66" s="325"/>
      <c r="AI66" s="325"/>
      <c r="AJ66" s="325"/>
      <c r="AK66" s="325"/>
      <c r="AL66" s="325"/>
      <c r="AM66" s="325"/>
      <c r="AN66" s="325"/>
      <c r="AO66" s="325"/>
      <c r="AP66" s="325"/>
      <c r="AQ66" s="325"/>
      <c r="AR66" s="325"/>
      <c r="AS66" s="325"/>
      <c r="AT66" s="325"/>
      <c r="AU66" s="325"/>
      <c r="AV66" s="325"/>
      <c r="AW66" s="325"/>
      <c r="AX66" s="325"/>
      <c r="AY66" s="325"/>
      <c r="AZ66" s="325"/>
      <c r="BA66" s="325"/>
      <c r="BB66" s="325"/>
      <c r="BC66" s="325"/>
      <c r="BD66" s="325"/>
      <c r="BE66" s="325"/>
      <c r="BF66" s="325"/>
      <c r="BG66" s="325"/>
      <c r="BH66" s="325"/>
      <c r="BI66" s="325"/>
      <c r="BJ66" s="325"/>
      <c r="BK66" s="325"/>
      <c r="BL66" s="325"/>
      <c r="BM66" s="325"/>
      <c r="BN66" s="325"/>
      <c r="BO66" s="325"/>
      <c r="BP66" s="325"/>
      <c r="BQ66" s="325"/>
      <c r="BR66" s="325"/>
      <c r="BS66" s="325"/>
      <c r="BT66" s="325"/>
      <c r="BU66" s="325"/>
      <c r="BV66" s="325"/>
      <c r="BW66" s="325"/>
      <c r="BX66" s="325"/>
      <c r="BY66" s="325"/>
      <c r="BZ66" s="325"/>
      <c r="CA66" s="325"/>
      <c r="CB66" s="325"/>
      <c r="CC66" s="325"/>
      <c r="CD66" s="325"/>
      <c r="CE66" s="325"/>
      <c r="CF66" s="325"/>
      <c r="CG66" s="325"/>
      <c r="CH66" s="325"/>
      <c r="CI66" s="325"/>
      <c r="CJ66" s="325"/>
      <c r="CK66" s="325"/>
      <c r="CL66" s="325"/>
      <c r="CM66" s="325"/>
      <c r="CN66" s="325"/>
    </row>
    <row r="67" spans="1:92" ht="14.25" hidden="1" customHeight="1" x14ac:dyDescent="0.2">
      <c r="A67" s="3"/>
      <c r="B67" s="3"/>
      <c r="C67" s="3"/>
      <c r="D67" s="230">
        <v>0.75</v>
      </c>
      <c r="E67" s="186">
        <v>44924.28</v>
      </c>
      <c r="F67" s="3"/>
      <c r="G67" s="230"/>
      <c r="H67" s="186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24"/>
      <c r="AH67" s="325"/>
      <c r="AI67" s="325"/>
      <c r="AJ67" s="325"/>
      <c r="AK67" s="325"/>
      <c r="AL67" s="325"/>
      <c r="AM67" s="325"/>
      <c r="AN67" s="325"/>
      <c r="AO67" s="325"/>
      <c r="AP67" s="325"/>
      <c r="AQ67" s="325"/>
      <c r="AR67" s="325"/>
      <c r="AS67" s="325"/>
      <c r="AT67" s="325"/>
      <c r="AU67" s="325"/>
      <c r="AV67" s="325"/>
      <c r="AW67" s="325"/>
      <c r="AX67" s="325"/>
      <c r="AY67" s="325"/>
      <c r="AZ67" s="325"/>
      <c r="BA67" s="325"/>
      <c r="BB67" s="325"/>
      <c r="BC67" s="325"/>
      <c r="BD67" s="325"/>
      <c r="BE67" s="325"/>
      <c r="BF67" s="325"/>
      <c r="BG67" s="325"/>
      <c r="BH67" s="325"/>
      <c r="BI67" s="325"/>
      <c r="BJ67" s="325"/>
      <c r="BK67" s="325"/>
      <c r="BL67" s="325"/>
      <c r="BM67" s="325"/>
      <c r="BN67" s="325"/>
      <c r="BO67" s="325"/>
      <c r="BP67" s="325"/>
      <c r="BQ67" s="325"/>
      <c r="BR67" s="325"/>
      <c r="BS67" s="325"/>
      <c r="BT67" s="325"/>
      <c r="BU67" s="325"/>
      <c r="BV67" s="325"/>
      <c r="BW67" s="325"/>
      <c r="BX67" s="325"/>
      <c r="BY67" s="325"/>
      <c r="BZ67" s="325"/>
      <c r="CA67" s="325"/>
      <c r="CB67" s="325"/>
      <c r="CC67" s="325"/>
      <c r="CD67" s="325"/>
      <c r="CE67" s="325"/>
      <c r="CF67" s="325"/>
      <c r="CG67" s="325"/>
      <c r="CH67" s="325"/>
      <c r="CI67" s="325"/>
      <c r="CJ67" s="325"/>
      <c r="CK67" s="325"/>
      <c r="CL67" s="325"/>
      <c r="CM67" s="325"/>
      <c r="CN67" s="325"/>
    </row>
    <row r="68" spans="1:92" ht="14.25" hidden="1" customHeight="1" x14ac:dyDescent="0.2">
      <c r="A68" s="3"/>
      <c r="B68" s="3"/>
      <c r="C68" s="3"/>
      <c r="D68" s="230">
        <v>0.76</v>
      </c>
      <c r="E68" s="186">
        <v>58887.48</v>
      </c>
      <c r="F68" s="3"/>
      <c r="G68" s="230"/>
      <c r="H68" s="186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24"/>
      <c r="AH68" s="325"/>
      <c r="AI68" s="325"/>
      <c r="AJ68" s="325"/>
      <c r="AK68" s="325"/>
      <c r="AL68" s="325"/>
      <c r="AM68" s="325"/>
      <c r="AN68" s="325"/>
      <c r="AO68" s="325"/>
      <c r="AP68" s="325"/>
      <c r="AQ68" s="325"/>
      <c r="AR68" s="325"/>
      <c r="AS68" s="325"/>
      <c r="AT68" s="325"/>
      <c r="AU68" s="325"/>
      <c r="AV68" s="325"/>
      <c r="AW68" s="325"/>
      <c r="AX68" s="325"/>
      <c r="AY68" s="325"/>
      <c r="AZ68" s="325"/>
      <c r="BA68" s="325"/>
      <c r="BB68" s="325"/>
      <c r="BC68" s="325"/>
      <c r="BD68" s="325"/>
      <c r="BE68" s="325"/>
      <c r="BF68" s="325"/>
      <c r="BG68" s="325"/>
      <c r="BH68" s="325"/>
      <c r="BI68" s="325"/>
      <c r="BJ68" s="325"/>
      <c r="BK68" s="325"/>
      <c r="BL68" s="325"/>
      <c r="BM68" s="325"/>
      <c r="BN68" s="325"/>
      <c r="BO68" s="325"/>
      <c r="BP68" s="325"/>
      <c r="BQ68" s="325"/>
      <c r="BR68" s="325"/>
      <c r="BS68" s="325"/>
      <c r="BT68" s="325"/>
      <c r="BU68" s="325"/>
      <c r="BV68" s="325"/>
      <c r="BW68" s="325"/>
      <c r="BX68" s="325"/>
      <c r="BY68" s="325"/>
      <c r="BZ68" s="325"/>
      <c r="CA68" s="325"/>
      <c r="CB68" s="325"/>
      <c r="CC68" s="325"/>
      <c r="CD68" s="325"/>
      <c r="CE68" s="325"/>
      <c r="CF68" s="325"/>
      <c r="CG68" s="325"/>
      <c r="CH68" s="325"/>
      <c r="CI68" s="325"/>
      <c r="CJ68" s="325"/>
      <c r="CK68" s="325"/>
      <c r="CL68" s="325"/>
      <c r="CM68" s="325"/>
      <c r="CN68" s="325"/>
    </row>
    <row r="69" spans="1:92" ht="14.25" hidden="1" customHeight="1" x14ac:dyDescent="0.2">
      <c r="A69" s="3"/>
      <c r="B69" s="3"/>
      <c r="C69" s="3"/>
      <c r="D69" s="230">
        <v>0.77</v>
      </c>
      <c r="E69" s="186">
        <v>85600.25</v>
      </c>
      <c r="F69" s="3"/>
      <c r="G69" s="230"/>
      <c r="H69" s="186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24"/>
      <c r="AH69" s="325"/>
      <c r="AI69" s="325"/>
      <c r="AJ69" s="325"/>
      <c r="AK69" s="325"/>
      <c r="AL69" s="325"/>
      <c r="AM69" s="325"/>
      <c r="AN69" s="325"/>
      <c r="AO69" s="325"/>
      <c r="AP69" s="325"/>
      <c r="AQ69" s="325"/>
      <c r="AR69" s="325"/>
      <c r="AS69" s="325"/>
      <c r="AT69" s="325"/>
      <c r="AU69" s="325"/>
      <c r="AV69" s="325"/>
      <c r="AW69" s="325"/>
      <c r="AX69" s="325"/>
      <c r="AY69" s="325"/>
      <c r="AZ69" s="325"/>
      <c r="BA69" s="325"/>
      <c r="BB69" s="325"/>
      <c r="BC69" s="325"/>
      <c r="BD69" s="325"/>
      <c r="BE69" s="325"/>
      <c r="BF69" s="325"/>
      <c r="BG69" s="325"/>
      <c r="BH69" s="325"/>
      <c r="BI69" s="325"/>
      <c r="BJ69" s="325"/>
      <c r="BK69" s="325"/>
      <c r="BL69" s="325"/>
      <c r="BM69" s="325"/>
      <c r="BN69" s="325"/>
      <c r="BO69" s="325"/>
      <c r="BP69" s="325"/>
      <c r="BQ69" s="325"/>
      <c r="BR69" s="325"/>
      <c r="BS69" s="325"/>
      <c r="BT69" s="325"/>
      <c r="BU69" s="325"/>
      <c r="BV69" s="325"/>
      <c r="BW69" s="325"/>
      <c r="BX69" s="325"/>
      <c r="BY69" s="325"/>
      <c r="BZ69" s="325"/>
      <c r="CA69" s="325"/>
      <c r="CB69" s="325"/>
      <c r="CC69" s="325"/>
      <c r="CD69" s="325"/>
      <c r="CE69" s="325"/>
      <c r="CF69" s="325"/>
      <c r="CG69" s="325"/>
      <c r="CH69" s="325"/>
      <c r="CI69" s="325"/>
      <c r="CJ69" s="325"/>
      <c r="CK69" s="325"/>
      <c r="CL69" s="325"/>
      <c r="CM69" s="325"/>
      <c r="CN69" s="325"/>
    </row>
    <row r="70" spans="1:92" ht="14.25" hidden="1" customHeight="1" x14ac:dyDescent="0.2">
      <c r="A70" s="3"/>
      <c r="B70" s="3"/>
      <c r="C70" s="3"/>
      <c r="D70" s="230">
        <v>0.78</v>
      </c>
      <c r="E70" s="186">
        <v>157190.89000000001</v>
      </c>
      <c r="F70" s="3"/>
      <c r="G70" s="230"/>
      <c r="H70" s="186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24"/>
      <c r="AH70" s="325"/>
      <c r="AI70" s="325"/>
      <c r="AJ70" s="325"/>
      <c r="AK70" s="325"/>
      <c r="AL70" s="325"/>
      <c r="AM70" s="325"/>
      <c r="AN70" s="325"/>
      <c r="AO70" s="325"/>
      <c r="AP70" s="325"/>
      <c r="AQ70" s="325"/>
      <c r="AR70" s="325"/>
      <c r="AS70" s="325"/>
      <c r="AT70" s="325"/>
      <c r="AU70" s="325"/>
      <c r="AV70" s="325"/>
      <c r="AW70" s="325"/>
      <c r="AX70" s="325"/>
      <c r="AY70" s="325"/>
      <c r="AZ70" s="325"/>
      <c r="BA70" s="325"/>
      <c r="BB70" s="325"/>
      <c r="BC70" s="325"/>
      <c r="BD70" s="325"/>
      <c r="BE70" s="325"/>
      <c r="BF70" s="325"/>
      <c r="BG70" s="325"/>
      <c r="BH70" s="325"/>
      <c r="BI70" s="325"/>
      <c r="BJ70" s="325"/>
      <c r="BK70" s="325"/>
      <c r="BL70" s="325"/>
      <c r="BM70" s="325"/>
      <c r="BN70" s="325"/>
      <c r="BO70" s="325"/>
      <c r="BP70" s="325"/>
      <c r="BQ70" s="325"/>
      <c r="BR70" s="325"/>
      <c r="BS70" s="325"/>
      <c r="BT70" s="325"/>
      <c r="BU70" s="325"/>
      <c r="BV70" s="325"/>
      <c r="BW70" s="325"/>
      <c r="BX70" s="325"/>
      <c r="BY70" s="325"/>
      <c r="BZ70" s="325"/>
      <c r="CA70" s="325"/>
      <c r="CB70" s="325"/>
      <c r="CC70" s="325"/>
      <c r="CD70" s="325"/>
      <c r="CE70" s="325"/>
      <c r="CF70" s="325"/>
      <c r="CG70" s="325"/>
      <c r="CH70" s="325"/>
      <c r="CI70" s="325"/>
      <c r="CJ70" s="325"/>
      <c r="CK70" s="325"/>
      <c r="CL70" s="325"/>
      <c r="CM70" s="325"/>
      <c r="CN70" s="325"/>
    </row>
    <row r="71" spans="1:92" ht="14.25" hidden="1" customHeight="1" x14ac:dyDescent="0.2">
      <c r="A71" s="3"/>
      <c r="B71" s="3"/>
      <c r="C71" s="3"/>
      <c r="D71" s="230">
        <v>0.79</v>
      </c>
      <c r="E71" s="186">
        <v>980407.11</v>
      </c>
      <c r="F71" s="3"/>
      <c r="G71" s="230"/>
      <c r="H71" s="186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24"/>
      <c r="AH71" s="325"/>
      <c r="AI71" s="325"/>
      <c r="AJ71" s="325"/>
      <c r="AK71" s="325"/>
      <c r="AL71" s="325"/>
      <c r="AM71" s="325"/>
      <c r="AN71" s="325"/>
      <c r="AO71" s="325"/>
      <c r="AP71" s="325"/>
      <c r="AQ71" s="325"/>
      <c r="AR71" s="325"/>
      <c r="AS71" s="325"/>
      <c r="AT71" s="325"/>
      <c r="AU71" s="325"/>
      <c r="AV71" s="325"/>
      <c r="AW71" s="325"/>
      <c r="AX71" s="325"/>
      <c r="AY71" s="325"/>
      <c r="AZ71" s="325"/>
      <c r="BA71" s="325"/>
      <c r="BB71" s="325"/>
      <c r="BC71" s="325"/>
      <c r="BD71" s="325"/>
      <c r="BE71" s="325"/>
      <c r="BF71" s="325"/>
      <c r="BG71" s="325"/>
      <c r="BH71" s="325"/>
      <c r="BI71" s="325"/>
      <c r="BJ71" s="325"/>
      <c r="BK71" s="325"/>
      <c r="BL71" s="325"/>
      <c r="BM71" s="325"/>
      <c r="BN71" s="325"/>
      <c r="BO71" s="325"/>
      <c r="BP71" s="325"/>
      <c r="BQ71" s="325"/>
      <c r="BR71" s="325"/>
      <c r="BS71" s="325"/>
      <c r="BT71" s="325"/>
      <c r="BU71" s="325"/>
      <c r="BV71" s="325"/>
      <c r="BW71" s="325"/>
      <c r="BX71" s="325"/>
      <c r="BY71" s="325"/>
      <c r="BZ71" s="325"/>
      <c r="CA71" s="325"/>
      <c r="CB71" s="325"/>
      <c r="CC71" s="325"/>
      <c r="CD71" s="325"/>
      <c r="CE71" s="325"/>
      <c r="CF71" s="325"/>
      <c r="CG71" s="325"/>
      <c r="CH71" s="325"/>
      <c r="CI71" s="325"/>
      <c r="CJ71" s="325"/>
      <c r="CK71" s="325"/>
      <c r="CL71" s="325"/>
      <c r="CM71" s="325"/>
      <c r="CN71" s="325"/>
    </row>
    <row r="72" spans="1:92" ht="14.25" hidden="1" customHeight="1" x14ac:dyDescent="0.2">
      <c r="A72" s="3"/>
      <c r="B72" s="3"/>
      <c r="C72" s="3"/>
      <c r="D72" s="52">
        <v>0.8</v>
      </c>
      <c r="E72" s="231">
        <v>-230260.23</v>
      </c>
      <c r="F72" s="3"/>
      <c r="G72" s="52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24"/>
      <c r="AH72" s="325"/>
      <c r="AI72" s="325"/>
      <c r="AJ72" s="325"/>
      <c r="AK72" s="325"/>
      <c r="AL72" s="325"/>
      <c r="AM72" s="325"/>
      <c r="AN72" s="325"/>
      <c r="AO72" s="325"/>
      <c r="AP72" s="325"/>
      <c r="AQ72" s="325"/>
      <c r="AR72" s="325"/>
      <c r="AS72" s="325"/>
      <c r="AT72" s="325"/>
      <c r="AU72" s="325"/>
      <c r="AV72" s="325"/>
      <c r="AW72" s="325"/>
      <c r="AX72" s="325"/>
      <c r="AY72" s="325"/>
      <c r="AZ72" s="325"/>
      <c r="BA72" s="325"/>
      <c r="BB72" s="325"/>
      <c r="BC72" s="325"/>
      <c r="BD72" s="325"/>
      <c r="BE72" s="325"/>
      <c r="BF72" s="325"/>
      <c r="BG72" s="325"/>
      <c r="BH72" s="325"/>
      <c r="BI72" s="325"/>
      <c r="BJ72" s="325"/>
      <c r="BK72" s="325"/>
      <c r="BL72" s="325"/>
      <c r="BM72" s="325"/>
      <c r="BN72" s="325"/>
      <c r="BO72" s="325"/>
      <c r="BP72" s="325"/>
      <c r="BQ72" s="325"/>
      <c r="BR72" s="325"/>
      <c r="BS72" s="325"/>
      <c r="BT72" s="325"/>
      <c r="BU72" s="325"/>
      <c r="BV72" s="325"/>
      <c r="BW72" s="325"/>
      <c r="BX72" s="325"/>
      <c r="BY72" s="325"/>
      <c r="BZ72" s="325"/>
      <c r="CA72" s="325"/>
      <c r="CB72" s="325"/>
      <c r="CC72" s="325"/>
      <c r="CD72" s="325"/>
      <c r="CE72" s="325"/>
      <c r="CF72" s="325"/>
      <c r="CG72" s="325"/>
      <c r="CH72" s="325"/>
      <c r="CI72" s="325"/>
      <c r="CJ72" s="325"/>
      <c r="CK72" s="325"/>
      <c r="CL72" s="325"/>
      <c r="CM72" s="325"/>
      <c r="CN72" s="325"/>
    </row>
    <row r="73" spans="1:92" ht="14.25" hidden="1" customHeight="1" x14ac:dyDescent="0.2">
      <c r="A73" s="3"/>
      <c r="B73" s="3"/>
      <c r="C73" s="3"/>
      <c r="D73" s="52">
        <v>0.81</v>
      </c>
      <c r="E73" s="231">
        <v>-102806.63</v>
      </c>
      <c r="F73" s="3"/>
      <c r="G73" s="52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24"/>
      <c r="AH73" s="325"/>
      <c r="AI73" s="325"/>
      <c r="AJ73" s="325"/>
      <c r="AK73" s="325"/>
      <c r="AL73" s="325"/>
      <c r="AM73" s="325"/>
      <c r="AN73" s="325"/>
      <c r="AO73" s="325"/>
      <c r="AP73" s="325"/>
      <c r="AQ73" s="325"/>
      <c r="AR73" s="325"/>
      <c r="AS73" s="325"/>
      <c r="AT73" s="325"/>
      <c r="AU73" s="325"/>
      <c r="AV73" s="325"/>
      <c r="AW73" s="325"/>
      <c r="AX73" s="325"/>
      <c r="AY73" s="325"/>
      <c r="AZ73" s="325"/>
      <c r="BA73" s="325"/>
      <c r="BB73" s="325"/>
      <c r="BC73" s="325"/>
      <c r="BD73" s="325"/>
      <c r="BE73" s="325"/>
      <c r="BF73" s="325"/>
      <c r="BG73" s="325"/>
      <c r="BH73" s="325"/>
      <c r="BI73" s="325"/>
      <c r="BJ73" s="325"/>
      <c r="BK73" s="325"/>
      <c r="BL73" s="325"/>
      <c r="BM73" s="325"/>
      <c r="BN73" s="325"/>
      <c r="BO73" s="325"/>
      <c r="BP73" s="325"/>
      <c r="BQ73" s="325"/>
      <c r="BR73" s="325"/>
      <c r="BS73" s="325"/>
      <c r="BT73" s="325"/>
      <c r="BU73" s="325"/>
      <c r="BV73" s="325"/>
      <c r="BW73" s="325"/>
      <c r="BX73" s="325"/>
      <c r="BY73" s="325"/>
      <c r="BZ73" s="325"/>
      <c r="CA73" s="325"/>
      <c r="CB73" s="325"/>
      <c r="CC73" s="325"/>
      <c r="CD73" s="325"/>
      <c r="CE73" s="325"/>
      <c r="CF73" s="325"/>
      <c r="CG73" s="325"/>
      <c r="CH73" s="325"/>
      <c r="CI73" s="325"/>
      <c r="CJ73" s="325"/>
      <c r="CK73" s="325"/>
      <c r="CL73" s="325"/>
      <c r="CM73" s="325"/>
      <c r="CN73" s="325"/>
    </row>
    <row r="74" spans="1:92" ht="14.25" hidden="1" customHeight="1" x14ac:dyDescent="0.2">
      <c r="A74" s="3"/>
      <c r="B74" s="3"/>
      <c r="C74" s="3"/>
      <c r="D74" s="52">
        <v>0.82</v>
      </c>
      <c r="E74" s="231">
        <v>-66083.92</v>
      </c>
      <c r="F74" s="3"/>
      <c r="G74" s="52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24"/>
      <c r="AH74" s="325"/>
      <c r="AI74" s="325"/>
      <c r="AJ74" s="325"/>
      <c r="AK74" s="325"/>
      <c r="AL74" s="325"/>
      <c r="AM74" s="325"/>
      <c r="AN74" s="325"/>
      <c r="AO74" s="325"/>
      <c r="AP74" s="325"/>
      <c r="AQ74" s="325"/>
      <c r="AR74" s="325"/>
      <c r="AS74" s="325"/>
      <c r="AT74" s="325"/>
      <c r="AU74" s="325"/>
      <c r="AV74" s="325"/>
      <c r="AW74" s="325"/>
      <c r="AX74" s="325"/>
      <c r="AY74" s="325"/>
      <c r="AZ74" s="325"/>
      <c r="BA74" s="325"/>
      <c r="BB74" s="325"/>
      <c r="BC74" s="325"/>
      <c r="BD74" s="325"/>
      <c r="BE74" s="325"/>
      <c r="BF74" s="325"/>
      <c r="BG74" s="325"/>
      <c r="BH74" s="325"/>
      <c r="BI74" s="325"/>
      <c r="BJ74" s="325"/>
      <c r="BK74" s="325"/>
      <c r="BL74" s="325"/>
      <c r="BM74" s="325"/>
      <c r="BN74" s="325"/>
      <c r="BO74" s="325"/>
      <c r="BP74" s="325"/>
      <c r="BQ74" s="325"/>
      <c r="BR74" s="325"/>
      <c r="BS74" s="325"/>
      <c r="BT74" s="325"/>
      <c r="BU74" s="325"/>
      <c r="BV74" s="325"/>
      <c r="BW74" s="325"/>
      <c r="BX74" s="325"/>
      <c r="BY74" s="325"/>
      <c r="BZ74" s="325"/>
      <c r="CA74" s="325"/>
      <c r="CB74" s="325"/>
      <c r="CC74" s="325"/>
      <c r="CD74" s="325"/>
      <c r="CE74" s="325"/>
      <c r="CF74" s="325"/>
      <c r="CG74" s="325"/>
      <c r="CH74" s="325"/>
      <c r="CI74" s="325"/>
      <c r="CJ74" s="325"/>
      <c r="CK74" s="325"/>
      <c r="CL74" s="325"/>
      <c r="CM74" s="325"/>
      <c r="CN74" s="325"/>
    </row>
    <row r="75" spans="1:92" ht="14.25" hidden="1" customHeight="1" x14ac:dyDescent="0.2">
      <c r="A75" s="3"/>
      <c r="B75" s="3"/>
      <c r="C75" s="3"/>
      <c r="D75" s="52">
        <v>0.83</v>
      </c>
      <c r="E75" s="231">
        <v>-48641.11</v>
      </c>
      <c r="F75" s="3"/>
      <c r="G75" s="52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24"/>
      <c r="AH75" s="325"/>
      <c r="AI75" s="325"/>
      <c r="AJ75" s="325"/>
      <c r="AK75" s="325"/>
      <c r="AL75" s="325"/>
      <c r="AM75" s="325"/>
      <c r="AN75" s="325"/>
      <c r="AO75" s="325"/>
      <c r="AP75" s="325"/>
      <c r="AQ75" s="325"/>
      <c r="AR75" s="325"/>
      <c r="AS75" s="325"/>
      <c r="AT75" s="325"/>
      <c r="AU75" s="325"/>
      <c r="AV75" s="325"/>
      <c r="AW75" s="325"/>
      <c r="AX75" s="325"/>
      <c r="AY75" s="325"/>
      <c r="AZ75" s="325"/>
      <c r="BA75" s="325"/>
      <c r="BB75" s="325"/>
      <c r="BC75" s="325"/>
      <c r="BD75" s="325"/>
      <c r="BE75" s="325"/>
      <c r="BF75" s="325"/>
      <c r="BG75" s="325"/>
      <c r="BH75" s="325"/>
      <c r="BI75" s="325"/>
      <c r="BJ75" s="325"/>
      <c r="BK75" s="325"/>
      <c r="BL75" s="325"/>
      <c r="BM75" s="325"/>
      <c r="BN75" s="325"/>
      <c r="BO75" s="325"/>
      <c r="BP75" s="325"/>
      <c r="BQ75" s="325"/>
      <c r="BR75" s="325"/>
      <c r="BS75" s="325"/>
      <c r="BT75" s="325"/>
      <c r="BU75" s="325"/>
      <c r="BV75" s="325"/>
      <c r="BW75" s="325"/>
      <c r="BX75" s="325"/>
      <c r="BY75" s="325"/>
      <c r="BZ75" s="325"/>
      <c r="CA75" s="325"/>
      <c r="CB75" s="325"/>
      <c r="CC75" s="325"/>
      <c r="CD75" s="325"/>
      <c r="CE75" s="325"/>
      <c r="CF75" s="325"/>
      <c r="CG75" s="325"/>
      <c r="CH75" s="325"/>
      <c r="CI75" s="325"/>
      <c r="CJ75" s="325"/>
      <c r="CK75" s="325"/>
      <c r="CL75" s="325"/>
      <c r="CM75" s="325"/>
      <c r="CN75" s="325"/>
    </row>
    <row r="76" spans="1:92" ht="14.25" hidden="1" customHeight="1" x14ac:dyDescent="0.2">
      <c r="A76" s="3"/>
      <c r="B76" s="3"/>
      <c r="C76" s="3"/>
      <c r="D76" s="52">
        <v>0.84</v>
      </c>
      <c r="E76" s="231">
        <v>-38452.080000000002</v>
      </c>
      <c r="F76" s="3"/>
      <c r="G76" s="52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24"/>
      <c r="AH76" s="325"/>
      <c r="AI76" s="325"/>
      <c r="AJ76" s="325"/>
      <c r="AK76" s="325"/>
      <c r="AL76" s="325"/>
      <c r="AM76" s="325"/>
      <c r="AN76" s="325"/>
      <c r="AO76" s="325"/>
      <c r="AP76" s="325"/>
      <c r="AQ76" s="325"/>
      <c r="AR76" s="325"/>
      <c r="AS76" s="325"/>
      <c r="AT76" s="325"/>
      <c r="AU76" s="325"/>
      <c r="AV76" s="325"/>
      <c r="AW76" s="325"/>
      <c r="AX76" s="325"/>
      <c r="AY76" s="325"/>
      <c r="AZ76" s="325"/>
      <c r="BA76" s="325"/>
      <c r="BB76" s="325"/>
      <c r="BC76" s="325"/>
      <c r="BD76" s="325"/>
      <c r="BE76" s="325"/>
      <c r="BF76" s="325"/>
      <c r="BG76" s="325"/>
      <c r="BH76" s="325"/>
      <c r="BI76" s="325"/>
      <c r="BJ76" s="325"/>
      <c r="BK76" s="325"/>
      <c r="BL76" s="325"/>
      <c r="BM76" s="325"/>
      <c r="BN76" s="325"/>
      <c r="BO76" s="325"/>
      <c r="BP76" s="325"/>
      <c r="BQ76" s="325"/>
      <c r="BR76" s="325"/>
      <c r="BS76" s="325"/>
      <c r="BT76" s="325"/>
      <c r="BU76" s="325"/>
      <c r="BV76" s="325"/>
      <c r="BW76" s="325"/>
      <c r="BX76" s="325"/>
      <c r="BY76" s="325"/>
      <c r="BZ76" s="325"/>
      <c r="CA76" s="325"/>
      <c r="CB76" s="325"/>
      <c r="CC76" s="325"/>
      <c r="CD76" s="325"/>
      <c r="CE76" s="325"/>
      <c r="CF76" s="325"/>
      <c r="CG76" s="325"/>
      <c r="CH76" s="325"/>
      <c r="CI76" s="325"/>
      <c r="CJ76" s="325"/>
      <c r="CK76" s="325"/>
      <c r="CL76" s="325"/>
      <c r="CM76" s="325"/>
      <c r="CN76" s="325"/>
    </row>
    <row r="77" spans="1:92" ht="14.25" hidden="1" customHeight="1" x14ac:dyDescent="0.2">
      <c r="A77" s="3"/>
      <c r="B77" s="3"/>
      <c r="C77" s="3"/>
      <c r="D77" s="52">
        <v>0.85</v>
      </c>
      <c r="E77" s="231">
        <v>-31771</v>
      </c>
      <c r="F77" s="3"/>
      <c r="G77" s="52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24"/>
      <c r="AH77" s="325"/>
      <c r="AI77" s="325"/>
      <c r="AJ77" s="325"/>
      <c r="AK77" s="325"/>
      <c r="AL77" s="325"/>
      <c r="AM77" s="325"/>
      <c r="AN77" s="325"/>
      <c r="AO77" s="325"/>
      <c r="AP77" s="325"/>
      <c r="AQ77" s="325"/>
      <c r="AR77" s="325"/>
      <c r="AS77" s="325"/>
      <c r="AT77" s="325"/>
      <c r="AU77" s="325"/>
      <c r="AV77" s="325"/>
      <c r="AW77" s="325"/>
      <c r="AX77" s="325"/>
      <c r="AY77" s="325"/>
      <c r="AZ77" s="325"/>
      <c r="BA77" s="325"/>
      <c r="BB77" s="325"/>
      <c r="BC77" s="325"/>
      <c r="BD77" s="325"/>
      <c r="BE77" s="325"/>
      <c r="BF77" s="325"/>
      <c r="BG77" s="325"/>
      <c r="BH77" s="325"/>
      <c r="BI77" s="325"/>
      <c r="BJ77" s="325"/>
      <c r="BK77" s="325"/>
      <c r="BL77" s="325"/>
      <c r="BM77" s="325"/>
      <c r="BN77" s="325"/>
      <c r="BO77" s="325"/>
      <c r="BP77" s="325"/>
      <c r="BQ77" s="325"/>
      <c r="BR77" s="325"/>
      <c r="BS77" s="325"/>
      <c r="BT77" s="325"/>
      <c r="BU77" s="325"/>
      <c r="BV77" s="325"/>
      <c r="BW77" s="325"/>
      <c r="BX77" s="325"/>
      <c r="BY77" s="325"/>
      <c r="BZ77" s="325"/>
      <c r="CA77" s="325"/>
      <c r="CB77" s="325"/>
      <c r="CC77" s="325"/>
      <c r="CD77" s="325"/>
      <c r="CE77" s="325"/>
      <c r="CF77" s="325"/>
      <c r="CG77" s="325"/>
      <c r="CH77" s="325"/>
      <c r="CI77" s="325"/>
      <c r="CJ77" s="325"/>
      <c r="CK77" s="325"/>
      <c r="CL77" s="325"/>
      <c r="CM77" s="325"/>
      <c r="CN77" s="325"/>
    </row>
    <row r="78" spans="1:92" ht="14.25" hidden="1" customHeight="1" x14ac:dyDescent="0.2">
      <c r="A78" s="3"/>
      <c r="B78" s="3"/>
      <c r="C78" s="3"/>
      <c r="D78" s="52">
        <v>0.86</v>
      </c>
      <c r="E78" s="231">
        <v>-27052.42</v>
      </c>
      <c r="F78" s="3"/>
      <c r="G78" s="52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24"/>
      <c r="AH78" s="325"/>
      <c r="AI78" s="325"/>
      <c r="AJ78" s="325"/>
      <c r="AK78" s="325"/>
      <c r="AL78" s="325"/>
      <c r="AM78" s="325"/>
      <c r="AN78" s="325"/>
      <c r="AO78" s="325"/>
      <c r="AP78" s="325"/>
      <c r="AQ78" s="325"/>
      <c r="AR78" s="325"/>
      <c r="AS78" s="325"/>
      <c r="AT78" s="325"/>
      <c r="AU78" s="325"/>
      <c r="AV78" s="325"/>
      <c r="AW78" s="325"/>
      <c r="AX78" s="325"/>
      <c r="AY78" s="325"/>
      <c r="AZ78" s="325"/>
      <c r="BA78" s="325"/>
      <c r="BB78" s="325"/>
      <c r="BC78" s="325"/>
      <c r="BD78" s="325"/>
      <c r="BE78" s="325"/>
      <c r="BF78" s="325"/>
      <c r="BG78" s="325"/>
      <c r="BH78" s="325"/>
      <c r="BI78" s="325"/>
      <c r="BJ78" s="325"/>
      <c r="BK78" s="325"/>
      <c r="BL78" s="325"/>
      <c r="BM78" s="325"/>
      <c r="BN78" s="325"/>
      <c r="BO78" s="325"/>
      <c r="BP78" s="325"/>
      <c r="BQ78" s="325"/>
      <c r="BR78" s="325"/>
      <c r="BS78" s="325"/>
      <c r="BT78" s="325"/>
      <c r="BU78" s="325"/>
      <c r="BV78" s="325"/>
      <c r="BW78" s="325"/>
      <c r="BX78" s="325"/>
      <c r="BY78" s="325"/>
      <c r="BZ78" s="325"/>
      <c r="CA78" s="325"/>
      <c r="CB78" s="325"/>
      <c r="CC78" s="325"/>
      <c r="CD78" s="325"/>
      <c r="CE78" s="325"/>
      <c r="CF78" s="325"/>
      <c r="CG78" s="325"/>
      <c r="CH78" s="325"/>
      <c r="CI78" s="325"/>
      <c r="CJ78" s="325"/>
      <c r="CK78" s="325"/>
      <c r="CL78" s="325"/>
      <c r="CM78" s="325"/>
      <c r="CN78" s="325"/>
    </row>
    <row r="79" spans="1:92" ht="14.25" hidden="1" customHeight="1" x14ac:dyDescent="0.2">
      <c r="A79" s="3"/>
      <c r="B79" s="3"/>
      <c r="C79" s="3"/>
      <c r="D79" s="52">
        <v>0.87</v>
      </c>
      <c r="E79" s="231">
        <v>-23542.43</v>
      </c>
      <c r="F79" s="3"/>
      <c r="G79" s="52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24"/>
      <c r="AH79" s="325"/>
      <c r="AI79" s="325"/>
      <c r="AJ79" s="325"/>
      <c r="AK79" s="325"/>
      <c r="AL79" s="325"/>
      <c r="AM79" s="325"/>
      <c r="AN79" s="325"/>
      <c r="AO79" s="325"/>
      <c r="AP79" s="325"/>
      <c r="AQ79" s="325"/>
      <c r="AR79" s="325"/>
      <c r="AS79" s="325"/>
      <c r="AT79" s="325"/>
      <c r="AU79" s="325"/>
      <c r="AV79" s="325"/>
      <c r="AW79" s="325"/>
      <c r="AX79" s="325"/>
      <c r="AY79" s="325"/>
      <c r="AZ79" s="325"/>
      <c r="BA79" s="325"/>
      <c r="BB79" s="325"/>
      <c r="BC79" s="325"/>
      <c r="BD79" s="325"/>
      <c r="BE79" s="325"/>
      <c r="BF79" s="325"/>
      <c r="BG79" s="325"/>
      <c r="BH79" s="325"/>
      <c r="BI79" s="325"/>
      <c r="BJ79" s="325"/>
      <c r="BK79" s="325"/>
      <c r="BL79" s="325"/>
      <c r="BM79" s="325"/>
      <c r="BN79" s="325"/>
      <c r="BO79" s="325"/>
      <c r="BP79" s="325"/>
      <c r="BQ79" s="325"/>
      <c r="BR79" s="325"/>
      <c r="BS79" s="325"/>
      <c r="BT79" s="325"/>
      <c r="BU79" s="325"/>
      <c r="BV79" s="325"/>
      <c r="BW79" s="325"/>
      <c r="BX79" s="325"/>
      <c r="BY79" s="325"/>
      <c r="BZ79" s="325"/>
      <c r="CA79" s="325"/>
      <c r="CB79" s="325"/>
      <c r="CC79" s="325"/>
      <c r="CD79" s="325"/>
      <c r="CE79" s="325"/>
      <c r="CF79" s="325"/>
      <c r="CG79" s="325"/>
      <c r="CH79" s="325"/>
      <c r="CI79" s="325"/>
      <c r="CJ79" s="325"/>
      <c r="CK79" s="325"/>
      <c r="CL79" s="325"/>
      <c r="CM79" s="325"/>
      <c r="CN79" s="325"/>
    </row>
    <row r="80" spans="1:92" ht="14.25" hidden="1" customHeight="1" x14ac:dyDescent="0.2">
      <c r="A80" s="3"/>
      <c r="B80" s="3"/>
      <c r="C80" s="3"/>
      <c r="D80" s="90">
        <v>0.88</v>
      </c>
      <c r="E80" s="186">
        <v>-20829.46</v>
      </c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24"/>
      <c r="AH80" s="325"/>
      <c r="AI80" s="325"/>
      <c r="AJ80" s="325"/>
      <c r="AK80" s="325"/>
      <c r="AL80" s="325"/>
      <c r="AM80" s="325"/>
      <c r="AN80" s="325"/>
      <c r="AO80" s="325"/>
      <c r="AP80" s="325"/>
      <c r="AQ80" s="325"/>
      <c r="AR80" s="325"/>
      <c r="AS80" s="325"/>
      <c r="AT80" s="325"/>
      <c r="AU80" s="325"/>
      <c r="AV80" s="325"/>
      <c r="AW80" s="325"/>
      <c r="AX80" s="325"/>
      <c r="AY80" s="325"/>
      <c r="AZ80" s="325"/>
      <c r="BA80" s="325"/>
      <c r="BB80" s="325"/>
      <c r="BC80" s="325"/>
      <c r="BD80" s="325"/>
      <c r="BE80" s="325"/>
      <c r="BF80" s="325"/>
      <c r="BG80" s="325"/>
      <c r="BH80" s="325"/>
      <c r="BI80" s="325"/>
      <c r="BJ80" s="325"/>
      <c r="BK80" s="325"/>
      <c r="BL80" s="325"/>
      <c r="BM80" s="325"/>
      <c r="BN80" s="325"/>
      <c r="BO80" s="325"/>
      <c r="BP80" s="325"/>
      <c r="BQ80" s="325"/>
      <c r="BR80" s="325"/>
      <c r="BS80" s="325"/>
      <c r="BT80" s="325"/>
      <c r="BU80" s="325"/>
      <c r="BV80" s="325"/>
      <c r="BW80" s="325"/>
      <c r="BX80" s="325"/>
      <c r="BY80" s="325"/>
      <c r="BZ80" s="325"/>
      <c r="CA80" s="325"/>
      <c r="CB80" s="325"/>
      <c r="CC80" s="325"/>
      <c r="CD80" s="325"/>
      <c r="CE80" s="325"/>
      <c r="CF80" s="325"/>
      <c r="CG80" s="325"/>
      <c r="CH80" s="325"/>
      <c r="CI80" s="325"/>
      <c r="CJ80" s="325"/>
      <c r="CK80" s="325"/>
      <c r="CL80" s="325"/>
      <c r="CM80" s="325"/>
      <c r="CN80" s="325"/>
    </row>
    <row r="81" spans="1:92" ht="14.25" hidden="1" customHeight="1" x14ac:dyDescent="0.2">
      <c r="A81" s="3"/>
      <c r="B81" s="3"/>
      <c r="C81" s="3"/>
      <c r="D81" s="90"/>
      <c r="E81" s="18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24"/>
      <c r="AH81" s="325"/>
      <c r="AI81" s="325"/>
      <c r="AJ81" s="325"/>
      <c r="AK81" s="325"/>
      <c r="AL81" s="325"/>
      <c r="AM81" s="325"/>
      <c r="AN81" s="325"/>
      <c r="AO81" s="325"/>
      <c r="AP81" s="325"/>
      <c r="AQ81" s="325"/>
      <c r="AR81" s="325"/>
      <c r="AS81" s="325"/>
      <c r="AT81" s="325"/>
      <c r="AU81" s="325"/>
      <c r="AV81" s="325"/>
      <c r="AW81" s="325"/>
      <c r="AX81" s="325"/>
      <c r="AY81" s="325"/>
      <c r="AZ81" s="325"/>
      <c r="BA81" s="325"/>
      <c r="BB81" s="325"/>
      <c r="BC81" s="325"/>
      <c r="BD81" s="325"/>
      <c r="BE81" s="325"/>
      <c r="BF81" s="325"/>
      <c r="BG81" s="325"/>
      <c r="BH81" s="325"/>
      <c r="BI81" s="325"/>
      <c r="BJ81" s="325"/>
      <c r="BK81" s="325"/>
      <c r="BL81" s="325"/>
      <c r="BM81" s="325"/>
      <c r="BN81" s="325"/>
      <c r="BO81" s="325"/>
      <c r="BP81" s="325"/>
      <c r="BQ81" s="325"/>
      <c r="BR81" s="325"/>
      <c r="BS81" s="325"/>
      <c r="BT81" s="325"/>
      <c r="BU81" s="325"/>
      <c r="BV81" s="325"/>
      <c r="BW81" s="325"/>
      <c r="BX81" s="325"/>
      <c r="BY81" s="325"/>
      <c r="BZ81" s="325"/>
      <c r="CA81" s="325"/>
      <c r="CB81" s="325"/>
      <c r="CC81" s="325"/>
      <c r="CD81" s="325"/>
      <c r="CE81" s="325"/>
      <c r="CF81" s="325"/>
      <c r="CG81" s="325"/>
      <c r="CH81" s="325"/>
      <c r="CI81" s="325"/>
      <c r="CJ81" s="325"/>
      <c r="CK81" s="325"/>
      <c r="CL81" s="325"/>
      <c r="CM81" s="325"/>
      <c r="CN81" s="325"/>
    </row>
    <row r="82" spans="1:92" ht="14.25" hidden="1" customHeight="1" x14ac:dyDescent="0.2">
      <c r="A82" s="3"/>
      <c r="B82" s="3"/>
      <c r="C82" s="3"/>
      <c r="D82" s="232" t="s">
        <v>465</v>
      </c>
      <c r="E82" s="18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24"/>
      <c r="AH82" s="325"/>
      <c r="AI82" s="325"/>
      <c r="AJ82" s="325"/>
      <c r="AK82" s="325"/>
      <c r="AL82" s="325"/>
      <c r="AM82" s="325"/>
      <c r="AN82" s="325"/>
      <c r="AO82" s="325"/>
      <c r="AP82" s="325"/>
      <c r="AQ82" s="325"/>
      <c r="AR82" s="325"/>
      <c r="AS82" s="325"/>
      <c r="AT82" s="325"/>
      <c r="AU82" s="325"/>
      <c r="AV82" s="325"/>
      <c r="AW82" s="325"/>
      <c r="AX82" s="325"/>
      <c r="AY82" s="325"/>
      <c r="AZ82" s="325"/>
      <c r="BA82" s="325"/>
      <c r="BB82" s="325"/>
      <c r="BC82" s="325"/>
      <c r="BD82" s="325"/>
      <c r="BE82" s="325"/>
      <c r="BF82" s="325"/>
      <c r="BG82" s="325"/>
      <c r="BH82" s="325"/>
      <c r="BI82" s="325"/>
      <c r="BJ82" s="325"/>
      <c r="BK82" s="325"/>
      <c r="BL82" s="325"/>
      <c r="BM82" s="325"/>
      <c r="BN82" s="325"/>
      <c r="BO82" s="325"/>
      <c r="BP82" s="325"/>
      <c r="BQ82" s="325"/>
      <c r="BR82" s="325"/>
      <c r="BS82" s="325"/>
      <c r="BT82" s="325"/>
      <c r="BU82" s="325"/>
      <c r="BV82" s="325"/>
      <c r="BW82" s="325"/>
      <c r="BX82" s="325"/>
      <c r="BY82" s="325"/>
      <c r="BZ82" s="325"/>
      <c r="CA82" s="325"/>
      <c r="CB82" s="325"/>
      <c r="CC82" s="325"/>
      <c r="CD82" s="325"/>
      <c r="CE82" s="325"/>
      <c r="CF82" s="325"/>
      <c r="CG82" s="325"/>
      <c r="CH82" s="325"/>
      <c r="CI82" s="325"/>
      <c r="CJ82" s="325"/>
      <c r="CK82" s="325"/>
      <c r="CL82" s="325"/>
      <c r="CM82" s="325"/>
      <c r="CN82" s="325"/>
    </row>
    <row r="83" spans="1:92" ht="14.25" hidden="1" customHeight="1" x14ac:dyDescent="0.2">
      <c r="A83" s="3"/>
      <c r="B83" s="3"/>
      <c r="C83" s="3"/>
      <c r="D83" s="90" t="s">
        <v>466</v>
      </c>
      <c r="E83" s="18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24"/>
      <c r="AH83" s="325"/>
      <c r="AI83" s="325"/>
      <c r="AJ83" s="325"/>
      <c r="AK83" s="325"/>
      <c r="AL83" s="325"/>
      <c r="AM83" s="325"/>
      <c r="AN83" s="325"/>
      <c r="AO83" s="325"/>
      <c r="AP83" s="325"/>
      <c r="AQ83" s="325"/>
      <c r="AR83" s="325"/>
      <c r="AS83" s="325"/>
      <c r="AT83" s="325"/>
      <c r="AU83" s="325"/>
      <c r="AV83" s="325"/>
      <c r="AW83" s="325"/>
      <c r="AX83" s="325"/>
      <c r="AY83" s="325"/>
      <c r="AZ83" s="325"/>
      <c r="BA83" s="325"/>
      <c r="BB83" s="325"/>
      <c r="BC83" s="325"/>
      <c r="BD83" s="325"/>
      <c r="BE83" s="325"/>
      <c r="BF83" s="325"/>
      <c r="BG83" s="325"/>
      <c r="BH83" s="325"/>
      <c r="BI83" s="325"/>
      <c r="BJ83" s="325"/>
      <c r="BK83" s="325"/>
      <c r="BL83" s="325"/>
      <c r="BM83" s="325"/>
      <c r="BN83" s="325"/>
      <c r="BO83" s="325"/>
      <c r="BP83" s="325"/>
      <c r="BQ83" s="325"/>
      <c r="BR83" s="325"/>
      <c r="BS83" s="325"/>
      <c r="BT83" s="325"/>
      <c r="BU83" s="325"/>
      <c r="BV83" s="325"/>
      <c r="BW83" s="325"/>
      <c r="BX83" s="325"/>
      <c r="BY83" s="325"/>
      <c r="BZ83" s="325"/>
      <c r="CA83" s="325"/>
      <c r="CB83" s="325"/>
      <c r="CC83" s="325"/>
      <c r="CD83" s="325"/>
      <c r="CE83" s="325"/>
      <c r="CF83" s="325"/>
      <c r="CG83" s="325"/>
      <c r="CH83" s="325"/>
      <c r="CI83" s="325"/>
      <c r="CJ83" s="325"/>
      <c r="CK83" s="325"/>
      <c r="CL83" s="325"/>
      <c r="CM83" s="325"/>
      <c r="CN83" s="325"/>
    </row>
    <row r="84" spans="1:92" ht="14.25" hidden="1" customHeight="1" x14ac:dyDescent="0.2">
      <c r="A84" s="3"/>
      <c r="B84" s="3"/>
      <c r="C84" s="3"/>
      <c r="D84" s="90">
        <v>0.5</v>
      </c>
      <c r="E84" s="186">
        <v>-1339019</v>
      </c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24"/>
      <c r="AH84" s="325"/>
      <c r="AI84" s="325"/>
      <c r="AJ84" s="325"/>
      <c r="AK84" s="325"/>
      <c r="AL84" s="325"/>
      <c r="AM84" s="325"/>
      <c r="AN84" s="325"/>
      <c r="AO84" s="325"/>
      <c r="AP84" s="325"/>
      <c r="AQ84" s="325"/>
      <c r="AR84" s="325"/>
      <c r="AS84" s="325"/>
      <c r="AT84" s="325"/>
      <c r="AU84" s="325"/>
      <c r="AV84" s="325"/>
      <c r="AW84" s="325"/>
      <c r="AX84" s="325"/>
      <c r="AY84" s="325"/>
      <c r="AZ84" s="325"/>
      <c r="BA84" s="325"/>
      <c r="BB84" s="325"/>
      <c r="BC84" s="325"/>
      <c r="BD84" s="325"/>
      <c r="BE84" s="325"/>
      <c r="BF84" s="325"/>
      <c r="BG84" s="325"/>
      <c r="BH84" s="325"/>
      <c r="BI84" s="325"/>
      <c r="BJ84" s="325"/>
      <c r="BK84" s="325"/>
      <c r="BL84" s="325"/>
      <c r="BM84" s="325"/>
      <c r="BN84" s="325"/>
      <c r="BO84" s="325"/>
      <c r="BP84" s="325"/>
      <c r="BQ84" s="325"/>
      <c r="BR84" s="325"/>
      <c r="BS84" s="325"/>
      <c r="BT84" s="325"/>
      <c r="BU84" s="325"/>
      <c r="BV84" s="325"/>
      <c r="BW84" s="325"/>
      <c r="BX84" s="325"/>
      <c r="BY84" s="325"/>
      <c r="BZ84" s="325"/>
      <c r="CA84" s="325"/>
      <c r="CB84" s="325"/>
      <c r="CC84" s="325"/>
      <c r="CD84" s="325"/>
      <c r="CE84" s="325"/>
      <c r="CF84" s="325"/>
      <c r="CG84" s="325"/>
      <c r="CH84" s="325"/>
      <c r="CI84" s="325"/>
      <c r="CJ84" s="325"/>
      <c r="CK84" s="325"/>
      <c r="CL84" s="325"/>
      <c r="CM84" s="325"/>
      <c r="CN84" s="325"/>
    </row>
    <row r="85" spans="1:92" ht="14.25" hidden="1" customHeight="1" x14ac:dyDescent="0.2">
      <c r="A85" s="3"/>
      <c r="B85" s="3"/>
      <c r="C85" s="3"/>
      <c r="D85" s="90">
        <v>0.55000000000000004</v>
      </c>
      <c r="E85" s="186">
        <v>2061549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24"/>
      <c r="AH85" s="325"/>
      <c r="AI85" s="325"/>
      <c r="AJ85" s="325"/>
      <c r="AK85" s="325"/>
      <c r="AL85" s="325"/>
      <c r="AM85" s="325"/>
      <c r="AN85" s="325"/>
      <c r="AO85" s="325"/>
      <c r="AP85" s="325"/>
      <c r="AQ85" s="325"/>
      <c r="AR85" s="325"/>
      <c r="AS85" s="325"/>
      <c r="AT85" s="325"/>
      <c r="AU85" s="325"/>
      <c r="AV85" s="325"/>
      <c r="AW85" s="325"/>
      <c r="AX85" s="325"/>
      <c r="AY85" s="325"/>
      <c r="AZ85" s="325"/>
      <c r="BA85" s="325"/>
      <c r="BB85" s="325"/>
      <c r="BC85" s="325"/>
      <c r="BD85" s="325"/>
      <c r="BE85" s="325"/>
      <c r="BF85" s="325"/>
      <c r="BG85" s="325"/>
      <c r="BH85" s="325"/>
      <c r="BI85" s="325"/>
      <c r="BJ85" s="325"/>
      <c r="BK85" s="325"/>
      <c r="BL85" s="325"/>
      <c r="BM85" s="325"/>
      <c r="BN85" s="325"/>
      <c r="BO85" s="325"/>
      <c r="BP85" s="325"/>
      <c r="BQ85" s="325"/>
      <c r="BR85" s="325"/>
      <c r="BS85" s="325"/>
      <c r="BT85" s="325"/>
      <c r="BU85" s="325"/>
      <c r="BV85" s="325"/>
      <c r="BW85" s="325"/>
      <c r="BX85" s="325"/>
      <c r="BY85" s="325"/>
      <c r="BZ85" s="325"/>
      <c r="CA85" s="325"/>
      <c r="CB85" s="325"/>
      <c r="CC85" s="325"/>
      <c r="CD85" s="325"/>
      <c r="CE85" s="325"/>
      <c r="CF85" s="325"/>
      <c r="CG85" s="325"/>
      <c r="CH85" s="325"/>
      <c r="CI85" s="325"/>
      <c r="CJ85" s="325"/>
      <c r="CK85" s="325"/>
      <c r="CL85" s="325"/>
      <c r="CM85" s="325"/>
      <c r="CN85" s="325"/>
    </row>
    <row r="86" spans="1:92" ht="14.25" hidden="1" customHeight="1" x14ac:dyDescent="0.2">
      <c r="A86" s="3"/>
      <c r="B86" s="3"/>
      <c r="C86" s="3"/>
      <c r="D86" s="90">
        <v>0.56000000000000005</v>
      </c>
      <c r="E86" s="186">
        <v>1367148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24"/>
      <c r="AH86" s="325"/>
      <c r="AI86" s="325"/>
      <c r="AJ86" s="325"/>
      <c r="AK86" s="325"/>
      <c r="AL86" s="325"/>
      <c r="AM86" s="325"/>
      <c r="AN86" s="325"/>
      <c r="AO86" s="325"/>
      <c r="AP86" s="325"/>
      <c r="AQ86" s="325"/>
      <c r="AR86" s="325"/>
      <c r="AS86" s="325"/>
      <c r="AT86" s="325"/>
      <c r="AU86" s="325"/>
      <c r="AV86" s="325"/>
      <c r="AW86" s="325"/>
      <c r="AX86" s="325"/>
      <c r="AY86" s="325"/>
      <c r="AZ86" s="325"/>
      <c r="BA86" s="325"/>
      <c r="BB86" s="325"/>
      <c r="BC86" s="325"/>
      <c r="BD86" s="325"/>
      <c r="BE86" s="325"/>
      <c r="BF86" s="325"/>
      <c r="BG86" s="325"/>
      <c r="BH86" s="325"/>
      <c r="BI86" s="325"/>
      <c r="BJ86" s="325"/>
      <c r="BK86" s="325"/>
      <c r="BL86" s="325"/>
      <c r="BM86" s="325"/>
      <c r="BN86" s="325"/>
      <c r="BO86" s="325"/>
      <c r="BP86" s="325"/>
      <c r="BQ86" s="325"/>
      <c r="BR86" s="325"/>
      <c r="BS86" s="325"/>
      <c r="BT86" s="325"/>
      <c r="BU86" s="325"/>
      <c r="BV86" s="325"/>
      <c r="BW86" s="325"/>
      <c r="BX86" s="325"/>
      <c r="BY86" s="325"/>
      <c r="BZ86" s="325"/>
      <c r="CA86" s="325"/>
      <c r="CB86" s="325"/>
      <c r="CC86" s="325"/>
      <c r="CD86" s="325"/>
      <c r="CE86" s="325"/>
      <c r="CF86" s="325"/>
      <c r="CG86" s="325"/>
      <c r="CH86" s="325"/>
      <c r="CI86" s="325"/>
      <c r="CJ86" s="325"/>
      <c r="CK86" s="325"/>
      <c r="CL86" s="325"/>
      <c r="CM86" s="325"/>
      <c r="CN86" s="325"/>
    </row>
    <row r="87" spans="1:92" ht="14.25" hidden="1" customHeight="1" x14ac:dyDescent="0.2">
      <c r="A87" s="3"/>
      <c r="B87" s="3"/>
      <c r="C87" s="3"/>
      <c r="D87" s="90">
        <v>0.56999999999999995</v>
      </c>
      <c r="E87" s="186">
        <v>1022676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24"/>
      <c r="AH87" s="325"/>
      <c r="AI87" s="325"/>
      <c r="AJ87" s="325"/>
      <c r="AK87" s="325"/>
      <c r="AL87" s="325"/>
      <c r="AM87" s="325"/>
      <c r="AN87" s="325"/>
      <c r="AO87" s="325"/>
      <c r="AP87" s="325"/>
      <c r="AQ87" s="325"/>
      <c r="AR87" s="325"/>
      <c r="AS87" s="325"/>
      <c r="AT87" s="325"/>
      <c r="AU87" s="325"/>
      <c r="AV87" s="325"/>
      <c r="AW87" s="325"/>
      <c r="AX87" s="325"/>
      <c r="AY87" s="325"/>
      <c r="AZ87" s="325"/>
      <c r="BA87" s="325"/>
      <c r="BB87" s="325"/>
      <c r="BC87" s="325"/>
      <c r="BD87" s="325"/>
      <c r="BE87" s="325"/>
      <c r="BF87" s="325"/>
      <c r="BG87" s="325"/>
      <c r="BH87" s="325"/>
      <c r="BI87" s="325"/>
      <c r="BJ87" s="325"/>
      <c r="BK87" s="325"/>
      <c r="BL87" s="325"/>
      <c r="BM87" s="325"/>
      <c r="BN87" s="325"/>
      <c r="BO87" s="325"/>
      <c r="BP87" s="325"/>
      <c r="BQ87" s="325"/>
      <c r="BR87" s="325"/>
      <c r="BS87" s="325"/>
      <c r="BT87" s="325"/>
      <c r="BU87" s="325"/>
      <c r="BV87" s="325"/>
      <c r="BW87" s="325"/>
      <c r="BX87" s="325"/>
      <c r="BY87" s="325"/>
      <c r="BZ87" s="325"/>
      <c r="CA87" s="325"/>
      <c r="CB87" s="325"/>
      <c r="CC87" s="325"/>
      <c r="CD87" s="325"/>
      <c r="CE87" s="325"/>
      <c r="CF87" s="325"/>
      <c r="CG87" s="325"/>
      <c r="CH87" s="325"/>
      <c r="CI87" s="325"/>
      <c r="CJ87" s="325"/>
      <c r="CK87" s="325"/>
      <c r="CL87" s="325"/>
      <c r="CM87" s="325"/>
      <c r="CN87" s="325"/>
    </row>
    <row r="88" spans="1:92" ht="14.25" hidden="1" customHeight="1" x14ac:dyDescent="0.2">
      <c r="A88" s="3"/>
      <c r="B88" s="3"/>
      <c r="C88" s="3"/>
      <c r="D88" s="90">
        <v>0.57999999999999996</v>
      </c>
      <c r="E88" s="186">
        <v>816857</v>
      </c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24"/>
      <c r="AH88" s="325"/>
      <c r="AI88" s="325"/>
      <c r="AJ88" s="325"/>
      <c r="AK88" s="325"/>
      <c r="AL88" s="325"/>
      <c r="AM88" s="325"/>
      <c r="AN88" s="325"/>
      <c r="AO88" s="325"/>
      <c r="AP88" s="325"/>
      <c r="AQ88" s="325"/>
      <c r="AR88" s="325"/>
      <c r="AS88" s="325"/>
      <c r="AT88" s="325"/>
      <c r="AU88" s="325"/>
      <c r="AV88" s="325"/>
      <c r="AW88" s="325"/>
      <c r="AX88" s="325"/>
      <c r="AY88" s="325"/>
      <c r="AZ88" s="325"/>
      <c r="BA88" s="325"/>
      <c r="BB88" s="325"/>
      <c r="BC88" s="325"/>
      <c r="BD88" s="325"/>
      <c r="BE88" s="325"/>
      <c r="BF88" s="325"/>
      <c r="BG88" s="325"/>
      <c r="BH88" s="325"/>
      <c r="BI88" s="325"/>
      <c r="BJ88" s="325"/>
      <c r="BK88" s="325"/>
      <c r="BL88" s="325"/>
      <c r="BM88" s="325"/>
      <c r="BN88" s="325"/>
      <c r="BO88" s="325"/>
      <c r="BP88" s="325"/>
      <c r="BQ88" s="325"/>
      <c r="BR88" s="325"/>
      <c r="BS88" s="325"/>
      <c r="BT88" s="325"/>
      <c r="BU88" s="325"/>
      <c r="BV88" s="325"/>
      <c r="BW88" s="325"/>
      <c r="BX88" s="325"/>
      <c r="BY88" s="325"/>
      <c r="BZ88" s="325"/>
      <c r="CA88" s="325"/>
      <c r="CB88" s="325"/>
      <c r="CC88" s="325"/>
      <c r="CD88" s="325"/>
      <c r="CE88" s="325"/>
      <c r="CF88" s="325"/>
      <c r="CG88" s="325"/>
      <c r="CH88" s="325"/>
      <c r="CI88" s="325"/>
      <c r="CJ88" s="325"/>
      <c r="CK88" s="325"/>
      <c r="CL88" s="325"/>
      <c r="CM88" s="325"/>
      <c r="CN88" s="325"/>
    </row>
    <row r="89" spans="1:92" ht="14.25" hidden="1" customHeight="1" x14ac:dyDescent="0.2">
      <c r="A89" s="3"/>
      <c r="B89" s="3"/>
      <c r="C89" s="3"/>
      <c r="D89" s="90">
        <v>0.59</v>
      </c>
      <c r="E89" s="186">
        <v>680003</v>
      </c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24"/>
      <c r="AH89" s="325"/>
      <c r="AI89" s="325"/>
      <c r="AJ89" s="325"/>
      <c r="AK89" s="325"/>
      <c r="AL89" s="325"/>
      <c r="AM89" s="325"/>
      <c r="AN89" s="325"/>
      <c r="AO89" s="325"/>
      <c r="AP89" s="325"/>
      <c r="AQ89" s="325"/>
      <c r="AR89" s="325"/>
      <c r="AS89" s="325"/>
      <c r="AT89" s="325"/>
      <c r="AU89" s="325"/>
      <c r="AV89" s="325"/>
      <c r="AW89" s="325"/>
      <c r="AX89" s="325"/>
      <c r="AY89" s="325"/>
      <c r="AZ89" s="325"/>
      <c r="BA89" s="325"/>
      <c r="BB89" s="325"/>
      <c r="BC89" s="325"/>
      <c r="BD89" s="325"/>
      <c r="BE89" s="325"/>
      <c r="BF89" s="325"/>
      <c r="BG89" s="325"/>
      <c r="BH89" s="325"/>
      <c r="BI89" s="325"/>
      <c r="BJ89" s="325"/>
      <c r="BK89" s="325"/>
      <c r="BL89" s="325"/>
      <c r="BM89" s="325"/>
      <c r="BN89" s="325"/>
      <c r="BO89" s="325"/>
      <c r="BP89" s="325"/>
      <c r="BQ89" s="325"/>
      <c r="BR89" s="325"/>
      <c r="BS89" s="325"/>
      <c r="BT89" s="325"/>
      <c r="BU89" s="325"/>
      <c r="BV89" s="325"/>
      <c r="BW89" s="325"/>
      <c r="BX89" s="325"/>
      <c r="BY89" s="325"/>
      <c r="BZ89" s="325"/>
      <c r="CA89" s="325"/>
      <c r="CB89" s="325"/>
      <c r="CC89" s="325"/>
      <c r="CD89" s="325"/>
      <c r="CE89" s="325"/>
      <c r="CF89" s="325"/>
      <c r="CG89" s="325"/>
      <c r="CH89" s="325"/>
      <c r="CI89" s="325"/>
      <c r="CJ89" s="325"/>
      <c r="CK89" s="325"/>
      <c r="CL89" s="325"/>
      <c r="CM89" s="325"/>
      <c r="CN89" s="325"/>
    </row>
    <row r="90" spans="1:92" ht="14.25" hidden="1" customHeight="1" x14ac:dyDescent="0.2">
      <c r="A90" s="3"/>
      <c r="B90" s="3"/>
      <c r="C90" s="3"/>
      <c r="D90" s="90">
        <v>0.6</v>
      </c>
      <c r="E90" s="186">
        <v>582425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24"/>
      <c r="AH90" s="325"/>
      <c r="AI90" s="325"/>
      <c r="AJ90" s="325"/>
      <c r="AK90" s="325"/>
      <c r="AL90" s="325"/>
      <c r="AM90" s="325"/>
      <c r="AN90" s="325"/>
      <c r="AO90" s="325"/>
      <c r="AP90" s="325"/>
      <c r="AQ90" s="325"/>
      <c r="AR90" s="325"/>
      <c r="AS90" s="325"/>
      <c r="AT90" s="325"/>
      <c r="AU90" s="325"/>
      <c r="AV90" s="325"/>
      <c r="AW90" s="325"/>
      <c r="AX90" s="325"/>
      <c r="AY90" s="325"/>
      <c r="AZ90" s="325"/>
      <c r="BA90" s="325"/>
      <c r="BB90" s="325"/>
      <c r="BC90" s="325"/>
      <c r="BD90" s="325"/>
      <c r="BE90" s="325"/>
      <c r="BF90" s="325"/>
      <c r="BG90" s="325"/>
      <c r="BH90" s="325"/>
      <c r="BI90" s="325"/>
      <c r="BJ90" s="325"/>
      <c r="BK90" s="325"/>
      <c r="BL90" s="325"/>
      <c r="BM90" s="325"/>
      <c r="BN90" s="325"/>
      <c r="BO90" s="325"/>
      <c r="BP90" s="325"/>
      <c r="BQ90" s="325"/>
      <c r="BR90" s="325"/>
      <c r="BS90" s="325"/>
      <c r="BT90" s="325"/>
      <c r="BU90" s="325"/>
      <c r="BV90" s="325"/>
      <c r="BW90" s="325"/>
      <c r="BX90" s="325"/>
      <c r="BY90" s="325"/>
      <c r="BZ90" s="325"/>
      <c r="CA90" s="325"/>
      <c r="CB90" s="325"/>
      <c r="CC90" s="325"/>
      <c r="CD90" s="325"/>
      <c r="CE90" s="325"/>
      <c r="CF90" s="325"/>
      <c r="CG90" s="325"/>
      <c r="CH90" s="325"/>
      <c r="CI90" s="325"/>
      <c r="CJ90" s="325"/>
      <c r="CK90" s="325"/>
      <c r="CL90" s="325"/>
      <c r="CM90" s="325"/>
      <c r="CN90" s="325"/>
    </row>
    <row r="91" spans="1:92" ht="14.25" hidden="1" customHeight="1" x14ac:dyDescent="0.2">
      <c r="A91" s="3"/>
      <c r="B91" s="3"/>
      <c r="C91" s="3"/>
      <c r="D91" s="90">
        <v>0.61</v>
      </c>
      <c r="E91" s="186">
        <v>509337</v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24"/>
      <c r="AH91" s="325"/>
      <c r="AI91" s="325"/>
      <c r="AJ91" s="325"/>
      <c r="AK91" s="325"/>
      <c r="AL91" s="325"/>
      <c r="AM91" s="325"/>
      <c r="AN91" s="325"/>
      <c r="AO91" s="325"/>
      <c r="AP91" s="325"/>
      <c r="AQ91" s="325"/>
      <c r="AR91" s="325"/>
      <c r="AS91" s="325"/>
      <c r="AT91" s="325"/>
      <c r="AU91" s="325"/>
      <c r="AV91" s="325"/>
      <c r="AW91" s="325"/>
      <c r="AX91" s="325"/>
      <c r="AY91" s="325"/>
      <c r="AZ91" s="325"/>
      <c r="BA91" s="325"/>
      <c r="BB91" s="325"/>
      <c r="BC91" s="325"/>
      <c r="BD91" s="325"/>
      <c r="BE91" s="325"/>
      <c r="BF91" s="325"/>
      <c r="BG91" s="325"/>
      <c r="BH91" s="325"/>
      <c r="BI91" s="325"/>
      <c r="BJ91" s="325"/>
      <c r="BK91" s="325"/>
      <c r="BL91" s="325"/>
      <c r="BM91" s="325"/>
      <c r="BN91" s="325"/>
      <c r="BO91" s="325"/>
      <c r="BP91" s="325"/>
      <c r="BQ91" s="325"/>
      <c r="BR91" s="325"/>
      <c r="BS91" s="325"/>
      <c r="BT91" s="325"/>
      <c r="BU91" s="325"/>
      <c r="BV91" s="325"/>
      <c r="BW91" s="325"/>
      <c r="BX91" s="325"/>
      <c r="BY91" s="325"/>
      <c r="BZ91" s="325"/>
      <c r="CA91" s="325"/>
      <c r="CB91" s="325"/>
      <c r="CC91" s="325"/>
      <c r="CD91" s="325"/>
      <c r="CE91" s="325"/>
      <c r="CF91" s="325"/>
      <c r="CG91" s="325"/>
      <c r="CH91" s="325"/>
      <c r="CI91" s="325"/>
      <c r="CJ91" s="325"/>
      <c r="CK91" s="325"/>
      <c r="CL91" s="325"/>
      <c r="CM91" s="325"/>
      <c r="CN91" s="325"/>
    </row>
    <row r="92" spans="1:92" ht="14.25" hidden="1" customHeight="1" x14ac:dyDescent="0.2">
      <c r="A92" s="3"/>
      <c r="B92" s="3"/>
      <c r="C92" s="3"/>
      <c r="D92" s="90">
        <v>0.62</v>
      </c>
      <c r="E92" s="186">
        <v>452547</v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24"/>
      <c r="AH92" s="325"/>
      <c r="AI92" s="325"/>
      <c r="AJ92" s="325"/>
      <c r="AK92" s="325"/>
      <c r="AL92" s="325"/>
      <c r="AM92" s="325"/>
      <c r="AN92" s="325"/>
      <c r="AO92" s="325"/>
      <c r="AP92" s="325"/>
      <c r="AQ92" s="325"/>
      <c r="AR92" s="325"/>
      <c r="AS92" s="325"/>
      <c r="AT92" s="325"/>
      <c r="AU92" s="325"/>
      <c r="AV92" s="325"/>
      <c r="AW92" s="325"/>
      <c r="AX92" s="325"/>
      <c r="AY92" s="325"/>
      <c r="AZ92" s="325"/>
      <c r="BA92" s="325"/>
      <c r="BB92" s="325"/>
      <c r="BC92" s="325"/>
      <c r="BD92" s="325"/>
      <c r="BE92" s="325"/>
      <c r="BF92" s="325"/>
      <c r="BG92" s="325"/>
      <c r="BH92" s="325"/>
      <c r="BI92" s="325"/>
      <c r="BJ92" s="325"/>
      <c r="BK92" s="325"/>
      <c r="BL92" s="325"/>
      <c r="BM92" s="325"/>
      <c r="BN92" s="325"/>
      <c r="BO92" s="325"/>
      <c r="BP92" s="325"/>
      <c r="BQ92" s="325"/>
      <c r="BR92" s="325"/>
      <c r="BS92" s="325"/>
      <c r="BT92" s="325"/>
      <c r="BU92" s="325"/>
      <c r="BV92" s="325"/>
      <c r="BW92" s="325"/>
      <c r="BX92" s="325"/>
      <c r="BY92" s="325"/>
      <c r="BZ92" s="325"/>
      <c r="CA92" s="325"/>
      <c r="CB92" s="325"/>
      <c r="CC92" s="325"/>
      <c r="CD92" s="325"/>
      <c r="CE92" s="325"/>
      <c r="CF92" s="325"/>
      <c r="CG92" s="325"/>
      <c r="CH92" s="325"/>
      <c r="CI92" s="325"/>
      <c r="CJ92" s="325"/>
      <c r="CK92" s="325"/>
      <c r="CL92" s="325"/>
      <c r="CM92" s="325"/>
      <c r="CN92" s="325"/>
    </row>
    <row r="93" spans="1:92" ht="14.25" hidden="1" customHeight="1" x14ac:dyDescent="0.2">
      <c r="A93" s="3"/>
      <c r="B93" s="3"/>
      <c r="C93" s="3"/>
      <c r="D93" s="90">
        <v>0.63</v>
      </c>
      <c r="E93" s="186">
        <v>407151</v>
      </c>
      <c r="F93" s="3" t="s">
        <v>467</v>
      </c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24"/>
      <c r="AH93" s="325"/>
      <c r="AI93" s="325"/>
      <c r="AJ93" s="325"/>
      <c r="AK93" s="325"/>
      <c r="AL93" s="325"/>
      <c r="AM93" s="325"/>
      <c r="AN93" s="325"/>
      <c r="AO93" s="325"/>
      <c r="AP93" s="325"/>
      <c r="AQ93" s="325"/>
      <c r="AR93" s="325"/>
      <c r="AS93" s="325"/>
      <c r="AT93" s="325"/>
      <c r="AU93" s="325"/>
      <c r="AV93" s="325"/>
      <c r="AW93" s="325"/>
      <c r="AX93" s="325"/>
      <c r="AY93" s="325"/>
      <c r="AZ93" s="325"/>
      <c r="BA93" s="325"/>
      <c r="BB93" s="325"/>
      <c r="BC93" s="325"/>
      <c r="BD93" s="325"/>
      <c r="BE93" s="325"/>
      <c r="BF93" s="325"/>
      <c r="BG93" s="325"/>
      <c r="BH93" s="325"/>
      <c r="BI93" s="325"/>
      <c r="BJ93" s="325"/>
      <c r="BK93" s="325"/>
      <c r="BL93" s="325"/>
      <c r="BM93" s="325"/>
      <c r="BN93" s="325"/>
      <c r="BO93" s="325"/>
      <c r="BP93" s="325"/>
      <c r="BQ93" s="325"/>
      <c r="BR93" s="325"/>
      <c r="BS93" s="325"/>
      <c r="BT93" s="325"/>
      <c r="BU93" s="325"/>
      <c r="BV93" s="325"/>
      <c r="BW93" s="325"/>
      <c r="BX93" s="325"/>
      <c r="BY93" s="325"/>
      <c r="BZ93" s="325"/>
      <c r="CA93" s="325"/>
      <c r="CB93" s="325"/>
      <c r="CC93" s="325"/>
      <c r="CD93" s="325"/>
      <c r="CE93" s="325"/>
      <c r="CF93" s="325"/>
      <c r="CG93" s="325"/>
      <c r="CH93" s="325"/>
      <c r="CI93" s="325"/>
      <c r="CJ93" s="325"/>
      <c r="CK93" s="325"/>
      <c r="CL93" s="325"/>
      <c r="CM93" s="325"/>
      <c r="CN93" s="325"/>
    </row>
    <row r="94" spans="1:92" ht="14.25" hidden="1" customHeight="1" x14ac:dyDescent="0.2">
      <c r="A94" s="3"/>
      <c r="B94" s="3"/>
      <c r="C94" s="3"/>
      <c r="D94" s="90">
        <v>0.64</v>
      </c>
      <c r="E94" s="186">
        <v>370632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24"/>
      <c r="AH94" s="325"/>
      <c r="AI94" s="325"/>
      <c r="AJ94" s="325"/>
      <c r="AK94" s="325"/>
      <c r="AL94" s="325"/>
      <c r="AM94" s="325"/>
      <c r="AN94" s="325"/>
      <c r="AO94" s="325"/>
      <c r="AP94" s="325"/>
      <c r="AQ94" s="325"/>
      <c r="AR94" s="325"/>
      <c r="AS94" s="325"/>
      <c r="AT94" s="325"/>
      <c r="AU94" s="325"/>
      <c r="AV94" s="325"/>
      <c r="AW94" s="325"/>
      <c r="AX94" s="325"/>
      <c r="AY94" s="325"/>
      <c r="AZ94" s="325"/>
      <c r="BA94" s="325"/>
      <c r="BB94" s="325"/>
      <c r="BC94" s="325"/>
      <c r="BD94" s="325"/>
      <c r="BE94" s="325"/>
      <c r="BF94" s="325"/>
      <c r="BG94" s="325"/>
      <c r="BH94" s="325"/>
      <c r="BI94" s="325"/>
      <c r="BJ94" s="325"/>
      <c r="BK94" s="325"/>
      <c r="BL94" s="325"/>
      <c r="BM94" s="325"/>
      <c r="BN94" s="325"/>
      <c r="BO94" s="325"/>
      <c r="BP94" s="325"/>
      <c r="BQ94" s="325"/>
      <c r="BR94" s="325"/>
      <c r="BS94" s="325"/>
      <c r="BT94" s="325"/>
      <c r="BU94" s="325"/>
      <c r="BV94" s="325"/>
      <c r="BW94" s="325"/>
      <c r="BX94" s="325"/>
      <c r="BY94" s="325"/>
      <c r="BZ94" s="325"/>
      <c r="CA94" s="325"/>
      <c r="CB94" s="325"/>
      <c r="CC94" s="325"/>
      <c r="CD94" s="325"/>
      <c r="CE94" s="325"/>
      <c r="CF94" s="325"/>
      <c r="CG94" s="325"/>
      <c r="CH94" s="325"/>
      <c r="CI94" s="325"/>
      <c r="CJ94" s="325"/>
      <c r="CK94" s="325"/>
      <c r="CL94" s="325"/>
      <c r="CM94" s="325"/>
      <c r="CN94" s="325"/>
    </row>
    <row r="95" spans="1:92" ht="14.25" hidden="1" customHeight="1" x14ac:dyDescent="0.2">
      <c r="A95" s="3"/>
      <c r="B95" s="3"/>
      <c r="C95" s="3"/>
      <c r="D95" s="90">
        <v>0.65</v>
      </c>
      <c r="E95" s="186">
        <v>339116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24"/>
      <c r="AH95" s="325"/>
      <c r="AI95" s="325"/>
      <c r="AJ95" s="325"/>
      <c r="AK95" s="325"/>
      <c r="AL95" s="325"/>
      <c r="AM95" s="325"/>
      <c r="AN95" s="325"/>
      <c r="AO95" s="325"/>
      <c r="AP95" s="325"/>
      <c r="AQ95" s="325"/>
      <c r="AR95" s="325"/>
      <c r="AS95" s="325"/>
      <c r="AT95" s="325"/>
      <c r="AU95" s="325"/>
      <c r="AV95" s="325"/>
      <c r="AW95" s="325"/>
      <c r="AX95" s="325"/>
      <c r="AY95" s="325"/>
      <c r="AZ95" s="325"/>
      <c r="BA95" s="325"/>
      <c r="BB95" s="325"/>
      <c r="BC95" s="325"/>
      <c r="BD95" s="325"/>
      <c r="BE95" s="325"/>
      <c r="BF95" s="325"/>
      <c r="BG95" s="325"/>
      <c r="BH95" s="325"/>
      <c r="BI95" s="325"/>
      <c r="BJ95" s="325"/>
      <c r="BK95" s="325"/>
      <c r="BL95" s="325"/>
      <c r="BM95" s="325"/>
      <c r="BN95" s="325"/>
      <c r="BO95" s="325"/>
      <c r="BP95" s="325"/>
      <c r="BQ95" s="325"/>
      <c r="BR95" s="325"/>
      <c r="BS95" s="325"/>
      <c r="BT95" s="325"/>
      <c r="BU95" s="325"/>
      <c r="BV95" s="325"/>
      <c r="BW95" s="325"/>
      <c r="BX95" s="325"/>
      <c r="BY95" s="325"/>
      <c r="BZ95" s="325"/>
      <c r="CA95" s="325"/>
      <c r="CB95" s="325"/>
      <c r="CC95" s="325"/>
      <c r="CD95" s="325"/>
      <c r="CE95" s="325"/>
      <c r="CF95" s="325"/>
      <c r="CG95" s="325"/>
      <c r="CH95" s="325"/>
      <c r="CI95" s="325"/>
      <c r="CJ95" s="325"/>
      <c r="CK95" s="325"/>
      <c r="CL95" s="325"/>
      <c r="CM95" s="325"/>
      <c r="CN95" s="325"/>
    </row>
    <row r="96" spans="1:92" ht="14.25" hidden="1" customHeight="1" x14ac:dyDescent="0.2">
      <c r="A96" s="3"/>
      <c r="B96" s="3"/>
      <c r="C96" s="3"/>
      <c r="D96" s="90">
        <v>0.66</v>
      </c>
      <c r="E96" s="186">
        <v>312967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24"/>
      <c r="AH96" s="325"/>
      <c r="AI96" s="325"/>
      <c r="AJ96" s="325"/>
      <c r="AK96" s="325"/>
      <c r="AL96" s="325"/>
      <c r="AM96" s="325"/>
      <c r="AN96" s="325"/>
      <c r="AO96" s="325"/>
      <c r="AP96" s="325"/>
      <c r="AQ96" s="325"/>
      <c r="AR96" s="325"/>
      <c r="AS96" s="325"/>
      <c r="AT96" s="325"/>
      <c r="AU96" s="325"/>
      <c r="AV96" s="325"/>
      <c r="AW96" s="325"/>
      <c r="AX96" s="325"/>
      <c r="AY96" s="325"/>
      <c r="AZ96" s="325"/>
      <c r="BA96" s="325"/>
      <c r="BB96" s="325"/>
      <c r="BC96" s="325"/>
      <c r="BD96" s="325"/>
      <c r="BE96" s="325"/>
      <c r="BF96" s="325"/>
      <c r="BG96" s="325"/>
      <c r="BH96" s="325"/>
      <c r="BI96" s="325"/>
      <c r="BJ96" s="325"/>
      <c r="BK96" s="325"/>
      <c r="BL96" s="325"/>
      <c r="BM96" s="325"/>
      <c r="BN96" s="325"/>
      <c r="BO96" s="325"/>
      <c r="BP96" s="325"/>
      <c r="BQ96" s="325"/>
      <c r="BR96" s="325"/>
      <c r="BS96" s="325"/>
      <c r="BT96" s="325"/>
      <c r="BU96" s="325"/>
      <c r="BV96" s="325"/>
      <c r="BW96" s="325"/>
      <c r="BX96" s="325"/>
      <c r="BY96" s="325"/>
      <c r="BZ96" s="325"/>
      <c r="CA96" s="325"/>
      <c r="CB96" s="325"/>
      <c r="CC96" s="325"/>
      <c r="CD96" s="325"/>
      <c r="CE96" s="325"/>
      <c r="CF96" s="325"/>
      <c r="CG96" s="325"/>
      <c r="CH96" s="325"/>
      <c r="CI96" s="325"/>
      <c r="CJ96" s="325"/>
      <c r="CK96" s="325"/>
      <c r="CL96" s="325"/>
      <c r="CM96" s="325"/>
      <c r="CN96" s="325"/>
    </row>
    <row r="97" spans="1:92" ht="14.25" hidden="1" customHeight="1" x14ac:dyDescent="0.2">
      <c r="A97" s="3"/>
      <c r="B97" s="3"/>
      <c r="C97" s="3"/>
      <c r="D97" s="90">
        <v>0.67</v>
      </c>
      <c r="E97" s="186">
        <v>290562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24"/>
      <c r="AH97" s="325"/>
      <c r="AI97" s="325"/>
      <c r="AJ97" s="325"/>
      <c r="AK97" s="325"/>
      <c r="AL97" s="325"/>
      <c r="AM97" s="325"/>
      <c r="AN97" s="325"/>
      <c r="AO97" s="325"/>
      <c r="AP97" s="325"/>
      <c r="AQ97" s="325"/>
      <c r="AR97" s="325"/>
      <c r="AS97" s="325"/>
      <c r="AT97" s="325"/>
      <c r="AU97" s="325"/>
      <c r="AV97" s="325"/>
      <c r="AW97" s="325"/>
      <c r="AX97" s="325"/>
      <c r="AY97" s="325"/>
      <c r="AZ97" s="325"/>
      <c r="BA97" s="325"/>
      <c r="BB97" s="325"/>
      <c r="BC97" s="325"/>
      <c r="BD97" s="325"/>
      <c r="BE97" s="325"/>
      <c r="BF97" s="325"/>
      <c r="BG97" s="325"/>
      <c r="BH97" s="325"/>
      <c r="BI97" s="325"/>
      <c r="BJ97" s="325"/>
      <c r="BK97" s="325"/>
      <c r="BL97" s="325"/>
      <c r="BM97" s="325"/>
      <c r="BN97" s="325"/>
      <c r="BO97" s="325"/>
      <c r="BP97" s="325"/>
      <c r="BQ97" s="325"/>
      <c r="BR97" s="325"/>
      <c r="BS97" s="325"/>
      <c r="BT97" s="325"/>
      <c r="BU97" s="325"/>
      <c r="BV97" s="325"/>
      <c r="BW97" s="325"/>
      <c r="BX97" s="325"/>
      <c r="BY97" s="325"/>
      <c r="BZ97" s="325"/>
      <c r="CA97" s="325"/>
      <c r="CB97" s="325"/>
      <c r="CC97" s="325"/>
      <c r="CD97" s="325"/>
      <c r="CE97" s="325"/>
      <c r="CF97" s="325"/>
      <c r="CG97" s="325"/>
      <c r="CH97" s="325"/>
      <c r="CI97" s="325"/>
      <c r="CJ97" s="325"/>
      <c r="CK97" s="325"/>
      <c r="CL97" s="325"/>
      <c r="CM97" s="325"/>
      <c r="CN97" s="325"/>
    </row>
    <row r="98" spans="1:92" ht="14.25" hidden="1" customHeight="1" x14ac:dyDescent="0.2">
      <c r="A98" s="3"/>
      <c r="B98" s="3"/>
      <c r="C98" s="3"/>
      <c r="D98" s="90">
        <v>0.68</v>
      </c>
      <c r="E98" s="186">
        <v>271151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24"/>
      <c r="AH98" s="325"/>
      <c r="AI98" s="325"/>
      <c r="AJ98" s="325"/>
      <c r="AK98" s="325"/>
      <c r="AL98" s="325"/>
      <c r="AM98" s="325"/>
      <c r="AN98" s="325"/>
      <c r="AO98" s="325"/>
      <c r="AP98" s="325"/>
      <c r="AQ98" s="325"/>
      <c r="AR98" s="325"/>
      <c r="AS98" s="325"/>
      <c r="AT98" s="325"/>
      <c r="AU98" s="325"/>
      <c r="AV98" s="325"/>
      <c r="AW98" s="325"/>
      <c r="AX98" s="325"/>
      <c r="AY98" s="325"/>
      <c r="AZ98" s="325"/>
      <c r="BA98" s="325"/>
      <c r="BB98" s="325"/>
      <c r="BC98" s="325"/>
      <c r="BD98" s="325"/>
      <c r="BE98" s="325"/>
      <c r="BF98" s="325"/>
      <c r="BG98" s="325"/>
      <c r="BH98" s="325"/>
      <c r="BI98" s="325"/>
      <c r="BJ98" s="325"/>
      <c r="BK98" s="325"/>
      <c r="BL98" s="325"/>
      <c r="BM98" s="325"/>
      <c r="BN98" s="325"/>
      <c r="BO98" s="325"/>
      <c r="BP98" s="325"/>
      <c r="BQ98" s="325"/>
      <c r="BR98" s="325"/>
      <c r="BS98" s="325"/>
      <c r="BT98" s="325"/>
      <c r="BU98" s="325"/>
      <c r="BV98" s="325"/>
      <c r="BW98" s="325"/>
      <c r="BX98" s="325"/>
      <c r="BY98" s="325"/>
      <c r="BZ98" s="325"/>
      <c r="CA98" s="325"/>
      <c r="CB98" s="325"/>
      <c r="CC98" s="325"/>
      <c r="CD98" s="325"/>
      <c r="CE98" s="325"/>
      <c r="CF98" s="325"/>
      <c r="CG98" s="325"/>
      <c r="CH98" s="325"/>
      <c r="CI98" s="325"/>
      <c r="CJ98" s="325"/>
      <c r="CK98" s="325"/>
      <c r="CL98" s="325"/>
      <c r="CM98" s="325"/>
      <c r="CN98" s="325"/>
    </row>
    <row r="99" spans="1:92" ht="14.25" hidden="1" customHeight="1" x14ac:dyDescent="0.2">
      <c r="A99" s="3"/>
      <c r="B99" s="3"/>
      <c r="C99" s="3"/>
      <c r="D99" s="90">
        <v>0.69</v>
      </c>
      <c r="E99" s="186">
        <v>254171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24"/>
      <c r="AH99" s="325"/>
      <c r="AI99" s="325"/>
      <c r="AJ99" s="325"/>
      <c r="AK99" s="325"/>
      <c r="AL99" s="325"/>
      <c r="AM99" s="325"/>
      <c r="AN99" s="325"/>
      <c r="AO99" s="325"/>
      <c r="AP99" s="325"/>
      <c r="AQ99" s="325"/>
      <c r="AR99" s="325"/>
      <c r="AS99" s="325"/>
      <c r="AT99" s="325"/>
      <c r="AU99" s="325"/>
      <c r="AV99" s="325"/>
      <c r="AW99" s="325"/>
      <c r="AX99" s="325"/>
      <c r="AY99" s="325"/>
      <c r="AZ99" s="325"/>
      <c r="BA99" s="325"/>
      <c r="BB99" s="325"/>
      <c r="BC99" s="325"/>
      <c r="BD99" s="325"/>
      <c r="BE99" s="325"/>
      <c r="BF99" s="325"/>
      <c r="BG99" s="325"/>
      <c r="BH99" s="325"/>
      <c r="BI99" s="325"/>
      <c r="BJ99" s="325"/>
      <c r="BK99" s="325"/>
      <c r="BL99" s="325"/>
      <c r="BM99" s="325"/>
      <c r="BN99" s="325"/>
      <c r="BO99" s="325"/>
      <c r="BP99" s="325"/>
      <c r="BQ99" s="325"/>
      <c r="BR99" s="325"/>
      <c r="BS99" s="325"/>
      <c r="BT99" s="325"/>
      <c r="BU99" s="325"/>
      <c r="BV99" s="325"/>
      <c r="BW99" s="325"/>
      <c r="BX99" s="325"/>
      <c r="BY99" s="325"/>
      <c r="BZ99" s="325"/>
      <c r="CA99" s="325"/>
      <c r="CB99" s="325"/>
      <c r="CC99" s="325"/>
      <c r="CD99" s="325"/>
      <c r="CE99" s="325"/>
      <c r="CF99" s="325"/>
      <c r="CG99" s="325"/>
      <c r="CH99" s="325"/>
      <c r="CI99" s="325"/>
      <c r="CJ99" s="325"/>
      <c r="CK99" s="325"/>
      <c r="CL99" s="325"/>
      <c r="CM99" s="325"/>
      <c r="CN99" s="325"/>
    </row>
    <row r="100" spans="1:92" ht="14.25" hidden="1" customHeight="1" x14ac:dyDescent="0.2">
      <c r="A100" s="3"/>
      <c r="B100" s="3"/>
      <c r="C100" s="3"/>
      <c r="D100" s="90">
        <v>0.7</v>
      </c>
      <c r="E100" s="186">
        <v>239192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24"/>
      <c r="AH100" s="325"/>
      <c r="AI100" s="325"/>
      <c r="AJ100" s="325"/>
      <c r="AK100" s="325"/>
      <c r="AL100" s="325"/>
      <c r="AM100" s="325"/>
      <c r="AN100" s="325"/>
      <c r="AO100" s="325"/>
      <c r="AP100" s="325"/>
      <c r="AQ100" s="325"/>
      <c r="AR100" s="325"/>
      <c r="AS100" s="325"/>
      <c r="AT100" s="325"/>
      <c r="AU100" s="325"/>
      <c r="AV100" s="325"/>
      <c r="AW100" s="325"/>
      <c r="AX100" s="325"/>
      <c r="AY100" s="325"/>
      <c r="AZ100" s="325"/>
      <c r="BA100" s="325"/>
      <c r="BB100" s="325"/>
      <c r="BC100" s="325"/>
      <c r="BD100" s="325"/>
      <c r="BE100" s="325"/>
      <c r="BF100" s="325"/>
      <c r="BG100" s="325"/>
      <c r="BH100" s="325"/>
      <c r="BI100" s="325"/>
      <c r="BJ100" s="325"/>
      <c r="BK100" s="325"/>
      <c r="BL100" s="325"/>
      <c r="BM100" s="325"/>
      <c r="BN100" s="325"/>
      <c r="BO100" s="325"/>
      <c r="BP100" s="325"/>
      <c r="BQ100" s="325"/>
      <c r="BR100" s="325"/>
      <c r="BS100" s="325"/>
      <c r="BT100" s="325"/>
      <c r="BU100" s="325"/>
      <c r="BV100" s="325"/>
      <c r="BW100" s="325"/>
      <c r="BX100" s="325"/>
      <c r="BY100" s="325"/>
      <c r="BZ100" s="325"/>
      <c r="CA100" s="325"/>
      <c r="CB100" s="325"/>
      <c r="CC100" s="325"/>
      <c r="CD100" s="325"/>
      <c r="CE100" s="325"/>
      <c r="CF100" s="325"/>
      <c r="CG100" s="325"/>
      <c r="CH100" s="325"/>
      <c r="CI100" s="325"/>
      <c r="CJ100" s="325"/>
      <c r="CK100" s="325"/>
      <c r="CL100" s="325"/>
      <c r="CM100" s="325"/>
      <c r="CN100" s="325"/>
    </row>
    <row r="101" spans="1:92" ht="14.25" hidden="1" customHeight="1" x14ac:dyDescent="0.2">
      <c r="A101" s="3"/>
      <c r="B101" s="3"/>
      <c r="C101" s="3"/>
      <c r="D101" s="52">
        <v>0.71</v>
      </c>
      <c r="E101" s="186">
        <v>225881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24"/>
      <c r="AH101" s="325"/>
      <c r="AI101" s="325"/>
      <c r="AJ101" s="325"/>
      <c r="AK101" s="325"/>
      <c r="AL101" s="325"/>
      <c r="AM101" s="325"/>
      <c r="AN101" s="325"/>
      <c r="AO101" s="325"/>
      <c r="AP101" s="325"/>
      <c r="AQ101" s="325"/>
      <c r="AR101" s="325"/>
      <c r="AS101" s="325"/>
      <c r="AT101" s="325"/>
      <c r="AU101" s="325"/>
      <c r="AV101" s="325"/>
      <c r="AW101" s="325"/>
      <c r="AX101" s="325"/>
      <c r="AY101" s="325"/>
      <c r="AZ101" s="325"/>
      <c r="BA101" s="325"/>
      <c r="BB101" s="325"/>
      <c r="BC101" s="325"/>
      <c r="BD101" s="325"/>
      <c r="BE101" s="325"/>
      <c r="BF101" s="325"/>
      <c r="BG101" s="325"/>
      <c r="BH101" s="325"/>
      <c r="BI101" s="325"/>
      <c r="BJ101" s="325"/>
      <c r="BK101" s="325"/>
      <c r="BL101" s="325"/>
      <c r="BM101" s="325"/>
      <c r="BN101" s="325"/>
      <c r="BO101" s="325"/>
      <c r="BP101" s="325"/>
      <c r="BQ101" s="325"/>
      <c r="BR101" s="325"/>
      <c r="BS101" s="325"/>
      <c r="BT101" s="325"/>
      <c r="BU101" s="325"/>
      <c r="BV101" s="325"/>
      <c r="BW101" s="325"/>
      <c r="BX101" s="325"/>
      <c r="BY101" s="325"/>
      <c r="BZ101" s="325"/>
      <c r="CA101" s="325"/>
      <c r="CB101" s="325"/>
      <c r="CC101" s="325"/>
      <c r="CD101" s="325"/>
      <c r="CE101" s="325"/>
      <c r="CF101" s="325"/>
      <c r="CG101" s="325"/>
      <c r="CH101" s="325"/>
      <c r="CI101" s="325"/>
      <c r="CJ101" s="325"/>
      <c r="CK101" s="325"/>
      <c r="CL101" s="325"/>
      <c r="CM101" s="325"/>
      <c r="CN101" s="325"/>
    </row>
    <row r="102" spans="1:92" ht="14.25" hidden="1" customHeight="1" x14ac:dyDescent="0.2">
      <c r="A102" s="3"/>
      <c r="B102" s="3"/>
      <c r="C102" s="3"/>
      <c r="D102" s="52">
        <v>0.72</v>
      </c>
      <c r="E102" s="186">
        <v>213973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24"/>
      <c r="AH102" s="325"/>
      <c r="AI102" s="325"/>
      <c r="AJ102" s="325"/>
      <c r="AK102" s="325"/>
      <c r="AL102" s="325"/>
      <c r="AM102" s="325"/>
      <c r="AN102" s="325"/>
      <c r="AO102" s="325"/>
      <c r="AP102" s="325"/>
      <c r="AQ102" s="325"/>
      <c r="AR102" s="325"/>
      <c r="AS102" s="325"/>
      <c r="AT102" s="325"/>
      <c r="AU102" s="325"/>
      <c r="AV102" s="325"/>
      <c r="AW102" s="325"/>
      <c r="AX102" s="325"/>
      <c r="AY102" s="325"/>
      <c r="AZ102" s="325"/>
      <c r="BA102" s="325"/>
      <c r="BB102" s="325"/>
      <c r="BC102" s="325"/>
      <c r="BD102" s="325"/>
      <c r="BE102" s="325"/>
      <c r="BF102" s="325"/>
      <c r="BG102" s="325"/>
      <c r="BH102" s="325"/>
      <c r="BI102" s="325"/>
      <c r="BJ102" s="325"/>
      <c r="BK102" s="325"/>
      <c r="BL102" s="325"/>
      <c r="BM102" s="325"/>
      <c r="BN102" s="325"/>
      <c r="BO102" s="325"/>
      <c r="BP102" s="325"/>
      <c r="BQ102" s="325"/>
      <c r="BR102" s="325"/>
      <c r="BS102" s="325"/>
      <c r="BT102" s="325"/>
      <c r="BU102" s="325"/>
      <c r="BV102" s="325"/>
      <c r="BW102" s="325"/>
      <c r="BX102" s="325"/>
      <c r="BY102" s="325"/>
      <c r="BZ102" s="325"/>
      <c r="CA102" s="325"/>
      <c r="CB102" s="325"/>
      <c r="CC102" s="325"/>
      <c r="CD102" s="325"/>
      <c r="CE102" s="325"/>
      <c r="CF102" s="325"/>
      <c r="CG102" s="325"/>
      <c r="CH102" s="325"/>
      <c r="CI102" s="325"/>
      <c r="CJ102" s="325"/>
      <c r="CK102" s="325"/>
      <c r="CL102" s="325"/>
      <c r="CM102" s="325"/>
      <c r="CN102" s="325"/>
    </row>
    <row r="103" spans="1:92" ht="14.25" hidden="1" customHeight="1" x14ac:dyDescent="0.2">
      <c r="A103" s="3"/>
      <c r="B103" s="3"/>
      <c r="C103" s="3"/>
      <c r="D103" s="52">
        <v>0.73</v>
      </c>
      <c r="E103" s="186">
        <v>203258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24"/>
      <c r="AH103" s="325"/>
      <c r="AI103" s="325"/>
      <c r="AJ103" s="325"/>
      <c r="AK103" s="325"/>
      <c r="AL103" s="325"/>
      <c r="AM103" s="325"/>
      <c r="AN103" s="325"/>
      <c r="AO103" s="325"/>
      <c r="AP103" s="325"/>
      <c r="AQ103" s="325"/>
      <c r="AR103" s="325"/>
      <c r="AS103" s="325"/>
      <c r="AT103" s="325"/>
      <c r="AU103" s="325"/>
      <c r="AV103" s="325"/>
      <c r="AW103" s="325"/>
      <c r="AX103" s="325"/>
      <c r="AY103" s="325"/>
      <c r="AZ103" s="325"/>
      <c r="BA103" s="325"/>
      <c r="BB103" s="325"/>
      <c r="BC103" s="325"/>
      <c r="BD103" s="325"/>
      <c r="BE103" s="325"/>
      <c r="BF103" s="325"/>
      <c r="BG103" s="325"/>
      <c r="BH103" s="325"/>
      <c r="BI103" s="325"/>
      <c r="BJ103" s="325"/>
      <c r="BK103" s="325"/>
      <c r="BL103" s="325"/>
      <c r="BM103" s="325"/>
      <c r="BN103" s="325"/>
      <c r="BO103" s="325"/>
      <c r="BP103" s="325"/>
      <c r="BQ103" s="325"/>
      <c r="BR103" s="325"/>
      <c r="BS103" s="325"/>
      <c r="BT103" s="325"/>
      <c r="BU103" s="325"/>
      <c r="BV103" s="325"/>
      <c r="BW103" s="325"/>
      <c r="BX103" s="325"/>
      <c r="BY103" s="325"/>
      <c r="BZ103" s="325"/>
      <c r="CA103" s="325"/>
      <c r="CB103" s="325"/>
      <c r="CC103" s="325"/>
      <c r="CD103" s="325"/>
      <c r="CE103" s="325"/>
      <c r="CF103" s="325"/>
      <c r="CG103" s="325"/>
      <c r="CH103" s="325"/>
      <c r="CI103" s="325"/>
      <c r="CJ103" s="325"/>
      <c r="CK103" s="325"/>
      <c r="CL103" s="325"/>
      <c r="CM103" s="325"/>
      <c r="CN103" s="325"/>
    </row>
    <row r="104" spans="1:92" ht="14.25" hidden="1" customHeight="1" x14ac:dyDescent="0.2">
      <c r="A104" s="3"/>
      <c r="B104" s="3"/>
      <c r="C104" s="3"/>
      <c r="D104" s="52">
        <v>0.74</v>
      </c>
      <c r="E104" s="52">
        <v>193564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24"/>
      <c r="AH104" s="325"/>
      <c r="AI104" s="325"/>
      <c r="AJ104" s="325"/>
      <c r="AK104" s="325"/>
      <c r="AL104" s="325"/>
      <c r="AM104" s="325"/>
      <c r="AN104" s="325"/>
      <c r="AO104" s="325"/>
      <c r="AP104" s="325"/>
      <c r="AQ104" s="325"/>
      <c r="AR104" s="325"/>
      <c r="AS104" s="325"/>
      <c r="AT104" s="325"/>
      <c r="AU104" s="325"/>
      <c r="AV104" s="325"/>
      <c r="AW104" s="325"/>
      <c r="AX104" s="325"/>
      <c r="AY104" s="325"/>
      <c r="AZ104" s="325"/>
      <c r="BA104" s="325"/>
      <c r="BB104" s="325"/>
      <c r="BC104" s="325"/>
      <c r="BD104" s="325"/>
      <c r="BE104" s="325"/>
      <c r="BF104" s="325"/>
      <c r="BG104" s="325"/>
      <c r="BH104" s="325"/>
      <c r="BI104" s="325"/>
      <c r="BJ104" s="325"/>
      <c r="BK104" s="325"/>
      <c r="BL104" s="325"/>
      <c r="BM104" s="325"/>
      <c r="BN104" s="325"/>
      <c r="BO104" s="325"/>
      <c r="BP104" s="325"/>
      <c r="BQ104" s="325"/>
      <c r="BR104" s="325"/>
      <c r="BS104" s="325"/>
      <c r="BT104" s="325"/>
      <c r="BU104" s="325"/>
      <c r="BV104" s="325"/>
      <c r="BW104" s="325"/>
      <c r="BX104" s="325"/>
      <c r="BY104" s="325"/>
      <c r="BZ104" s="325"/>
      <c r="CA104" s="325"/>
      <c r="CB104" s="325"/>
      <c r="CC104" s="325"/>
      <c r="CD104" s="325"/>
      <c r="CE104" s="325"/>
      <c r="CF104" s="325"/>
      <c r="CG104" s="325"/>
      <c r="CH104" s="325"/>
      <c r="CI104" s="325"/>
      <c r="CJ104" s="325"/>
      <c r="CK104" s="325"/>
      <c r="CL104" s="325"/>
      <c r="CM104" s="325"/>
      <c r="CN104" s="325"/>
    </row>
    <row r="105" spans="1:92" ht="14.25" hidden="1" customHeight="1" x14ac:dyDescent="0.2">
      <c r="A105" s="3"/>
      <c r="B105" s="3"/>
      <c r="C105" s="3"/>
      <c r="D105" s="52">
        <v>0.75</v>
      </c>
      <c r="E105" s="52">
        <v>184753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24"/>
      <c r="AH105" s="325"/>
      <c r="AI105" s="325"/>
      <c r="AJ105" s="325"/>
      <c r="AK105" s="325"/>
      <c r="AL105" s="325"/>
      <c r="AM105" s="325"/>
      <c r="AN105" s="325"/>
      <c r="AO105" s="325"/>
      <c r="AP105" s="325"/>
      <c r="AQ105" s="325"/>
      <c r="AR105" s="325"/>
      <c r="AS105" s="325"/>
      <c r="AT105" s="325"/>
      <c r="AU105" s="325"/>
      <c r="AV105" s="325"/>
      <c r="AW105" s="325"/>
      <c r="AX105" s="325"/>
      <c r="AY105" s="325"/>
      <c r="AZ105" s="325"/>
      <c r="BA105" s="325"/>
      <c r="BB105" s="325"/>
      <c r="BC105" s="325"/>
      <c r="BD105" s="325"/>
      <c r="BE105" s="325"/>
      <c r="BF105" s="325"/>
      <c r="BG105" s="325"/>
      <c r="BH105" s="325"/>
      <c r="BI105" s="325"/>
      <c r="BJ105" s="325"/>
      <c r="BK105" s="325"/>
      <c r="BL105" s="325"/>
      <c r="BM105" s="325"/>
      <c r="BN105" s="325"/>
      <c r="BO105" s="325"/>
      <c r="BP105" s="325"/>
      <c r="BQ105" s="325"/>
      <c r="BR105" s="325"/>
      <c r="BS105" s="325"/>
      <c r="BT105" s="325"/>
      <c r="BU105" s="325"/>
      <c r="BV105" s="325"/>
      <c r="BW105" s="325"/>
      <c r="BX105" s="325"/>
      <c r="BY105" s="325"/>
      <c r="BZ105" s="325"/>
      <c r="CA105" s="325"/>
      <c r="CB105" s="325"/>
      <c r="CC105" s="325"/>
      <c r="CD105" s="325"/>
      <c r="CE105" s="325"/>
      <c r="CF105" s="325"/>
      <c r="CG105" s="325"/>
      <c r="CH105" s="325"/>
      <c r="CI105" s="325"/>
      <c r="CJ105" s="325"/>
      <c r="CK105" s="325"/>
      <c r="CL105" s="325"/>
      <c r="CM105" s="325"/>
      <c r="CN105" s="325"/>
    </row>
    <row r="106" spans="1:92" ht="14.25" hidden="1" customHeight="1" x14ac:dyDescent="0.2">
      <c r="A106" s="3"/>
      <c r="B106" s="3"/>
      <c r="C106" s="3"/>
      <c r="D106" s="52">
        <v>0.76</v>
      </c>
      <c r="E106" s="52">
        <v>176710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24"/>
      <c r="AH106" s="325"/>
      <c r="AI106" s="325"/>
      <c r="AJ106" s="325"/>
      <c r="AK106" s="325"/>
      <c r="AL106" s="325"/>
      <c r="AM106" s="325"/>
      <c r="AN106" s="325"/>
      <c r="AO106" s="325"/>
      <c r="AP106" s="325"/>
      <c r="AQ106" s="325"/>
      <c r="AR106" s="325"/>
      <c r="AS106" s="325"/>
      <c r="AT106" s="325"/>
      <c r="AU106" s="325"/>
      <c r="AV106" s="325"/>
      <c r="AW106" s="325"/>
      <c r="AX106" s="325"/>
      <c r="AY106" s="325"/>
      <c r="AZ106" s="325"/>
      <c r="BA106" s="325"/>
      <c r="BB106" s="325"/>
      <c r="BC106" s="325"/>
      <c r="BD106" s="325"/>
      <c r="BE106" s="325"/>
      <c r="BF106" s="325"/>
      <c r="BG106" s="325"/>
      <c r="BH106" s="325"/>
      <c r="BI106" s="325"/>
      <c r="BJ106" s="325"/>
      <c r="BK106" s="325"/>
      <c r="BL106" s="325"/>
      <c r="BM106" s="325"/>
      <c r="BN106" s="325"/>
      <c r="BO106" s="325"/>
      <c r="BP106" s="325"/>
      <c r="BQ106" s="325"/>
      <c r="BR106" s="325"/>
      <c r="BS106" s="325"/>
      <c r="BT106" s="325"/>
      <c r="BU106" s="325"/>
      <c r="BV106" s="325"/>
      <c r="BW106" s="325"/>
      <c r="BX106" s="325"/>
      <c r="BY106" s="325"/>
      <c r="BZ106" s="325"/>
      <c r="CA106" s="325"/>
      <c r="CB106" s="325"/>
      <c r="CC106" s="325"/>
      <c r="CD106" s="325"/>
      <c r="CE106" s="325"/>
      <c r="CF106" s="325"/>
      <c r="CG106" s="325"/>
      <c r="CH106" s="325"/>
      <c r="CI106" s="325"/>
      <c r="CJ106" s="325"/>
      <c r="CK106" s="325"/>
      <c r="CL106" s="325"/>
      <c r="CM106" s="325"/>
      <c r="CN106" s="325"/>
    </row>
    <row r="107" spans="1:92" ht="14.25" hidden="1" customHeight="1" x14ac:dyDescent="0.2">
      <c r="A107" s="3"/>
      <c r="B107" s="3"/>
      <c r="C107" s="3"/>
      <c r="D107" s="52">
        <v>0.77</v>
      </c>
      <c r="E107" s="52">
        <v>169337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24"/>
      <c r="AH107" s="325"/>
      <c r="AI107" s="325"/>
      <c r="AJ107" s="325"/>
      <c r="AK107" s="325"/>
      <c r="AL107" s="325"/>
      <c r="AM107" s="325"/>
      <c r="AN107" s="325"/>
      <c r="AO107" s="325"/>
      <c r="AP107" s="325"/>
      <c r="AQ107" s="325"/>
      <c r="AR107" s="325"/>
      <c r="AS107" s="325"/>
      <c r="AT107" s="325"/>
      <c r="AU107" s="325"/>
      <c r="AV107" s="325"/>
      <c r="AW107" s="325"/>
      <c r="AX107" s="325"/>
      <c r="AY107" s="325"/>
      <c r="AZ107" s="325"/>
      <c r="BA107" s="325"/>
      <c r="BB107" s="325"/>
      <c r="BC107" s="325"/>
      <c r="BD107" s="325"/>
      <c r="BE107" s="325"/>
      <c r="BF107" s="325"/>
      <c r="BG107" s="325"/>
      <c r="BH107" s="325"/>
      <c r="BI107" s="325"/>
      <c r="BJ107" s="325"/>
      <c r="BK107" s="325"/>
      <c r="BL107" s="325"/>
      <c r="BM107" s="325"/>
      <c r="BN107" s="325"/>
      <c r="BO107" s="325"/>
      <c r="BP107" s="325"/>
      <c r="BQ107" s="325"/>
      <c r="BR107" s="325"/>
      <c r="BS107" s="325"/>
      <c r="BT107" s="325"/>
      <c r="BU107" s="325"/>
      <c r="BV107" s="325"/>
      <c r="BW107" s="325"/>
      <c r="BX107" s="325"/>
      <c r="BY107" s="325"/>
      <c r="BZ107" s="325"/>
      <c r="CA107" s="325"/>
      <c r="CB107" s="325"/>
      <c r="CC107" s="325"/>
      <c r="CD107" s="325"/>
      <c r="CE107" s="325"/>
      <c r="CF107" s="325"/>
      <c r="CG107" s="325"/>
      <c r="CH107" s="325"/>
      <c r="CI107" s="325"/>
      <c r="CJ107" s="325"/>
      <c r="CK107" s="325"/>
      <c r="CL107" s="325"/>
      <c r="CM107" s="325"/>
      <c r="CN107" s="325"/>
    </row>
    <row r="108" spans="1:92" ht="14.25" hidden="1" customHeight="1" x14ac:dyDescent="0.2">
      <c r="A108" s="3"/>
      <c r="B108" s="3"/>
      <c r="C108" s="3"/>
      <c r="D108" s="52">
        <v>0.78</v>
      </c>
      <c r="E108" s="52">
        <v>162555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24"/>
      <c r="AH108" s="325"/>
      <c r="AI108" s="325"/>
      <c r="AJ108" s="325"/>
      <c r="AK108" s="325"/>
      <c r="AL108" s="325"/>
      <c r="AM108" s="325"/>
      <c r="AN108" s="325"/>
      <c r="AO108" s="325"/>
      <c r="AP108" s="325"/>
      <c r="AQ108" s="325"/>
      <c r="AR108" s="325"/>
      <c r="AS108" s="325"/>
      <c r="AT108" s="325"/>
      <c r="AU108" s="325"/>
      <c r="AV108" s="325"/>
      <c r="AW108" s="325"/>
      <c r="AX108" s="325"/>
      <c r="AY108" s="325"/>
      <c r="AZ108" s="325"/>
      <c r="BA108" s="325"/>
      <c r="BB108" s="325"/>
      <c r="BC108" s="325"/>
      <c r="BD108" s="325"/>
      <c r="BE108" s="325"/>
      <c r="BF108" s="325"/>
      <c r="BG108" s="325"/>
      <c r="BH108" s="325"/>
      <c r="BI108" s="325"/>
      <c r="BJ108" s="325"/>
      <c r="BK108" s="325"/>
      <c r="BL108" s="325"/>
      <c r="BM108" s="325"/>
      <c r="BN108" s="325"/>
      <c r="BO108" s="325"/>
      <c r="BP108" s="325"/>
      <c r="BQ108" s="325"/>
      <c r="BR108" s="325"/>
      <c r="BS108" s="325"/>
      <c r="BT108" s="325"/>
      <c r="BU108" s="325"/>
      <c r="BV108" s="325"/>
      <c r="BW108" s="325"/>
      <c r="BX108" s="325"/>
      <c r="BY108" s="325"/>
      <c r="BZ108" s="325"/>
      <c r="CA108" s="325"/>
      <c r="CB108" s="325"/>
      <c r="CC108" s="325"/>
      <c r="CD108" s="325"/>
      <c r="CE108" s="325"/>
      <c r="CF108" s="325"/>
      <c r="CG108" s="325"/>
      <c r="CH108" s="325"/>
      <c r="CI108" s="325"/>
      <c r="CJ108" s="325"/>
      <c r="CK108" s="325"/>
      <c r="CL108" s="325"/>
      <c r="CM108" s="325"/>
      <c r="CN108" s="325"/>
    </row>
    <row r="109" spans="1:92" ht="14.25" hidden="1" customHeight="1" x14ac:dyDescent="0.2">
      <c r="A109" s="3"/>
      <c r="B109" s="3"/>
      <c r="C109" s="3"/>
      <c r="D109" s="52">
        <v>0.79</v>
      </c>
      <c r="E109" s="52">
        <v>156296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24"/>
      <c r="AH109" s="325"/>
      <c r="AI109" s="325"/>
      <c r="AJ109" s="325"/>
      <c r="AK109" s="325"/>
      <c r="AL109" s="325"/>
      <c r="AM109" s="325"/>
      <c r="AN109" s="325"/>
      <c r="AO109" s="325"/>
      <c r="AP109" s="325"/>
      <c r="AQ109" s="325"/>
      <c r="AR109" s="325"/>
      <c r="AS109" s="325"/>
      <c r="AT109" s="325"/>
      <c r="AU109" s="325"/>
      <c r="AV109" s="325"/>
      <c r="AW109" s="325"/>
      <c r="AX109" s="325"/>
      <c r="AY109" s="325"/>
      <c r="AZ109" s="325"/>
      <c r="BA109" s="325"/>
      <c r="BB109" s="325"/>
      <c r="BC109" s="325"/>
      <c r="BD109" s="325"/>
      <c r="BE109" s="325"/>
      <c r="BF109" s="325"/>
      <c r="BG109" s="325"/>
      <c r="BH109" s="325"/>
      <c r="BI109" s="325"/>
      <c r="BJ109" s="325"/>
      <c r="BK109" s="325"/>
      <c r="BL109" s="325"/>
      <c r="BM109" s="325"/>
      <c r="BN109" s="325"/>
      <c r="BO109" s="325"/>
      <c r="BP109" s="325"/>
      <c r="BQ109" s="325"/>
      <c r="BR109" s="325"/>
      <c r="BS109" s="325"/>
      <c r="BT109" s="325"/>
      <c r="BU109" s="325"/>
      <c r="BV109" s="325"/>
      <c r="BW109" s="325"/>
      <c r="BX109" s="325"/>
      <c r="BY109" s="325"/>
      <c r="BZ109" s="325"/>
      <c r="CA109" s="325"/>
      <c r="CB109" s="325"/>
      <c r="CC109" s="325"/>
      <c r="CD109" s="325"/>
      <c r="CE109" s="325"/>
      <c r="CF109" s="325"/>
      <c r="CG109" s="325"/>
      <c r="CH109" s="325"/>
      <c r="CI109" s="325"/>
      <c r="CJ109" s="325"/>
      <c r="CK109" s="325"/>
      <c r="CL109" s="325"/>
      <c r="CM109" s="325"/>
      <c r="CN109" s="325"/>
    </row>
    <row r="110" spans="1:92" ht="14.25" hidden="1" customHeight="1" x14ac:dyDescent="0.2">
      <c r="A110" s="3"/>
      <c r="B110" s="3"/>
      <c r="C110" s="3"/>
      <c r="D110" s="52">
        <v>0.8</v>
      </c>
      <c r="E110" s="52">
        <v>150500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24"/>
      <c r="AH110" s="325"/>
      <c r="AI110" s="325"/>
      <c r="AJ110" s="325"/>
      <c r="AK110" s="325"/>
      <c r="AL110" s="325"/>
      <c r="AM110" s="325"/>
      <c r="AN110" s="325"/>
      <c r="AO110" s="325"/>
      <c r="AP110" s="325"/>
      <c r="AQ110" s="325"/>
      <c r="AR110" s="325"/>
      <c r="AS110" s="325"/>
      <c r="AT110" s="325"/>
      <c r="AU110" s="325"/>
      <c r="AV110" s="325"/>
      <c r="AW110" s="325"/>
      <c r="AX110" s="325"/>
      <c r="AY110" s="325"/>
      <c r="AZ110" s="325"/>
      <c r="BA110" s="325"/>
      <c r="BB110" s="325"/>
      <c r="BC110" s="325"/>
      <c r="BD110" s="325"/>
      <c r="BE110" s="325"/>
      <c r="BF110" s="325"/>
      <c r="BG110" s="325"/>
      <c r="BH110" s="325"/>
      <c r="BI110" s="325"/>
      <c r="BJ110" s="325"/>
      <c r="BK110" s="325"/>
      <c r="BL110" s="325"/>
      <c r="BM110" s="325"/>
      <c r="BN110" s="325"/>
      <c r="BO110" s="325"/>
      <c r="BP110" s="325"/>
      <c r="BQ110" s="325"/>
      <c r="BR110" s="325"/>
      <c r="BS110" s="325"/>
      <c r="BT110" s="325"/>
      <c r="BU110" s="325"/>
      <c r="BV110" s="325"/>
      <c r="BW110" s="325"/>
      <c r="BX110" s="325"/>
      <c r="BY110" s="325"/>
      <c r="BZ110" s="325"/>
      <c r="CA110" s="325"/>
      <c r="CB110" s="325"/>
      <c r="CC110" s="325"/>
      <c r="CD110" s="325"/>
      <c r="CE110" s="325"/>
      <c r="CF110" s="325"/>
      <c r="CG110" s="325"/>
      <c r="CH110" s="325"/>
      <c r="CI110" s="325"/>
      <c r="CJ110" s="325"/>
      <c r="CK110" s="325"/>
      <c r="CL110" s="325"/>
      <c r="CM110" s="325"/>
      <c r="CN110" s="325"/>
    </row>
    <row r="111" spans="1:92" ht="14.25" hidden="1" customHeight="1" x14ac:dyDescent="0.2">
      <c r="A111" s="3"/>
      <c r="B111" s="3"/>
      <c r="C111" s="3"/>
      <c r="D111" s="52"/>
      <c r="E111" s="52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24"/>
      <c r="AH111" s="325"/>
      <c r="AI111" s="325"/>
      <c r="AJ111" s="325"/>
      <c r="AK111" s="325"/>
      <c r="AL111" s="325"/>
      <c r="AM111" s="325"/>
      <c r="AN111" s="325"/>
      <c r="AO111" s="325"/>
      <c r="AP111" s="325"/>
      <c r="AQ111" s="325"/>
      <c r="AR111" s="325"/>
      <c r="AS111" s="325"/>
      <c r="AT111" s="325"/>
      <c r="AU111" s="325"/>
      <c r="AV111" s="325"/>
      <c r="AW111" s="325"/>
      <c r="AX111" s="325"/>
      <c r="AY111" s="325"/>
      <c r="AZ111" s="325"/>
      <c r="BA111" s="325"/>
      <c r="BB111" s="325"/>
      <c r="BC111" s="325"/>
      <c r="BD111" s="325"/>
      <c r="BE111" s="325"/>
      <c r="BF111" s="325"/>
      <c r="BG111" s="325"/>
      <c r="BH111" s="325"/>
      <c r="BI111" s="325"/>
      <c r="BJ111" s="325"/>
      <c r="BK111" s="325"/>
      <c r="BL111" s="325"/>
      <c r="BM111" s="325"/>
      <c r="BN111" s="325"/>
      <c r="BO111" s="325"/>
      <c r="BP111" s="325"/>
      <c r="BQ111" s="325"/>
      <c r="BR111" s="325"/>
      <c r="BS111" s="325"/>
      <c r="BT111" s="325"/>
      <c r="BU111" s="325"/>
      <c r="BV111" s="325"/>
      <c r="BW111" s="325"/>
      <c r="BX111" s="325"/>
      <c r="BY111" s="325"/>
      <c r="BZ111" s="325"/>
      <c r="CA111" s="325"/>
      <c r="CB111" s="325"/>
      <c r="CC111" s="325"/>
      <c r="CD111" s="325"/>
      <c r="CE111" s="325"/>
      <c r="CF111" s="325"/>
      <c r="CG111" s="325"/>
      <c r="CH111" s="325"/>
      <c r="CI111" s="325"/>
      <c r="CJ111" s="325"/>
      <c r="CK111" s="325"/>
      <c r="CL111" s="325"/>
      <c r="CM111" s="325"/>
      <c r="CN111" s="325"/>
    </row>
    <row r="112" spans="1:92" ht="14.25" hidden="1" customHeight="1" x14ac:dyDescent="0.2">
      <c r="A112" s="3"/>
      <c r="B112" s="3"/>
      <c r="C112" s="3"/>
      <c r="D112" s="52"/>
      <c r="E112" s="52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24"/>
      <c r="AH112" s="325"/>
      <c r="AI112" s="325"/>
      <c r="AJ112" s="325"/>
      <c r="AK112" s="325"/>
      <c r="AL112" s="325"/>
      <c r="AM112" s="325"/>
      <c r="AN112" s="325"/>
      <c r="AO112" s="325"/>
      <c r="AP112" s="325"/>
      <c r="AQ112" s="325"/>
      <c r="AR112" s="325"/>
      <c r="AS112" s="325"/>
      <c r="AT112" s="325"/>
      <c r="AU112" s="325"/>
      <c r="AV112" s="325"/>
      <c r="AW112" s="325"/>
      <c r="AX112" s="325"/>
      <c r="AY112" s="325"/>
      <c r="AZ112" s="325"/>
      <c r="BA112" s="325"/>
      <c r="BB112" s="325"/>
      <c r="BC112" s="325"/>
      <c r="BD112" s="325"/>
      <c r="BE112" s="325"/>
      <c r="BF112" s="325"/>
      <c r="BG112" s="325"/>
      <c r="BH112" s="325"/>
      <c r="BI112" s="325"/>
      <c r="BJ112" s="325"/>
      <c r="BK112" s="325"/>
      <c r="BL112" s="325"/>
      <c r="BM112" s="325"/>
      <c r="BN112" s="325"/>
      <c r="BO112" s="325"/>
      <c r="BP112" s="325"/>
      <c r="BQ112" s="325"/>
      <c r="BR112" s="325"/>
      <c r="BS112" s="325"/>
      <c r="BT112" s="325"/>
      <c r="BU112" s="325"/>
      <c r="BV112" s="325"/>
      <c r="BW112" s="325"/>
      <c r="BX112" s="325"/>
      <c r="BY112" s="325"/>
      <c r="BZ112" s="325"/>
      <c r="CA112" s="325"/>
      <c r="CB112" s="325"/>
      <c r="CC112" s="325"/>
      <c r="CD112" s="325"/>
      <c r="CE112" s="325"/>
      <c r="CF112" s="325"/>
      <c r="CG112" s="325"/>
      <c r="CH112" s="325"/>
      <c r="CI112" s="325"/>
      <c r="CJ112" s="325"/>
      <c r="CK112" s="325"/>
      <c r="CL112" s="325"/>
      <c r="CM112" s="325"/>
      <c r="CN112" s="325"/>
    </row>
    <row r="113" spans="1:92" ht="14.25" hidden="1" customHeight="1" x14ac:dyDescent="0.2">
      <c r="A113" s="3"/>
      <c r="B113" s="3"/>
      <c r="C113" s="3"/>
      <c r="D113" s="52"/>
      <c r="E113" s="52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24"/>
      <c r="AH113" s="325"/>
      <c r="AI113" s="325"/>
      <c r="AJ113" s="325"/>
      <c r="AK113" s="325"/>
      <c r="AL113" s="325"/>
      <c r="AM113" s="325"/>
      <c r="AN113" s="325"/>
      <c r="AO113" s="325"/>
      <c r="AP113" s="325"/>
      <c r="AQ113" s="325"/>
      <c r="AR113" s="325"/>
      <c r="AS113" s="325"/>
      <c r="AT113" s="325"/>
      <c r="AU113" s="325"/>
      <c r="AV113" s="325"/>
      <c r="AW113" s="325"/>
      <c r="AX113" s="325"/>
      <c r="AY113" s="325"/>
      <c r="AZ113" s="325"/>
      <c r="BA113" s="325"/>
      <c r="BB113" s="325"/>
      <c r="BC113" s="325"/>
      <c r="BD113" s="325"/>
      <c r="BE113" s="325"/>
      <c r="BF113" s="325"/>
      <c r="BG113" s="325"/>
      <c r="BH113" s="325"/>
      <c r="BI113" s="325"/>
      <c r="BJ113" s="325"/>
      <c r="BK113" s="325"/>
      <c r="BL113" s="325"/>
      <c r="BM113" s="325"/>
      <c r="BN113" s="325"/>
      <c r="BO113" s="325"/>
      <c r="BP113" s="325"/>
      <c r="BQ113" s="325"/>
      <c r="BR113" s="325"/>
      <c r="BS113" s="325"/>
      <c r="BT113" s="325"/>
      <c r="BU113" s="325"/>
      <c r="BV113" s="325"/>
      <c r="BW113" s="325"/>
      <c r="BX113" s="325"/>
      <c r="BY113" s="325"/>
      <c r="BZ113" s="325"/>
      <c r="CA113" s="325"/>
      <c r="CB113" s="325"/>
      <c r="CC113" s="325"/>
      <c r="CD113" s="325"/>
      <c r="CE113" s="325"/>
      <c r="CF113" s="325"/>
      <c r="CG113" s="325"/>
      <c r="CH113" s="325"/>
      <c r="CI113" s="325"/>
      <c r="CJ113" s="325"/>
      <c r="CK113" s="325"/>
      <c r="CL113" s="325"/>
      <c r="CM113" s="325"/>
      <c r="CN113" s="325"/>
    </row>
    <row r="114" spans="1:92" ht="14.25" hidden="1" customHeight="1" x14ac:dyDescent="0.2">
      <c r="A114" s="3"/>
      <c r="B114" s="3"/>
      <c r="C114" s="3"/>
      <c r="D114" s="52"/>
      <c r="E114" s="52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24"/>
      <c r="AH114" s="325"/>
      <c r="AI114" s="325"/>
      <c r="AJ114" s="325"/>
      <c r="AK114" s="325"/>
      <c r="AL114" s="325"/>
      <c r="AM114" s="325"/>
      <c r="AN114" s="325"/>
      <c r="AO114" s="325"/>
      <c r="AP114" s="325"/>
      <c r="AQ114" s="325"/>
      <c r="AR114" s="325"/>
      <c r="AS114" s="325"/>
      <c r="AT114" s="325"/>
      <c r="AU114" s="325"/>
      <c r="AV114" s="325"/>
      <c r="AW114" s="325"/>
      <c r="AX114" s="325"/>
      <c r="AY114" s="325"/>
      <c r="AZ114" s="325"/>
      <c r="BA114" s="325"/>
      <c r="BB114" s="325"/>
      <c r="BC114" s="325"/>
      <c r="BD114" s="325"/>
      <c r="BE114" s="325"/>
      <c r="BF114" s="325"/>
      <c r="BG114" s="325"/>
      <c r="BH114" s="325"/>
      <c r="BI114" s="325"/>
      <c r="BJ114" s="325"/>
      <c r="BK114" s="325"/>
      <c r="BL114" s="325"/>
      <c r="BM114" s="325"/>
      <c r="BN114" s="325"/>
      <c r="BO114" s="325"/>
      <c r="BP114" s="325"/>
      <c r="BQ114" s="325"/>
      <c r="BR114" s="325"/>
      <c r="BS114" s="325"/>
      <c r="BT114" s="325"/>
      <c r="BU114" s="325"/>
      <c r="BV114" s="325"/>
      <c r="BW114" s="325"/>
      <c r="BX114" s="325"/>
      <c r="BY114" s="325"/>
      <c r="BZ114" s="325"/>
      <c r="CA114" s="325"/>
      <c r="CB114" s="325"/>
      <c r="CC114" s="325"/>
      <c r="CD114" s="325"/>
      <c r="CE114" s="325"/>
      <c r="CF114" s="325"/>
      <c r="CG114" s="325"/>
      <c r="CH114" s="325"/>
      <c r="CI114" s="325"/>
      <c r="CJ114" s="325"/>
      <c r="CK114" s="325"/>
      <c r="CL114" s="325"/>
      <c r="CM114" s="325"/>
      <c r="CN114" s="325"/>
    </row>
    <row r="115" spans="1:92" ht="14.25" hidden="1" customHeight="1" x14ac:dyDescent="0.2">
      <c r="A115" s="3"/>
      <c r="B115" s="3"/>
      <c r="C115" s="3"/>
      <c r="D115" s="52"/>
      <c r="E115" s="52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24"/>
      <c r="AH115" s="325"/>
      <c r="AI115" s="325"/>
      <c r="AJ115" s="325"/>
      <c r="AK115" s="325"/>
      <c r="AL115" s="325"/>
      <c r="AM115" s="325"/>
      <c r="AN115" s="325"/>
      <c r="AO115" s="325"/>
      <c r="AP115" s="325"/>
      <c r="AQ115" s="325"/>
      <c r="AR115" s="325"/>
      <c r="AS115" s="325"/>
      <c r="AT115" s="325"/>
      <c r="AU115" s="325"/>
      <c r="AV115" s="325"/>
      <c r="AW115" s="325"/>
      <c r="AX115" s="325"/>
      <c r="AY115" s="325"/>
      <c r="AZ115" s="325"/>
      <c r="BA115" s="325"/>
      <c r="BB115" s="325"/>
      <c r="BC115" s="325"/>
      <c r="BD115" s="325"/>
      <c r="BE115" s="325"/>
      <c r="BF115" s="325"/>
      <c r="BG115" s="325"/>
      <c r="BH115" s="325"/>
      <c r="BI115" s="325"/>
      <c r="BJ115" s="325"/>
      <c r="BK115" s="325"/>
      <c r="BL115" s="325"/>
      <c r="BM115" s="325"/>
      <c r="BN115" s="325"/>
      <c r="BO115" s="325"/>
      <c r="BP115" s="325"/>
      <c r="BQ115" s="325"/>
      <c r="BR115" s="325"/>
      <c r="BS115" s="325"/>
      <c r="BT115" s="325"/>
      <c r="BU115" s="325"/>
      <c r="BV115" s="325"/>
      <c r="BW115" s="325"/>
      <c r="BX115" s="325"/>
      <c r="BY115" s="325"/>
      <c r="BZ115" s="325"/>
      <c r="CA115" s="325"/>
      <c r="CB115" s="325"/>
      <c r="CC115" s="325"/>
      <c r="CD115" s="325"/>
      <c r="CE115" s="325"/>
      <c r="CF115" s="325"/>
      <c r="CG115" s="325"/>
      <c r="CH115" s="325"/>
      <c r="CI115" s="325"/>
      <c r="CJ115" s="325"/>
      <c r="CK115" s="325"/>
      <c r="CL115" s="325"/>
      <c r="CM115" s="325"/>
      <c r="CN115" s="325"/>
    </row>
    <row r="116" spans="1:92" ht="14.25" hidden="1" customHeight="1" x14ac:dyDescent="0.2">
      <c r="A116" s="3"/>
      <c r="B116" s="3"/>
      <c r="C116" s="3"/>
      <c r="D116" s="52"/>
      <c r="E116" s="52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24"/>
      <c r="AH116" s="325"/>
      <c r="AI116" s="325"/>
      <c r="AJ116" s="325"/>
      <c r="AK116" s="325"/>
      <c r="AL116" s="325"/>
      <c r="AM116" s="325"/>
      <c r="AN116" s="325"/>
      <c r="AO116" s="325"/>
      <c r="AP116" s="325"/>
      <c r="AQ116" s="325"/>
      <c r="AR116" s="325"/>
      <c r="AS116" s="325"/>
      <c r="AT116" s="325"/>
      <c r="AU116" s="325"/>
      <c r="AV116" s="325"/>
      <c r="AW116" s="325"/>
      <c r="AX116" s="325"/>
      <c r="AY116" s="325"/>
      <c r="AZ116" s="325"/>
      <c r="BA116" s="325"/>
      <c r="BB116" s="325"/>
      <c r="BC116" s="325"/>
      <c r="BD116" s="325"/>
      <c r="BE116" s="325"/>
      <c r="BF116" s="325"/>
      <c r="BG116" s="325"/>
      <c r="BH116" s="325"/>
      <c r="BI116" s="325"/>
      <c r="BJ116" s="325"/>
      <c r="BK116" s="325"/>
      <c r="BL116" s="325"/>
      <c r="BM116" s="325"/>
      <c r="BN116" s="325"/>
      <c r="BO116" s="325"/>
      <c r="BP116" s="325"/>
      <c r="BQ116" s="325"/>
      <c r="BR116" s="325"/>
      <c r="BS116" s="325"/>
      <c r="BT116" s="325"/>
      <c r="BU116" s="325"/>
      <c r="BV116" s="325"/>
      <c r="BW116" s="325"/>
      <c r="BX116" s="325"/>
      <c r="BY116" s="325"/>
      <c r="BZ116" s="325"/>
      <c r="CA116" s="325"/>
      <c r="CB116" s="325"/>
      <c r="CC116" s="325"/>
      <c r="CD116" s="325"/>
      <c r="CE116" s="325"/>
      <c r="CF116" s="325"/>
      <c r="CG116" s="325"/>
      <c r="CH116" s="325"/>
      <c r="CI116" s="325"/>
      <c r="CJ116" s="325"/>
      <c r="CK116" s="325"/>
      <c r="CL116" s="325"/>
      <c r="CM116" s="325"/>
      <c r="CN116" s="325"/>
    </row>
    <row r="117" spans="1:92" ht="14.25" hidden="1" customHeight="1" x14ac:dyDescent="0.2">
      <c r="A117" s="3"/>
      <c r="B117" s="3"/>
      <c r="C117" s="3"/>
      <c r="D117" s="52"/>
      <c r="E117" s="52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24"/>
      <c r="AH117" s="325"/>
      <c r="AI117" s="325"/>
      <c r="AJ117" s="325"/>
      <c r="AK117" s="325"/>
      <c r="AL117" s="325"/>
      <c r="AM117" s="325"/>
      <c r="AN117" s="325"/>
      <c r="AO117" s="325"/>
      <c r="AP117" s="325"/>
      <c r="AQ117" s="325"/>
      <c r="AR117" s="325"/>
      <c r="AS117" s="325"/>
      <c r="AT117" s="325"/>
      <c r="AU117" s="325"/>
      <c r="AV117" s="325"/>
      <c r="AW117" s="325"/>
      <c r="AX117" s="325"/>
      <c r="AY117" s="325"/>
      <c r="AZ117" s="325"/>
      <c r="BA117" s="325"/>
      <c r="BB117" s="325"/>
      <c r="BC117" s="325"/>
      <c r="BD117" s="325"/>
      <c r="BE117" s="325"/>
      <c r="BF117" s="325"/>
      <c r="BG117" s="325"/>
      <c r="BH117" s="325"/>
      <c r="BI117" s="325"/>
      <c r="BJ117" s="325"/>
      <c r="BK117" s="325"/>
      <c r="BL117" s="325"/>
      <c r="BM117" s="325"/>
      <c r="BN117" s="325"/>
      <c r="BO117" s="325"/>
      <c r="BP117" s="325"/>
      <c r="BQ117" s="325"/>
      <c r="BR117" s="325"/>
      <c r="BS117" s="325"/>
      <c r="BT117" s="325"/>
      <c r="BU117" s="325"/>
      <c r="BV117" s="325"/>
      <c r="BW117" s="325"/>
      <c r="BX117" s="325"/>
      <c r="BY117" s="325"/>
      <c r="BZ117" s="325"/>
      <c r="CA117" s="325"/>
      <c r="CB117" s="325"/>
      <c r="CC117" s="325"/>
      <c r="CD117" s="325"/>
      <c r="CE117" s="325"/>
      <c r="CF117" s="325"/>
      <c r="CG117" s="325"/>
      <c r="CH117" s="325"/>
      <c r="CI117" s="325"/>
      <c r="CJ117" s="325"/>
      <c r="CK117" s="325"/>
      <c r="CL117" s="325"/>
      <c r="CM117" s="325"/>
      <c r="CN117" s="325"/>
    </row>
    <row r="118" spans="1:92" ht="14.25" hidden="1" customHeight="1" x14ac:dyDescent="0.2">
      <c r="A118" s="3"/>
      <c r="B118" s="3"/>
      <c r="C118" s="3"/>
      <c r="D118" s="52"/>
      <c r="E118" s="52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24"/>
      <c r="AH118" s="325"/>
      <c r="AI118" s="325"/>
      <c r="AJ118" s="325"/>
      <c r="AK118" s="325"/>
      <c r="AL118" s="325"/>
      <c r="AM118" s="325"/>
      <c r="AN118" s="325"/>
      <c r="AO118" s="325"/>
      <c r="AP118" s="325"/>
      <c r="AQ118" s="325"/>
      <c r="AR118" s="325"/>
      <c r="AS118" s="325"/>
      <c r="AT118" s="325"/>
      <c r="AU118" s="325"/>
      <c r="AV118" s="325"/>
      <c r="AW118" s="325"/>
      <c r="AX118" s="325"/>
      <c r="AY118" s="325"/>
      <c r="AZ118" s="325"/>
      <c r="BA118" s="325"/>
      <c r="BB118" s="325"/>
      <c r="BC118" s="325"/>
      <c r="BD118" s="325"/>
      <c r="BE118" s="325"/>
      <c r="BF118" s="325"/>
      <c r="BG118" s="325"/>
      <c r="BH118" s="325"/>
      <c r="BI118" s="325"/>
      <c r="BJ118" s="325"/>
      <c r="BK118" s="325"/>
      <c r="BL118" s="325"/>
      <c r="BM118" s="325"/>
      <c r="BN118" s="325"/>
      <c r="BO118" s="325"/>
      <c r="BP118" s="325"/>
      <c r="BQ118" s="325"/>
      <c r="BR118" s="325"/>
      <c r="BS118" s="325"/>
      <c r="BT118" s="325"/>
      <c r="BU118" s="325"/>
      <c r="BV118" s="325"/>
      <c r="BW118" s="325"/>
      <c r="BX118" s="325"/>
      <c r="BY118" s="325"/>
      <c r="BZ118" s="325"/>
      <c r="CA118" s="325"/>
      <c r="CB118" s="325"/>
      <c r="CC118" s="325"/>
      <c r="CD118" s="325"/>
      <c r="CE118" s="325"/>
      <c r="CF118" s="325"/>
      <c r="CG118" s="325"/>
      <c r="CH118" s="325"/>
      <c r="CI118" s="325"/>
      <c r="CJ118" s="325"/>
      <c r="CK118" s="325"/>
      <c r="CL118" s="325"/>
      <c r="CM118" s="325"/>
      <c r="CN118" s="325"/>
    </row>
    <row r="119" spans="1:92" ht="14.25" hidden="1" customHeight="1" x14ac:dyDescent="0.2">
      <c r="A119" s="3"/>
      <c r="B119" s="3"/>
      <c r="C119" s="3"/>
      <c r="D119" s="52"/>
      <c r="E119" s="52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24"/>
      <c r="AH119" s="325"/>
      <c r="AI119" s="325"/>
      <c r="AJ119" s="325"/>
      <c r="AK119" s="325"/>
      <c r="AL119" s="325"/>
      <c r="AM119" s="325"/>
      <c r="AN119" s="325"/>
      <c r="AO119" s="325"/>
      <c r="AP119" s="325"/>
      <c r="AQ119" s="325"/>
      <c r="AR119" s="325"/>
      <c r="AS119" s="325"/>
      <c r="AT119" s="325"/>
      <c r="AU119" s="325"/>
      <c r="AV119" s="325"/>
      <c r="AW119" s="325"/>
      <c r="AX119" s="325"/>
      <c r="AY119" s="325"/>
      <c r="AZ119" s="325"/>
      <c r="BA119" s="325"/>
      <c r="BB119" s="325"/>
      <c r="BC119" s="325"/>
      <c r="BD119" s="325"/>
      <c r="BE119" s="325"/>
      <c r="BF119" s="325"/>
      <c r="BG119" s="325"/>
      <c r="BH119" s="325"/>
      <c r="BI119" s="325"/>
      <c r="BJ119" s="325"/>
      <c r="BK119" s="325"/>
      <c r="BL119" s="325"/>
      <c r="BM119" s="325"/>
      <c r="BN119" s="325"/>
      <c r="BO119" s="325"/>
      <c r="BP119" s="325"/>
      <c r="BQ119" s="325"/>
      <c r="BR119" s="325"/>
      <c r="BS119" s="325"/>
      <c r="BT119" s="325"/>
      <c r="BU119" s="325"/>
      <c r="BV119" s="325"/>
      <c r="BW119" s="325"/>
      <c r="BX119" s="325"/>
      <c r="BY119" s="325"/>
      <c r="BZ119" s="325"/>
      <c r="CA119" s="325"/>
      <c r="CB119" s="325"/>
      <c r="CC119" s="325"/>
      <c r="CD119" s="325"/>
      <c r="CE119" s="325"/>
      <c r="CF119" s="325"/>
      <c r="CG119" s="325"/>
      <c r="CH119" s="325"/>
      <c r="CI119" s="325"/>
      <c r="CJ119" s="325"/>
      <c r="CK119" s="325"/>
      <c r="CL119" s="325"/>
      <c r="CM119" s="325"/>
      <c r="CN119" s="325"/>
    </row>
    <row r="120" spans="1:92" ht="14.25" hidden="1" customHeight="1" x14ac:dyDescent="0.2">
      <c r="A120" s="3"/>
      <c r="B120" s="3"/>
      <c r="C120" s="3"/>
      <c r="D120" s="52"/>
      <c r="E120" s="52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24"/>
      <c r="AH120" s="325"/>
      <c r="AI120" s="325"/>
      <c r="AJ120" s="325"/>
      <c r="AK120" s="325"/>
      <c r="AL120" s="325"/>
      <c r="AM120" s="325"/>
      <c r="AN120" s="325"/>
      <c r="AO120" s="325"/>
      <c r="AP120" s="325"/>
      <c r="AQ120" s="325"/>
      <c r="AR120" s="325"/>
      <c r="AS120" s="325"/>
      <c r="AT120" s="325"/>
      <c r="AU120" s="325"/>
      <c r="AV120" s="325"/>
      <c r="AW120" s="325"/>
      <c r="AX120" s="325"/>
      <c r="AY120" s="325"/>
      <c r="AZ120" s="325"/>
      <c r="BA120" s="325"/>
      <c r="BB120" s="325"/>
      <c r="BC120" s="325"/>
      <c r="BD120" s="325"/>
      <c r="BE120" s="325"/>
      <c r="BF120" s="325"/>
      <c r="BG120" s="325"/>
      <c r="BH120" s="325"/>
      <c r="BI120" s="325"/>
      <c r="BJ120" s="325"/>
      <c r="BK120" s="325"/>
      <c r="BL120" s="325"/>
      <c r="BM120" s="325"/>
      <c r="BN120" s="325"/>
      <c r="BO120" s="325"/>
      <c r="BP120" s="325"/>
      <c r="BQ120" s="325"/>
      <c r="BR120" s="325"/>
      <c r="BS120" s="325"/>
      <c r="BT120" s="325"/>
      <c r="BU120" s="325"/>
      <c r="BV120" s="325"/>
      <c r="BW120" s="325"/>
      <c r="BX120" s="325"/>
      <c r="BY120" s="325"/>
      <c r="BZ120" s="325"/>
      <c r="CA120" s="325"/>
      <c r="CB120" s="325"/>
      <c r="CC120" s="325"/>
      <c r="CD120" s="325"/>
      <c r="CE120" s="325"/>
      <c r="CF120" s="325"/>
      <c r="CG120" s="325"/>
      <c r="CH120" s="325"/>
      <c r="CI120" s="325"/>
      <c r="CJ120" s="325"/>
      <c r="CK120" s="325"/>
      <c r="CL120" s="325"/>
      <c r="CM120" s="325"/>
      <c r="CN120" s="325"/>
    </row>
    <row r="121" spans="1:92" ht="14.25" hidden="1" customHeight="1" x14ac:dyDescent="0.2">
      <c r="A121" s="3"/>
      <c r="B121" s="3"/>
      <c r="C121" s="3"/>
      <c r="D121" s="52"/>
      <c r="E121" s="52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24"/>
      <c r="AH121" s="325"/>
      <c r="AI121" s="325"/>
      <c r="AJ121" s="325"/>
      <c r="AK121" s="325"/>
      <c r="AL121" s="325"/>
      <c r="AM121" s="325"/>
      <c r="AN121" s="325"/>
      <c r="AO121" s="325"/>
      <c r="AP121" s="325"/>
      <c r="AQ121" s="325"/>
      <c r="AR121" s="325"/>
      <c r="AS121" s="325"/>
      <c r="AT121" s="325"/>
      <c r="AU121" s="325"/>
      <c r="AV121" s="325"/>
      <c r="AW121" s="325"/>
      <c r="AX121" s="325"/>
      <c r="AY121" s="325"/>
      <c r="AZ121" s="325"/>
      <c r="BA121" s="325"/>
      <c r="BB121" s="325"/>
      <c r="BC121" s="325"/>
      <c r="BD121" s="325"/>
      <c r="BE121" s="325"/>
      <c r="BF121" s="325"/>
      <c r="BG121" s="325"/>
      <c r="BH121" s="325"/>
      <c r="BI121" s="325"/>
      <c r="BJ121" s="325"/>
      <c r="BK121" s="325"/>
      <c r="BL121" s="325"/>
      <c r="BM121" s="325"/>
      <c r="BN121" s="325"/>
      <c r="BO121" s="325"/>
      <c r="BP121" s="325"/>
      <c r="BQ121" s="325"/>
      <c r="BR121" s="325"/>
      <c r="BS121" s="325"/>
      <c r="BT121" s="325"/>
      <c r="BU121" s="325"/>
      <c r="BV121" s="325"/>
      <c r="BW121" s="325"/>
      <c r="BX121" s="325"/>
      <c r="BY121" s="325"/>
      <c r="BZ121" s="325"/>
      <c r="CA121" s="325"/>
      <c r="CB121" s="325"/>
      <c r="CC121" s="325"/>
      <c r="CD121" s="325"/>
      <c r="CE121" s="325"/>
      <c r="CF121" s="325"/>
      <c r="CG121" s="325"/>
      <c r="CH121" s="325"/>
      <c r="CI121" s="325"/>
      <c r="CJ121" s="325"/>
      <c r="CK121" s="325"/>
      <c r="CL121" s="325"/>
      <c r="CM121" s="325"/>
      <c r="CN121" s="325"/>
    </row>
    <row r="122" spans="1:92" ht="14.25" customHeight="1" x14ac:dyDescent="0.2">
      <c r="A122" s="3"/>
      <c r="B122" s="3"/>
      <c r="C122" s="3"/>
      <c r="D122" s="52"/>
      <c r="E122" s="52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24"/>
      <c r="AH122" s="325"/>
      <c r="AI122" s="325"/>
      <c r="AJ122" s="325"/>
      <c r="AK122" s="325"/>
      <c r="AL122" s="325"/>
      <c r="AM122" s="325"/>
      <c r="AN122" s="325"/>
      <c r="AO122" s="325"/>
      <c r="AP122" s="325"/>
      <c r="AQ122" s="325"/>
      <c r="AR122" s="325"/>
      <c r="AS122" s="325"/>
      <c r="AT122" s="325"/>
      <c r="AU122" s="325"/>
      <c r="AV122" s="325"/>
      <c r="AW122" s="325"/>
      <c r="AX122" s="325"/>
      <c r="AY122" s="325"/>
      <c r="AZ122" s="325"/>
      <c r="BA122" s="325"/>
      <c r="BB122" s="325"/>
      <c r="BC122" s="325"/>
      <c r="BD122" s="325"/>
      <c r="BE122" s="325"/>
      <c r="BF122" s="325"/>
      <c r="BG122" s="325"/>
      <c r="BH122" s="325"/>
      <c r="BI122" s="325"/>
      <c r="BJ122" s="325"/>
      <c r="BK122" s="325"/>
      <c r="BL122" s="325"/>
      <c r="BM122" s="325"/>
      <c r="BN122" s="325"/>
      <c r="BO122" s="325"/>
      <c r="BP122" s="325"/>
      <c r="BQ122" s="325"/>
      <c r="BR122" s="325"/>
      <c r="BS122" s="325"/>
      <c r="BT122" s="325"/>
      <c r="BU122" s="325"/>
      <c r="BV122" s="325"/>
      <c r="BW122" s="325"/>
      <c r="BX122" s="325"/>
      <c r="BY122" s="325"/>
      <c r="BZ122" s="325"/>
      <c r="CA122" s="325"/>
      <c r="CB122" s="325"/>
      <c r="CC122" s="325"/>
      <c r="CD122" s="325"/>
      <c r="CE122" s="325"/>
      <c r="CF122" s="325"/>
      <c r="CG122" s="325"/>
      <c r="CH122" s="325"/>
      <c r="CI122" s="325"/>
      <c r="CJ122" s="325"/>
      <c r="CK122" s="325"/>
      <c r="CL122" s="325"/>
      <c r="CM122" s="325"/>
      <c r="CN122" s="325"/>
    </row>
    <row r="123" spans="1:92" ht="14.25" customHeight="1" x14ac:dyDescent="0.2">
      <c r="A123" s="3"/>
      <c r="B123" s="3"/>
      <c r="C123" s="3"/>
      <c r="D123" s="52"/>
      <c r="E123" s="52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24"/>
      <c r="AH123" s="325"/>
      <c r="AI123" s="325"/>
      <c r="AJ123" s="325"/>
      <c r="AK123" s="325"/>
      <c r="AL123" s="325"/>
      <c r="AM123" s="325"/>
      <c r="AN123" s="325"/>
      <c r="AO123" s="325"/>
      <c r="AP123" s="325"/>
      <c r="AQ123" s="325"/>
      <c r="AR123" s="325"/>
      <c r="AS123" s="325"/>
      <c r="AT123" s="325"/>
      <c r="AU123" s="325"/>
      <c r="AV123" s="325"/>
      <c r="AW123" s="325"/>
      <c r="AX123" s="325"/>
      <c r="AY123" s="325"/>
      <c r="AZ123" s="325"/>
      <c r="BA123" s="325"/>
      <c r="BB123" s="325"/>
      <c r="BC123" s="325"/>
      <c r="BD123" s="325"/>
      <c r="BE123" s="325"/>
      <c r="BF123" s="325"/>
      <c r="BG123" s="325"/>
      <c r="BH123" s="325"/>
      <c r="BI123" s="325"/>
      <c r="BJ123" s="325"/>
      <c r="BK123" s="325"/>
      <c r="BL123" s="325"/>
      <c r="BM123" s="325"/>
      <c r="BN123" s="325"/>
      <c r="BO123" s="325"/>
      <c r="BP123" s="325"/>
      <c r="BQ123" s="325"/>
      <c r="BR123" s="325"/>
      <c r="BS123" s="325"/>
      <c r="BT123" s="325"/>
      <c r="BU123" s="325"/>
      <c r="BV123" s="325"/>
      <c r="BW123" s="325"/>
      <c r="BX123" s="325"/>
      <c r="BY123" s="325"/>
      <c r="BZ123" s="325"/>
      <c r="CA123" s="325"/>
      <c r="CB123" s="325"/>
      <c r="CC123" s="325"/>
      <c r="CD123" s="325"/>
      <c r="CE123" s="325"/>
      <c r="CF123" s="325"/>
      <c r="CG123" s="325"/>
      <c r="CH123" s="325"/>
      <c r="CI123" s="325"/>
      <c r="CJ123" s="325"/>
      <c r="CK123" s="325"/>
      <c r="CL123" s="325"/>
      <c r="CM123" s="325"/>
      <c r="CN123" s="325"/>
    </row>
    <row r="124" spans="1:92" ht="14.25" customHeight="1" x14ac:dyDescent="0.2">
      <c r="A124" s="3"/>
      <c r="B124" s="3"/>
      <c r="C124" s="3"/>
      <c r="D124" s="52"/>
      <c r="E124" s="52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24"/>
      <c r="AH124" s="325"/>
      <c r="AI124" s="325"/>
      <c r="AJ124" s="325"/>
      <c r="AK124" s="325"/>
      <c r="AL124" s="325"/>
      <c r="AM124" s="325"/>
      <c r="AN124" s="325"/>
      <c r="AO124" s="325"/>
      <c r="AP124" s="325"/>
      <c r="AQ124" s="325"/>
      <c r="AR124" s="325"/>
      <c r="AS124" s="325"/>
      <c r="AT124" s="325"/>
      <c r="AU124" s="325"/>
      <c r="AV124" s="325"/>
      <c r="AW124" s="325"/>
      <c r="AX124" s="325"/>
      <c r="AY124" s="325"/>
      <c r="AZ124" s="325"/>
      <c r="BA124" s="325"/>
      <c r="BB124" s="325"/>
      <c r="BC124" s="325"/>
      <c r="BD124" s="325"/>
      <c r="BE124" s="325"/>
      <c r="BF124" s="325"/>
      <c r="BG124" s="325"/>
      <c r="BH124" s="325"/>
      <c r="BI124" s="325"/>
      <c r="BJ124" s="325"/>
      <c r="BK124" s="325"/>
      <c r="BL124" s="325"/>
      <c r="BM124" s="325"/>
      <c r="BN124" s="325"/>
      <c r="BO124" s="325"/>
      <c r="BP124" s="325"/>
      <c r="BQ124" s="325"/>
      <c r="BR124" s="325"/>
      <c r="BS124" s="325"/>
      <c r="BT124" s="325"/>
      <c r="BU124" s="325"/>
      <c r="BV124" s="325"/>
      <c r="BW124" s="325"/>
      <c r="BX124" s="325"/>
      <c r="BY124" s="325"/>
      <c r="BZ124" s="325"/>
      <c r="CA124" s="325"/>
      <c r="CB124" s="325"/>
      <c r="CC124" s="325"/>
      <c r="CD124" s="325"/>
      <c r="CE124" s="325"/>
      <c r="CF124" s="325"/>
      <c r="CG124" s="325"/>
      <c r="CH124" s="325"/>
      <c r="CI124" s="325"/>
      <c r="CJ124" s="325"/>
      <c r="CK124" s="325"/>
      <c r="CL124" s="325"/>
      <c r="CM124" s="325"/>
      <c r="CN124" s="325"/>
    </row>
    <row r="125" spans="1:92" ht="14.25" customHeight="1" x14ac:dyDescent="0.2">
      <c r="A125" s="3"/>
      <c r="B125" s="3"/>
      <c r="C125" s="3"/>
      <c r="D125" s="52"/>
      <c r="E125" s="52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24"/>
      <c r="AH125" s="325"/>
      <c r="AI125" s="325"/>
      <c r="AJ125" s="325"/>
      <c r="AK125" s="325"/>
      <c r="AL125" s="325"/>
      <c r="AM125" s="325"/>
      <c r="AN125" s="325"/>
      <c r="AO125" s="325"/>
      <c r="AP125" s="325"/>
      <c r="AQ125" s="325"/>
      <c r="AR125" s="325"/>
      <c r="AS125" s="325"/>
      <c r="AT125" s="325"/>
      <c r="AU125" s="325"/>
      <c r="AV125" s="325"/>
      <c r="AW125" s="325"/>
      <c r="AX125" s="325"/>
      <c r="AY125" s="325"/>
      <c r="AZ125" s="325"/>
      <c r="BA125" s="325"/>
      <c r="BB125" s="325"/>
      <c r="BC125" s="325"/>
      <c r="BD125" s="325"/>
      <c r="BE125" s="325"/>
      <c r="BF125" s="325"/>
      <c r="BG125" s="325"/>
      <c r="BH125" s="325"/>
      <c r="BI125" s="325"/>
      <c r="BJ125" s="325"/>
      <c r="BK125" s="325"/>
      <c r="BL125" s="325"/>
      <c r="BM125" s="325"/>
      <c r="BN125" s="325"/>
      <c r="BO125" s="325"/>
      <c r="BP125" s="325"/>
      <c r="BQ125" s="325"/>
      <c r="BR125" s="325"/>
      <c r="BS125" s="325"/>
      <c r="BT125" s="325"/>
      <c r="BU125" s="325"/>
      <c r="BV125" s="325"/>
      <c r="BW125" s="325"/>
      <c r="BX125" s="325"/>
      <c r="BY125" s="325"/>
      <c r="BZ125" s="325"/>
      <c r="CA125" s="325"/>
      <c r="CB125" s="325"/>
      <c r="CC125" s="325"/>
      <c r="CD125" s="325"/>
      <c r="CE125" s="325"/>
      <c r="CF125" s="325"/>
      <c r="CG125" s="325"/>
      <c r="CH125" s="325"/>
      <c r="CI125" s="325"/>
      <c r="CJ125" s="325"/>
      <c r="CK125" s="325"/>
      <c r="CL125" s="325"/>
      <c r="CM125" s="325"/>
      <c r="CN125" s="325"/>
    </row>
    <row r="126" spans="1:92" ht="14.25" customHeight="1" x14ac:dyDescent="0.2">
      <c r="A126" s="3"/>
      <c r="B126" s="3"/>
      <c r="C126" s="3"/>
      <c r="D126" s="52"/>
      <c r="E126" s="52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24"/>
      <c r="AH126" s="325"/>
      <c r="AI126" s="325"/>
      <c r="AJ126" s="325"/>
      <c r="AK126" s="325"/>
      <c r="AL126" s="325"/>
      <c r="AM126" s="325"/>
      <c r="AN126" s="325"/>
      <c r="AO126" s="325"/>
      <c r="AP126" s="325"/>
      <c r="AQ126" s="325"/>
      <c r="AR126" s="325"/>
      <c r="AS126" s="325"/>
      <c r="AT126" s="325"/>
      <c r="AU126" s="325"/>
      <c r="AV126" s="325"/>
      <c r="AW126" s="325"/>
      <c r="AX126" s="325"/>
      <c r="AY126" s="325"/>
      <c r="AZ126" s="325"/>
      <c r="BA126" s="325"/>
      <c r="BB126" s="325"/>
      <c r="BC126" s="325"/>
      <c r="BD126" s="325"/>
      <c r="BE126" s="325"/>
      <c r="BF126" s="325"/>
      <c r="BG126" s="325"/>
      <c r="BH126" s="325"/>
      <c r="BI126" s="325"/>
      <c r="BJ126" s="325"/>
      <c r="BK126" s="325"/>
      <c r="BL126" s="325"/>
      <c r="BM126" s="325"/>
      <c r="BN126" s="325"/>
      <c r="BO126" s="325"/>
      <c r="BP126" s="325"/>
      <c r="BQ126" s="325"/>
      <c r="BR126" s="325"/>
      <c r="BS126" s="325"/>
      <c r="BT126" s="325"/>
      <c r="BU126" s="325"/>
      <c r="BV126" s="325"/>
      <c r="BW126" s="325"/>
      <c r="BX126" s="325"/>
      <c r="BY126" s="325"/>
      <c r="BZ126" s="325"/>
      <c r="CA126" s="325"/>
      <c r="CB126" s="325"/>
      <c r="CC126" s="325"/>
      <c r="CD126" s="325"/>
      <c r="CE126" s="325"/>
      <c r="CF126" s="325"/>
      <c r="CG126" s="325"/>
      <c r="CH126" s="325"/>
      <c r="CI126" s="325"/>
      <c r="CJ126" s="325"/>
      <c r="CK126" s="325"/>
      <c r="CL126" s="325"/>
      <c r="CM126" s="325"/>
      <c r="CN126" s="325"/>
    </row>
    <row r="127" spans="1:92" ht="14.25" customHeight="1" x14ac:dyDescent="0.2">
      <c r="A127" s="3"/>
      <c r="B127" s="3"/>
      <c r="C127" s="3"/>
      <c r="D127" s="52"/>
      <c r="E127" s="52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24"/>
      <c r="AH127" s="325"/>
      <c r="AI127" s="325"/>
      <c r="AJ127" s="325"/>
      <c r="AK127" s="325"/>
      <c r="AL127" s="325"/>
      <c r="AM127" s="325"/>
      <c r="AN127" s="325"/>
      <c r="AO127" s="325"/>
      <c r="AP127" s="325"/>
      <c r="AQ127" s="325"/>
      <c r="AR127" s="325"/>
      <c r="AS127" s="325"/>
      <c r="AT127" s="325"/>
      <c r="AU127" s="325"/>
      <c r="AV127" s="325"/>
      <c r="AW127" s="325"/>
      <c r="AX127" s="325"/>
      <c r="AY127" s="325"/>
      <c r="AZ127" s="325"/>
      <c r="BA127" s="325"/>
      <c r="BB127" s="325"/>
      <c r="BC127" s="325"/>
      <c r="BD127" s="325"/>
      <c r="BE127" s="325"/>
      <c r="BF127" s="325"/>
      <c r="BG127" s="325"/>
      <c r="BH127" s="325"/>
      <c r="BI127" s="325"/>
      <c r="BJ127" s="325"/>
      <c r="BK127" s="325"/>
      <c r="BL127" s="325"/>
      <c r="BM127" s="325"/>
      <c r="BN127" s="325"/>
      <c r="BO127" s="325"/>
      <c r="BP127" s="325"/>
      <c r="BQ127" s="325"/>
      <c r="BR127" s="325"/>
      <c r="BS127" s="325"/>
      <c r="BT127" s="325"/>
      <c r="BU127" s="325"/>
      <c r="BV127" s="325"/>
      <c r="BW127" s="325"/>
      <c r="BX127" s="325"/>
      <c r="BY127" s="325"/>
      <c r="BZ127" s="325"/>
      <c r="CA127" s="325"/>
      <c r="CB127" s="325"/>
      <c r="CC127" s="325"/>
      <c r="CD127" s="325"/>
      <c r="CE127" s="325"/>
      <c r="CF127" s="325"/>
      <c r="CG127" s="325"/>
      <c r="CH127" s="325"/>
      <c r="CI127" s="325"/>
      <c r="CJ127" s="325"/>
      <c r="CK127" s="325"/>
      <c r="CL127" s="325"/>
      <c r="CM127" s="325"/>
      <c r="CN127" s="325"/>
    </row>
    <row r="128" spans="1:92" ht="14.25" customHeight="1" x14ac:dyDescent="0.2">
      <c r="A128" s="3"/>
      <c r="B128" s="3"/>
      <c r="C128" s="3"/>
      <c r="D128" s="52"/>
      <c r="E128" s="52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24"/>
      <c r="AH128" s="325"/>
      <c r="AI128" s="325"/>
      <c r="AJ128" s="325"/>
      <c r="AK128" s="325"/>
      <c r="AL128" s="325"/>
      <c r="AM128" s="325"/>
      <c r="AN128" s="325"/>
      <c r="AO128" s="325"/>
      <c r="AP128" s="325"/>
      <c r="AQ128" s="325"/>
      <c r="AR128" s="325"/>
      <c r="AS128" s="325"/>
      <c r="AT128" s="325"/>
      <c r="AU128" s="325"/>
      <c r="AV128" s="325"/>
      <c r="AW128" s="325"/>
      <c r="AX128" s="325"/>
      <c r="AY128" s="325"/>
      <c r="AZ128" s="325"/>
      <c r="BA128" s="325"/>
      <c r="BB128" s="325"/>
      <c r="BC128" s="325"/>
      <c r="BD128" s="325"/>
      <c r="BE128" s="325"/>
      <c r="BF128" s="325"/>
      <c r="BG128" s="325"/>
      <c r="BH128" s="325"/>
      <c r="BI128" s="325"/>
      <c r="BJ128" s="325"/>
      <c r="BK128" s="325"/>
      <c r="BL128" s="325"/>
      <c r="BM128" s="325"/>
      <c r="BN128" s="325"/>
      <c r="BO128" s="325"/>
      <c r="BP128" s="325"/>
      <c r="BQ128" s="325"/>
      <c r="BR128" s="325"/>
      <c r="BS128" s="325"/>
      <c r="BT128" s="325"/>
      <c r="BU128" s="325"/>
      <c r="BV128" s="325"/>
      <c r="BW128" s="325"/>
      <c r="BX128" s="325"/>
      <c r="BY128" s="325"/>
      <c r="BZ128" s="325"/>
      <c r="CA128" s="325"/>
      <c r="CB128" s="325"/>
      <c r="CC128" s="325"/>
      <c r="CD128" s="325"/>
      <c r="CE128" s="325"/>
      <c r="CF128" s="325"/>
      <c r="CG128" s="325"/>
      <c r="CH128" s="325"/>
      <c r="CI128" s="325"/>
      <c r="CJ128" s="325"/>
      <c r="CK128" s="325"/>
      <c r="CL128" s="325"/>
      <c r="CM128" s="325"/>
      <c r="CN128" s="325"/>
    </row>
    <row r="129" spans="1:92" ht="14.25" customHeight="1" x14ac:dyDescent="0.2">
      <c r="A129" s="3"/>
      <c r="B129" s="3"/>
      <c r="C129" s="3"/>
      <c r="D129" s="52"/>
      <c r="E129" s="52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24"/>
      <c r="AH129" s="325"/>
      <c r="AI129" s="325"/>
      <c r="AJ129" s="325"/>
      <c r="AK129" s="325"/>
      <c r="AL129" s="325"/>
      <c r="AM129" s="325"/>
      <c r="AN129" s="325"/>
      <c r="AO129" s="325"/>
      <c r="AP129" s="325"/>
      <c r="AQ129" s="325"/>
      <c r="AR129" s="325"/>
      <c r="AS129" s="325"/>
      <c r="AT129" s="325"/>
      <c r="AU129" s="325"/>
      <c r="AV129" s="325"/>
      <c r="AW129" s="325"/>
      <c r="AX129" s="325"/>
      <c r="AY129" s="325"/>
      <c r="AZ129" s="325"/>
      <c r="BA129" s="325"/>
      <c r="BB129" s="325"/>
      <c r="BC129" s="325"/>
      <c r="BD129" s="325"/>
      <c r="BE129" s="325"/>
      <c r="BF129" s="325"/>
      <c r="BG129" s="325"/>
      <c r="BH129" s="325"/>
      <c r="BI129" s="325"/>
      <c r="BJ129" s="325"/>
      <c r="BK129" s="325"/>
      <c r="BL129" s="325"/>
      <c r="BM129" s="325"/>
      <c r="BN129" s="325"/>
      <c r="BO129" s="325"/>
      <c r="BP129" s="325"/>
      <c r="BQ129" s="325"/>
      <c r="BR129" s="325"/>
      <c r="BS129" s="325"/>
      <c r="BT129" s="325"/>
      <c r="BU129" s="325"/>
      <c r="BV129" s="325"/>
      <c r="BW129" s="325"/>
      <c r="BX129" s="325"/>
      <c r="BY129" s="325"/>
      <c r="BZ129" s="325"/>
      <c r="CA129" s="325"/>
      <c r="CB129" s="325"/>
      <c r="CC129" s="325"/>
      <c r="CD129" s="325"/>
      <c r="CE129" s="325"/>
      <c r="CF129" s="325"/>
      <c r="CG129" s="325"/>
      <c r="CH129" s="325"/>
      <c r="CI129" s="325"/>
      <c r="CJ129" s="325"/>
      <c r="CK129" s="325"/>
      <c r="CL129" s="325"/>
      <c r="CM129" s="325"/>
      <c r="CN129" s="325"/>
    </row>
    <row r="130" spans="1:92" ht="14.25" customHeight="1" x14ac:dyDescent="0.2">
      <c r="A130" s="3"/>
      <c r="B130" s="3"/>
      <c r="C130" s="3"/>
      <c r="D130" s="52"/>
      <c r="E130" s="52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24"/>
      <c r="AH130" s="325"/>
      <c r="AI130" s="325"/>
      <c r="AJ130" s="325"/>
      <c r="AK130" s="325"/>
      <c r="AL130" s="325"/>
      <c r="AM130" s="325"/>
      <c r="AN130" s="325"/>
      <c r="AO130" s="325"/>
      <c r="AP130" s="325"/>
      <c r="AQ130" s="325"/>
      <c r="AR130" s="325"/>
      <c r="AS130" s="325"/>
      <c r="AT130" s="325"/>
      <c r="AU130" s="325"/>
      <c r="AV130" s="325"/>
      <c r="AW130" s="325"/>
      <c r="AX130" s="325"/>
      <c r="AY130" s="325"/>
      <c r="AZ130" s="325"/>
      <c r="BA130" s="325"/>
      <c r="BB130" s="325"/>
      <c r="BC130" s="325"/>
      <c r="BD130" s="325"/>
      <c r="BE130" s="325"/>
      <c r="BF130" s="325"/>
      <c r="BG130" s="325"/>
      <c r="BH130" s="325"/>
      <c r="BI130" s="325"/>
      <c r="BJ130" s="325"/>
      <c r="BK130" s="325"/>
      <c r="BL130" s="325"/>
      <c r="BM130" s="325"/>
      <c r="BN130" s="325"/>
      <c r="BO130" s="325"/>
      <c r="BP130" s="325"/>
      <c r="BQ130" s="325"/>
      <c r="BR130" s="325"/>
      <c r="BS130" s="325"/>
      <c r="BT130" s="325"/>
      <c r="BU130" s="325"/>
      <c r="BV130" s="325"/>
      <c r="BW130" s="325"/>
      <c r="BX130" s="325"/>
      <c r="BY130" s="325"/>
      <c r="BZ130" s="325"/>
      <c r="CA130" s="325"/>
      <c r="CB130" s="325"/>
      <c r="CC130" s="325"/>
      <c r="CD130" s="325"/>
      <c r="CE130" s="325"/>
      <c r="CF130" s="325"/>
      <c r="CG130" s="325"/>
      <c r="CH130" s="325"/>
      <c r="CI130" s="325"/>
      <c r="CJ130" s="325"/>
      <c r="CK130" s="325"/>
      <c r="CL130" s="325"/>
      <c r="CM130" s="325"/>
      <c r="CN130" s="325"/>
    </row>
    <row r="131" spans="1:92" ht="14.25" customHeight="1" x14ac:dyDescent="0.2">
      <c r="A131" s="3"/>
      <c r="B131" s="3"/>
      <c r="C131" s="3"/>
      <c r="D131" s="52"/>
      <c r="E131" s="52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24"/>
      <c r="AH131" s="325"/>
      <c r="AI131" s="325"/>
      <c r="AJ131" s="325"/>
      <c r="AK131" s="325"/>
      <c r="AL131" s="325"/>
      <c r="AM131" s="325"/>
      <c r="AN131" s="325"/>
      <c r="AO131" s="325"/>
      <c r="AP131" s="325"/>
      <c r="AQ131" s="325"/>
      <c r="AR131" s="325"/>
      <c r="AS131" s="325"/>
      <c r="AT131" s="325"/>
      <c r="AU131" s="325"/>
      <c r="AV131" s="325"/>
      <c r="AW131" s="325"/>
      <c r="AX131" s="325"/>
      <c r="AY131" s="325"/>
      <c r="AZ131" s="325"/>
      <c r="BA131" s="325"/>
      <c r="BB131" s="325"/>
      <c r="BC131" s="325"/>
      <c r="BD131" s="325"/>
      <c r="BE131" s="325"/>
      <c r="BF131" s="325"/>
      <c r="BG131" s="325"/>
      <c r="BH131" s="325"/>
      <c r="BI131" s="325"/>
      <c r="BJ131" s="325"/>
      <c r="BK131" s="325"/>
      <c r="BL131" s="325"/>
      <c r="BM131" s="325"/>
      <c r="BN131" s="325"/>
      <c r="BO131" s="325"/>
      <c r="BP131" s="325"/>
      <c r="BQ131" s="325"/>
      <c r="BR131" s="325"/>
      <c r="BS131" s="325"/>
      <c r="BT131" s="325"/>
      <c r="BU131" s="325"/>
      <c r="BV131" s="325"/>
      <c r="BW131" s="325"/>
      <c r="BX131" s="325"/>
      <c r="BY131" s="325"/>
      <c r="BZ131" s="325"/>
      <c r="CA131" s="325"/>
      <c r="CB131" s="325"/>
      <c r="CC131" s="325"/>
      <c r="CD131" s="325"/>
      <c r="CE131" s="325"/>
      <c r="CF131" s="325"/>
      <c r="CG131" s="325"/>
      <c r="CH131" s="325"/>
      <c r="CI131" s="325"/>
      <c r="CJ131" s="325"/>
      <c r="CK131" s="325"/>
      <c r="CL131" s="325"/>
      <c r="CM131" s="325"/>
      <c r="CN131" s="325"/>
    </row>
    <row r="132" spans="1:92" ht="14.25" customHeight="1" x14ac:dyDescent="0.2">
      <c r="A132" s="3"/>
      <c r="B132" s="3"/>
      <c r="C132" s="3"/>
      <c r="D132" s="52"/>
      <c r="E132" s="52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24"/>
      <c r="AH132" s="325"/>
      <c r="AI132" s="325"/>
      <c r="AJ132" s="325"/>
      <c r="AK132" s="325"/>
      <c r="AL132" s="325"/>
      <c r="AM132" s="325"/>
      <c r="AN132" s="325"/>
      <c r="AO132" s="325"/>
      <c r="AP132" s="325"/>
      <c r="AQ132" s="325"/>
      <c r="AR132" s="325"/>
      <c r="AS132" s="325"/>
      <c r="AT132" s="325"/>
      <c r="AU132" s="325"/>
      <c r="AV132" s="325"/>
      <c r="AW132" s="325"/>
      <c r="AX132" s="325"/>
      <c r="AY132" s="325"/>
      <c r="AZ132" s="325"/>
      <c r="BA132" s="325"/>
      <c r="BB132" s="325"/>
      <c r="BC132" s="325"/>
      <c r="BD132" s="325"/>
      <c r="BE132" s="325"/>
      <c r="BF132" s="325"/>
      <c r="BG132" s="325"/>
      <c r="BH132" s="325"/>
      <c r="BI132" s="325"/>
      <c r="BJ132" s="325"/>
      <c r="BK132" s="325"/>
      <c r="BL132" s="325"/>
      <c r="BM132" s="325"/>
      <c r="BN132" s="325"/>
      <c r="BO132" s="325"/>
      <c r="BP132" s="325"/>
      <c r="BQ132" s="325"/>
      <c r="BR132" s="325"/>
      <c r="BS132" s="325"/>
      <c r="BT132" s="325"/>
      <c r="BU132" s="325"/>
      <c r="BV132" s="325"/>
      <c r="BW132" s="325"/>
      <c r="BX132" s="325"/>
      <c r="BY132" s="325"/>
      <c r="BZ132" s="325"/>
      <c r="CA132" s="325"/>
      <c r="CB132" s="325"/>
      <c r="CC132" s="325"/>
      <c r="CD132" s="325"/>
      <c r="CE132" s="325"/>
      <c r="CF132" s="325"/>
      <c r="CG132" s="325"/>
      <c r="CH132" s="325"/>
      <c r="CI132" s="325"/>
      <c r="CJ132" s="325"/>
      <c r="CK132" s="325"/>
      <c r="CL132" s="325"/>
      <c r="CM132" s="325"/>
      <c r="CN132" s="325"/>
    </row>
    <row r="133" spans="1:92" ht="14.25" customHeight="1" x14ac:dyDescent="0.2">
      <c r="A133" s="3"/>
      <c r="B133" s="3"/>
      <c r="C133" s="3"/>
      <c r="D133" s="52"/>
      <c r="E133" s="52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24"/>
      <c r="AH133" s="325"/>
      <c r="AI133" s="325"/>
      <c r="AJ133" s="325"/>
      <c r="AK133" s="325"/>
      <c r="AL133" s="325"/>
      <c r="AM133" s="325"/>
      <c r="AN133" s="325"/>
      <c r="AO133" s="325"/>
      <c r="AP133" s="325"/>
      <c r="AQ133" s="325"/>
      <c r="AR133" s="325"/>
      <c r="AS133" s="325"/>
      <c r="AT133" s="325"/>
      <c r="AU133" s="325"/>
      <c r="AV133" s="325"/>
      <c r="AW133" s="325"/>
      <c r="AX133" s="325"/>
      <c r="AY133" s="325"/>
      <c r="AZ133" s="325"/>
      <c r="BA133" s="325"/>
      <c r="BB133" s="325"/>
      <c r="BC133" s="325"/>
      <c r="BD133" s="325"/>
      <c r="BE133" s="325"/>
      <c r="BF133" s="325"/>
      <c r="BG133" s="325"/>
      <c r="BH133" s="325"/>
      <c r="BI133" s="325"/>
      <c r="BJ133" s="325"/>
      <c r="BK133" s="325"/>
      <c r="BL133" s="325"/>
      <c r="BM133" s="325"/>
      <c r="BN133" s="325"/>
      <c r="BO133" s="325"/>
      <c r="BP133" s="325"/>
      <c r="BQ133" s="325"/>
      <c r="BR133" s="325"/>
      <c r="BS133" s="325"/>
      <c r="BT133" s="325"/>
      <c r="BU133" s="325"/>
      <c r="BV133" s="325"/>
      <c r="BW133" s="325"/>
      <c r="BX133" s="325"/>
      <c r="BY133" s="325"/>
      <c r="BZ133" s="325"/>
      <c r="CA133" s="325"/>
      <c r="CB133" s="325"/>
      <c r="CC133" s="325"/>
      <c r="CD133" s="325"/>
      <c r="CE133" s="325"/>
      <c r="CF133" s="325"/>
      <c r="CG133" s="325"/>
      <c r="CH133" s="325"/>
      <c r="CI133" s="325"/>
      <c r="CJ133" s="325"/>
      <c r="CK133" s="325"/>
      <c r="CL133" s="325"/>
      <c r="CM133" s="325"/>
      <c r="CN133" s="325"/>
    </row>
    <row r="134" spans="1:92" ht="14.25" customHeight="1" x14ac:dyDescent="0.2">
      <c r="A134" s="3"/>
      <c r="B134" s="3"/>
      <c r="C134" s="3"/>
      <c r="D134" s="52"/>
      <c r="E134" s="52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24"/>
      <c r="AH134" s="325"/>
      <c r="AI134" s="325"/>
      <c r="AJ134" s="325"/>
      <c r="AK134" s="325"/>
      <c r="AL134" s="325"/>
      <c r="AM134" s="325"/>
      <c r="AN134" s="325"/>
      <c r="AO134" s="325"/>
      <c r="AP134" s="325"/>
      <c r="AQ134" s="325"/>
      <c r="AR134" s="325"/>
      <c r="AS134" s="325"/>
      <c r="AT134" s="325"/>
      <c r="AU134" s="325"/>
      <c r="AV134" s="325"/>
      <c r="AW134" s="325"/>
      <c r="AX134" s="325"/>
      <c r="AY134" s="325"/>
      <c r="AZ134" s="325"/>
      <c r="BA134" s="325"/>
      <c r="BB134" s="325"/>
      <c r="BC134" s="325"/>
      <c r="BD134" s="325"/>
      <c r="BE134" s="325"/>
      <c r="BF134" s="325"/>
      <c r="BG134" s="325"/>
      <c r="BH134" s="325"/>
      <c r="BI134" s="325"/>
      <c r="BJ134" s="325"/>
      <c r="BK134" s="325"/>
      <c r="BL134" s="325"/>
      <c r="BM134" s="325"/>
      <c r="BN134" s="325"/>
      <c r="BO134" s="325"/>
      <c r="BP134" s="325"/>
      <c r="BQ134" s="325"/>
      <c r="BR134" s="325"/>
      <c r="BS134" s="325"/>
      <c r="BT134" s="325"/>
      <c r="BU134" s="325"/>
      <c r="BV134" s="325"/>
      <c r="BW134" s="325"/>
      <c r="BX134" s="325"/>
      <c r="BY134" s="325"/>
      <c r="BZ134" s="325"/>
      <c r="CA134" s="325"/>
      <c r="CB134" s="325"/>
      <c r="CC134" s="325"/>
      <c r="CD134" s="325"/>
      <c r="CE134" s="325"/>
      <c r="CF134" s="325"/>
      <c r="CG134" s="325"/>
      <c r="CH134" s="325"/>
      <c r="CI134" s="325"/>
      <c r="CJ134" s="325"/>
      <c r="CK134" s="325"/>
      <c r="CL134" s="325"/>
      <c r="CM134" s="325"/>
      <c r="CN134" s="325"/>
    </row>
    <row r="135" spans="1:92" ht="14.25" customHeight="1" x14ac:dyDescent="0.2">
      <c r="A135" s="3"/>
      <c r="B135" s="3"/>
      <c r="C135" s="3"/>
      <c r="D135" s="52"/>
      <c r="E135" s="52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24"/>
      <c r="AH135" s="325"/>
      <c r="AI135" s="325"/>
      <c r="AJ135" s="325"/>
      <c r="AK135" s="325"/>
      <c r="AL135" s="325"/>
      <c r="AM135" s="325"/>
      <c r="AN135" s="325"/>
      <c r="AO135" s="325"/>
      <c r="AP135" s="325"/>
      <c r="AQ135" s="325"/>
      <c r="AR135" s="325"/>
      <c r="AS135" s="325"/>
      <c r="AT135" s="325"/>
      <c r="AU135" s="325"/>
      <c r="AV135" s="325"/>
      <c r="AW135" s="325"/>
      <c r="AX135" s="325"/>
      <c r="AY135" s="325"/>
      <c r="AZ135" s="325"/>
      <c r="BA135" s="325"/>
      <c r="BB135" s="325"/>
      <c r="BC135" s="325"/>
      <c r="BD135" s="325"/>
      <c r="BE135" s="325"/>
      <c r="BF135" s="325"/>
      <c r="BG135" s="325"/>
      <c r="BH135" s="325"/>
      <c r="BI135" s="325"/>
      <c r="BJ135" s="325"/>
      <c r="BK135" s="325"/>
      <c r="BL135" s="325"/>
      <c r="BM135" s="325"/>
      <c r="BN135" s="325"/>
      <c r="BO135" s="325"/>
      <c r="BP135" s="325"/>
      <c r="BQ135" s="325"/>
      <c r="BR135" s="325"/>
      <c r="BS135" s="325"/>
      <c r="BT135" s="325"/>
      <c r="BU135" s="325"/>
      <c r="BV135" s="325"/>
      <c r="BW135" s="325"/>
      <c r="BX135" s="325"/>
      <c r="BY135" s="325"/>
      <c r="BZ135" s="325"/>
      <c r="CA135" s="325"/>
      <c r="CB135" s="325"/>
      <c r="CC135" s="325"/>
      <c r="CD135" s="325"/>
      <c r="CE135" s="325"/>
      <c r="CF135" s="325"/>
      <c r="CG135" s="325"/>
      <c r="CH135" s="325"/>
      <c r="CI135" s="325"/>
      <c r="CJ135" s="325"/>
      <c r="CK135" s="325"/>
      <c r="CL135" s="325"/>
      <c r="CM135" s="325"/>
      <c r="CN135" s="325"/>
    </row>
    <row r="136" spans="1:92" ht="14.25" customHeight="1" x14ac:dyDescent="0.2">
      <c r="A136" s="3"/>
      <c r="B136" s="3"/>
      <c r="C136" s="3"/>
      <c r="D136" s="52"/>
      <c r="E136" s="52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24"/>
      <c r="AH136" s="325"/>
      <c r="AI136" s="325"/>
      <c r="AJ136" s="325"/>
      <c r="AK136" s="325"/>
      <c r="AL136" s="325"/>
      <c r="AM136" s="325"/>
      <c r="AN136" s="325"/>
      <c r="AO136" s="325"/>
      <c r="AP136" s="325"/>
      <c r="AQ136" s="325"/>
      <c r="AR136" s="325"/>
      <c r="AS136" s="325"/>
      <c r="AT136" s="325"/>
      <c r="AU136" s="325"/>
      <c r="AV136" s="325"/>
      <c r="AW136" s="325"/>
      <c r="AX136" s="325"/>
      <c r="AY136" s="325"/>
      <c r="AZ136" s="325"/>
      <c r="BA136" s="325"/>
      <c r="BB136" s="325"/>
      <c r="BC136" s="325"/>
      <c r="BD136" s="325"/>
      <c r="BE136" s="325"/>
      <c r="BF136" s="325"/>
      <c r="BG136" s="325"/>
      <c r="BH136" s="325"/>
      <c r="BI136" s="325"/>
      <c r="BJ136" s="325"/>
      <c r="BK136" s="325"/>
      <c r="BL136" s="325"/>
      <c r="BM136" s="325"/>
      <c r="BN136" s="325"/>
      <c r="BO136" s="325"/>
      <c r="BP136" s="325"/>
      <c r="BQ136" s="325"/>
      <c r="BR136" s="325"/>
      <c r="BS136" s="325"/>
      <c r="BT136" s="325"/>
      <c r="BU136" s="325"/>
      <c r="BV136" s="325"/>
      <c r="BW136" s="325"/>
      <c r="BX136" s="325"/>
      <c r="BY136" s="325"/>
      <c r="BZ136" s="325"/>
      <c r="CA136" s="325"/>
      <c r="CB136" s="325"/>
      <c r="CC136" s="325"/>
      <c r="CD136" s="325"/>
      <c r="CE136" s="325"/>
      <c r="CF136" s="325"/>
      <c r="CG136" s="325"/>
      <c r="CH136" s="325"/>
      <c r="CI136" s="325"/>
      <c r="CJ136" s="325"/>
      <c r="CK136" s="325"/>
      <c r="CL136" s="325"/>
      <c r="CM136" s="325"/>
      <c r="CN136" s="325"/>
    </row>
    <row r="137" spans="1:92" ht="14.25" customHeight="1" x14ac:dyDescent="0.2">
      <c r="A137" s="3"/>
      <c r="B137" s="3"/>
      <c r="C137" s="3"/>
      <c r="D137" s="52"/>
      <c r="E137" s="52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24"/>
      <c r="AH137" s="325"/>
      <c r="AI137" s="325"/>
      <c r="AJ137" s="325"/>
      <c r="AK137" s="325"/>
      <c r="AL137" s="325"/>
      <c r="AM137" s="325"/>
      <c r="AN137" s="325"/>
      <c r="AO137" s="325"/>
      <c r="AP137" s="325"/>
      <c r="AQ137" s="325"/>
      <c r="AR137" s="325"/>
      <c r="AS137" s="325"/>
      <c r="AT137" s="325"/>
      <c r="AU137" s="325"/>
      <c r="AV137" s="325"/>
      <c r="AW137" s="325"/>
      <c r="AX137" s="325"/>
      <c r="AY137" s="325"/>
      <c r="AZ137" s="325"/>
      <c r="BA137" s="325"/>
      <c r="BB137" s="325"/>
      <c r="BC137" s="325"/>
      <c r="BD137" s="325"/>
      <c r="BE137" s="325"/>
      <c r="BF137" s="325"/>
      <c r="BG137" s="325"/>
      <c r="BH137" s="325"/>
      <c r="BI137" s="325"/>
      <c r="BJ137" s="325"/>
      <c r="BK137" s="325"/>
      <c r="BL137" s="325"/>
      <c r="BM137" s="325"/>
      <c r="BN137" s="325"/>
      <c r="BO137" s="325"/>
      <c r="BP137" s="325"/>
      <c r="BQ137" s="325"/>
      <c r="BR137" s="325"/>
      <c r="BS137" s="325"/>
      <c r="BT137" s="325"/>
      <c r="BU137" s="325"/>
      <c r="BV137" s="325"/>
      <c r="BW137" s="325"/>
      <c r="BX137" s="325"/>
      <c r="BY137" s="325"/>
      <c r="BZ137" s="325"/>
      <c r="CA137" s="325"/>
      <c r="CB137" s="325"/>
      <c r="CC137" s="325"/>
      <c r="CD137" s="325"/>
      <c r="CE137" s="325"/>
      <c r="CF137" s="325"/>
      <c r="CG137" s="325"/>
      <c r="CH137" s="325"/>
      <c r="CI137" s="325"/>
      <c r="CJ137" s="325"/>
      <c r="CK137" s="325"/>
      <c r="CL137" s="325"/>
      <c r="CM137" s="325"/>
      <c r="CN137" s="325"/>
    </row>
    <row r="138" spans="1:92" ht="14.25" customHeight="1" x14ac:dyDescent="0.2">
      <c r="A138" s="3"/>
      <c r="B138" s="3"/>
      <c r="C138" s="3"/>
      <c r="D138" s="52"/>
      <c r="E138" s="52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24"/>
      <c r="AH138" s="325"/>
      <c r="AI138" s="325"/>
      <c r="AJ138" s="325"/>
      <c r="AK138" s="325"/>
      <c r="AL138" s="325"/>
      <c r="AM138" s="325"/>
      <c r="AN138" s="325"/>
      <c r="AO138" s="325"/>
      <c r="AP138" s="325"/>
      <c r="AQ138" s="325"/>
      <c r="AR138" s="325"/>
      <c r="AS138" s="325"/>
      <c r="AT138" s="325"/>
      <c r="AU138" s="325"/>
      <c r="AV138" s="325"/>
      <c r="AW138" s="325"/>
      <c r="AX138" s="325"/>
      <c r="AY138" s="325"/>
      <c r="AZ138" s="325"/>
      <c r="BA138" s="325"/>
      <c r="BB138" s="325"/>
      <c r="BC138" s="325"/>
      <c r="BD138" s="325"/>
      <c r="BE138" s="325"/>
      <c r="BF138" s="325"/>
      <c r="BG138" s="325"/>
      <c r="BH138" s="325"/>
      <c r="BI138" s="325"/>
      <c r="BJ138" s="325"/>
      <c r="BK138" s="325"/>
      <c r="BL138" s="325"/>
      <c r="BM138" s="325"/>
      <c r="BN138" s="325"/>
      <c r="BO138" s="325"/>
      <c r="BP138" s="325"/>
      <c r="BQ138" s="325"/>
      <c r="BR138" s="325"/>
      <c r="BS138" s="325"/>
      <c r="BT138" s="325"/>
      <c r="BU138" s="325"/>
      <c r="BV138" s="325"/>
      <c r="BW138" s="325"/>
      <c r="BX138" s="325"/>
      <c r="BY138" s="325"/>
      <c r="BZ138" s="325"/>
      <c r="CA138" s="325"/>
      <c r="CB138" s="325"/>
      <c r="CC138" s="325"/>
      <c r="CD138" s="325"/>
      <c r="CE138" s="325"/>
      <c r="CF138" s="325"/>
      <c r="CG138" s="325"/>
      <c r="CH138" s="325"/>
      <c r="CI138" s="325"/>
      <c r="CJ138" s="325"/>
      <c r="CK138" s="325"/>
      <c r="CL138" s="325"/>
      <c r="CM138" s="325"/>
      <c r="CN138" s="325"/>
    </row>
    <row r="139" spans="1:92" ht="14.25" customHeight="1" x14ac:dyDescent="0.2">
      <c r="A139" s="3"/>
      <c r="B139" s="3"/>
      <c r="C139" s="3"/>
      <c r="D139" s="52"/>
      <c r="E139" s="52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24"/>
      <c r="AH139" s="325"/>
      <c r="AI139" s="325"/>
      <c r="AJ139" s="325"/>
      <c r="AK139" s="325"/>
      <c r="AL139" s="325"/>
      <c r="AM139" s="325"/>
      <c r="AN139" s="325"/>
      <c r="AO139" s="325"/>
      <c r="AP139" s="325"/>
      <c r="AQ139" s="325"/>
      <c r="AR139" s="325"/>
      <c r="AS139" s="325"/>
      <c r="AT139" s="325"/>
      <c r="AU139" s="325"/>
      <c r="AV139" s="325"/>
      <c r="AW139" s="325"/>
      <c r="AX139" s="325"/>
      <c r="AY139" s="325"/>
      <c r="AZ139" s="325"/>
      <c r="BA139" s="325"/>
      <c r="BB139" s="325"/>
      <c r="BC139" s="325"/>
      <c r="BD139" s="325"/>
      <c r="BE139" s="325"/>
      <c r="BF139" s="325"/>
      <c r="BG139" s="325"/>
      <c r="BH139" s="325"/>
      <c r="BI139" s="325"/>
      <c r="BJ139" s="325"/>
      <c r="BK139" s="325"/>
      <c r="BL139" s="325"/>
      <c r="BM139" s="325"/>
      <c r="BN139" s="325"/>
      <c r="BO139" s="325"/>
      <c r="BP139" s="325"/>
      <c r="BQ139" s="325"/>
      <c r="BR139" s="325"/>
      <c r="BS139" s="325"/>
      <c r="BT139" s="325"/>
      <c r="BU139" s="325"/>
      <c r="BV139" s="325"/>
      <c r="BW139" s="325"/>
      <c r="BX139" s="325"/>
      <c r="BY139" s="325"/>
      <c r="BZ139" s="325"/>
      <c r="CA139" s="325"/>
      <c r="CB139" s="325"/>
      <c r="CC139" s="325"/>
      <c r="CD139" s="325"/>
      <c r="CE139" s="325"/>
      <c r="CF139" s="325"/>
      <c r="CG139" s="325"/>
      <c r="CH139" s="325"/>
      <c r="CI139" s="325"/>
      <c r="CJ139" s="325"/>
      <c r="CK139" s="325"/>
      <c r="CL139" s="325"/>
      <c r="CM139" s="325"/>
      <c r="CN139" s="325"/>
    </row>
    <row r="140" spans="1:92" ht="14.25" customHeight="1" x14ac:dyDescent="0.2">
      <c r="A140" s="3"/>
      <c r="B140" s="3"/>
      <c r="C140" s="3"/>
      <c r="D140" s="52"/>
      <c r="E140" s="52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24"/>
      <c r="AH140" s="325"/>
      <c r="AI140" s="325"/>
      <c r="AJ140" s="325"/>
      <c r="AK140" s="325"/>
      <c r="AL140" s="325"/>
      <c r="AM140" s="325"/>
      <c r="AN140" s="325"/>
      <c r="AO140" s="325"/>
      <c r="AP140" s="325"/>
      <c r="AQ140" s="325"/>
      <c r="AR140" s="325"/>
      <c r="AS140" s="325"/>
      <c r="AT140" s="325"/>
      <c r="AU140" s="325"/>
      <c r="AV140" s="325"/>
      <c r="AW140" s="325"/>
      <c r="AX140" s="325"/>
      <c r="AY140" s="325"/>
      <c r="AZ140" s="325"/>
      <c r="BA140" s="325"/>
      <c r="BB140" s="325"/>
      <c r="BC140" s="325"/>
      <c r="BD140" s="325"/>
      <c r="BE140" s="325"/>
      <c r="BF140" s="325"/>
      <c r="BG140" s="325"/>
      <c r="BH140" s="325"/>
      <c r="BI140" s="325"/>
      <c r="BJ140" s="325"/>
      <c r="BK140" s="325"/>
      <c r="BL140" s="325"/>
      <c r="BM140" s="325"/>
      <c r="BN140" s="325"/>
      <c r="BO140" s="325"/>
      <c r="BP140" s="325"/>
      <c r="BQ140" s="325"/>
      <c r="BR140" s="325"/>
      <c r="BS140" s="325"/>
      <c r="BT140" s="325"/>
      <c r="BU140" s="325"/>
      <c r="BV140" s="325"/>
      <c r="BW140" s="325"/>
      <c r="BX140" s="325"/>
      <c r="BY140" s="325"/>
      <c r="BZ140" s="325"/>
      <c r="CA140" s="325"/>
      <c r="CB140" s="325"/>
      <c r="CC140" s="325"/>
      <c r="CD140" s="325"/>
      <c r="CE140" s="325"/>
      <c r="CF140" s="325"/>
      <c r="CG140" s="325"/>
      <c r="CH140" s="325"/>
      <c r="CI140" s="325"/>
      <c r="CJ140" s="325"/>
      <c r="CK140" s="325"/>
      <c r="CL140" s="325"/>
      <c r="CM140" s="325"/>
      <c r="CN140" s="325"/>
    </row>
    <row r="141" spans="1:92" ht="14.25" customHeight="1" x14ac:dyDescent="0.2">
      <c r="A141" s="3"/>
      <c r="B141" s="3"/>
      <c r="C141" s="3"/>
      <c r="D141" s="52"/>
      <c r="E141" s="52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24"/>
      <c r="AH141" s="325"/>
      <c r="AI141" s="325"/>
      <c r="AJ141" s="325"/>
      <c r="AK141" s="325"/>
      <c r="AL141" s="325"/>
      <c r="AM141" s="325"/>
      <c r="AN141" s="325"/>
      <c r="AO141" s="325"/>
      <c r="AP141" s="325"/>
      <c r="AQ141" s="325"/>
      <c r="AR141" s="325"/>
      <c r="AS141" s="325"/>
      <c r="AT141" s="325"/>
      <c r="AU141" s="325"/>
      <c r="AV141" s="325"/>
      <c r="AW141" s="325"/>
      <c r="AX141" s="325"/>
      <c r="AY141" s="325"/>
      <c r="AZ141" s="325"/>
      <c r="BA141" s="325"/>
      <c r="BB141" s="325"/>
      <c r="BC141" s="325"/>
      <c r="BD141" s="325"/>
      <c r="BE141" s="325"/>
      <c r="BF141" s="325"/>
      <c r="BG141" s="325"/>
      <c r="BH141" s="325"/>
      <c r="BI141" s="325"/>
      <c r="BJ141" s="325"/>
      <c r="BK141" s="325"/>
      <c r="BL141" s="325"/>
      <c r="BM141" s="325"/>
      <c r="BN141" s="325"/>
      <c r="BO141" s="325"/>
      <c r="BP141" s="325"/>
      <c r="BQ141" s="325"/>
      <c r="BR141" s="325"/>
      <c r="BS141" s="325"/>
      <c r="BT141" s="325"/>
      <c r="BU141" s="325"/>
      <c r="BV141" s="325"/>
      <c r="BW141" s="325"/>
      <c r="BX141" s="325"/>
      <c r="BY141" s="325"/>
      <c r="BZ141" s="325"/>
      <c r="CA141" s="325"/>
      <c r="CB141" s="325"/>
      <c r="CC141" s="325"/>
      <c r="CD141" s="325"/>
      <c r="CE141" s="325"/>
      <c r="CF141" s="325"/>
      <c r="CG141" s="325"/>
      <c r="CH141" s="325"/>
      <c r="CI141" s="325"/>
      <c r="CJ141" s="325"/>
      <c r="CK141" s="325"/>
      <c r="CL141" s="325"/>
      <c r="CM141" s="325"/>
      <c r="CN141" s="325"/>
    </row>
    <row r="142" spans="1:92" ht="14.25" customHeight="1" x14ac:dyDescent="0.2">
      <c r="A142" s="3"/>
      <c r="B142" s="3"/>
      <c r="C142" s="3"/>
      <c r="D142" s="52"/>
      <c r="E142" s="52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24"/>
      <c r="AH142" s="325"/>
      <c r="AI142" s="325"/>
      <c r="AJ142" s="325"/>
      <c r="AK142" s="325"/>
      <c r="AL142" s="325"/>
      <c r="AM142" s="325"/>
      <c r="AN142" s="325"/>
      <c r="AO142" s="325"/>
      <c r="AP142" s="325"/>
      <c r="AQ142" s="325"/>
      <c r="AR142" s="325"/>
      <c r="AS142" s="325"/>
      <c r="AT142" s="325"/>
      <c r="AU142" s="325"/>
      <c r="AV142" s="325"/>
      <c r="AW142" s="325"/>
      <c r="AX142" s="325"/>
      <c r="AY142" s="325"/>
      <c r="AZ142" s="325"/>
      <c r="BA142" s="325"/>
      <c r="BB142" s="325"/>
      <c r="BC142" s="325"/>
      <c r="BD142" s="325"/>
      <c r="BE142" s="325"/>
      <c r="BF142" s="325"/>
      <c r="BG142" s="325"/>
      <c r="BH142" s="325"/>
      <c r="BI142" s="325"/>
      <c r="BJ142" s="325"/>
      <c r="BK142" s="325"/>
      <c r="BL142" s="325"/>
      <c r="BM142" s="325"/>
      <c r="BN142" s="325"/>
      <c r="BO142" s="325"/>
      <c r="BP142" s="325"/>
      <c r="BQ142" s="325"/>
      <c r="BR142" s="325"/>
      <c r="BS142" s="325"/>
      <c r="BT142" s="325"/>
      <c r="BU142" s="325"/>
      <c r="BV142" s="325"/>
      <c r="BW142" s="325"/>
      <c r="BX142" s="325"/>
      <c r="BY142" s="325"/>
      <c r="BZ142" s="325"/>
      <c r="CA142" s="325"/>
      <c r="CB142" s="325"/>
      <c r="CC142" s="325"/>
      <c r="CD142" s="325"/>
      <c r="CE142" s="325"/>
      <c r="CF142" s="325"/>
      <c r="CG142" s="325"/>
      <c r="CH142" s="325"/>
      <c r="CI142" s="325"/>
      <c r="CJ142" s="325"/>
      <c r="CK142" s="325"/>
      <c r="CL142" s="325"/>
      <c r="CM142" s="325"/>
      <c r="CN142" s="325"/>
    </row>
    <row r="143" spans="1:92" ht="14.25" customHeight="1" x14ac:dyDescent="0.2">
      <c r="A143" s="3"/>
      <c r="B143" s="3"/>
      <c r="C143" s="3"/>
      <c r="D143" s="52"/>
      <c r="E143" s="52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24"/>
      <c r="AH143" s="325"/>
      <c r="AI143" s="325"/>
      <c r="AJ143" s="325"/>
      <c r="AK143" s="325"/>
      <c r="AL143" s="325"/>
      <c r="AM143" s="325"/>
      <c r="AN143" s="325"/>
      <c r="AO143" s="325"/>
      <c r="AP143" s="325"/>
      <c r="AQ143" s="325"/>
      <c r="AR143" s="325"/>
      <c r="AS143" s="325"/>
      <c r="AT143" s="325"/>
      <c r="AU143" s="325"/>
      <c r="AV143" s="325"/>
      <c r="AW143" s="325"/>
      <c r="AX143" s="325"/>
      <c r="AY143" s="325"/>
      <c r="AZ143" s="325"/>
      <c r="BA143" s="325"/>
      <c r="BB143" s="325"/>
      <c r="BC143" s="325"/>
      <c r="BD143" s="325"/>
      <c r="BE143" s="325"/>
      <c r="BF143" s="325"/>
      <c r="BG143" s="325"/>
      <c r="BH143" s="325"/>
      <c r="BI143" s="325"/>
      <c r="BJ143" s="325"/>
      <c r="BK143" s="325"/>
      <c r="BL143" s="325"/>
      <c r="BM143" s="325"/>
      <c r="BN143" s="325"/>
      <c r="BO143" s="325"/>
      <c r="BP143" s="325"/>
      <c r="BQ143" s="325"/>
      <c r="BR143" s="325"/>
      <c r="BS143" s="325"/>
      <c r="BT143" s="325"/>
      <c r="BU143" s="325"/>
      <c r="BV143" s="325"/>
      <c r="BW143" s="325"/>
      <c r="BX143" s="325"/>
      <c r="BY143" s="325"/>
      <c r="BZ143" s="325"/>
      <c r="CA143" s="325"/>
      <c r="CB143" s="325"/>
      <c r="CC143" s="325"/>
      <c r="CD143" s="325"/>
      <c r="CE143" s="325"/>
      <c r="CF143" s="325"/>
      <c r="CG143" s="325"/>
      <c r="CH143" s="325"/>
      <c r="CI143" s="325"/>
      <c r="CJ143" s="325"/>
      <c r="CK143" s="325"/>
      <c r="CL143" s="325"/>
      <c r="CM143" s="325"/>
      <c r="CN143" s="325"/>
    </row>
    <row r="144" spans="1:92" ht="14.25" customHeight="1" x14ac:dyDescent="0.2">
      <c r="A144" s="3"/>
      <c r="B144" s="3"/>
      <c r="C144" s="3"/>
      <c r="D144" s="52"/>
      <c r="E144" s="52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24"/>
      <c r="AH144" s="325"/>
      <c r="AI144" s="325"/>
      <c r="AJ144" s="325"/>
      <c r="AK144" s="325"/>
      <c r="AL144" s="325"/>
      <c r="AM144" s="325"/>
      <c r="AN144" s="325"/>
      <c r="AO144" s="325"/>
      <c r="AP144" s="325"/>
      <c r="AQ144" s="325"/>
      <c r="AR144" s="325"/>
      <c r="AS144" s="325"/>
      <c r="AT144" s="325"/>
      <c r="AU144" s="325"/>
      <c r="AV144" s="325"/>
      <c r="AW144" s="325"/>
      <c r="AX144" s="325"/>
      <c r="AY144" s="325"/>
      <c r="AZ144" s="325"/>
      <c r="BA144" s="325"/>
      <c r="BB144" s="325"/>
      <c r="BC144" s="325"/>
      <c r="BD144" s="325"/>
      <c r="BE144" s="325"/>
      <c r="BF144" s="325"/>
      <c r="BG144" s="325"/>
      <c r="BH144" s="325"/>
      <c r="BI144" s="325"/>
      <c r="BJ144" s="325"/>
      <c r="BK144" s="325"/>
      <c r="BL144" s="325"/>
      <c r="BM144" s="325"/>
      <c r="BN144" s="325"/>
      <c r="BO144" s="325"/>
      <c r="BP144" s="325"/>
      <c r="BQ144" s="325"/>
      <c r="BR144" s="325"/>
      <c r="BS144" s="325"/>
      <c r="BT144" s="325"/>
      <c r="BU144" s="325"/>
      <c r="BV144" s="325"/>
      <c r="BW144" s="325"/>
      <c r="BX144" s="325"/>
      <c r="BY144" s="325"/>
      <c r="BZ144" s="325"/>
      <c r="CA144" s="325"/>
      <c r="CB144" s="325"/>
      <c r="CC144" s="325"/>
      <c r="CD144" s="325"/>
      <c r="CE144" s="325"/>
      <c r="CF144" s="325"/>
      <c r="CG144" s="325"/>
      <c r="CH144" s="325"/>
      <c r="CI144" s="325"/>
      <c r="CJ144" s="325"/>
      <c r="CK144" s="325"/>
      <c r="CL144" s="325"/>
      <c r="CM144" s="325"/>
      <c r="CN144" s="325"/>
    </row>
    <row r="145" spans="1:92" ht="14.25" customHeight="1" x14ac:dyDescent="0.2">
      <c r="A145" s="3"/>
      <c r="B145" s="3"/>
      <c r="C145" s="3"/>
      <c r="D145" s="52"/>
      <c r="E145" s="52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24"/>
      <c r="AH145" s="325"/>
      <c r="AI145" s="325"/>
      <c r="AJ145" s="325"/>
      <c r="AK145" s="325"/>
      <c r="AL145" s="325"/>
      <c r="AM145" s="325"/>
      <c r="AN145" s="325"/>
      <c r="AO145" s="325"/>
      <c r="AP145" s="325"/>
      <c r="AQ145" s="325"/>
      <c r="AR145" s="325"/>
      <c r="AS145" s="325"/>
      <c r="AT145" s="325"/>
      <c r="AU145" s="325"/>
      <c r="AV145" s="325"/>
      <c r="AW145" s="325"/>
      <c r="AX145" s="325"/>
      <c r="AY145" s="325"/>
      <c r="AZ145" s="325"/>
      <c r="BA145" s="325"/>
      <c r="BB145" s="325"/>
      <c r="BC145" s="325"/>
      <c r="BD145" s="325"/>
      <c r="BE145" s="325"/>
      <c r="BF145" s="325"/>
      <c r="BG145" s="325"/>
      <c r="BH145" s="325"/>
      <c r="BI145" s="325"/>
      <c r="BJ145" s="325"/>
      <c r="BK145" s="325"/>
      <c r="BL145" s="325"/>
      <c r="BM145" s="325"/>
      <c r="BN145" s="325"/>
      <c r="BO145" s="325"/>
      <c r="BP145" s="325"/>
      <c r="BQ145" s="325"/>
      <c r="BR145" s="325"/>
      <c r="BS145" s="325"/>
      <c r="BT145" s="325"/>
      <c r="BU145" s="325"/>
      <c r="BV145" s="325"/>
      <c r="BW145" s="325"/>
      <c r="BX145" s="325"/>
      <c r="BY145" s="325"/>
      <c r="BZ145" s="325"/>
      <c r="CA145" s="325"/>
      <c r="CB145" s="325"/>
      <c r="CC145" s="325"/>
      <c r="CD145" s="325"/>
      <c r="CE145" s="325"/>
      <c r="CF145" s="325"/>
      <c r="CG145" s="325"/>
      <c r="CH145" s="325"/>
      <c r="CI145" s="325"/>
      <c r="CJ145" s="325"/>
      <c r="CK145" s="325"/>
      <c r="CL145" s="325"/>
      <c r="CM145" s="325"/>
      <c r="CN145" s="325"/>
    </row>
    <row r="146" spans="1:92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24"/>
      <c r="AH146" s="325"/>
      <c r="AI146" s="325"/>
      <c r="AJ146" s="325"/>
      <c r="AK146" s="325"/>
      <c r="AL146" s="325"/>
      <c r="AM146" s="325"/>
      <c r="AN146" s="325"/>
      <c r="AO146" s="325"/>
      <c r="AP146" s="325"/>
      <c r="AQ146" s="325"/>
      <c r="AR146" s="325"/>
      <c r="AS146" s="325"/>
      <c r="AT146" s="325"/>
      <c r="AU146" s="325"/>
      <c r="AV146" s="325"/>
      <c r="AW146" s="325"/>
      <c r="AX146" s="325"/>
      <c r="AY146" s="325"/>
      <c r="AZ146" s="325"/>
      <c r="BA146" s="325"/>
      <c r="BB146" s="325"/>
      <c r="BC146" s="325"/>
      <c r="BD146" s="325"/>
      <c r="BE146" s="325"/>
      <c r="BF146" s="325"/>
      <c r="BG146" s="325"/>
      <c r="BH146" s="325"/>
      <c r="BI146" s="325"/>
      <c r="BJ146" s="325"/>
      <c r="BK146" s="325"/>
      <c r="BL146" s="325"/>
      <c r="BM146" s="325"/>
      <c r="BN146" s="325"/>
      <c r="BO146" s="325"/>
      <c r="BP146" s="325"/>
      <c r="BQ146" s="325"/>
      <c r="BR146" s="325"/>
      <c r="BS146" s="325"/>
      <c r="BT146" s="325"/>
      <c r="BU146" s="325"/>
      <c r="BV146" s="325"/>
      <c r="BW146" s="325"/>
      <c r="BX146" s="325"/>
      <c r="BY146" s="325"/>
      <c r="BZ146" s="325"/>
      <c r="CA146" s="325"/>
      <c r="CB146" s="325"/>
      <c r="CC146" s="325"/>
      <c r="CD146" s="325"/>
      <c r="CE146" s="325"/>
      <c r="CF146" s="325"/>
      <c r="CG146" s="325"/>
      <c r="CH146" s="325"/>
      <c r="CI146" s="325"/>
      <c r="CJ146" s="325"/>
      <c r="CK146" s="325"/>
      <c r="CL146" s="325"/>
      <c r="CM146" s="325"/>
      <c r="CN146" s="325"/>
    </row>
    <row r="147" spans="1:92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24"/>
      <c r="AH147" s="325"/>
      <c r="AI147" s="325"/>
      <c r="AJ147" s="325"/>
      <c r="AK147" s="325"/>
      <c r="AL147" s="325"/>
      <c r="AM147" s="325"/>
      <c r="AN147" s="325"/>
      <c r="AO147" s="325"/>
      <c r="AP147" s="325"/>
      <c r="AQ147" s="325"/>
      <c r="AR147" s="325"/>
      <c r="AS147" s="325"/>
      <c r="AT147" s="325"/>
      <c r="AU147" s="325"/>
      <c r="AV147" s="325"/>
      <c r="AW147" s="325"/>
      <c r="AX147" s="325"/>
      <c r="AY147" s="325"/>
      <c r="AZ147" s="325"/>
      <c r="BA147" s="325"/>
      <c r="BB147" s="325"/>
      <c r="BC147" s="325"/>
      <c r="BD147" s="325"/>
      <c r="BE147" s="325"/>
      <c r="BF147" s="325"/>
      <c r="BG147" s="325"/>
      <c r="BH147" s="325"/>
      <c r="BI147" s="325"/>
      <c r="BJ147" s="325"/>
      <c r="BK147" s="325"/>
      <c r="BL147" s="325"/>
      <c r="BM147" s="325"/>
      <c r="BN147" s="325"/>
      <c r="BO147" s="325"/>
      <c r="BP147" s="325"/>
      <c r="BQ147" s="325"/>
      <c r="BR147" s="325"/>
      <c r="BS147" s="325"/>
      <c r="BT147" s="325"/>
      <c r="BU147" s="325"/>
      <c r="BV147" s="325"/>
      <c r="BW147" s="325"/>
      <c r="BX147" s="325"/>
      <c r="BY147" s="325"/>
      <c r="BZ147" s="325"/>
      <c r="CA147" s="325"/>
      <c r="CB147" s="325"/>
      <c r="CC147" s="325"/>
      <c r="CD147" s="325"/>
      <c r="CE147" s="325"/>
      <c r="CF147" s="325"/>
      <c r="CG147" s="325"/>
      <c r="CH147" s="325"/>
      <c r="CI147" s="325"/>
      <c r="CJ147" s="325"/>
      <c r="CK147" s="325"/>
      <c r="CL147" s="325"/>
      <c r="CM147" s="325"/>
      <c r="CN147" s="325"/>
    </row>
    <row r="148" spans="1:92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24"/>
      <c r="AH148" s="325"/>
      <c r="AI148" s="325"/>
      <c r="AJ148" s="325"/>
      <c r="AK148" s="325"/>
      <c r="AL148" s="325"/>
      <c r="AM148" s="325"/>
      <c r="AN148" s="325"/>
      <c r="AO148" s="325"/>
      <c r="AP148" s="325"/>
      <c r="AQ148" s="325"/>
      <c r="AR148" s="325"/>
      <c r="AS148" s="325"/>
      <c r="AT148" s="325"/>
      <c r="AU148" s="325"/>
      <c r="AV148" s="325"/>
      <c r="AW148" s="325"/>
      <c r="AX148" s="325"/>
      <c r="AY148" s="325"/>
      <c r="AZ148" s="325"/>
      <c r="BA148" s="325"/>
      <c r="BB148" s="325"/>
      <c r="BC148" s="325"/>
      <c r="BD148" s="325"/>
      <c r="BE148" s="325"/>
      <c r="BF148" s="325"/>
      <c r="BG148" s="325"/>
      <c r="BH148" s="325"/>
      <c r="BI148" s="325"/>
      <c r="BJ148" s="325"/>
      <c r="BK148" s="325"/>
      <c r="BL148" s="325"/>
      <c r="BM148" s="325"/>
      <c r="BN148" s="325"/>
      <c r="BO148" s="325"/>
      <c r="BP148" s="325"/>
      <c r="BQ148" s="325"/>
      <c r="BR148" s="325"/>
      <c r="BS148" s="325"/>
      <c r="BT148" s="325"/>
      <c r="BU148" s="325"/>
      <c r="BV148" s="325"/>
      <c r="BW148" s="325"/>
      <c r="BX148" s="325"/>
      <c r="BY148" s="325"/>
      <c r="BZ148" s="325"/>
      <c r="CA148" s="325"/>
      <c r="CB148" s="325"/>
      <c r="CC148" s="325"/>
      <c r="CD148" s="325"/>
      <c r="CE148" s="325"/>
      <c r="CF148" s="325"/>
      <c r="CG148" s="325"/>
      <c r="CH148" s="325"/>
      <c r="CI148" s="325"/>
      <c r="CJ148" s="325"/>
      <c r="CK148" s="325"/>
      <c r="CL148" s="325"/>
      <c r="CM148" s="325"/>
      <c r="CN148" s="325"/>
    </row>
    <row r="149" spans="1:92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24"/>
      <c r="AH149" s="325"/>
      <c r="AI149" s="325"/>
      <c r="AJ149" s="325"/>
      <c r="AK149" s="325"/>
      <c r="AL149" s="325"/>
      <c r="AM149" s="325"/>
      <c r="AN149" s="325"/>
      <c r="AO149" s="325"/>
      <c r="AP149" s="325"/>
      <c r="AQ149" s="325"/>
      <c r="AR149" s="325"/>
      <c r="AS149" s="325"/>
      <c r="AT149" s="325"/>
      <c r="AU149" s="325"/>
      <c r="AV149" s="325"/>
      <c r="AW149" s="325"/>
      <c r="AX149" s="325"/>
      <c r="AY149" s="325"/>
      <c r="AZ149" s="325"/>
      <c r="BA149" s="325"/>
      <c r="BB149" s="325"/>
      <c r="BC149" s="325"/>
      <c r="BD149" s="325"/>
      <c r="BE149" s="325"/>
      <c r="BF149" s="325"/>
      <c r="BG149" s="325"/>
      <c r="BH149" s="325"/>
      <c r="BI149" s="325"/>
      <c r="BJ149" s="325"/>
      <c r="BK149" s="325"/>
      <c r="BL149" s="325"/>
      <c r="BM149" s="325"/>
      <c r="BN149" s="325"/>
      <c r="BO149" s="325"/>
      <c r="BP149" s="325"/>
      <c r="BQ149" s="325"/>
      <c r="BR149" s="325"/>
      <c r="BS149" s="325"/>
      <c r="BT149" s="325"/>
      <c r="BU149" s="325"/>
      <c r="BV149" s="325"/>
      <c r="BW149" s="325"/>
      <c r="BX149" s="325"/>
      <c r="BY149" s="325"/>
      <c r="BZ149" s="325"/>
      <c r="CA149" s="325"/>
      <c r="CB149" s="325"/>
      <c r="CC149" s="325"/>
      <c r="CD149" s="325"/>
      <c r="CE149" s="325"/>
      <c r="CF149" s="325"/>
      <c r="CG149" s="325"/>
      <c r="CH149" s="325"/>
      <c r="CI149" s="325"/>
      <c r="CJ149" s="325"/>
      <c r="CK149" s="325"/>
      <c r="CL149" s="325"/>
      <c r="CM149" s="325"/>
      <c r="CN149" s="325"/>
    </row>
    <row r="150" spans="1:92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24"/>
      <c r="AH150" s="325"/>
      <c r="AI150" s="325"/>
      <c r="AJ150" s="325"/>
      <c r="AK150" s="325"/>
      <c r="AL150" s="325"/>
      <c r="AM150" s="325"/>
      <c r="AN150" s="325"/>
      <c r="AO150" s="325"/>
      <c r="AP150" s="325"/>
      <c r="AQ150" s="325"/>
      <c r="AR150" s="325"/>
      <c r="AS150" s="325"/>
      <c r="AT150" s="325"/>
      <c r="AU150" s="325"/>
      <c r="AV150" s="325"/>
      <c r="AW150" s="325"/>
      <c r="AX150" s="325"/>
      <c r="AY150" s="325"/>
      <c r="AZ150" s="325"/>
      <c r="BA150" s="325"/>
      <c r="BB150" s="325"/>
      <c r="BC150" s="325"/>
      <c r="BD150" s="325"/>
      <c r="BE150" s="325"/>
      <c r="BF150" s="325"/>
      <c r="BG150" s="325"/>
      <c r="BH150" s="325"/>
      <c r="BI150" s="325"/>
      <c r="BJ150" s="325"/>
      <c r="BK150" s="325"/>
      <c r="BL150" s="325"/>
      <c r="BM150" s="325"/>
      <c r="BN150" s="325"/>
      <c r="BO150" s="325"/>
      <c r="BP150" s="325"/>
      <c r="BQ150" s="325"/>
      <c r="BR150" s="325"/>
      <c r="BS150" s="325"/>
      <c r="BT150" s="325"/>
      <c r="BU150" s="325"/>
      <c r="BV150" s="325"/>
      <c r="BW150" s="325"/>
      <c r="BX150" s="325"/>
      <c r="BY150" s="325"/>
      <c r="BZ150" s="325"/>
      <c r="CA150" s="325"/>
      <c r="CB150" s="325"/>
      <c r="CC150" s="325"/>
      <c r="CD150" s="325"/>
      <c r="CE150" s="325"/>
      <c r="CF150" s="325"/>
      <c r="CG150" s="325"/>
      <c r="CH150" s="325"/>
      <c r="CI150" s="325"/>
      <c r="CJ150" s="325"/>
      <c r="CK150" s="325"/>
      <c r="CL150" s="325"/>
      <c r="CM150" s="325"/>
      <c r="CN150" s="325"/>
    </row>
    <row r="151" spans="1:92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24"/>
      <c r="AH151" s="325"/>
      <c r="AI151" s="325"/>
      <c r="AJ151" s="325"/>
      <c r="AK151" s="325"/>
      <c r="AL151" s="325"/>
      <c r="AM151" s="325"/>
      <c r="AN151" s="325"/>
      <c r="AO151" s="325"/>
      <c r="AP151" s="325"/>
      <c r="AQ151" s="325"/>
      <c r="AR151" s="325"/>
      <c r="AS151" s="325"/>
      <c r="AT151" s="325"/>
      <c r="AU151" s="325"/>
      <c r="AV151" s="325"/>
      <c r="AW151" s="325"/>
      <c r="AX151" s="325"/>
      <c r="AY151" s="325"/>
      <c r="AZ151" s="325"/>
      <c r="BA151" s="325"/>
      <c r="BB151" s="325"/>
      <c r="BC151" s="325"/>
      <c r="BD151" s="325"/>
      <c r="BE151" s="325"/>
      <c r="BF151" s="325"/>
      <c r="BG151" s="325"/>
      <c r="BH151" s="325"/>
      <c r="BI151" s="325"/>
      <c r="BJ151" s="325"/>
      <c r="BK151" s="325"/>
      <c r="BL151" s="325"/>
      <c r="BM151" s="325"/>
      <c r="BN151" s="325"/>
      <c r="BO151" s="325"/>
      <c r="BP151" s="325"/>
      <c r="BQ151" s="325"/>
      <c r="BR151" s="325"/>
      <c r="BS151" s="325"/>
      <c r="BT151" s="325"/>
      <c r="BU151" s="325"/>
      <c r="BV151" s="325"/>
      <c r="BW151" s="325"/>
      <c r="BX151" s="325"/>
      <c r="BY151" s="325"/>
      <c r="BZ151" s="325"/>
      <c r="CA151" s="325"/>
      <c r="CB151" s="325"/>
      <c r="CC151" s="325"/>
      <c r="CD151" s="325"/>
      <c r="CE151" s="325"/>
      <c r="CF151" s="325"/>
      <c r="CG151" s="325"/>
      <c r="CH151" s="325"/>
      <c r="CI151" s="325"/>
      <c r="CJ151" s="325"/>
      <c r="CK151" s="325"/>
      <c r="CL151" s="325"/>
      <c r="CM151" s="325"/>
      <c r="CN151" s="325"/>
    </row>
    <row r="152" spans="1:92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24"/>
      <c r="AH152" s="325"/>
      <c r="AI152" s="325"/>
      <c r="AJ152" s="325"/>
      <c r="AK152" s="325"/>
      <c r="AL152" s="325"/>
      <c r="AM152" s="325"/>
      <c r="AN152" s="325"/>
      <c r="AO152" s="325"/>
      <c r="AP152" s="325"/>
      <c r="AQ152" s="325"/>
      <c r="AR152" s="325"/>
      <c r="AS152" s="325"/>
      <c r="AT152" s="325"/>
      <c r="AU152" s="325"/>
      <c r="AV152" s="325"/>
      <c r="AW152" s="325"/>
      <c r="AX152" s="325"/>
      <c r="AY152" s="325"/>
      <c r="AZ152" s="325"/>
      <c r="BA152" s="325"/>
      <c r="BB152" s="325"/>
      <c r="BC152" s="325"/>
      <c r="BD152" s="325"/>
      <c r="BE152" s="325"/>
      <c r="BF152" s="325"/>
      <c r="BG152" s="325"/>
      <c r="BH152" s="325"/>
      <c r="BI152" s="325"/>
      <c r="BJ152" s="325"/>
      <c r="BK152" s="325"/>
      <c r="BL152" s="325"/>
      <c r="BM152" s="325"/>
      <c r="BN152" s="325"/>
      <c r="BO152" s="325"/>
      <c r="BP152" s="325"/>
      <c r="BQ152" s="325"/>
      <c r="BR152" s="325"/>
      <c r="BS152" s="325"/>
      <c r="BT152" s="325"/>
      <c r="BU152" s="325"/>
      <c r="BV152" s="325"/>
      <c r="BW152" s="325"/>
      <c r="BX152" s="325"/>
      <c r="BY152" s="325"/>
      <c r="BZ152" s="325"/>
      <c r="CA152" s="325"/>
      <c r="CB152" s="325"/>
      <c r="CC152" s="325"/>
      <c r="CD152" s="325"/>
      <c r="CE152" s="325"/>
      <c r="CF152" s="325"/>
      <c r="CG152" s="325"/>
      <c r="CH152" s="325"/>
      <c r="CI152" s="325"/>
      <c r="CJ152" s="325"/>
      <c r="CK152" s="325"/>
      <c r="CL152" s="325"/>
      <c r="CM152" s="325"/>
      <c r="CN152" s="325"/>
    </row>
    <row r="153" spans="1:92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24"/>
      <c r="AH153" s="325"/>
      <c r="AI153" s="325"/>
      <c r="AJ153" s="325"/>
      <c r="AK153" s="325"/>
      <c r="AL153" s="325"/>
      <c r="AM153" s="325"/>
      <c r="AN153" s="325"/>
      <c r="AO153" s="325"/>
      <c r="AP153" s="325"/>
      <c r="AQ153" s="325"/>
      <c r="AR153" s="325"/>
      <c r="AS153" s="325"/>
      <c r="AT153" s="325"/>
      <c r="AU153" s="325"/>
      <c r="AV153" s="325"/>
      <c r="AW153" s="325"/>
      <c r="AX153" s="325"/>
      <c r="AY153" s="325"/>
      <c r="AZ153" s="325"/>
      <c r="BA153" s="325"/>
      <c r="BB153" s="325"/>
      <c r="BC153" s="325"/>
      <c r="BD153" s="325"/>
      <c r="BE153" s="325"/>
      <c r="BF153" s="325"/>
      <c r="BG153" s="325"/>
      <c r="BH153" s="325"/>
      <c r="BI153" s="325"/>
      <c r="BJ153" s="325"/>
      <c r="BK153" s="325"/>
      <c r="BL153" s="325"/>
      <c r="BM153" s="325"/>
      <c r="BN153" s="325"/>
      <c r="BO153" s="325"/>
      <c r="BP153" s="325"/>
      <c r="BQ153" s="325"/>
      <c r="BR153" s="325"/>
      <c r="BS153" s="325"/>
      <c r="BT153" s="325"/>
      <c r="BU153" s="325"/>
      <c r="BV153" s="325"/>
      <c r="BW153" s="325"/>
      <c r="BX153" s="325"/>
      <c r="BY153" s="325"/>
      <c r="BZ153" s="325"/>
      <c r="CA153" s="325"/>
      <c r="CB153" s="325"/>
      <c r="CC153" s="325"/>
      <c r="CD153" s="325"/>
      <c r="CE153" s="325"/>
      <c r="CF153" s="325"/>
      <c r="CG153" s="325"/>
      <c r="CH153" s="325"/>
      <c r="CI153" s="325"/>
      <c r="CJ153" s="325"/>
      <c r="CK153" s="325"/>
      <c r="CL153" s="325"/>
      <c r="CM153" s="325"/>
      <c r="CN153" s="325"/>
    </row>
    <row r="154" spans="1:92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24"/>
      <c r="AH154" s="325"/>
      <c r="AI154" s="325"/>
      <c r="AJ154" s="325"/>
      <c r="AK154" s="325"/>
      <c r="AL154" s="325"/>
      <c r="AM154" s="325"/>
      <c r="AN154" s="325"/>
      <c r="AO154" s="325"/>
      <c r="AP154" s="325"/>
      <c r="AQ154" s="325"/>
      <c r="AR154" s="325"/>
      <c r="AS154" s="325"/>
      <c r="AT154" s="325"/>
      <c r="AU154" s="325"/>
      <c r="AV154" s="325"/>
      <c r="AW154" s="325"/>
      <c r="AX154" s="325"/>
      <c r="AY154" s="325"/>
      <c r="AZ154" s="325"/>
      <c r="BA154" s="325"/>
      <c r="BB154" s="325"/>
      <c r="BC154" s="325"/>
      <c r="BD154" s="325"/>
      <c r="BE154" s="325"/>
      <c r="BF154" s="325"/>
      <c r="BG154" s="325"/>
      <c r="BH154" s="325"/>
      <c r="BI154" s="325"/>
      <c r="BJ154" s="325"/>
      <c r="BK154" s="325"/>
      <c r="BL154" s="325"/>
      <c r="BM154" s="325"/>
      <c r="BN154" s="325"/>
      <c r="BO154" s="325"/>
      <c r="BP154" s="325"/>
      <c r="BQ154" s="325"/>
      <c r="BR154" s="325"/>
      <c r="BS154" s="325"/>
      <c r="BT154" s="325"/>
      <c r="BU154" s="325"/>
      <c r="BV154" s="325"/>
      <c r="BW154" s="325"/>
      <c r="BX154" s="325"/>
      <c r="BY154" s="325"/>
      <c r="BZ154" s="325"/>
      <c r="CA154" s="325"/>
      <c r="CB154" s="325"/>
      <c r="CC154" s="325"/>
      <c r="CD154" s="325"/>
      <c r="CE154" s="325"/>
      <c r="CF154" s="325"/>
      <c r="CG154" s="325"/>
      <c r="CH154" s="325"/>
      <c r="CI154" s="325"/>
      <c r="CJ154" s="325"/>
      <c r="CK154" s="325"/>
      <c r="CL154" s="325"/>
      <c r="CM154" s="325"/>
      <c r="CN154" s="325"/>
    </row>
    <row r="155" spans="1:92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24"/>
      <c r="AH155" s="325"/>
      <c r="AI155" s="325"/>
      <c r="AJ155" s="325"/>
      <c r="AK155" s="325"/>
      <c r="AL155" s="325"/>
      <c r="AM155" s="325"/>
      <c r="AN155" s="325"/>
      <c r="AO155" s="325"/>
      <c r="AP155" s="325"/>
      <c r="AQ155" s="325"/>
      <c r="AR155" s="325"/>
      <c r="AS155" s="325"/>
      <c r="AT155" s="325"/>
      <c r="AU155" s="325"/>
      <c r="AV155" s="325"/>
      <c r="AW155" s="325"/>
      <c r="AX155" s="325"/>
      <c r="AY155" s="325"/>
      <c r="AZ155" s="325"/>
      <c r="BA155" s="325"/>
      <c r="BB155" s="325"/>
      <c r="BC155" s="325"/>
      <c r="BD155" s="325"/>
      <c r="BE155" s="325"/>
      <c r="BF155" s="325"/>
      <c r="BG155" s="325"/>
      <c r="BH155" s="325"/>
      <c r="BI155" s="325"/>
      <c r="BJ155" s="325"/>
      <c r="BK155" s="325"/>
      <c r="BL155" s="325"/>
      <c r="BM155" s="325"/>
      <c r="BN155" s="325"/>
      <c r="BO155" s="325"/>
      <c r="BP155" s="325"/>
      <c r="BQ155" s="325"/>
      <c r="BR155" s="325"/>
      <c r="BS155" s="325"/>
      <c r="BT155" s="325"/>
      <c r="BU155" s="325"/>
      <c r="BV155" s="325"/>
      <c r="BW155" s="325"/>
      <c r="BX155" s="325"/>
      <c r="BY155" s="325"/>
      <c r="BZ155" s="325"/>
      <c r="CA155" s="325"/>
      <c r="CB155" s="325"/>
      <c r="CC155" s="325"/>
      <c r="CD155" s="325"/>
      <c r="CE155" s="325"/>
      <c r="CF155" s="325"/>
      <c r="CG155" s="325"/>
      <c r="CH155" s="325"/>
      <c r="CI155" s="325"/>
      <c r="CJ155" s="325"/>
      <c r="CK155" s="325"/>
      <c r="CL155" s="325"/>
      <c r="CM155" s="325"/>
      <c r="CN155" s="325"/>
    </row>
    <row r="156" spans="1:92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24"/>
      <c r="AH156" s="325"/>
      <c r="AI156" s="325"/>
      <c r="AJ156" s="325"/>
      <c r="AK156" s="325"/>
      <c r="AL156" s="325"/>
      <c r="AM156" s="325"/>
      <c r="AN156" s="325"/>
      <c r="AO156" s="325"/>
      <c r="AP156" s="325"/>
      <c r="AQ156" s="325"/>
      <c r="AR156" s="325"/>
      <c r="AS156" s="325"/>
      <c r="AT156" s="325"/>
      <c r="AU156" s="325"/>
      <c r="AV156" s="325"/>
      <c r="AW156" s="325"/>
      <c r="AX156" s="325"/>
      <c r="AY156" s="325"/>
      <c r="AZ156" s="325"/>
      <c r="BA156" s="325"/>
      <c r="BB156" s="325"/>
      <c r="BC156" s="325"/>
      <c r="BD156" s="325"/>
      <c r="BE156" s="325"/>
      <c r="BF156" s="325"/>
      <c r="BG156" s="325"/>
      <c r="BH156" s="325"/>
      <c r="BI156" s="325"/>
      <c r="BJ156" s="325"/>
      <c r="BK156" s="325"/>
      <c r="BL156" s="325"/>
      <c r="BM156" s="325"/>
      <c r="BN156" s="325"/>
      <c r="BO156" s="325"/>
      <c r="BP156" s="325"/>
      <c r="BQ156" s="325"/>
      <c r="BR156" s="325"/>
      <c r="BS156" s="325"/>
      <c r="BT156" s="325"/>
      <c r="BU156" s="325"/>
      <c r="BV156" s="325"/>
      <c r="BW156" s="325"/>
      <c r="BX156" s="325"/>
      <c r="BY156" s="325"/>
      <c r="BZ156" s="325"/>
      <c r="CA156" s="325"/>
      <c r="CB156" s="325"/>
      <c r="CC156" s="325"/>
      <c r="CD156" s="325"/>
      <c r="CE156" s="325"/>
      <c r="CF156" s="325"/>
      <c r="CG156" s="325"/>
      <c r="CH156" s="325"/>
      <c r="CI156" s="325"/>
      <c r="CJ156" s="325"/>
      <c r="CK156" s="325"/>
      <c r="CL156" s="325"/>
      <c r="CM156" s="325"/>
      <c r="CN156" s="325"/>
    </row>
    <row r="157" spans="1:92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24"/>
      <c r="AH157" s="325"/>
      <c r="AI157" s="325"/>
      <c r="AJ157" s="325"/>
      <c r="AK157" s="325"/>
      <c r="AL157" s="325"/>
      <c r="AM157" s="325"/>
      <c r="AN157" s="325"/>
      <c r="AO157" s="325"/>
      <c r="AP157" s="325"/>
      <c r="AQ157" s="325"/>
      <c r="AR157" s="325"/>
      <c r="AS157" s="325"/>
      <c r="AT157" s="325"/>
      <c r="AU157" s="325"/>
      <c r="AV157" s="325"/>
      <c r="AW157" s="325"/>
      <c r="AX157" s="325"/>
      <c r="AY157" s="325"/>
      <c r="AZ157" s="325"/>
      <c r="BA157" s="325"/>
      <c r="BB157" s="325"/>
      <c r="BC157" s="325"/>
      <c r="BD157" s="325"/>
      <c r="BE157" s="325"/>
      <c r="BF157" s="325"/>
      <c r="BG157" s="325"/>
      <c r="BH157" s="325"/>
      <c r="BI157" s="325"/>
      <c r="BJ157" s="325"/>
      <c r="BK157" s="325"/>
      <c r="BL157" s="325"/>
      <c r="BM157" s="325"/>
      <c r="BN157" s="325"/>
      <c r="BO157" s="325"/>
      <c r="BP157" s="325"/>
      <c r="BQ157" s="325"/>
      <c r="BR157" s="325"/>
      <c r="BS157" s="325"/>
      <c r="BT157" s="325"/>
      <c r="BU157" s="325"/>
      <c r="BV157" s="325"/>
      <c r="BW157" s="325"/>
      <c r="BX157" s="325"/>
      <c r="BY157" s="325"/>
      <c r="BZ157" s="325"/>
      <c r="CA157" s="325"/>
      <c r="CB157" s="325"/>
      <c r="CC157" s="325"/>
      <c r="CD157" s="325"/>
      <c r="CE157" s="325"/>
      <c r="CF157" s="325"/>
      <c r="CG157" s="325"/>
      <c r="CH157" s="325"/>
      <c r="CI157" s="325"/>
      <c r="CJ157" s="325"/>
      <c r="CK157" s="325"/>
      <c r="CL157" s="325"/>
      <c r="CM157" s="325"/>
      <c r="CN157" s="325"/>
    </row>
    <row r="158" spans="1:92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24"/>
      <c r="AH158" s="325"/>
      <c r="AI158" s="325"/>
      <c r="AJ158" s="325"/>
      <c r="AK158" s="325"/>
      <c r="AL158" s="325"/>
      <c r="AM158" s="325"/>
      <c r="AN158" s="325"/>
      <c r="AO158" s="325"/>
      <c r="AP158" s="325"/>
      <c r="AQ158" s="325"/>
      <c r="AR158" s="325"/>
      <c r="AS158" s="325"/>
      <c r="AT158" s="325"/>
      <c r="AU158" s="325"/>
      <c r="AV158" s="325"/>
      <c r="AW158" s="325"/>
      <c r="AX158" s="325"/>
      <c r="AY158" s="325"/>
      <c r="AZ158" s="325"/>
      <c r="BA158" s="325"/>
      <c r="BB158" s="325"/>
      <c r="BC158" s="325"/>
      <c r="BD158" s="325"/>
      <c r="BE158" s="325"/>
      <c r="BF158" s="325"/>
      <c r="BG158" s="325"/>
      <c r="BH158" s="325"/>
      <c r="BI158" s="325"/>
      <c r="BJ158" s="325"/>
      <c r="BK158" s="325"/>
      <c r="BL158" s="325"/>
      <c r="BM158" s="325"/>
      <c r="BN158" s="325"/>
      <c r="BO158" s="325"/>
      <c r="BP158" s="325"/>
      <c r="BQ158" s="325"/>
      <c r="BR158" s="325"/>
      <c r="BS158" s="325"/>
      <c r="BT158" s="325"/>
      <c r="BU158" s="325"/>
      <c r="BV158" s="325"/>
      <c r="BW158" s="325"/>
      <c r="BX158" s="325"/>
      <c r="BY158" s="325"/>
      <c r="BZ158" s="325"/>
      <c r="CA158" s="325"/>
      <c r="CB158" s="325"/>
      <c r="CC158" s="325"/>
      <c r="CD158" s="325"/>
      <c r="CE158" s="325"/>
      <c r="CF158" s="325"/>
      <c r="CG158" s="325"/>
      <c r="CH158" s="325"/>
      <c r="CI158" s="325"/>
      <c r="CJ158" s="325"/>
      <c r="CK158" s="325"/>
      <c r="CL158" s="325"/>
      <c r="CM158" s="325"/>
      <c r="CN158" s="325"/>
    </row>
    <row r="159" spans="1:92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24"/>
      <c r="AH159" s="325"/>
      <c r="AI159" s="325"/>
      <c r="AJ159" s="325"/>
      <c r="AK159" s="325"/>
      <c r="AL159" s="325"/>
      <c r="AM159" s="325"/>
      <c r="AN159" s="325"/>
      <c r="AO159" s="325"/>
      <c r="AP159" s="325"/>
      <c r="AQ159" s="325"/>
      <c r="AR159" s="325"/>
      <c r="AS159" s="325"/>
      <c r="AT159" s="325"/>
      <c r="AU159" s="325"/>
      <c r="AV159" s="325"/>
      <c r="AW159" s="325"/>
      <c r="AX159" s="325"/>
      <c r="AY159" s="325"/>
      <c r="AZ159" s="325"/>
      <c r="BA159" s="325"/>
      <c r="BB159" s="325"/>
      <c r="BC159" s="325"/>
      <c r="BD159" s="325"/>
      <c r="BE159" s="325"/>
      <c r="BF159" s="325"/>
      <c r="BG159" s="325"/>
      <c r="BH159" s="325"/>
      <c r="BI159" s="325"/>
      <c r="BJ159" s="325"/>
      <c r="BK159" s="325"/>
      <c r="BL159" s="325"/>
      <c r="BM159" s="325"/>
      <c r="BN159" s="325"/>
      <c r="BO159" s="325"/>
      <c r="BP159" s="325"/>
      <c r="BQ159" s="325"/>
      <c r="BR159" s="325"/>
      <c r="BS159" s="325"/>
      <c r="BT159" s="325"/>
      <c r="BU159" s="325"/>
      <c r="BV159" s="325"/>
      <c r="BW159" s="325"/>
      <c r="BX159" s="325"/>
      <c r="BY159" s="325"/>
      <c r="BZ159" s="325"/>
      <c r="CA159" s="325"/>
      <c r="CB159" s="325"/>
      <c r="CC159" s="325"/>
      <c r="CD159" s="325"/>
      <c r="CE159" s="325"/>
      <c r="CF159" s="325"/>
      <c r="CG159" s="325"/>
      <c r="CH159" s="325"/>
      <c r="CI159" s="325"/>
      <c r="CJ159" s="325"/>
      <c r="CK159" s="325"/>
      <c r="CL159" s="325"/>
      <c r="CM159" s="325"/>
      <c r="CN159" s="325"/>
    </row>
    <row r="160" spans="1:92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24"/>
      <c r="AH160" s="325"/>
      <c r="AI160" s="325"/>
      <c r="AJ160" s="325"/>
      <c r="AK160" s="325"/>
      <c r="AL160" s="325"/>
      <c r="AM160" s="325"/>
      <c r="AN160" s="325"/>
      <c r="AO160" s="325"/>
      <c r="AP160" s="325"/>
      <c r="AQ160" s="325"/>
      <c r="AR160" s="325"/>
      <c r="AS160" s="325"/>
      <c r="AT160" s="325"/>
      <c r="AU160" s="325"/>
      <c r="AV160" s="325"/>
      <c r="AW160" s="325"/>
      <c r="AX160" s="325"/>
      <c r="AY160" s="325"/>
      <c r="AZ160" s="325"/>
      <c r="BA160" s="325"/>
      <c r="BB160" s="325"/>
      <c r="BC160" s="325"/>
      <c r="BD160" s="325"/>
      <c r="BE160" s="325"/>
      <c r="BF160" s="325"/>
      <c r="BG160" s="325"/>
      <c r="BH160" s="325"/>
      <c r="BI160" s="325"/>
      <c r="BJ160" s="325"/>
      <c r="BK160" s="325"/>
      <c r="BL160" s="325"/>
      <c r="BM160" s="325"/>
      <c r="BN160" s="325"/>
      <c r="BO160" s="325"/>
      <c r="BP160" s="325"/>
      <c r="BQ160" s="325"/>
      <c r="BR160" s="325"/>
      <c r="BS160" s="325"/>
      <c r="BT160" s="325"/>
      <c r="BU160" s="325"/>
      <c r="BV160" s="325"/>
      <c r="BW160" s="325"/>
      <c r="BX160" s="325"/>
      <c r="BY160" s="325"/>
      <c r="BZ160" s="325"/>
      <c r="CA160" s="325"/>
      <c r="CB160" s="325"/>
      <c r="CC160" s="325"/>
      <c r="CD160" s="325"/>
      <c r="CE160" s="325"/>
      <c r="CF160" s="325"/>
      <c r="CG160" s="325"/>
      <c r="CH160" s="325"/>
      <c r="CI160" s="325"/>
      <c r="CJ160" s="325"/>
      <c r="CK160" s="325"/>
      <c r="CL160" s="325"/>
      <c r="CM160" s="325"/>
      <c r="CN160" s="325"/>
    </row>
    <row r="161" spans="1:92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24"/>
      <c r="AH161" s="325"/>
      <c r="AI161" s="325"/>
      <c r="AJ161" s="325"/>
      <c r="AK161" s="325"/>
      <c r="AL161" s="325"/>
      <c r="AM161" s="325"/>
      <c r="AN161" s="325"/>
      <c r="AO161" s="325"/>
      <c r="AP161" s="325"/>
      <c r="AQ161" s="325"/>
      <c r="AR161" s="325"/>
      <c r="AS161" s="325"/>
      <c r="AT161" s="325"/>
      <c r="AU161" s="325"/>
      <c r="AV161" s="325"/>
      <c r="AW161" s="325"/>
      <c r="AX161" s="325"/>
      <c r="AY161" s="325"/>
      <c r="AZ161" s="325"/>
      <c r="BA161" s="325"/>
      <c r="BB161" s="325"/>
      <c r="BC161" s="325"/>
      <c r="BD161" s="325"/>
      <c r="BE161" s="325"/>
      <c r="BF161" s="325"/>
      <c r="BG161" s="325"/>
      <c r="BH161" s="325"/>
      <c r="BI161" s="325"/>
      <c r="BJ161" s="325"/>
      <c r="BK161" s="325"/>
      <c r="BL161" s="325"/>
      <c r="BM161" s="325"/>
      <c r="BN161" s="325"/>
      <c r="BO161" s="325"/>
      <c r="BP161" s="325"/>
      <c r="BQ161" s="325"/>
      <c r="BR161" s="325"/>
      <c r="BS161" s="325"/>
      <c r="BT161" s="325"/>
      <c r="BU161" s="325"/>
      <c r="BV161" s="325"/>
      <c r="BW161" s="325"/>
      <c r="BX161" s="325"/>
      <c r="BY161" s="325"/>
      <c r="BZ161" s="325"/>
      <c r="CA161" s="325"/>
      <c r="CB161" s="325"/>
      <c r="CC161" s="325"/>
      <c r="CD161" s="325"/>
      <c r="CE161" s="325"/>
      <c r="CF161" s="325"/>
      <c r="CG161" s="325"/>
      <c r="CH161" s="325"/>
      <c r="CI161" s="325"/>
      <c r="CJ161" s="325"/>
      <c r="CK161" s="325"/>
      <c r="CL161" s="325"/>
      <c r="CM161" s="325"/>
      <c r="CN161" s="325"/>
    </row>
    <row r="162" spans="1:92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24"/>
      <c r="AH162" s="325"/>
      <c r="AI162" s="325"/>
      <c r="AJ162" s="325"/>
      <c r="AK162" s="325"/>
      <c r="AL162" s="325"/>
      <c r="AM162" s="325"/>
      <c r="AN162" s="325"/>
      <c r="AO162" s="325"/>
      <c r="AP162" s="325"/>
      <c r="AQ162" s="325"/>
      <c r="AR162" s="325"/>
      <c r="AS162" s="325"/>
      <c r="AT162" s="325"/>
      <c r="AU162" s="325"/>
      <c r="AV162" s="325"/>
      <c r="AW162" s="325"/>
      <c r="AX162" s="325"/>
      <c r="AY162" s="325"/>
      <c r="AZ162" s="325"/>
      <c r="BA162" s="325"/>
      <c r="BB162" s="325"/>
      <c r="BC162" s="325"/>
      <c r="BD162" s="325"/>
      <c r="BE162" s="325"/>
      <c r="BF162" s="325"/>
      <c r="BG162" s="325"/>
      <c r="BH162" s="325"/>
      <c r="BI162" s="325"/>
      <c r="BJ162" s="325"/>
      <c r="BK162" s="325"/>
      <c r="BL162" s="325"/>
      <c r="BM162" s="325"/>
      <c r="BN162" s="325"/>
      <c r="BO162" s="325"/>
      <c r="BP162" s="325"/>
      <c r="BQ162" s="325"/>
      <c r="BR162" s="325"/>
      <c r="BS162" s="325"/>
      <c r="BT162" s="325"/>
      <c r="BU162" s="325"/>
      <c r="BV162" s="325"/>
      <c r="BW162" s="325"/>
      <c r="BX162" s="325"/>
      <c r="BY162" s="325"/>
      <c r="BZ162" s="325"/>
      <c r="CA162" s="325"/>
      <c r="CB162" s="325"/>
      <c r="CC162" s="325"/>
      <c r="CD162" s="325"/>
      <c r="CE162" s="325"/>
      <c r="CF162" s="325"/>
      <c r="CG162" s="325"/>
      <c r="CH162" s="325"/>
      <c r="CI162" s="325"/>
      <c r="CJ162" s="325"/>
      <c r="CK162" s="325"/>
      <c r="CL162" s="325"/>
      <c r="CM162" s="325"/>
      <c r="CN162" s="325"/>
    </row>
    <row r="163" spans="1:92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24"/>
      <c r="AH163" s="325"/>
      <c r="AI163" s="325"/>
      <c r="AJ163" s="325"/>
      <c r="AK163" s="325"/>
      <c r="AL163" s="325"/>
      <c r="AM163" s="325"/>
      <c r="AN163" s="325"/>
      <c r="AO163" s="325"/>
      <c r="AP163" s="325"/>
      <c r="AQ163" s="325"/>
      <c r="AR163" s="325"/>
      <c r="AS163" s="325"/>
      <c r="AT163" s="325"/>
      <c r="AU163" s="325"/>
      <c r="AV163" s="325"/>
      <c r="AW163" s="325"/>
      <c r="AX163" s="325"/>
      <c r="AY163" s="325"/>
      <c r="AZ163" s="325"/>
      <c r="BA163" s="325"/>
      <c r="BB163" s="325"/>
      <c r="BC163" s="325"/>
      <c r="BD163" s="325"/>
      <c r="BE163" s="325"/>
      <c r="BF163" s="325"/>
      <c r="BG163" s="325"/>
      <c r="BH163" s="325"/>
      <c r="BI163" s="325"/>
      <c r="BJ163" s="325"/>
      <c r="BK163" s="325"/>
      <c r="BL163" s="325"/>
      <c r="BM163" s="325"/>
      <c r="BN163" s="325"/>
      <c r="BO163" s="325"/>
      <c r="BP163" s="325"/>
      <c r="BQ163" s="325"/>
      <c r="BR163" s="325"/>
      <c r="BS163" s="325"/>
      <c r="BT163" s="325"/>
      <c r="BU163" s="325"/>
      <c r="BV163" s="325"/>
      <c r="BW163" s="325"/>
      <c r="BX163" s="325"/>
      <c r="BY163" s="325"/>
      <c r="BZ163" s="325"/>
      <c r="CA163" s="325"/>
      <c r="CB163" s="325"/>
      <c r="CC163" s="325"/>
      <c r="CD163" s="325"/>
      <c r="CE163" s="325"/>
      <c r="CF163" s="325"/>
      <c r="CG163" s="325"/>
      <c r="CH163" s="325"/>
      <c r="CI163" s="325"/>
      <c r="CJ163" s="325"/>
      <c r="CK163" s="325"/>
      <c r="CL163" s="325"/>
      <c r="CM163" s="325"/>
      <c r="CN163" s="325"/>
    </row>
    <row r="164" spans="1:92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24"/>
      <c r="AH164" s="325"/>
      <c r="AI164" s="325"/>
      <c r="AJ164" s="325"/>
      <c r="AK164" s="325"/>
      <c r="AL164" s="325"/>
      <c r="AM164" s="325"/>
      <c r="AN164" s="325"/>
      <c r="AO164" s="325"/>
      <c r="AP164" s="325"/>
      <c r="AQ164" s="325"/>
      <c r="AR164" s="325"/>
      <c r="AS164" s="325"/>
      <c r="AT164" s="325"/>
      <c r="AU164" s="325"/>
      <c r="AV164" s="325"/>
      <c r="AW164" s="325"/>
      <c r="AX164" s="325"/>
      <c r="AY164" s="325"/>
      <c r="AZ164" s="325"/>
      <c r="BA164" s="325"/>
      <c r="BB164" s="325"/>
      <c r="BC164" s="325"/>
      <c r="BD164" s="325"/>
      <c r="BE164" s="325"/>
      <c r="BF164" s="325"/>
      <c r="BG164" s="325"/>
      <c r="BH164" s="325"/>
      <c r="BI164" s="325"/>
      <c r="BJ164" s="325"/>
      <c r="BK164" s="325"/>
      <c r="BL164" s="325"/>
      <c r="BM164" s="325"/>
      <c r="BN164" s="325"/>
      <c r="BO164" s="325"/>
      <c r="BP164" s="325"/>
      <c r="BQ164" s="325"/>
      <c r="BR164" s="325"/>
      <c r="BS164" s="325"/>
      <c r="BT164" s="325"/>
      <c r="BU164" s="325"/>
      <c r="BV164" s="325"/>
      <c r="BW164" s="325"/>
      <c r="BX164" s="325"/>
      <c r="BY164" s="325"/>
      <c r="BZ164" s="325"/>
      <c r="CA164" s="325"/>
      <c r="CB164" s="325"/>
      <c r="CC164" s="325"/>
      <c r="CD164" s="325"/>
      <c r="CE164" s="325"/>
      <c r="CF164" s="325"/>
      <c r="CG164" s="325"/>
      <c r="CH164" s="325"/>
      <c r="CI164" s="325"/>
      <c r="CJ164" s="325"/>
      <c r="CK164" s="325"/>
      <c r="CL164" s="325"/>
      <c r="CM164" s="325"/>
      <c r="CN164" s="325"/>
    </row>
    <row r="165" spans="1:92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24"/>
      <c r="AH165" s="325"/>
      <c r="AI165" s="325"/>
      <c r="AJ165" s="325"/>
      <c r="AK165" s="325"/>
      <c r="AL165" s="325"/>
      <c r="AM165" s="325"/>
      <c r="AN165" s="325"/>
      <c r="AO165" s="325"/>
      <c r="AP165" s="325"/>
      <c r="AQ165" s="325"/>
      <c r="AR165" s="325"/>
      <c r="AS165" s="325"/>
      <c r="AT165" s="325"/>
      <c r="AU165" s="325"/>
      <c r="AV165" s="325"/>
      <c r="AW165" s="325"/>
      <c r="AX165" s="325"/>
      <c r="AY165" s="325"/>
      <c r="AZ165" s="325"/>
      <c r="BA165" s="325"/>
      <c r="BB165" s="325"/>
      <c r="BC165" s="325"/>
      <c r="BD165" s="325"/>
      <c r="BE165" s="325"/>
      <c r="BF165" s="325"/>
      <c r="BG165" s="325"/>
      <c r="BH165" s="325"/>
      <c r="BI165" s="325"/>
      <c r="BJ165" s="325"/>
      <c r="BK165" s="325"/>
      <c r="BL165" s="325"/>
      <c r="BM165" s="325"/>
      <c r="BN165" s="325"/>
      <c r="BO165" s="325"/>
      <c r="BP165" s="325"/>
      <c r="BQ165" s="325"/>
      <c r="BR165" s="325"/>
      <c r="BS165" s="325"/>
      <c r="BT165" s="325"/>
      <c r="BU165" s="325"/>
      <c r="BV165" s="325"/>
      <c r="BW165" s="325"/>
      <c r="BX165" s="325"/>
      <c r="BY165" s="325"/>
      <c r="BZ165" s="325"/>
      <c r="CA165" s="325"/>
      <c r="CB165" s="325"/>
      <c r="CC165" s="325"/>
      <c r="CD165" s="325"/>
      <c r="CE165" s="325"/>
      <c r="CF165" s="325"/>
      <c r="CG165" s="325"/>
      <c r="CH165" s="325"/>
      <c r="CI165" s="325"/>
      <c r="CJ165" s="325"/>
      <c r="CK165" s="325"/>
      <c r="CL165" s="325"/>
      <c r="CM165" s="325"/>
      <c r="CN165" s="325"/>
    </row>
    <row r="166" spans="1:92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24"/>
      <c r="AH166" s="325"/>
      <c r="AI166" s="325"/>
      <c r="AJ166" s="325"/>
      <c r="AK166" s="325"/>
      <c r="AL166" s="325"/>
      <c r="AM166" s="325"/>
      <c r="AN166" s="325"/>
      <c r="AO166" s="325"/>
      <c r="AP166" s="325"/>
      <c r="AQ166" s="325"/>
      <c r="AR166" s="325"/>
      <c r="AS166" s="325"/>
      <c r="AT166" s="325"/>
      <c r="AU166" s="325"/>
      <c r="AV166" s="325"/>
      <c r="AW166" s="325"/>
      <c r="AX166" s="325"/>
      <c r="AY166" s="325"/>
      <c r="AZ166" s="325"/>
      <c r="BA166" s="325"/>
      <c r="BB166" s="325"/>
      <c r="BC166" s="325"/>
      <c r="BD166" s="325"/>
      <c r="BE166" s="325"/>
      <c r="BF166" s="325"/>
      <c r="BG166" s="325"/>
      <c r="BH166" s="325"/>
      <c r="BI166" s="325"/>
      <c r="BJ166" s="325"/>
      <c r="BK166" s="325"/>
      <c r="BL166" s="325"/>
      <c r="BM166" s="325"/>
      <c r="BN166" s="325"/>
      <c r="BO166" s="325"/>
      <c r="BP166" s="325"/>
      <c r="BQ166" s="325"/>
      <c r="BR166" s="325"/>
      <c r="BS166" s="325"/>
      <c r="BT166" s="325"/>
      <c r="BU166" s="325"/>
      <c r="BV166" s="325"/>
      <c r="BW166" s="325"/>
      <c r="BX166" s="325"/>
      <c r="BY166" s="325"/>
      <c r="BZ166" s="325"/>
      <c r="CA166" s="325"/>
      <c r="CB166" s="325"/>
      <c r="CC166" s="325"/>
      <c r="CD166" s="325"/>
      <c r="CE166" s="325"/>
      <c r="CF166" s="325"/>
      <c r="CG166" s="325"/>
      <c r="CH166" s="325"/>
      <c r="CI166" s="325"/>
      <c r="CJ166" s="325"/>
      <c r="CK166" s="325"/>
      <c r="CL166" s="325"/>
      <c r="CM166" s="325"/>
      <c r="CN166" s="325"/>
    </row>
    <row r="167" spans="1:92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24"/>
      <c r="AH167" s="325"/>
      <c r="AI167" s="325"/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  <c r="BR167" s="325"/>
      <c r="BS167" s="325"/>
      <c r="BT167" s="325"/>
      <c r="BU167" s="325"/>
      <c r="BV167" s="325"/>
      <c r="BW167" s="325"/>
      <c r="BX167" s="325"/>
      <c r="BY167" s="325"/>
      <c r="BZ167" s="325"/>
      <c r="CA167" s="325"/>
      <c r="CB167" s="325"/>
      <c r="CC167" s="325"/>
      <c r="CD167" s="325"/>
      <c r="CE167" s="325"/>
      <c r="CF167" s="325"/>
      <c r="CG167" s="325"/>
      <c r="CH167" s="325"/>
      <c r="CI167" s="325"/>
      <c r="CJ167" s="325"/>
      <c r="CK167" s="325"/>
      <c r="CL167" s="325"/>
      <c r="CM167" s="325"/>
      <c r="CN167" s="325"/>
    </row>
    <row r="168" spans="1:92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24"/>
      <c r="AH168" s="325"/>
      <c r="AI168" s="325"/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  <c r="BR168" s="325"/>
      <c r="BS168" s="325"/>
      <c r="BT168" s="325"/>
      <c r="BU168" s="325"/>
      <c r="BV168" s="325"/>
      <c r="BW168" s="325"/>
      <c r="BX168" s="325"/>
      <c r="BY168" s="325"/>
      <c r="BZ168" s="325"/>
      <c r="CA168" s="325"/>
      <c r="CB168" s="325"/>
      <c r="CC168" s="325"/>
      <c r="CD168" s="325"/>
      <c r="CE168" s="325"/>
      <c r="CF168" s="325"/>
      <c r="CG168" s="325"/>
      <c r="CH168" s="325"/>
      <c r="CI168" s="325"/>
      <c r="CJ168" s="325"/>
      <c r="CK168" s="325"/>
      <c r="CL168" s="325"/>
      <c r="CM168" s="325"/>
      <c r="CN168" s="325"/>
    </row>
    <row r="169" spans="1:92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28"/>
    </row>
    <row r="170" spans="1:92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28"/>
    </row>
    <row r="171" spans="1:92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28"/>
    </row>
    <row r="172" spans="1:92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28"/>
    </row>
    <row r="173" spans="1:92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28"/>
    </row>
    <row r="174" spans="1:92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28"/>
    </row>
    <row r="175" spans="1:92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28"/>
    </row>
    <row r="176" spans="1:92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28"/>
    </row>
    <row r="177" spans="1:33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28"/>
    </row>
    <row r="178" spans="1:33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28"/>
    </row>
    <row r="179" spans="1:33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28"/>
    </row>
    <row r="180" spans="1:33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28"/>
    </row>
    <row r="181" spans="1:33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28"/>
    </row>
    <row r="182" spans="1:33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28"/>
    </row>
    <row r="183" spans="1:33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28"/>
    </row>
    <row r="184" spans="1:33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28"/>
    </row>
    <row r="185" spans="1:33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28"/>
    </row>
    <row r="186" spans="1:33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28"/>
    </row>
    <row r="187" spans="1:33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28"/>
    </row>
    <row r="188" spans="1:33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28"/>
    </row>
    <row r="189" spans="1:33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28"/>
    </row>
    <row r="190" spans="1:33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28"/>
    </row>
    <row r="191" spans="1:33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28"/>
    </row>
    <row r="192" spans="1:33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28"/>
    </row>
    <row r="193" spans="1:33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28"/>
    </row>
    <row r="194" spans="1:33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28"/>
    </row>
    <row r="195" spans="1:33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28"/>
    </row>
    <row r="196" spans="1:33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28"/>
    </row>
    <row r="197" spans="1:33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28"/>
    </row>
    <row r="198" spans="1:33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28"/>
    </row>
    <row r="199" spans="1:33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28"/>
    </row>
    <row r="200" spans="1:33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28"/>
    </row>
    <row r="201" spans="1:33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28"/>
    </row>
    <row r="202" spans="1:33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28"/>
    </row>
    <row r="203" spans="1:33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28"/>
    </row>
    <row r="204" spans="1:33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28"/>
    </row>
    <row r="205" spans="1:33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28"/>
    </row>
    <row r="206" spans="1:33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28"/>
    </row>
    <row r="207" spans="1:33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28"/>
    </row>
    <row r="208" spans="1:33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28"/>
    </row>
    <row r="209" spans="1:33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28"/>
    </row>
    <row r="210" spans="1:33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28"/>
    </row>
    <row r="211" spans="1:33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28"/>
    </row>
    <row r="212" spans="1:33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28"/>
    </row>
    <row r="213" spans="1:33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28"/>
    </row>
    <row r="214" spans="1:33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28"/>
    </row>
    <row r="215" spans="1:33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28"/>
    </row>
    <row r="216" spans="1:33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28"/>
    </row>
    <row r="217" spans="1:33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28"/>
    </row>
    <row r="218" spans="1:33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28"/>
    </row>
    <row r="219" spans="1:33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28"/>
    </row>
    <row r="220" spans="1:33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28"/>
    </row>
    <row r="221" spans="1:33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28"/>
    </row>
    <row r="222" spans="1:33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28"/>
    </row>
    <row r="223" spans="1:33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28"/>
    </row>
    <row r="224" spans="1:33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28"/>
    </row>
    <row r="225" spans="1:33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28"/>
    </row>
    <row r="226" spans="1:33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28"/>
    </row>
    <row r="227" spans="1:33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28"/>
    </row>
    <row r="228" spans="1:33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28"/>
    </row>
    <row r="229" spans="1:33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28"/>
    </row>
    <row r="230" spans="1:33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28"/>
    </row>
    <row r="231" spans="1:33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28"/>
    </row>
    <row r="232" spans="1:33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28"/>
    </row>
    <row r="233" spans="1:33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28"/>
    </row>
    <row r="234" spans="1:33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28"/>
    </row>
    <row r="235" spans="1:33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28"/>
    </row>
    <row r="236" spans="1:33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28"/>
    </row>
    <row r="237" spans="1:33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28"/>
    </row>
    <row r="238" spans="1:33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28"/>
    </row>
    <row r="239" spans="1:33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28"/>
    </row>
    <row r="240" spans="1:33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28"/>
    </row>
    <row r="241" spans="1:33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28"/>
    </row>
    <row r="242" spans="1:33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28"/>
    </row>
    <row r="243" spans="1:33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28"/>
    </row>
    <row r="244" spans="1:33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28"/>
    </row>
    <row r="245" spans="1:33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28"/>
    </row>
    <row r="246" spans="1:33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28"/>
    </row>
    <row r="247" spans="1:33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28"/>
    </row>
    <row r="248" spans="1:33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28"/>
    </row>
    <row r="249" spans="1:33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28"/>
    </row>
    <row r="250" spans="1:33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28"/>
    </row>
    <row r="251" spans="1:33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28"/>
    </row>
    <row r="252" spans="1:33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28"/>
    </row>
    <row r="253" spans="1:33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28"/>
    </row>
    <row r="254" spans="1:33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28"/>
    </row>
    <row r="255" spans="1:33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28"/>
    </row>
    <row r="256" spans="1:33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28"/>
    </row>
    <row r="257" spans="1:33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28"/>
    </row>
    <row r="258" spans="1:33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28"/>
    </row>
    <row r="259" spans="1:33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28"/>
    </row>
    <row r="260" spans="1:33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28"/>
    </row>
    <row r="261" spans="1:33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28"/>
    </row>
    <row r="262" spans="1:33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28"/>
    </row>
    <row r="263" spans="1:33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28"/>
    </row>
    <row r="264" spans="1:33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28"/>
    </row>
    <row r="265" spans="1:33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28"/>
    </row>
    <row r="266" spans="1:33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28"/>
    </row>
    <row r="267" spans="1:33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28"/>
    </row>
    <row r="268" spans="1:33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28"/>
    </row>
    <row r="269" spans="1:33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28"/>
    </row>
    <row r="270" spans="1:33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28"/>
    </row>
    <row r="271" spans="1:33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28"/>
    </row>
    <row r="272" spans="1:33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28"/>
    </row>
    <row r="273" spans="1:33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28"/>
    </row>
    <row r="274" spans="1:33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28"/>
    </row>
    <row r="275" spans="1:33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28"/>
    </row>
    <row r="276" spans="1:33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28"/>
    </row>
    <row r="277" spans="1:33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28"/>
    </row>
    <row r="278" spans="1:33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28"/>
    </row>
    <row r="279" spans="1:33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28"/>
    </row>
    <row r="280" spans="1:33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28"/>
    </row>
    <row r="281" spans="1:33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28"/>
    </row>
    <row r="282" spans="1:33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28"/>
    </row>
    <row r="283" spans="1:33" ht="14.25" customHeight="1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</row>
    <row r="284" spans="1:33" ht="14.25" customHeight="1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</row>
    <row r="285" spans="1:33" ht="14.25" customHeight="1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</row>
    <row r="286" spans="1:33" ht="14.25" customHeight="1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</row>
    <row r="287" spans="1:33" ht="14.25" customHeight="1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</row>
    <row r="288" spans="1:33" ht="14.25" customHeight="1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</row>
    <row r="289" spans="1:33" ht="14.25" customHeight="1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</row>
    <row r="290" spans="1:33" ht="14.25" customHeight="1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</row>
    <row r="291" spans="1:33" ht="14.25" customHeight="1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</row>
    <row r="292" spans="1:33" ht="14.25" customHeight="1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</row>
    <row r="293" spans="1:33" ht="14.25" customHeight="1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</row>
    <row r="294" spans="1:33" ht="14.25" customHeight="1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</row>
    <row r="295" spans="1:33" ht="14.25" customHeight="1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</row>
    <row r="296" spans="1:33" ht="14.25" customHeight="1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</row>
    <row r="297" spans="1:33" ht="14.25" customHeight="1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</row>
    <row r="298" spans="1:33" ht="14.25" customHeight="1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</row>
    <row r="299" spans="1:33" ht="14.25" customHeight="1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</row>
    <row r="300" spans="1:33" ht="14.25" customHeight="1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</row>
    <row r="301" spans="1:33" ht="14.25" customHeight="1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</row>
    <row r="302" spans="1:33" ht="14.25" customHeight="1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</row>
    <row r="303" spans="1:33" ht="14.25" customHeight="1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</row>
    <row r="304" spans="1:33" ht="14.25" customHeight="1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</row>
    <row r="305" spans="1:33" ht="14.25" customHeight="1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</row>
    <row r="306" spans="1:33" ht="14.25" customHeight="1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</row>
    <row r="307" spans="1:33" ht="14.25" customHeight="1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</row>
    <row r="308" spans="1:33" ht="14.25" customHeight="1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</row>
    <row r="309" spans="1:33" ht="14.25" customHeight="1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</row>
    <row r="310" spans="1:33" ht="14.25" customHeight="1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</row>
    <row r="311" spans="1:33" ht="14.25" customHeight="1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</row>
    <row r="312" spans="1:33" ht="14.25" customHeight="1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</row>
    <row r="313" spans="1:33" ht="14.25" customHeight="1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</row>
    <row r="314" spans="1:33" ht="14.25" customHeight="1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</row>
    <row r="315" spans="1:33" ht="14.25" customHeight="1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</row>
    <row r="316" spans="1:33" ht="14.25" customHeight="1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</row>
    <row r="317" spans="1:33" ht="14.25" customHeight="1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</row>
    <row r="318" spans="1:33" ht="14.25" customHeight="1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</row>
    <row r="319" spans="1:33" ht="14.25" customHeight="1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</row>
    <row r="320" spans="1:33" ht="14.25" customHeight="1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</row>
    <row r="321" spans="1:33" ht="14.25" customHeight="1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</row>
    <row r="322" spans="1:33" ht="14.25" customHeight="1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</row>
    <row r="323" spans="1:33" ht="14.25" customHeight="1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</row>
    <row r="324" spans="1:33" ht="14.25" customHeight="1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</row>
    <row r="325" spans="1:33" ht="14.25" customHeight="1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</row>
    <row r="326" spans="1:33" ht="14.25" customHeight="1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</row>
    <row r="327" spans="1:33" ht="14.25" customHeight="1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</row>
    <row r="328" spans="1:33" ht="14.25" customHeight="1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</row>
    <row r="329" spans="1:33" ht="14.25" customHeight="1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</row>
    <row r="330" spans="1:33" ht="14.25" customHeight="1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</row>
    <row r="331" spans="1:33" ht="14.25" customHeight="1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</row>
    <row r="332" spans="1:33" ht="14.25" customHeight="1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</row>
    <row r="333" spans="1:33" ht="14.25" customHeight="1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</row>
    <row r="334" spans="1:33" ht="14.25" customHeight="1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</row>
    <row r="335" spans="1:33" ht="14.25" customHeight="1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</row>
    <row r="336" spans="1:33" ht="14.25" customHeight="1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</row>
    <row r="337" spans="1:33" ht="14.25" customHeight="1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</row>
    <row r="338" spans="1:33" ht="14.25" customHeight="1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</row>
    <row r="339" spans="1:33" ht="14.25" customHeight="1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</row>
    <row r="340" spans="1:33" ht="14.25" customHeight="1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</row>
    <row r="341" spans="1:33" ht="14.25" customHeight="1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</row>
    <row r="342" spans="1:33" ht="14.25" customHeight="1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</row>
    <row r="343" spans="1:33" ht="14.25" customHeight="1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</row>
    <row r="344" spans="1:33" ht="14.25" customHeight="1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</row>
    <row r="345" spans="1:33" ht="14.25" customHeight="1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</row>
    <row r="346" spans="1:33" ht="14.25" customHeight="1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</row>
    <row r="347" spans="1:33" ht="14.25" customHeight="1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</row>
    <row r="348" spans="1:33" ht="14.25" customHeight="1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</row>
    <row r="349" spans="1:33" ht="14.25" customHeight="1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</row>
    <row r="350" spans="1:33" ht="14.25" customHeight="1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</row>
    <row r="351" spans="1:33" ht="14.25" customHeight="1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</row>
    <row r="352" spans="1:33" ht="14.25" customHeight="1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</row>
    <row r="353" spans="1:33" ht="14.25" customHeight="1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</row>
    <row r="354" spans="1:33" ht="14.25" customHeight="1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</row>
    <row r="355" spans="1:33" ht="14.25" customHeight="1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</row>
    <row r="356" spans="1:33" ht="14.25" customHeight="1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</row>
    <row r="357" spans="1:33" ht="14.25" customHeight="1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</row>
    <row r="358" spans="1:33" ht="14.25" customHeight="1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</row>
    <row r="359" spans="1:33" ht="14.25" customHeight="1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</row>
    <row r="360" spans="1:33" ht="14.25" customHeight="1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</row>
    <row r="361" spans="1:33" ht="14.25" customHeight="1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</row>
    <row r="362" spans="1:33" ht="14.25" customHeight="1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</row>
    <row r="363" spans="1:33" ht="14.25" customHeight="1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</row>
    <row r="364" spans="1:33" ht="14.25" customHeight="1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</row>
    <row r="365" spans="1:33" ht="14.25" customHeight="1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</row>
    <row r="366" spans="1:33" ht="14.25" customHeight="1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</row>
    <row r="367" spans="1:33" ht="14.25" customHeight="1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</row>
    <row r="368" spans="1:33" ht="14.25" customHeight="1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</row>
    <row r="369" spans="1:33" ht="14.25" customHeight="1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</row>
    <row r="370" spans="1:33" ht="14.25" customHeight="1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</row>
    <row r="371" spans="1:33" ht="14.25" customHeight="1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</row>
    <row r="372" spans="1:33" ht="14.25" customHeight="1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</row>
    <row r="373" spans="1:33" ht="14.25" customHeight="1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</row>
    <row r="374" spans="1:33" ht="14.25" customHeight="1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</row>
    <row r="375" spans="1:33" ht="14.25" customHeight="1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</row>
    <row r="376" spans="1:33" ht="14.25" customHeight="1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</row>
    <row r="377" spans="1:33" ht="14.25" customHeight="1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</row>
    <row r="378" spans="1:33" ht="14.25" customHeight="1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</row>
    <row r="379" spans="1:33" ht="14.25" customHeight="1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</row>
    <row r="380" spans="1:33" ht="14.25" customHeight="1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</row>
    <row r="381" spans="1:33" ht="14.25" customHeight="1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</row>
    <row r="382" spans="1:33" ht="14.25" customHeight="1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</row>
    <row r="383" spans="1:33" ht="14.25" customHeight="1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</row>
    <row r="384" spans="1:33" ht="14.25" customHeight="1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</row>
    <row r="385" spans="1:33" ht="14.25" customHeight="1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</row>
    <row r="386" spans="1:33" ht="14.25" customHeight="1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</row>
    <row r="387" spans="1:33" ht="14.25" customHeight="1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</row>
    <row r="388" spans="1:33" ht="14.25" customHeight="1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</row>
    <row r="389" spans="1:33" ht="14.25" customHeight="1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</row>
    <row r="390" spans="1:33" ht="14.25" customHeight="1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</row>
    <row r="391" spans="1:33" ht="14.25" customHeight="1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</row>
    <row r="392" spans="1:33" ht="14.25" customHeight="1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</row>
    <row r="393" spans="1:33" ht="14.25" customHeight="1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</row>
    <row r="394" spans="1:33" ht="14.25" customHeight="1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</row>
    <row r="395" spans="1:33" ht="14.25" customHeight="1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</row>
    <row r="396" spans="1:33" ht="14.25" customHeight="1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</row>
    <row r="397" spans="1:33" ht="14.25" customHeight="1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</row>
    <row r="398" spans="1:33" ht="14.25" customHeight="1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</row>
    <row r="399" spans="1:33" ht="14.25" customHeight="1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</row>
    <row r="400" spans="1:33" ht="14.25" customHeight="1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</row>
    <row r="401" spans="1:33" ht="14.25" customHeight="1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</row>
    <row r="402" spans="1:33" ht="14.25" customHeight="1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</row>
    <row r="403" spans="1:33" ht="14.25" customHeight="1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</row>
    <row r="404" spans="1:33" ht="14.25" customHeight="1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</row>
    <row r="405" spans="1:33" ht="14.25" customHeight="1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</row>
    <row r="406" spans="1:33" ht="14.25" customHeight="1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</row>
    <row r="407" spans="1:33" ht="14.25" customHeight="1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</row>
    <row r="408" spans="1:33" ht="14.25" customHeight="1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</row>
    <row r="409" spans="1:33" ht="14.25" customHeight="1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</row>
    <row r="410" spans="1:33" ht="14.25" customHeight="1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</row>
    <row r="411" spans="1:33" ht="14.25" customHeight="1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</row>
    <row r="412" spans="1:33" ht="14.25" customHeight="1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</row>
    <row r="413" spans="1:33" ht="14.25" customHeight="1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</row>
    <row r="414" spans="1:33" ht="14.25" customHeight="1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</row>
    <row r="415" spans="1:33" ht="14.25" customHeight="1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</row>
    <row r="416" spans="1:33" ht="14.25" customHeight="1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</row>
    <row r="417" spans="1:33" ht="14.25" customHeight="1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</row>
    <row r="418" spans="1:33" ht="14.25" customHeight="1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</row>
    <row r="419" spans="1:33" ht="14.25" customHeight="1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</row>
    <row r="420" spans="1:33" ht="14.25" customHeight="1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</row>
    <row r="421" spans="1:33" ht="14.25" customHeight="1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</row>
    <row r="422" spans="1:33" ht="14.25" customHeight="1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</row>
    <row r="423" spans="1:33" ht="14.25" customHeight="1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</row>
    <row r="424" spans="1:33" ht="14.25" customHeight="1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</row>
    <row r="425" spans="1:33" ht="14.25" customHeight="1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</row>
    <row r="426" spans="1:33" ht="14.25" customHeight="1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</row>
    <row r="427" spans="1:33" ht="14.25" customHeight="1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</row>
    <row r="428" spans="1:33" ht="14.25" customHeight="1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</row>
    <row r="429" spans="1:33" ht="14.25" customHeight="1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</row>
    <row r="430" spans="1:33" ht="14.25" customHeight="1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</row>
    <row r="431" spans="1:33" ht="14.25" customHeight="1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</row>
    <row r="432" spans="1:33" ht="14.25" customHeight="1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</row>
    <row r="433" spans="1:33" ht="14.25" customHeight="1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</row>
    <row r="434" spans="1:33" ht="14.25" customHeight="1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</row>
    <row r="435" spans="1:33" ht="14.25" customHeight="1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</row>
    <row r="436" spans="1:33" ht="14.25" customHeight="1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</row>
    <row r="437" spans="1:33" ht="14.25" customHeight="1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</row>
    <row r="438" spans="1:33" ht="14.25" customHeight="1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</row>
    <row r="439" spans="1:33" ht="14.25" customHeight="1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</row>
    <row r="440" spans="1:33" ht="14.25" customHeight="1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</row>
    <row r="441" spans="1:33" ht="14.25" customHeight="1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</row>
    <row r="442" spans="1:33" ht="14.25" customHeight="1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</row>
    <row r="443" spans="1:33" ht="14.25" customHeight="1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</row>
    <row r="444" spans="1:33" ht="14.25" customHeight="1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</row>
    <row r="445" spans="1:33" ht="14.25" customHeight="1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</row>
    <row r="446" spans="1:33" ht="14.25" customHeight="1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</row>
    <row r="447" spans="1:33" ht="14.25" customHeight="1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</row>
    <row r="448" spans="1:33" ht="14.25" customHeight="1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</row>
    <row r="449" spans="1:33" ht="14.25" customHeight="1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</row>
    <row r="450" spans="1:33" ht="14.25" customHeight="1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</row>
    <row r="451" spans="1:33" ht="14.25" customHeight="1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</row>
    <row r="452" spans="1:33" ht="14.25" customHeight="1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</row>
    <row r="453" spans="1:33" ht="14.25" customHeight="1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</row>
    <row r="454" spans="1:33" ht="14.25" customHeight="1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</row>
    <row r="455" spans="1:33" ht="14.25" customHeight="1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</row>
    <row r="456" spans="1:33" ht="14.25" customHeight="1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</row>
    <row r="457" spans="1:33" ht="14.25" customHeight="1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</row>
    <row r="458" spans="1:33" ht="14.25" customHeight="1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</row>
    <row r="459" spans="1:33" ht="14.25" customHeight="1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</row>
    <row r="460" spans="1:33" ht="14.25" customHeight="1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</row>
    <row r="461" spans="1:33" ht="14.25" customHeight="1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</row>
    <row r="462" spans="1:33" ht="14.25" customHeight="1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</row>
    <row r="463" spans="1:33" ht="14.25" customHeight="1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</row>
    <row r="464" spans="1:33" ht="14.25" customHeight="1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</row>
    <row r="465" spans="1:33" ht="14.25" customHeight="1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</row>
    <row r="466" spans="1:33" ht="14.25" customHeight="1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</row>
    <row r="467" spans="1:33" ht="14.25" customHeight="1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</row>
    <row r="468" spans="1:33" ht="14.25" customHeight="1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</row>
    <row r="469" spans="1:33" ht="14.25" customHeight="1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</row>
    <row r="470" spans="1:33" ht="14.25" customHeight="1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</row>
    <row r="471" spans="1:33" ht="14.25" customHeight="1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</row>
    <row r="472" spans="1:33" ht="14.25" customHeight="1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</row>
    <row r="473" spans="1:33" ht="14.25" customHeight="1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</row>
    <row r="474" spans="1:33" ht="14.25" customHeight="1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</row>
    <row r="475" spans="1:33" ht="14.25" customHeight="1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</row>
    <row r="476" spans="1:33" ht="14.25" customHeight="1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</row>
    <row r="477" spans="1:33" ht="14.25" customHeight="1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</row>
    <row r="478" spans="1:33" ht="14.25" customHeight="1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</row>
    <row r="479" spans="1:33" ht="14.25" customHeight="1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</row>
    <row r="480" spans="1:33" ht="14.25" customHeight="1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</row>
    <row r="481" spans="1:33" ht="14.25" customHeight="1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</row>
    <row r="482" spans="1:33" ht="14.25" customHeight="1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</row>
    <row r="483" spans="1:33" ht="14.25" customHeight="1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</row>
    <row r="484" spans="1:33" ht="14.25" customHeight="1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</row>
    <row r="485" spans="1:33" ht="14.25" customHeight="1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</row>
    <row r="486" spans="1:33" ht="14.25" customHeight="1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</row>
    <row r="487" spans="1:33" ht="14.25" customHeight="1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</row>
    <row r="488" spans="1:33" ht="14.25" customHeight="1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</row>
    <row r="489" spans="1:33" ht="14.25" customHeight="1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</row>
    <row r="490" spans="1:33" ht="14.25" customHeight="1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</row>
    <row r="491" spans="1:33" ht="14.25" customHeight="1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</row>
    <row r="492" spans="1:33" ht="14.25" customHeight="1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</row>
    <row r="493" spans="1:33" ht="14.25" customHeight="1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</row>
    <row r="494" spans="1:33" ht="14.25" customHeight="1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</row>
    <row r="495" spans="1:33" ht="14.25" customHeight="1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</row>
    <row r="496" spans="1:33" ht="14.25" customHeight="1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</row>
    <row r="497" spans="1:33" ht="14.25" customHeight="1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</row>
    <row r="498" spans="1:33" ht="14.25" customHeight="1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</row>
    <row r="499" spans="1:33" ht="14.25" customHeight="1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</row>
    <row r="500" spans="1:33" ht="14.25" customHeight="1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</row>
    <row r="501" spans="1:33" ht="14.25" customHeight="1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</row>
    <row r="502" spans="1:33" ht="14.25" customHeight="1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</row>
    <row r="503" spans="1:33" ht="14.25" customHeight="1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</row>
    <row r="504" spans="1:33" ht="14.25" customHeight="1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</row>
    <row r="505" spans="1:33" ht="14.25" customHeight="1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</row>
    <row r="506" spans="1:33" ht="14.25" customHeight="1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</row>
    <row r="507" spans="1:33" ht="14.25" customHeight="1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</row>
    <row r="508" spans="1:33" ht="14.25" customHeight="1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</row>
    <row r="509" spans="1:33" ht="14.25" customHeight="1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</row>
    <row r="510" spans="1:33" ht="14.25" customHeight="1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</row>
    <row r="511" spans="1:33" ht="14.25" customHeight="1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</row>
    <row r="512" spans="1:33" ht="14.25" customHeight="1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</row>
    <row r="513" spans="1:33" ht="14.25" customHeight="1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</row>
    <row r="514" spans="1:33" ht="14.25" customHeight="1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</row>
    <row r="515" spans="1:33" ht="14.25" customHeight="1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</row>
    <row r="516" spans="1:33" ht="14.25" customHeight="1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</row>
    <row r="517" spans="1:33" ht="14.25" customHeight="1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</row>
    <row r="518" spans="1:33" ht="14.25" customHeight="1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</row>
    <row r="519" spans="1:33" ht="14.25" customHeight="1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</row>
    <row r="520" spans="1:33" ht="14.25" customHeight="1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</row>
    <row r="521" spans="1:33" ht="14.25" customHeight="1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</row>
    <row r="522" spans="1:33" ht="14.25" customHeight="1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</row>
    <row r="523" spans="1:33" ht="14.25" customHeight="1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</row>
    <row r="524" spans="1:33" ht="14.25" customHeight="1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</row>
    <row r="525" spans="1:33" ht="14.25" customHeight="1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</row>
    <row r="526" spans="1:33" ht="14.25" customHeight="1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</row>
    <row r="527" spans="1:33" ht="14.25" customHeight="1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</row>
    <row r="528" spans="1:33" ht="14.25" customHeight="1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</row>
    <row r="529" spans="1:33" ht="14.25" customHeight="1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</row>
    <row r="530" spans="1:33" ht="14.25" customHeight="1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</row>
    <row r="531" spans="1:33" ht="14.25" customHeight="1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</row>
    <row r="532" spans="1:33" ht="14.25" customHeight="1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</row>
    <row r="533" spans="1:33" ht="14.25" customHeight="1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</row>
    <row r="534" spans="1:33" ht="14.25" customHeight="1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</row>
    <row r="535" spans="1:33" ht="14.25" customHeight="1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</row>
    <row r="536" spans="1:33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</row>
    <row r="537" spans="1:33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</row>
    <row r="538" spans="1:33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</row>
    <row r="539" spans="1:33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</row>
    <row r="540" spans="1:33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</row>
    <row r="541" spans="1:33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</row>
    <row r="542" spans="1:33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</row>
    <row r="543" spans="1:33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</row>
    <row r="544" spans="1:33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</row>
    <row r="545" spans="1:33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</row>
    <row r="546" spans="1:33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</row>
    <row r="547" spans="1:33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</row>
    <row r="548" spans="1:33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</row>
    <row r="549" spans="1:33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</row>
    <row r="550" spans="1:33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</row>
    <row r="551" spans="1:33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</row>
    <row r="552" spans="1:33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</row>
    <row r="553" spans="1:33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</row>
    <row r="554" spans="1:33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</row>
    <row r="555" spans="1:33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</row>
    <row r="556" spans="1:33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</row>
    <row r="557" spans="1:33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</row>
    <row r="558" spans="1:33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</row>
    <row r="559" spans="1:33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</row>
    <row r="560" spans="1:33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</row>
    <row r="561" spans="1:33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</row>
    <row r="562" spans="1:33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</row>
    <row r="563" spans="1:33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</row>
    <row r="564" spans="1:33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</row>
    <row r="565" spans="1:33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</row>
    <row r="566" spans="1:33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</row>
    <row r="567" spans="1:33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</row>
    <row r="568" spans="1:33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</row>
    <row r="569" spans="1:33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</row>
    <row r="570" spans="1:33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</row>
    <row r="571" spans="1:33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</row>
    <row r="572" spans="1:33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</row>
    <row r="573" spans="1:33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</row>
    <row r="574" spans="1:33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</row>
    <row r="575" spans="1:33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</row>
    <row r="576" spans="1:33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</row>
    <row r="577" spans="1:33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</row>
    <row r="578" spans="1:33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</row>
    <row r="579" spans="1:33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</row>
    <row r="580" spans="1:33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</row>
    <row r="581" spans="1:33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</row>
    <row r="582" spans="1:33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</row>
    <row r="583" spans="1:33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</row>
    <row r="584" spans="1:33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</row>
    <row r="585" spans="1:33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</row>
    <row r="586" spans="1:33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</row>
    <row r="587" spans="1:33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</row>
    <row r="588" spans="1:33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</row>
    <row r="589" spans="1:33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</row>
    <row r="590" spans="1:33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</row>
    <row r="591" spans="1:33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</row>
    <row r="592" spans="1:33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</row>
    <row r="593" spans="1:33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</row>
    <row r="594" spans="1:33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</row>
    <row r="595" spans="1:33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</row>
    <row r="596" spans="1:33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</row>
    <row r="597" spans="1:33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</row>
    <row r="598" spans="1:33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</row>
    <row r="599" spans="1:33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</row>
    <row r="600" spans="1:33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</row>
    <row r="601" spans="1:33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</row>
    <row r="602" spans="1:33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</row>
    <row r="603" spans="1:33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</row>
    <row r="604" spans="1:33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</row>
    <row r="605" spans="1:33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</row>
    <row r="606" spans="1:33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</row>
    <row r="607" spans="1:33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</row>
    <row r="608" spans="1:33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</row>
    <row r="609" spans="1:33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</row>
    <row r="610" spans="1:33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</row>
    <row r="611" spans="1:33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</row>
    <row r="612" spans="1:33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</row>
    <row r="613" spans="1:33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</row>
    <row r="614" spans="1:33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</row>
    <row r="615" spans="1:33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</row>
    <row r="616" spans="1:33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</row>
    <row r="617" spans="1:33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</row>
    <row r="618" spans="1:33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</row>
    <row r="619" spans="1:33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</row>
    <row r="620" spans="1:33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</row>
    <row r="621" spans="1:33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</row>
    <row r="622" spans="1:33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</row>
    <row r="623" spans="1:33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</row>
    <row r="624" spans="1:33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</row>
    <row r="625" spans="1:33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</row>
    <row r="626" spans="1:33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</row>
    <row r="627" spans="1:33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</row>
    <row r="628" spans="1:33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</row>
    <row r="629" spans="1:33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</row>
    <row r="630" spans="1:33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</row>
    <row r="631" spans="1:33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</row>
    <row r="632" spans="1:33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</row>
    <row r="633" spans="1:33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</row>
    <row r="634" spans="1:33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</row>
    <row r="635" spans="1:33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</row>
    <row r="636" spans="1:33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</row>
    <row r="637" spans="1:33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</row>
    <row r="638" spans="1:33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</row>
    <row r="639" spans="1:33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</row>
    <row r="640" spans="1:33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</row>
    <row r="641" spans="1:33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</row>
    <row r="642" spans="1:33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</row>
    <row r="643" spans="1:33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</row>
    <row r="644" spans="1:33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</row>
    <row r="645" spans="1:33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</row>
    <row r="646" spans="1:33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</row>
    <row r="647" spans="1:33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</row>
    <row r="648" spans="1:33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</row>
    <row r="649" spans="1:33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</row>
    <row r="650" spans="1:33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</row>
    <row r="651" spans="1:33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</row>
    <row r="652" spans="1:33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</row>
    <row r="653" spans="1:33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</row>
    <row r="654" spans="1:33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</row>
    <row r="655" spans="1:33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</row>
    <row r="656" spans="1:33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</row>
    <row r="657" spans="1:33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</row>
    <row r="658" spans="1:33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</row>
    <row r="659" spans="1:33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</row>
    <row r="660" spans="1:33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</row>
    <row r="661" spans="1:33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</row>
    <row r="662" spans="1:33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</row>
    <row r="663" spans="1:33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</row>
    <row r="664" spans="1:33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</row>
    <row r="665" spans="1:33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</row>
    <row r="666" spans="1:33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</row>
    <row r="667" spans="1:33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</row>
    <row r="668" spans="1:33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</row>
    <row r="669" spans="1:33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</row>
    <row r="670" spans="1:33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</row>
    <row r="671" spans="1:33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</row>
    <row r="672" spans="1:33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</row>
    <row r="673" spans="1:33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</row>
    <row r="674" spans="1:33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</row>
    <row r="675" spans="1:33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</row>
    <row r="676" spans="1:33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</row>
    <row r="677" spans="1:33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</row>
    <row r="678" spans="1:33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</row>
    <row r="679" spans="1:33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</row>
    <row r="680" spans="1:33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</row>
    <row r="681" spans="1:33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</row>
    <row r="682" spans="1:33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</row>
    <row r="683" spans="1:33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</row>
    <row r="684" spans="1:33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</row>
    <row r="685" spans="1:33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</row>
    <row r="686" spans="1:33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</row>
    <row r="687" spans="1:33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</row>
    <row r="688" spans="1:33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</row>
    <row r="689" spans="1:33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</row>
    <row r="690" spans="1:33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</row>
    <row r="691" spans="1:33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</row>
    <row r="692" spans="1:33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</row>
    <row r="693" spans="1:33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</row>
    <row r="694" spans="1:33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</row>
    <row r="695" spans="1:33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</row>
    <row r="696" spans="1:33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</row>
    <row r="697" spans="1:33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</row>
    <row r="698" spans="1:33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</row>
    <row r="699" spans="1:33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</row>
    <row r="700" spans="1:33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</row>
    <row r="701" spans="1:33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</row>
    <row r="702" spans="1:33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</row>
    <row r="703" spans="1:33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</row>
    <row r="704" spans="1:33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</row>
    <row r="705" spans="1:33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</row>
    <row r="706" spans="1:33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</row>
    <row r="707" spans="1:33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</row>
    <row r="708" spans="1:33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</row>
    <row r="709" spans="1:33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</row>
    <row r="710" spans="1:33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</row>
    <row r="711" spans="1:33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</row>
    <row r="712" spans="1:33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</row>
    <row r="713" spans="1:33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</row>
    <row r="714" spans="1:33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</row>
    <row r="715" spans="1:33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</row>
    <row r="716" spans="1:33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</row>
    <row r="717" spans="1:33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</row>
    <row r="718" spans="1:33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</row>
    <row r="719" spans="1:33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</row>
    <row r="720" spans="1:33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</row>
    <row r="721" spans="1:33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</row>
    <row r="722" spans="1:33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</row>
    <row r="723" spans="1:33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</row>
    <row r="724" spans="1:33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</row>
    <row r="725" spans="1:33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</row>
    <row r="726" spans="1:33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</row>
    <row r="727" spans="1:33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</row>
    <row r="728" spans="1:33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</row>
    <row r="729" spans="1:33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</row>
    <row r="730" spans="1:33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</row>
    <row r="731" spans="1:33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</row>
    <row r="732" spans="1:33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</row>
    <row r="733" spans="1:33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</row>
    <row r="734" spans="1:33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</row>
    <row r="735" spans="1:33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</row>
    <row r="736" spans="1:33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</row>
    <row r="737" spans="1:33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</row>
    <row r="738" spans="1:33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</row>
    <row r="739" spans="1:33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</row>
    <row r="740" spans="1:33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</row>
    <row r="741" spans="1:33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</row>
    <row r="742" spans="1:33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</row>
    <row r="743" spans="1:33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</row>
    <row r="744" spans="1:33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</row>
    <row r="745" spans="1:33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</row>
    <row r="746" spans="1:33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</row>
    <row r="747" spans="1:33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</row>
    <row r="748" spans="1:33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</row>
    <row r="749" spans="1:33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</row>
    <row r="750" spans="1:33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</row>
    <row r="751" spans="1:33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</row>
    <row r="752" spans="1:33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</row>
    <row r="753" spans="1:33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</row>
    <row r="754" spans="1:33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</row>
    <row r="755" spans="1:33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</row>
    <row r="756" spans="1:33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</row>
    <row r="757" spans="1:33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</row>
    <row r="758" spans="1:33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</row>
    <row r="759" spans="1:33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</row>
    <row r="760" spans="1:33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</row>
    <row r="761" spans="1:33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</row>
    <row r="762" spans="1:33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</row>
    <row r="763" spans="1:33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</row>
    <row r="764" spans="1:33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</row>
    <row r="765" spans="1:33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</row>
    <row r="766" spans="1:33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</row>
    <row r="767" spans="1:33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</row>
    <row r="768" spans="1:33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</row>
    <row r="769" spans="1:33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</row>
    <row r="770" spans="1:33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</row>
    <row r="771" spans="1:33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</row>
    <row r="772" spans="1:33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</row>
    <row r="773" spans="1:33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</row>
    <row r="774" spans="1:33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</row>
    <row r="775" spans="1:33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</row>
    <row r="776" spans="1:33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</row>
    <row r="777" spans="1:33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</row>
    <row r="778" spans="1:33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</row>
    <row r="779" spans="1:33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</row>
    <row r="780" spans="1:33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</row>
    <row r="781" spans="1:33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</row>
    <row r="782" spans="1:33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</row>
    <row r="783" spans="1:33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</row>
    <row r="784" spans="1:33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</row>
    <row r="785" spans="1:33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</row>
    <row r="786" spans="1:33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</row>
    <row r="787" spans="1:33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</row>
    <row r="788" spans="1:33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</row>
    <row r="789" spans="1:33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</row>
    <row r="790" spans="1:33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</row>
    <row r="791" spans="1:33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</row>
    <row r="792" spans="1:33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</row>
    <row r="793" spans="1:33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</row>
    <row r="794" spans="1:33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</row>
    <row r="795" spans="1:33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</row>
    <row r="796" spans="1:33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</row>
    <row r="797" spans="1:33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</row>
    <row r="798" spans="1:33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</row>
    <row r="799" spans="1:33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</row>
    <row r="800" spans="1:33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</row>
    <row r="801" spans="1:33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</row>
    <row r="802" spans="1:33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</row>
    <row r="803" spans="1:33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</row>
    <row r="804" spans="1:33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</row>
    <row r="805" spans="1:33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</row>
    <row r="806" spans="1:33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</row>
    <row r="807" spans="1:33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</row>
    <row r="808" spans="1:33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</row>
    <row r="809" spans="1:33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</row>
    <row r="810" spans="1:33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</row>
    <row r="811" spans="1:33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</row>
    <row r="812" spans="1:33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</row>
    <row r="813" spans="1:33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</row>
    <row r="814" spans="1:33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</row>
    <row r="815" spans="1:33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</row>
    <row r="816" spans="1:33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</row>
    <row r="817" spans="1:33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</row>
    <row r="818" spans="1:33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</row>
    <row r="819" spans="1:33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</row>
    <row r="820" spans="1:33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C820" s="28"/>
      <c r="AD820" s="28"/>
      <c r="AE820" s="28"/>
      <c r="AF820" s="28"/>
      <c r="AG820" s="28"/>
    </row>
    <row r="821" spans="1:33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C821" s="28"/>
      <c r="AD821" s="28"/>
      <c r="AE821" s="28"/>
      <c r="AF821" s="28"/>
      <c r="AG821" s="28"/>
    </row>
    <row r="822" spans="1:33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C822" s="28"/>
      <c r="AD822" s="28"/>
      <c r="AE822" s="28"/>
      <c r="AF822" s="28"/>
      <c r="AG822" s="28"/>
    </row>
    <row r="823" spans="1:33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C823" s="28"/>
      <c r="AD823" s="28"/>
      <c r="AE823" s="28"/>
      <c r="AF823" s="28"/>
      <c r="AG823" s="28"/>
    </row>
    <row r="824" spans="1:33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C824" s="28"/>
      <c r="AD824" s="28"/>
      <c r="AE824" s="28"/>
      <c r="AF824" s="28"/>
      <c r="AG824" s="28"/>
    </row>
    <row r="825" spans="1:33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C825" s="28"/>
      <c r="AD825" s="28"/>
      <c r="AE825" s="28"/>
      <c r="AF825" s="28"/>
      <c r="AG825" s="28"/>
    </row>
    <row r="826" spans="1:33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C826" s="28"/>
      <c r="AD826" s="28"/>
      <c r="AE826" s="28"/>
      <c r="AF826" s="28"/>
      <c r="AG826" s="28"/>
    </row>
    <row r="827" spans="1:33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C827" s="28"/>
      <c r="AD827" s="28"/>
      <c r="AE827" s="28"/>
      <c r="AF827" s="28"/>
      <c r="AG827" s="28"/>
    </row>
    <row r="828" spans="1:33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C828" s="28"/>
      <c r="AD828" s="28"/>
      <c r="AE828" s="28"/>
      <c r="AF828" s="28"/>
      <c r="AG828" s="28"/>
    </row>
    <row r="829" spans="1:33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C829" s="28"/>
      <c r="AD829" s="28"/>
      <c r="AE829" s="28"/>
      <c r="AF829" s="28"/>
      <c r="AG829" s="28"/>
    </row>
    <row r="830" spans="1:33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C830" s="28"/>
      <c r="AD830" s="28"/>
      <c r="AE830" s="28"/>
      <c r="AF830" s="28"/>
      <c r="AG830" s="28"/>
    </row>
    <row r="831" spans="1:33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C831" s="28"/>
      <c r="AD831" s="28"/>
      <c r="AE831" s="28"/>
      <c r="AF831" s="28"/>
      <c r="AG831" s="28"/>
    </row>
    <row r="832" spans="1:33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C832" s="28"/>
      <c r="AD832" s="28"/>
      <c r="AE832" s="28"/>
      <c r="AF832" s="28"/>
      <c r="AG832" s="28"/>
    </row>
    <row r="833" spans="1:33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C833" s="28"/>
      <c r="AD833" s="28"/>
      <c r="AE833" s="28"/>
      <c r="AF833" s="28"/>
      <c r="AG833" s="28"/>
    </row>
    <row r="834" spans="1:33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C834" s="28"/>
      <c r="AD834" s="28"/>
      <c r="AE834" s="28"/>
      <c r="AF834" s="28"/>
      <c r="AG834" s="28"/>
    </row>
    <row r="835" spans="1:33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C835" s="28"/>
      <c r="AD835" s="28"/>
      <c r="AE835" s="28"/>
      <c r="AF835" s="28"/>
      <c r="AG835" s="28"/>
    </row>
    <row r="836" spans="1:33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C836" s="28"/>
      <c r="AD836" s="28"/>
      <c r="AE836" s="28"/>
      <c r="AF836" s="28"/>
      <c r="AG836" s="28"/>
    </row>
    <row r="837" spans="1:33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C837" s="28"/>
      <c r="AD837" s="28"/>
      <c r="AE837" s="28"/>
      <c r="AF837" s="28"/>
      <c r="AG837" s="28"/>
    </row>
    <row r="838" spans="1:33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C838" s="28"/>
      <c r="AD838" s="28"/>
      <c r="AE838" s="28"/>
      <c r="AF838" s="28"/>
      <c r="AG838" s="28"/>
    </row>
    <row r="839" spans="1:33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C839" s="28"/>
      <c r="AD839" s="28"/>
      <c r="AE839" s="28"/>
      <c r="AF839" s="28"/>
      <c r="AG839" s="28"/>
    </row>
    <row r="840" spans="1:33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C840" s="28"/>
      <c r="AD840" s="28"/>
      <c r="AE840" s="28"/>
      <c r="AF840" s="28"/>
      <c r="AG840" s="28"/>
    </row>
    <row r="841" spans="1:33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C841" s="28"/>
      <c r="AD841" s="28"/>
      <c r="AE841" s="28"/>
      <c r="AF841" s="28"/>
      <c r="AG841" s="28"/>
    </row>
    <row r="842" spans="1:33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C842" s="28"/>
      <c r="AD842" s="28"/>
      <c r="AE842" s="28"/>
      <c r="AF842" s="28"/>
      <c r="AG842" s="28"/>
    </row>
    <row r="843" spans="1:33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C843" s="28"/>
      <c r="AD843" s="28"/>
      <c r="AE843" s="28"/>
      <c r="AF843" s="28"/>
      <c r="AG843" s="28"/>
    </row>
    <row r="844" spans="1:33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C844" s="28"/>
      <c r="AD844" s="28"/>
      <c r="AE844" s="28"/>
      <c r="AF844" s="28"/>
      <c r="AG844" s="28"/>
    </row>
    <row r="845" spans="1:33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C845" s="28"/>
      <c r="AD845" s="28"/>
      <c r="AE845" s="28"/>
      <c r="AF845" s="28"/>
      <c r="AG845" s="28"/>
    </row>
    <row r="846" spans="1:33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C846" s="28"/>
      <c r="AD846" s="28"/>
      <c r="AE846" s="28"/>
      <c r="AF846" s="28"/>
      <c r="AG846" s="28"/>
    </row>
    <row r="847" spans="1:33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C847" s="28"/>
      <c r="AD847" s="28"/>
      <c r="AE847" s="28"/>
      <c r="AF847" s="28"/>
      <c r="AG847" s="28"/>
    </row>
    <row r="848" spans="1:33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C848" s="28"/>
      <c r="AD848" s="28"/>
      <c r="AE848" s="28"/>
      <c r="AF848" s="28"/>
      <c r="AG848" s="28"/>
    </row>
    <row r="849" spans="1:33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C849" s="28"/>
      <c r="AD849" s="28"/>
      <c r="AE849" s="28"/>
      <c r="AF849" s="28"/>
      <c r="AG849" s="28"/>
    </row>
    <row r="850" spans="1:33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C850" s="28"/>
      <c r="AD850" s="28"/>
      <c r="AE850" s="28"/>
      <c r="AF850" s="28"/>
      <c r="AG850" s="28"/>
    </row>
    <row r="851" spans="1:33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C851" s="28"/>
      <c r="AD851" s="28"/>
      <c r="AE851" s="28"/>
      <c r="AF851" s="28"/>
      <c r="AG851" s="28"/>
    </row>
    <row r="852" spans="1:33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C852" s="28"/>
      <c r="AD852" s="28"/>
      <c r="AE852" s="28"/>
      <c r="AF852" s="28"/>
      <c r="AG852" s="28"/>
    </row>
    <row r="853" spans="1:33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C853" s="28"/>
      <c r="AD853" s="28"/>
      <c r="AE853" s="28"/>
      <c r="AF853" s="28"/>
      <c r="AG853" s="28"/>
    </row>
    <row r="854" spans="1:33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C854" s="28"/>
      <c r="AD854" s="28"/>
      <c r="AE854" s="28"/>
      <c r="AF854" s="28"/>
      <c r="AG854" s="28"/>
    </row>
    <row r="855" spans="1:33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C855" s="28"/>
      <c r="AD855" s="28"/>
      <c r="AE855" s="28"/>
      <c r="AF855" s="28"/>
      <c r="AG855" s="28"/>
    </row>
    <row r="856" spans="1:33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C856" s="28"/>
      <c r="AD856" s="28"/>
      <c r="AE856" s="28"/>
      <c r="AF856" s="28"/>
      <c r="AG856" s="28"/>
    </row>
    <row r="857" spans="1:33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C857" s="28"/>
      <c r="AD857" s="28"/>
      <c r="AE857" s="28"/>
      <c r="AF857" s="28"/>
      <c r="AG857" s="28"/>
    </row>
    <row r="858" spans="1:33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C858" s="28"/>
      <c r="AD858" s="28"/>
      <c r="AE858" s="28"/>
      <c r="AF858" s="28"/>
      <c r="AG858" s="28"/>
    </row>
    <row r="859" spans="1:33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C859" s="28"/>
      <c r="AD859" s="28"/>
      <c r="AE859" s="28"/>
      <c r="AF859" s="28"/>
      <c r="AG859" s="28"/>
    </row>
    <row r="860" spans="1:33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C860" s="28"/>
      <c r="AD860" s="28"/>
      <c r="AE860" s="28"/>
      <c r="AF860" s="28"/>
      <c r="AG860" s="28"/>
    </row>
    <row r="861" spans="1:33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C861" s="28"/>
      <c r="AD861" s="28"/>
      <c r="AE861" s="28"/>
      <c r="AF861" s="28"/>
      <c r="AG861" s="28"/>
    </row>
    <row r="862" spans="1:33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C862" s="28"/>
      <c r="AD862" s="28"/>
      <c r="AE862" s="28"/>
      <c r="AF862" s="28"/>
      <c r="AG862" s="28"/>
    </row>
    <row r="863" spans="1:33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C863" s="28"/>
      <c r="AD863" s="28"/>
      <c r="AE863" s="28"/>
      <c r="AF863" s="28"/>
      <c r="AG863" s="28"/>
    </row>
    <row r="864" spans="1:33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C864" s="28"/>
      <c r="AD864" s="28"/>
      <c r="AE864" s="28"/>
      <c r="AF864" s="28"/>
      <c r="AG864" s="28"/>
    </row>
    <row r="865" spans="1:33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C865" s="28"/>
      <c r="AD865" s="28"/>
      <c r="AE865" s="28"/>
      <c r="AF865" s="28"/>
      <c r="AG865" s="28"/>
    </row>
    <row r="866" spans="1:33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C866" s="28"/>
      <c r="AD866" s="28"/>
      <c r="AE866" s="28"/>
      <c r="AF866" s="28"/>
      <c r="AG866" s="28"/>
    </row>
    <row r="867" spans="1:33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C867" s="28"/>
      <c r="AD867" s="28"/>
      <c r="AE867" s="28"/>
      <c r="AF867" s="28"/>
      <c r="AG867" s="28"/>
    </row>
    <row r="868" spans="1:33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C868" s="28"/>
      <c r="AD868" s="28"/>
      <c r="AE868" s="28"/>
      <c r="AF868" s="28"/>
      <c r="AG868" s="28"/>
    </row>
    <row r="869" spans="1:33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C869" s="28"/>
      <c r="AD869" s="28"/>
      <c r="AE869" s="28"/>
      <c r="AF869" s="28"/>
      <c r="AG869" s="28"/>
    </row>
    <row r="870" spans="1:33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C870" s="28"/>
      <c r="AD870" s="28"/>
      <c r="AE870" s="28"/>
      <c r="AF870" s="28"/>
      <c r="AG870" s="28"/>
    </row>
    <row r="871" spans="1:33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C871" s="28"/>
      <c r="AD871" s="28"/>
      <c r="AE871" s="28"/>
      <c r="AF871" s="28"/>
      <c r="AG871" s="28"/>
    </row>
    <row r="872" spans="1:33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C872" s="28"/>
      <c r="AD872" s="28"/>
      <c r="AE872" s="28"/>
      <c r="AF872" s="28"/>
      <c r="AG872" s="28"/>
    </row>
    <row r="873" spans="1:33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C873" s="28"/>
      <c r="AD873" s="28"/>
      <c r="AE873" s="28"/>
      <c r="AF873" s="28"/>
      <c r="AG873" s="28"/>
    </row>
    <row r="874" spans="1:33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C874" s="28"/>
      <c r="AD874" s="28"/>
      <c r="AE874" s="28"/>
      <c r="AF874" s="28"/>
      <c r="AG874" s="28"/>
    </row>
    <row r="875" spans="1:33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C875" s="28"/>
      <c r="AD875" s="28"/>
      <c r="AE875" s="28"/>
      <c r="AF875" s="28"/>
      <c r="AG875" s="28"/>
    </row>
    <row r="876" spans="1:33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C876" s="28"/>
      <c r="AD876" s="28"/>
      <c r="AE876" s="28"/>
      <c r="AF876" s="28"/>
      <c r="AG876" s="28"/>
    </row>
    <row r="877" spans="1:33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C877" s="28"/>
      <c r="AD877" s="28"/>
      <c r="AE877" s="28"/>
      <c r="AF877" s="28"/>
      <c r="AG877" s="28"/>
    </row>
    <row r="878" spans="1:33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C878" s="28"/>
      <c r="AD878" s="28"/>
      <c r="AE878" s="28"/>
      <c r="AF878" s="28"/>
      <c r="AG878" s="28"/>
    </row>
    <row r="879" spans="1:33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C879" s="28"/>
      <c r="AD879" s="28"/>
      <c r="AE879" s="28"/>
      <c r="AF879" s="28"/>
      <c r="AG879" s="28"/>
    </row>
    <row r="880" spans="1:33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C880" s="28"/>
      <c r="AD880" s="28"/>
      <c r="AE880" s="28"/>
      <c r="AF880" s="28"/>
      <c r="AG880" s="28"/>
    </row>
    <row r="881" spans="1:33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C881" s="28"/>
      <c r="AD881" s="28"/>
      <c r="AE881" s="28"/>
      <c r="AF881" s="28"/>
      <c r="AG881" s="28"/>
    </row>
    <row r="882" spans="1:33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C882" s="28"/>
      <c r="AD882" s="28"/>
      <c r="AE882" s="28"/>
      <c r="AF882" s="28"/>
      <c r="AG882" s="28"/>
    </row>
    <row r="883" spans="1:33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C883" s="28"/>
      <c r="AD883" s="28"/>
      <c r="AE883" s="28"/>
      <c r="AF883" s="28"/>
      <c r="AG883" s="28"/>
    </row>
    <row r="884" spans="1:33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C884" s="28"/>
      <c r="AD884" s="28"/>
      <c r="AE884" s="28"/>
      <c r="AF884" s="28"/>
      <c r="AG884" s="28"/>
    </row>
    <row r="885" spans="1:33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C885" s="28"/>
      <c r="AD885" s="28"/>
      <c r="AE885" s="28"/>
      <c r="AF885" s="28"/>
      <c r="AG885" s="28"/>
    </row>
    <row r="886" spans="1:33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C886" s="28"/>
      <c r="AD886" s="28"/>
      <c r="AE886" s="28"/>
      <c r="AF886" s="28"/>
      <c r="AG886" s="28"/>
    </row>
    <row r="887" spans="1:33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C887" s="28"/>
      <c r="AD887" s="28"/>
      <c r="AE887" s="28"/>
      <c r="AF887" s="28"/>
      <c r="AG887" s="28"/>
    </row>
    <row r="888" spans="1:33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C888" s="28"/>
      <c r="AD888" s="28"/>
      <c r="AE888" s="28"/>
      <c r="AF888" s="28"/>
      <c r="AG888" s="28"/>
    </row>
    <row r="889" spans="1:33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C889" s="28"/>
      <c r="AD889" s="28"/>
      <c r="AE889" s="28"/>
      <c r="AF889" s="28"/>
      <c r="AG889" s="28"/>
    </row>
    <row r="890" spans="1:33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C890" s="28"/>
      <c r="AD890" s="28"/>
      <c r="AE890" s="28"/>
      <c r="AF890" s="28"/>
      <c r="AG890" s="28"/>
    </row>
    <row r="891" spans="1:33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C891" s="28"/>
      <c r="AD891" s="28"/>
      <c r="AE891" s="28"/>
      <c r="AF891" s="28"/>
      <c r="AG891" s="28"/>
    </row>
    <row r="892" spans="1:33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C892" s="28"/>
      <c r="AD892" s="28"/>
      <c r="AE892" s="28"/>
      <c r="AF892" s="28"/>
      <c r="AG892" s="28"/>
    </row>
    <row r="893" spans="1:33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C893" s="28"/>
      <c r="AD893" s="28"/>
      <c r="AE893" s="28"/>
      <c r="AF893" s="28"/>
      <c r="AG893" s="28"/>
    </row>
    <row r="894" spans="1:33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C894" s="28"/>
      <c r="AD894" s="28"/>
      <c r="AE894" s="28"/>
      <c r="AF894" s="28"/>
      <c r="AG894" s="28"/>
    </row>
    <row r="895" spans="1:33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C895" s="28"/>
      <c r="AD895" s="28"/>
      <c r="AE895" s="28"/>
      <c r="AF895" s="28"/>
      <c r="AG895" s="28"/>
    </row>
    <row r="896" spans="1:33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C896" s="28"/>
      <c r="AD896" s="28"/>
      <c r="AE896" s="28"/>
      <c r="AF896" s="28"/>
      <c r="AG896" s="28"/>
    </row>
    <row r="897" spans="1:33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C897" s="28"/>
      <c r="AD897" s="28"/>
      <c r="AE897" s="28"/>
      <c r="AF897" s="28"/>
      <c r="AG897" s="28"/>
    </row>
    <row r="898" spans="1:33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C898" s="28"/>
      <c r="AD898" s="28"/>
      <c r="AE898" s="28"/>
      <c r="AF898" s="28"/>
      <c r="AG898" s="28"/>
    </row>
    <row r="899" spans="1:33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C899" s="28"/>
      <c r="AD899" s="28"/>
      <c r="AE899" s="28"/>
      <c r="AF899" s="28"/>
      <c r="AG899" s="28"/>
    </row>
    <row r="900" spans="1:33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C900" s="28"/>
      <c r="AD900" s="28"/>
      <c r="AE900" s="28"/>
      <c r="AF900" s="28"/>
      <c r="AG900" s="28"/>
    </row>
    <row r="901" spans="1:33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C901" s="28"/>
      <c r="AD901" s="28"/>
      <c r="AE901" s="28"/>
      <c r="AF901" s="28"/>
      <c r="AG901" s="28"/>
    </row>
    <row r="902" spans="1:33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C902" s="28"/>
      <c r="AD902" s="28"/>
      <c r="AE902" s="28"/>
      <c r="AF902" s="28"/>
      <c r="AG902" s="28"/>
    </row>
    <row r="903" spans="1:33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C903" s="28"/>
      <c r="AD903" s="28"/>
      <c r="AE903" s="28"/>
      <c r="AF903" s="28"/>
      <c r="AG903" s="28"/>
    </row>
    <row r="904" spans="1:33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C904" s="28"/>
      <c r="AD904" s="28"/>
      <c r="AE904" s="28"/>
      <c r="AF904" s="28"/>
      <c r="AG904" s="28"/>
    </row>
    <row r="905" spans="1:33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C905" s="28"/>
      <c r="AD905" s="28"/>
      <c r="AE905" s="28"/>
      <c r="AF905" s="28"/>
      <c r="AG905" s="28"/>
    </row>
    <row r="906" spans="1:33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C906" s="28"/>
      <c r="AD906" s="28"/>
      <c r="AE906" s="28"/>
      <c r="AF906" s="28"/>
      <c r="AG906" s="28"/>
    </row>
    <row r="907" spans="1:33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C907" s="28"/>
      <c r="AD907" s="28"/>
      <c r="AE907" s="28"/>
      <c r="AF907" s="28"/>
      <c r="AG907" s="28"/>
    </row>
    <row r="908" spans="1:33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C908" s="28"/>
      <c r="AD908" s="28"/>
      <c r="AE908" s="28"/>
      <c r="AF908" s="28"/>
      <c r="AG908" s="28"/>
    </row>
    <row r="909" spans="1:33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C909" s="28"/>
      <c r="AD909" s="28"/>
      <c r="AE909" s="28"/>
      <c r="AF909" s="28"/>
      <c r="AG909" s="28"/>
    </row>
    <row r="910" spans="1:33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C910" s="28"/>
      <c r="AD910" s="28"/>
      <c r="AE910" s="28"/>
      <c r="AF910" s="28"/>
      <c r="AG910" s="28"/>
    </row>
    <row r="911" spans="1:33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C911" s="28"/>
      <c r="AD911" s="28"/>
      <c r="AE911" s="28"/>
      <c r="AF911" s="28"/>
      <c r="AG911" s="28"/>
    </row>
    <row r="912" spans="1:33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C912" s="28"/>
      <c r="AD912" s="28"/>
      <c r="AE912" s="28"/>
      <c r="AF912" s="28"/>
      <c r="AG912" s="28"/>
    </row>
    <row r="913" spans="1:33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C913" s="28"/>
      <c r="AD913" s="28"/>
      <c r="AE913" s="28"/>
      <c r="AF913" s="28"/>
      <c r="AG913" s="28"/>
    </row>
    <row r="914" spans="1:33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C914" s="28"/>
      <c r="AD914" s="28"/>
      <c r="AE914" s="28"/>
      <c r="AF914" s="28"/>
      <c r="AG914" s="28"/>
    </row>
    <row r="915" spans="1:33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C915" s="28"/>
      <c r="AD915" s="28"/>
      <c r="AE915" s="28"/>
      <c r="AF915" s="28"/>
      <c r="AG915" s="28"/>
    </row>
    <row r="916" spans="1:33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C916" s="28"/>
      <c r="AD916" s="28"/>
      <c r="AE916" s="28"/>
      <c r="AF916" s="28"/>
      <c r="AG916" s="28"/>
    </row>
    <row r="917" spans="1:33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C917" s="28"/>
      <c r="AD917" s="28"/>
      <c r="AE917" s="28"/>
      <c r="AF917" s="28"/>
      <c r="AG917" s="28"/>
    </row>
    <row r="918" spans="1:33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C918" s="28"/>
      <c r="AD918" s="28"/>
      <c r="AE918" s="28"/>
      <c r="AF918" s="28"/>
      <c r="AG918" s="28"/>
    </row>
    <row r="919" spans="1:33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C919" s="28"/>
      <c r="AD919" s="28"/>
      <c r="AE919" s="28"/>
      <c r="AF919" s="28"/>
      <c r="AG919" s="28"/>
    </row>
    <row r="920" spans="1:33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C920" s="28"/>
      <c r="AD920" s="28"/>
      <c r="AE920" s="28"/>
      <c r="AF920" s="28"/>
      <c r="AG920" s="28"/>
    </row>
    <row r="921" spans="1:33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C921" s="28"/>
      <c r="AD921" s="28"/>
      <c r="AE921" s="28"/>
      <c r="AF921" s="28"/>
      <c r="AG921" s="28"/>
    </row>
    <row r="922" spans="1:33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C922" s="28"/>
      <c r="AD922" s="28"/>
      <c r="AE922" s="28"/>
      <c r="AF922" s="28"/>
      <c r="AG922" s="28"/>
    </row>
    <row r="923" spans="1:33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C923" s="28"/>
      <c r="AD923" s="28"/>
      <c r="AE923" s="28"/>
      <c r="AF923" s="28"/>
      <c r="AG923" s="28"/>
    </row>
    <row r="924" spans="1:33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C924" s="28"/>
      <c r="AD924" s="28"/>
      <c r="AE924" s="28"/>
      <c r="AF924" s="28"/>
      <c r="AG924" s="28"/>
    </row>
    <row r="925" spans="1:33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C925" s="28"/>
      <c r="AD925" s="28"/>
      <c r="AE925" s="28"/>
      <c r="AF925" s="28"/>
      <c r="AG925" s="28"/>
    </row>
    <row r="926" spans="1:33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C926" s="28"/>
      <c r="AD926" s="28"/>
      <c r="AE926" s="28"/>
      <c r="AF926" s="28"/>
      <c r="AG926" s="28"/>
    </row>
    <row r="927" spans="1:33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C927" s="28"/>
      <c r="AD927" s="28"/>
      <c r="AE927" s="28"/>
      <c r="AF927" s="28"/>
      <c r="AG927" s="28"/>
    </row>
    <row r="928" spans="1:33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C928" s="28"/>
      <c r="AD928" s="28"/>
      <c r="AE928" s="28"/>
      <c r="AF928" s="28"/>
      <c r="AG928" s="28"/>
    </row>
    <row r="929" spans="1:33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C929" s="28"/>
      <c r="AD929" s="28"/>
      <c r="AE929" s="28"/>
      <c r="AF929" s="28"/>
      <c r="AG929" s="28"/>
    </row>
    <row r="930" spans="1:33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C930" s="28"/>
      <c r="AD930" s="28"/>
      <c r="AE930" s="28"/>
      <c r="AF930" s="28"/>
      <c r="AG930" s="28"/>
    </row>
    <row r="931" spans="1:33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C931" s="28"/>
      <c r="AD931" s="28"/>
      <c r="AE931" s="28"/>
      <c r="AF931" s="28"/>
      <c r="AG931" s="28"/>
    </row>
    <row r="932" spans="1:33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C932" s="28"/>
      <c r="AD932" s="28"/>
      <c r="AE932" s="28"/>
      <c r="AF932" s="28"/>
      <c r="AG932" s="28"/>
    </row>
    <row r="933" spans="1:33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C933" s="28"/>
      <c r="AD933" s="28"/>
      <c r="AE933" s="28"/>
      <c r="AF933" s="28"/>
      <c r="AG933" s="28"/>
    </row>
    <row r="934" spans="1:33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C934" s="28"/>
      <c r="AD934" s="28"/>
      <c r="AE934" s="28"/>
      <c r="AF934" s="28"/>
      <c r="AG934" s="28"/>
    </row>
    <row r="935" spans="1:33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C935" s="28"/>
      <c r="AD935" s="28"/>
      <c r="AE935" s="28"/>
      <c r="AF935" s="28"/>
      <c r="AG935" s="28"/>
    </row>
    <row r="936" spans="1:33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C936" s="28"/>
      <c r="AD936" s="28"/>
      <c r="AE936" s="28"/>
      <c r="AF936" s="28"/>
      <c r="AG936" s="28"/>
    </row>
    <row r="937" spans="1:33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C937" s="28"/>
      <c r="AD937" s="28"/>
      <c r="AE937" s="28"/>
      <c r="AF937" s="28"/>
      <c r="AG937" s="28"/>
    </row>
    <row r="938" spans="1:33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C938" s="28"/>
      <c r="AD938" s="28"/>
      <c r="AE938" s="28"/>
      <c r="AF938" s="28"/>
      <c r="AG938" s="28"/>
    </row>
    <row r="939" spans="1:33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C939" s="28"/>
      <c r="AD939" s="28"/>
      <c r="AE939" s="28"/>
      <c r="AF939" s="28"/>
      <c r="AG939" s="28"/>
    </row>
    <row r="940" spans="1:33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C940" s="28"/>
      <c r="AD940" s="28"/>
      <c r="AE940" s="28"/>
      <c r="AF940" s="28"/>
      <c r="AG940" s="28"/>
    </row>
    <row r="941" spans="1:33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C941" s="28"/>
      <c r="AD941" s="28"/>
      <c r="AE941" s="28"/>
      <c r="AF941" s="28"/>
      <c r="AG941" s="28"/>
    </row>
    <row r="942" spans="1:33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C942" s="28"/>
      <c r="AD942" s="28"/>
      <c r="AE942" s="28"/>
      <c r="AF942" s="28"/>
      <c r="AG942" s="28"/>
    </row>
    <row r="943" spans="1:33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C943" s="28"/>
      <c r="AD943" s="28"/>
      <c r="AE943" s="28"/>
      <c r="AF943" s="28"/>
      <c r="AG943" s="28"/>
    </row>
    <row r="944" spans="1:33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C944" s="28"/>
      <c r="AD944" s="28"/>
      <c r="AE944" s="28"/>
      <c r="AF944" s="28"/>
      <c r="AG944" s="28"/>
    </row>
    <row r="945" spans="1:33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C945" s="28"/>
      <c r="AD945" s="28"/>
      <c r="AE945" s="28"/>
      <c r="AF945" s="28"/>
      <c r="AG945" s="28"/>
    </row>
    <row r="946" spans="1:33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C946" s="28"/>
      <c r="AD946" s="28"/>
      <c r="AE946" s="28"/>
      <c r="AF946" s="28"/>
      <c r="AG946" s="28"/>
    </row>
    <row r="947" spans="1:33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C947" s="28"/>
      <c r="AD947" s="28"/>
      <c r="AE947" s="28"/>
      <c r="AF947" s="28"/>
      <c r="AG947" s="28"/>
    </row>
    <row r="948" spans="1:33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C948" s="28"/>
      <c r="AD948" s="28"/>
      <c r="AE948" s="28"/>
      <c r="AF948" s="28"/>
      <c r="AG948" s="28"/>
    </row>
    <row r="949" spans="1:33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C949" s="28"/>
      <c r="AD949" s="28"/>
      <c r="AE949" s="28"/>
      <c r="AF949" s="28"/>
      <c r="AG949" s="28"/>
    </row>
    <row r="950" spans="1:33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C950" s="28"/>
      <c r="AD950" s="28"/>
      <c r="AE950" s="28"/>
      <c r="AF950" s="28"/>
      <c r="AG950" s="28"/>
    </row>
    <row r="951" spans="1:33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C951" s="28"/>
      <c r="AD951" s="28"/>
      <c r="AE951" s="28"/>
      <c r="AF951" s="28"/>
      <c r="AG951" s="28"/>
    </row>
    <row r="952" spans="1:33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C952" s="28"/>
      <c r="AD952" s="28"/>
      <c r="AE952" s="28"/>
      <c r="AF952" s="28"/>
      <c r="AG952" s="28"/>
    </row>
    <row r="953" spans="1:33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C953" s="28"/>
      <c r="AD953" s="28"/>
      <c r="AE953" s="28"/>
      <c r="AF953" s="28"/>
      <c r="AG953" s="28"/>
    </row>
    <row r="954" spans="1:33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C954" s="28"/>
      <c r="AD954" s="28"/>
      <c r="AE954" s="28"/>
      <c r="AF954" s="28"/>
      <c r="AG954" s="28"/>
    </row>
    <row r="955" spans="1:33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C955" s="28"/>
      <c r="AD955" s="28"/>
      <c r="AE955" s="28"/>
      <c r="AF955" s="28"/>
      <c r="AG955" s="28"/>
    </row>
    <row r="956" spans="1:33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C956" s="28"/>
      <c r="AD956" s="28"/>
      <c r="AE956" s="28"/>
      <c r="AF956" s="28"/>
      <c r="AG956" s="28"/>
    </row>
    <row r="957" spans="1:33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C957" s="28"/>
      <c r="AD957" s="28"/>
      <c r="AE957" s="28"/>
      <c r="AF957" s="28"/>
      <c r="AG957" s="28"/>
    </row>
    <row r="958" spans="1:33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C958" s="28"/>
      <c r="AD958" s="28"/>
      <c r="AE958" s="28"/>
      <c r="AF958" s="28"/>
      <c r="AG958" s="28"/>
    </row>
    <row r="959" spans="1:33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C959" s="28"/>
      <c r="AD959" s="28"/>
      <c r="AE959" s="28"/>
      <c r="AF959" s="28"/>
      <c r="AG959" s="28"/>
    </row>
    <row r="960" spans="1:33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C960" s="28"/>
      <c r="AD960" s="28"/>
      <c r="AE960" s="28"/>
      <c r="AF960" s="28"/>
      <c r="AG960" s="28"/>
    </row>
    <row r="961" spans="1:33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C961" s="28"/>
      <c r="AD961" s="28"/>
      <c r="AE961" s="28"/>
      <c r="AF961" s="28"/>
      <c r="AG961" s="28"/>
    </row>
    <row r="962" spans="1:33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C962" s="28"/>
      <c r="AD962" s="28"/>
      <c r="AE962" s="28"/>
      <c r="AF962" s="28"/>
      <c r="AG962" s="28"/>
    </row>
    <row r="963" spans="1:33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C963" s="28"/>
      <c r="AD963" s="28"/>
      <c r="AE963" s="28"/>
      <c r="AF963" s="28"/>
      <c r="AG963" s="28"/>
    </row>
    <row r="964" spans="1:33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C964" s="28"/>
      <c r="AD964" s="28"/>
      <c r="AE964" s="28"/>
      <c r="AF964" s="28"/>
      <c r="AG964" s="28"/>
    </row>
    <row r="965" spans="1:33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C965" s="28"/>
      <c r="AD965" s="28"/>
      <c r="AE965" s="28"/>
      <c r="AF965" s="28"/>
      <c r="AG965" s="28"/>
    </row>
    <row r="966" spans="1:33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C966" s="28"/>
      <c r="AD966" s="28"/>
      <c r="AE966" s="28"/>
      <c r="AF966" s="28"/>
      <c r="AG966" s="28"/>
    </row>
    <row r="967" spans="1:33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C967" s="28"/>
      <c r="AD967" s="28"/>
      <c r="AE967" s="28"/>
      <c r="AF967" s="28"/>
      <c r="AG967" s="28"/>
    </row>
    <row r="968" spans="1:33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C968" s="28"/>
      <c r="AD968" s="28"/>
      <c r="AE968" s="28"/>
      <c r="AF968" s="28"/>
      <c r="AG968" s="28"/>
    </row>
    <row r="969" spans="1:33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C969" s="28"/>
      <c r="AD969" s="28"/>
      <c r="AE969" s="28"/>
      <c r="AF969" s="28"/>
      <c r="AG969" s="28"/>
    </row>
    <row r="970" spans="1:33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C970" s="28"/>
      <c r="AD970" s="28"/>
      <c r="AE970" s="28"/>
      <c r="AF970" s="28"/>
      <c r="AG970" s="28"/>
    </row>
    <row r="971" spans="1:33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C971" s="28"/>
      <c r="AD971" s="28"/>
      <c r="AE971" s="28"/>
      <c r="AF971" s="28"/>
      <c r="AG971" s="28"/>
    </row>
    <row r="972" spans="1:33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C972" s="28"/>
      <c r="AD972" s="28"/>
      <c r="AE972" s="28"/>
      <c r="AF972" s="28"/>
      <c r="AG972" s="28"/>
    </row>
    <row r="973" spans="1:33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C973" s="28"/>
      <c r="AD973" s="28"/>
      <c r="AE973" s="28"/>
      <c r="AF973" s="28"/>
      <c r="AG973" s="28"/>
    </row>
    <row r="974" spans="1:33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C974" s="28"/>
      <c r="AD974" s="28"/>
      <c r="AE974" s="28"/>
      <c r="AF974" s="28"/>
      <c r="AG974" s="28"/>
    </row>
    <row r="975" spans="1:33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C975" s="28"/>
      <c r="AD975" s="28"/>
      <c r="AE975" s="28"/>
      <c r="AF975" s="28"/>
      <c r="AG975" s="28"/>
    </row>
    <row r="976" spans="1:33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C976" s="28"/>
      <c r="AD976" s="28"/>
      <c r="AE976" s="28"/>
      <c r="AF976" s="28"/>
      <c r="AG976" s="28"/>
    </row>
    <row r="977" spans="1:33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C977" s="28"/>
      <c r="AD977" s="28"/>
      <c r="AE977" s="28"/>
      <c r="AF977" s="28"/>
      <c r="AG977" s="28"/>
    </row>
    <row r="978" spans="1:33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C978" s="28"/>
      <c r="AD978" s="28"/>
      <c r="AE978" s="28"/>
      <c r="AF978" s="28"/>
      <c r="AG978" s="28"/>
    </row>
    <row r="979" spans="1:33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C979" s="28"/>
      <c r="AD979" s="28"/>
      <c r="AE979" s="28"/>
      <c r="AF979" s="28"/>
      <c r="AG979" s="28"/>
    </row>
    <row r="980" spans="1:33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C980" s="28"/>
      <c r="AD980" s="28"/>
      <c r="AE980" s="28"/>
      <c r="AF980" s="28"/>
      <c r="AG980" s="28"/>
    </row>
    <row r="981" spans="1:33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C981" s="28"/>
      <c r="AD981" s="28"/>
      <c r="AE981" s="28"/>
      <c r="AF981" s="28"/>
      <c r="AG981" s="28"/>
    </row>
    <row r="982" spans="1:33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C982" s="28"/>
      <c r="AD982" s="28"/>
      <c r="AE982" s="28"/>
      <c r="AF982" s="28"/>
      <c r="AG982" s="28"/>
    </row>
    <row r="983" spans="1:33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C983" s="28"/>
      <c r="AD983" s="28"/>
      <c r="AE983" s="28"/>
      <c r="AF983" s="28"/>
      <c r="AG983" s="28"/>
    </row>
    <row r="984" spans="1:33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C984" s="28"/>
      <c r="AD984" s="28"/>
      <c r="AE984" s="28"/>
      <c r="AF984" s="28"/>
      <c r="AG984" s="28"/>
    </row>
    <row r="985" spans="1:33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C985" s="28"/>
      <c r="AD985" s="28"/>
      <c r="AE985" s="28"/>
      <c r="AF985" s="28"/>
      <c r="AG985" s="28"/>
    </row>
    <row r="986" spans="1:33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C986" s="28"/>
      <c r="AD986" s="28"/>
      <c r="AE986" s="28"/>
      <c r="AF986" s="28"/>
      <c r="AG986" s="28"/>
    </row>
    <row r="987" spans="1:33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C987" s="28"/>
      <c r="AD987" s="28"/>
      <c r="AE987" s="28"/>
      <c r="AF987" s="28"/>
      <c r="AG987" s="28"/>
    </row>
    <row r="988" spans="1:33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C988" s="28"/>
      <c r="AD988" s="28"/>
      <c r="AE988" s="28"/>
      <c r="AF988" s="28"/>
      <c r="AG988" s="28"/>
    </row>
    <row r="989" spans="1:33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C989" s="28"/>
      <c r="AD989" s="28"/>
      <c r="AE989" s="28"/>
      <c r="AF989" s="28"/>
      <c r="AG989" s="28"/>
    </row>
    <row r="990" spans="1:33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C990" s="28"/>
      <c r="AD990" s="28"/>
      <c r="AE990" s="28"/>
      <c r="AF990" s="28"/>
      <c r="AG990" s="28"/>
    </row>
    <row r="991" spans="1:33" ht="14.25" customHeight="1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C991" s="28"/>
      <c r="AD991" s="28"/>
      <c r="AE991" s="28"/>
      <c r="AF991" s="28"/>
      <c r="AG991" s="28"/>
    </row>
    <row r="992" spans="1:33" ht="14.25" customHeight="1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C992" s="28"/>
      <c r="AD992" s="28"/>
      <c r="AE992" s="28"/>
      <c r="AF992" s="28"/>
      <c r="AG992" s="28"/>
    </row>
    <row r="993" spans="1:33" ht="14.25" customHeight="1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C993" s="28"/>
      <c r="AD993" s="28"/>
      <c r="AE993" s="28"/>
      <c r="AF993" s="28"/>
      <c r="AG993" s="28"/>
    </row>
    <row r="994" spans="1:33" ht="14.25" customHeight="1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C994" s="28"/>
      <c r="AD994" s="28"/>
      <c r="AE994" s="28"/>
      <c r="AF994" s="28"/>
      <c r="AG994" s="28"/>
    </row>
    <row r="995" spans="1:33" ht="14.25" customHeight="1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C995" s="28"/>
      <c r="AD995" s="28"/>
      <c r="AE995" s="28"/>
      <c r="AF995" s="28"/>
      <c r="AG995" s="28"/>
    </row>
    <row r="996" spans="1:33" ht="14.25" customHeight="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C996" s="28"/>
      <c r="AD996" s="28"/>
      <c r="AE996" s="28"/>
      <c r="AF996" s="28"/>
      <c r="AG996" s="28"/>
    </row>
    <row r="997" spans="1:33" ht="14.25" customHeight="1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C997" s="28"/>
      <c r="AD997" s="28"/>
      <c r="AE997" s="28"/>
      <c r="AF997" s="28"/>
      <c r="AG997" s="28"/>
    </row>
    <row r="998" spans="1:33" ht="14.25" customHeight="1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  <c r="AC998" s="28"/>
      <c r="AD998" s="28"/>
      <c r="AE998" s="28"/>
      <c r="AF998" s="28"/>
      <c r="AG998" s="28"/>
    </row>
    <row r="999" spans="1:33" ht="14.25" customHeight="1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  <c r="AC999" s="28"/>
      <c r="AD999" s="28"/>
      <c r="AE999" s="28"/>
      <c r="AF999" s="28"/>
      <c r="AG999" s="28"/>
    </row>
  </sheetData>
  <mergeCells count="4">
    <mergeCell ref="B4:I5"/>
    <mergeCell ref="C11:C20"/>
    <mergeCell ref="C21:C27"/>
    <mergeCell ref="C28:C35"/>
  </mergeCells>
  <pageMargins left="0.7" right="0.7" top="0.75" bottom="0.75" header="0" footer="0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1048576"/>
  <sheetViews>
    <sheetView topLeftCell="A2" zoomScale="190" zoomScaleNormal="190" workbookViewId="0">
      <selection activeCell="Q32" sqref="Q32"/>
    </sheetView>
  </sheetViews>
  <sheetFormatPr defaultColWidth="12.625" defaultRowHeight="15" customHeight="1" x14ac:dyDescent="0.2"/>
  <cols>
    <col min="1" max="1" width="26" customWidth="1"/>
    <col min="2" max="2" width="18.875" customWidth="1"/>
    <col min="3" max="3" width="27" customWidth="1"/>
    <col min="4" max="4" width="34.125" customWidth="1"/>
    <col min="5" max="26" width="7.625" customWidth="1"/>
  </cols>
  <sheetData>
    <row r="1" spans="1:10" ht="14.25" x14ac:dyDescent="0.2">
      <c r="A1" s="318" t="s">
        <v>261</v>
      </c>
      <c r="B1" s="319" t="s">
        <v>265</v>
      </c>
      <c r="C1" s="319" t="s">
        <v>266</v>
      </c>
      <c r="D1" s="320" t="s">
        <v>267</v>
      </c>
      <c r="E1" s="471"/>
      <c r="F1" s="296"/>
      <c r="G1" s="296"/>
      <c r="H1" s="296"/>
      <c r="I1" s="296"/>
      <c r="J1" s="296"/>
    </row>
    <row r="2" spans="1:10" ht="14.25" x14ac:dyDescent="0.2">
      <c r="A2" s="508" t="s">
        <v>464</v>
      </c>
      <c r="B2" s="505">
        <v>40958.6</v>
      </c>
      <c r="C2" s="505">
        <v>143210.03</v>
      </c>
      <c r="D2" s="317">
        <f t="shared" ref="D2:D27" si="0">ABS(B2-C2)</f>
        <v>102251.43</v>
      </c>
      <c r="E2" s="296"/>
      <c r="F2" s="296"/>
      <c r="G2" s="296"/>
      <c r="H2" s="296"/>
      <c r="I2" s="296"/>
      <c r="J2" s="296"/>
    </row>
    <row r="3" spans="1:10" ht="14.25" x14ac:dyDescent="0.2">
      <c r="A3" s="321" t="s">
        <v>463</v>
      </c>
      <c r="B3" s="506">
        <v>89651.82</v>
      </c>
      <c r="C3" s="506">
        <v>44375.02</v>
      </c>
      <c r="D3" s="317">
        <f t="shared" si="0"/>
        <v>45276.80000000001</v>
      </c>
      <c r="E3" s="470"/>
      <c r="F3" s="296"/>
      <c r="G3" s="296"/>
      <c r="H3" s="296"/>
      <c r="I3" s="296"/>
      <c r="J3" s="296"/>
    </row>
    <row r="4" spans="1:10" ht="14.25" x14ac:dyDescent="0.2">
      <c r="A4" s="322" t="s">
        <v>544</v>
      </c>
      <c r="B4" s="506">
        <v>68979.64</v>
      </c>
      <c r="C4" s="506">
        <v>47874.8</v>
      </c>
      <c r="D4" s="317">
        <f t="shared" si="0"/>
        <v>21104.839999999997</v>
      </c>
      <c r="E4" s="470"/>
      <c r="F4" s="296"/>
      <c r="G4" s="296"/>
      <c r="H4" s="296"/>
      <c r="I4" s="296"/>
      <c r="J4" s="296"/>
    </row>
    <row r="5" spans="1:10" ht="14.25" x14ac:dyDescent="0.2">
      <c r="A5" s="322" t="s">
        <v>275</v>
      </c>
      <c r="B5" s="506">
        <v>46327.15</v>
      </c>
      <c r="C5" s="506">
        <v>66715.460000000006</v>
      </c>
      <c r="D5" s="317">
        <f t="shared" si="0"/>
        <v>20388.310000000005</v>
      </c>
      <c r="E5" s="470"/>
      <c r="F5" s="296"/>
      <c r="G5" s="296"/>
      <c r="H5" s="296"/>
      <c r="I5" s="296"/>
      <c r="J5" s="296"/>
    </row>
    <row r="6" spans="1:10" ht="14.25" x14ac:dyDescent="0.2">
      <c r="A6" s="321" t="s">
        <v>473</v>
      </c>
      <c r="B6" s="506">
        <v>63446.74</v>
      </c>
      <c r="C6" s="506">
        <v>49375.76</v>
      </c>
      <c r="D6" s="317">
        <f t="shared" si="0"/>
        <v>14070.979999999996</v>
      </c>
      <c r="E6" s="470"/>
      <c r="F6" s="296"/>
      <c r="G6" s="296"/>
      <c r="H6" s="296"/>
      <c r="I6" s="296"/>
      <c r="J6" s="296"/>
    </row>
    <row r="7" spans="1:10" ht="14.25" x14ac:dyDescent="0.2">
      <c r="A7" s="321" t="s">
        <v>479</v>
      </c>
      <c r="B7" s="506">
        <v>61810.45</v>
      </c>
      <c r="C7" s="506">
        <v>52066.11</v>
      </c>
      <c r="D7" s="317">
        <f t="shared" si="0"/>
        <v>9744.3399999999965</v>
      </c>
      <c r="E7" s="470"/>
      <c r="F7" s="296"/>
      <c r="G7" s="296"/>
      <c r="H7" s="296"/>
      <c r="I7" s="296"/>
      <c r="J7" s="296"/>
    </row>
    <row r="8" spans="1:10" ht="14.25" x14ac:dyDescent="0.2">
      <c r="A8" s="321" t="s">
        <v>477</v>
      </c>
      <c r="B8" s="506">
        <v>61795.09</v>
      </c>
      <c r="C8" s="506">
        <v>52077.01</v>
      </c>
      <c r="D8" s="317">
        <f t="shared" si="0"/>
        <v>9718.0799999999945</v>
      </c>
      <c r="E8" s="470"/>
      <c r="F8" s="296"/>
      <c r="G8" s="296"/>
      <c r="H8" s="296"/>
      <c r="I8" s="296"/>
      <c r="J8" s="296"/>
    </row>
    <row r="9" spans="1:10" ht="14.25" x14ac:dyDescent="0.2">
      <c r="A9" s="322" t="s">
        <v>474</v>
      </c>
      <c r="B9" s="506">
        <v>52182.559999999998</v>
      </c>
      <c r="C9" s="506">
        <v>61647.12</v>
      </c>
      <c r="D9" s="317">
        <f t="shared" si="0"/>
        <v>9464.5600000000049</v>
      </c>
      <c r="E9" s="470"/>
      <c r="F9" s="296"/>
      <c r="G9" s="296"/>
      <c r="H9" s="296"/>
      <c r="I9" s="296"/>
      <c r="J9" s="296"/>
    </row>
    <row r="10" spans="1:10" ht="14.25" x14ac:dyDescent="0.2">
      <c r="A10" s="322" t="s">
        <v>478</v>
      </c>
      <c r="B10" s="507">
        <v>52467.85</v>
      </c>
      <c r="C10" s="507">
        <v>61253.65</v>
      </c>
      <c r="D10" s="317">
        <f t="shared" si="0"/>
        <v>8785.8000000000029</v>
      </c>
      <c r="E10" s="470"/>
      <c r="F10" s="296"/>
      <c r="G10" s="296"/>
      <c r="H10" s="296"/>
      <c r="I10" s="296"/>
      <c r="J10" s="296"/>
    </row>
    <row r="11" spans="1:10" ht="14.25" x14ac:dyDescent="0.2">
      <c r="A11" s="511" t="s">
        <v>482</v>
      </c>
      <c r="B11" s="505">
        <v>52660.18</v>
      </c>
      <c r="C11" s="505">
        <v>60993.58</v>
      </c>
      <c r="D11" s="317">
        <f t="shared" si="0"/>
        <v>8333.4000000000015</v>
      </c>
      <c r="E11" s="470"/>
      <c r="F11" s="296"/>
      <c r="G11" s="296"/>
      <c r="H11" s="296"/>
      <c r="I11" s="296"/>
      <c r="J11" s="296"/>
    </row>
    <row r="12" spans="1:10" ht="14.25" x14ac:dyDescent="0.2">
      <c r="A12" s="322" t="s">
        <v>545</v>
      </c>
      <c r="B12" s="506">
        <v>52520.58</v>
      </c>
      <c r="C12" s="506">
        <v>60701.18</v>
      </c>
      <c r="D12" s="317">
        <f t="shared" si="0"/>
        <v>8180.5999999999985</v>
      </c>
      <c r="E12" s="470"/>
      <c r="F12" s="296"/>
      <c r="G12" s="296"/>
      <c r="H12" s="296"/>
      <c r="I12" s="296"/>
      <c r="J12" s="296"/>
    </row>
    <row r="13" spans="1:10" ht="14.25" x14ac:dyDescent="0.2">
      <c r="A13" s="322" t="s">
        <v>480</v>
      </c>
      <c r="B13" s="506">
        <v>53015.15</v>
      </c>
      <c r="C13" s="506">
        <v>60524.21</v>
      </c>
      <c r="D13" s="317">
        <f t="shared" si="0"/>
        <v>7509.0599999999977</v>
      </c>
      <c r="E13" s="470"/>
      <c r="F13" s="296"/>
      <c r="G13" s="296"/>
      <c r="H13" s="296"/>
      <c r="I13" s="296"/>
      <c r="J13" s="296"/>
    </row>
    <row r="14" spans="1:10" ht="14.25" x14ac:dyDescent="0.2">
      <c r="A14" s="322" t="s">
        <v>280</v>
      </c>
      <c r="B14" s="506">
        <v>52881.29</v>
      </c>
      <c r="C14" s="506">
        <v>60163.12</v>
      </c>
      <c r="D14" s="317">
        <f t="shared" si="0"/>
        <v>7281.8300000000017</v>
      </c>
      <c r="E14" s="470"/>
      <c r="F14" s="296"/>
      <c r="G14" s="296"/>
      <c r="H14" s="296"/>
      <c r="I14" s="296"/>
      <c r="J14" s="296"/>
    </row>
    <row r="15" spans="1:10" ht="14.25" x14ac:dyDescent="0.2">
      <c r="A15" s="321" t="s">
        <v>481</v>
      </c>
      <c r="B15" s="506">
        <v>60309.72</v>
      </c>
      <c r="C15" s="506">
        <v>53180.82</v>
      </c>
      <c r="D15" s="317">
        <f t="shared" si="0"/>
        <v>7128.9000000000015</v>
      </c>
      <c r="E15" s="470"/>
      <c r="F15" s="296"/>
      <c r="G15" s="296"/>
      <c r="H15" s="296"/>
      <c r="I15" s="296"/>
      <c r="J15" s="296"/>
    </row>
    <row r="16" spans="1:10" ht="14.25" x14ac:dyDescent="0.2">
      <c r="A16" s="509" t="s">
        <v>460</v>
      </c>
      <c r="B16" s="512">
        <v>59131.72</v>
      </c>
      <c r="C16" s="512">
        <v>53911.02</v>
      </c>
      <c r="D16" s="317">
        <f t="shared" si="0"/>
        <v>5220.7000000000044</v>
      </c>
      <c r="E16" s="470"/>
      <c r="F16" s="296"/>
      <c r="G16" s="296"/>
      <c r="H16" s="296"/>
      <c r="I16" s="296"/>
      <c r="J16" s="296"/>
    </row>
    <row r="17" spans="1:10" ht="14.25" x14ac:dyDescent="0.2">
      <c r="A17" s="322" t="s">
        <v>270</v>
      </c>
      <c r="B17" s="507">
        <v>58799.91</v>
      </c>
      <c r="C17" s="507">
        <v>54242.83</v>
      </c>
      <c r="D17" s="317">
        <f t="shared" si="0"/>
        <v>4557.0800000000017</v>
      </c>
      <c r="E17" s="470"/>
      <c r="F17" s="296"/>
      <c r="G17" s="296"/>
      <c r="H17" s="296"/>
      <c r="I17" s="296"/>
      <c r="J17" s="296"/>
    </row>
    <row r="18" spans="1:10" ht="14.25" x14ac:dyDescent="0.2">
      <c r="A18" s="323" t="s">
        <v>459</v>
      </c>
      <c r="B18" s="505">
        <v>58420.94</v>
      </c>
      <c r="C18" s="505">
        <v>54621.8</v>
      </c>
      <c r="D18" s="317">
        <f t="shared" si="0"/>
        <v>3799.1399999999994</v>
      </c>
      <c r="E18" s="470"/>
      <c r="F18" s="296"/>
      <c r="G18" s="296"/>
      <c r="H18" s="296"/>
      <c r="I18" s="296"/>
      <c r="J18" s="296"/>
    </row>
    <row r="19" spans="1:10" ht="14.25" x14ac:dyDescent="0.2">
      <c r="A19" s="322" t="s">
        <v>79</v>
      </c>
      <c r="B19" s="506">
        <v>58183.17</v>
      </c>
      <c r="C19" s="506">
        <v>54869.57</v>
      </c>
      <c r="D19" s="317">
        <f t="shared" si="0"/>
        <v>3313.5999999999985</v>
      </c>
      <c r="E19" s="470"/>
      <c r="F19" s="296"/>
      <c r="G19" s="296"/>
      <c r="H19" s="296"/>
      <c r="I19" s="296"/>
      <c r="J19" s="296"/>
    </row>
    <row r="20" spans="1:10" ht="14.25" x14ac:dyDescent="0.2">
      <c r="A20" s="322" t="s">
        <v>269</v>
      </c>
      <c r="B20" s="507">
        <v>55537.09</v>
      </c>
      <c r="C20" s="507">
        <v>57505.65</v>
      </c>
      <c r="D20" s="317">
        <f t="shared" si="0"/>
        <v>1968.5600000000049</v>
      </c>
      <c r="E20" s="470"/>
      <c r="F20" s="296"/>
      <c r="G20" s="296"/>
      <c r="H20" s="296"/>
      <c r="I20" s="296"/>
      <c r="J20" s="296"/>
    </row>
    <row r="21" spans="1:10" ht="15.75" customHeight="1" x14ac:dyDescent="0.2">
      <c r="A21" s="322" t="s">
        <v>271</v>
      </c>
      <c r="B21" s="507">
        <v>55802.99</v>
      </c>
      <c r="C21" s="507">
        <v>57239.75</v>
      </c>
      <c r="D21" s="317">
        <f t="shared" si="0"/>
        <v>1436.760000000002</v>
      </c>
      <c r="E21" s="470"/>
      <c r="F21" s="296"/>
      <c r="G21" s="296"/>
      <c r="H21" s="296"/>
      <c r="I21" s="296"/>
      <c r="J21" s="296"/>
    </row>
    <row r="22" spans="1:10" ht="15.75" customHeight="1" x14ac:dyDescent="0.2">
      <c r="A22" s="321" t="s">
        <v>279</v>
      </c>
      <c r="B22" s="507">
        <v>56916.84</v>
      </c>
      <c r="C22" s="507">
        <v>56125.9</v>
      </c>
      <c r="D22" s="317">
        <f t="shared" si="0"/>
        <v>790.93999999999505</v>
      </c>
      <c r="E22" s="470"/>
      <c r="F22" s="296"/>
      <c r="G22" s="296"/>
      <c r="H22" s="296"/>
      <c r="I22" s="296"/>
      <c r="J22" s="296"/>
    </row>
    <row r="23" spans="1:10" ht="15.75" customHeight="1" x14ac:dyDescent="0.2">
      <c r="A23" s="321" t="s">
        <v>277</v>
      </c>
      <c r="B23" s="507">
        <v>56769.69</v>
      </c>
      <c r="C23" s="507">
        <v>56272.53</v>
      </c>
      <c r="D23" s="317">
        <f t="shared" si="0"/>
        <v>497.16000000000349</v>
      </c>
      <c r="E23" s="470"/>
      <c r="F23" s="296"/>
      <c r="G23" s="296"/>
      <c r="H23" s="296"/>
      <c r="I23" s="296"/>
      <c r="J23" s="296"/>
    </row>
    <row r="24" spans="1:10" ht="15.75" customHeight="1" x14ac:dyDescent="0.2">
      <c r="A24" s="322" t="s">
        <v>461</v>
      </c>
      <c r="B24" s="507">
        <v>56693.86</v>
      </c>
      <c r="C24" s="507">
        <v>56348.88</v>
      </c>
      <c r="D24" s="317">
        <f t="shared" si="0"/>
        <v>344.9800000000032</v>
      </c>
      <c r="E24" s="470"/>
      <c r="F24" s="296"/>
      <c r="G24" s="296"/>
      <c r="H24" s="296"/>
      <c r="I24" s="296"/>
      <c r="J24" s="296"/>
    </row>
    <row r="25" spans="1:10" ht="15.75" customHeight="1" x14ac:dyDescent="0.2">
      <c r="A25" s="524" t="s">
        <v>278</v>
      </c>
      <c r="B25" s="525">
        <v>56688.59</v>
      </c>
      <c r="C25" s="525">
        <v>56354.15</v>
      </c>
      <c r="D25" s="317">
        <f t="shared" si="0"/>
        <v>334.43999999999505</v>
      </c>
      <c r="E25" s="470"/>
      <c r="F25" s="296"/>
      <c r="G25" s="296"/>
      <c r="H25" s="296"/>
      <c r="I25" s="296"/>
      <c r="J25" s="296"/>
    </row>
    <row r="26" spans="1:10" ht="15.75" customHeight="1" x14ac:dyDescent="0.2">
      <c r="A26" s="510" t="s">
        <v>276</v>
      </c>
      <c r="B26" s="513">
        <v>56590.5</v>
      </c>
      <c r="C26" s="513">
        <v>56452.23</v>
      </c>
      <c r="D26" s="317">
        <f t="shared" si="0"/>
        <v>138.2699999999968</v>
      </c>
      <c r="E26" s="296"/>
      <c r="F26" s="296"/>
      <c r="G26" s="296"/>
      <c r="H26" s="296"/>
      <c r="I26" s="296"/>
      <c r="J26" s="296"/>
    </row>
    <row r="27" spans="1:10" ht="15.75" customHeight="1" x14ac:dyDescent="0.2">
      <c r="A27" s="510" t="s">
        <v>272</v>
      </c>
      <c r="B27" s="513">
        <v>56457.49</v>
      </c>
      <c r="C27" s="513">
        <v>56585.25</v>
      </c>
      <c r="D27" s="317">
        <f t="shared" si="0"/>
        <v>127.76000000000204</v>
      </c>
      <c r="E27" s="296"/>
      <c r="F27" s="296"/>
      <c r="G27" s="296"/>
      <c r="H27" s="296"/>
      <c r="I27" s="296"/>
      <c r="J27" s="296"/>
    </row>
    <row r="28" spans="1:10" ht="15.75" customHeight="1" x14ac:dyDescent="0.2">
      <c r="E28" s="296"/>
      <c r="F28" s="296"/>
      <c r="G28" s="296"/>
      <c r="H28" s="296"/>
      <c r="I28" s="296"/>
      <c r="J28" s="296"/>
    </row>
    <row r="29" spans="1:10" ht="15.75" customHeight="1" x14ac:dyDescent="0.2">
      <c r="E29" s="296"/>
      <c r="F29" s="296"/>
      <c r="G29" s="296"/>
      <c r="H29" s="296"/>
      <c r="I29" s="296"/>
      <c r="J29" s="296"/>
    </row>
    <row r="30" spans="1:10" ht="15.75" customHeight="1" x14ac:dyDescent="0.2">
      <c r="E30" s="296"/>
      <c r="F30" s="296"/>
      <c r="G30" s="296"/>
      <c r="H30" s="296"/>
      <c r="I30" s="296"/>
      <c r="J30" s="296"/>
    </row>
    <row r="31" spans="1:10" ht="15.75" customHeight="1" x14ac:dyDescent="0.2">
      <c r="E31" s="296"/>
      <c r="F31" s="296"/>
      <c r="G31" s="296"/>
      <c r="H31" s="296"/>
      <c r="I31" s="296"/>
      <c r="J31" s="296"/>
    </row>
    <row r="32" spans="1:10" ht="15.75" customHeight="1" x14ac:dyDescent="0.2">
      <c r="E32" s="296"/>
      <c r="F32" s="296"/>
      <c r="G32" s="296"/>
      <c r="H32" s="296"/>
      <c r="I32" s="296"/>
      <c r="J32" s="296"/>
    </row>
    <row r="33" spans="5:10" ht="15.75" customHeight="1" x14ac:dyDescent="0.2">
      <c r="E33" s="296"/>
      <c r="F33" s="296"/>
      <c r="G33" s="296"/>
      <c r="H33" s="296"/>
      <c r="I33" s="296"/>
    </row>
    <row r="34" spans="5:10" ht="15.75" customHeight="1" x14ac:dyDescent="0.2">
      <c r="E34" s="296"/>
      <c r="F34" s="296"/>
      <c r="G34" s="296"/>
      <c r="H34" s="296"/>
      <c r="I34" s="296"/>
      <c r="J34" s="296"/>
    </row>
    <row r="35" spans="5:10" ht="15.75" customHeight="1" x14ac:dyDescent="0.2">
      <c r="E35" s="296"/>
      <c r="F35" s="296"/>
      <c r="G35" s="296"/>
      <c r="H35" s="296"/>
      <c r="I35" s="296"/>
      <c r="J35" s="296"/>
    </row>
    <row r="36" spans="5:10" ht="15.75" customHeight="1" x14ac:dyDescent="0.2"/>
    <row r="37" spans="5:10" ht="15.75" customHeight="1" x14ac:dyDescent="0.2"/>
    <row r="38" spans="5:10" ht="15.75" customHeight="1" x14ac:dyDescent="0.2"/>
    <row r="39" spans="5:10" ht="15.75" customHeight="1" x14ac:dyDescent="0.2"/>
    <row r="40" spans="5:10" ht="15.75" customHeight="1" x14ac:dyDescent="0.2"/>
    <row r="41" spans="5:10" ht="15.75" customHeight="1" x14ac:dyDescent="0.2"/>
    <row r="42" spans="5:10" ht="15.75" customHeight="1" x14ac:dyDescent="0.2"/>
    <row r="43" spans="5:10" ht="15.75" customHeight="1" x14ac:dyDescent="0.2"/>
    <row r="44" spans="5:10" ht="15.75" customHeight="1" x14ac:dyDescent="0.2"/>
    <row r="45" spans="5:10" ht="15.75" customHeight="1" x14ac:dyDescent="0.2"/>
    <row r="46" spans="5:10" ht="15.75" customHeight="1" x14ac:dyDescent="0.2"/>
    <row r="47" spans="5:10" ht="15.75" customHeight="1" x14ac:dyDescent="0.2"/>
    <row r="48" spans="5:10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48576" spans="5:5" ht="15" customHeight="1" x14ac:dyDescent="0.2">
      <c r="E1048576" s="470"/>
    </row>
  </sheetData>
  <autoFilter ref="A1:D1" xr:uid="{00000000-0009-0000-0000-000007000000}">
    <sortState xmlns:xlrd2="http://schemas.microsoft.com/office/spreadsheetml/2017/richdata2" ref="A2:D27">
      <sortCondition descending="1" ref="D1"/>
    </sortState>
  </autoFilter>
  <pageMargins left="0.7" right="0.7" top="0.75" bottom="0.75" header="0" footer="0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CW1206"/>
  <sheetViews>
    <sheetView zoomScale="70" zoomScaleNormal="70" workbookViewId="0">
      <selection activeCell="CN61" sqref="CN61"/>
    </sheetView>
  </sheetViews>
  <sheetFormatPr defaultColWidth="12.625" defaultRowHeight="15" customHeight="1" x14ac:dyDescent="0.2"/>
  <cols>
    <col min="1" max="1" width="2.625" customWidth="1"/>
    <col min="2" max="2" width="10.375" customWidth="1"/>
    <col min="3" max="3" width="14" customWidth="1"/>
    <col min="4" max="4" width="15.625" customWidth="1"/>
    <col min="5" max="5" width="14.25" customWidth="1"/>
    <col min="6" max="6" width="10.375" customWidth="1"/>
    <col min="7" max="7" width="9.375" customWidth="1"/>
    <col min="8" max="8" width="12.875" customWidth="1"/>
    <col min="9" max="9" width="13.375" customWidth="1"/>
    <col min="10" max="10" width="13.875" customWidth="1"/>
    <col min="11" max="11" width="8.875" customWidth="1"/>
    <col min="12" max="12" width="10.25" customWidth="1"/>
    <col min="13" max="13" width="9" customWidth="1"/>
    <col min="14" max="14" width="8.5" customWidth="1"/>
    <col min="15" max="15" width="9.25" customWidth="1"/>
    <col min="16" max="16" width="9.5" customWidth="1"/>
    <col min="17" max="17" width="10.125" customWidth="1"/>
    <col min="18" max="18" width="9.5" customWidth="1"/>
    <col min="19" max="19" width="8.125" customWidth="1"/>
    <col min="20" max="20" width="9.875" customWidth="1"/>
    <col min="21" max="21" width="10.125" customWidth="1"/>
    <col min="22" max="22" width="8.5" customWidth="1"/>
    <col min="23" max="23" width="9.125" customWidth="1"/>
    <col min="24" max="26" width="8" customWidth="1"/>
    <col min="27" max="27" width="1" customWidth="1"/>
    <col min="28" max="28" width="14.25" customWidth="1"/>
    <col min="29" max="29" width="15.125" customWidth="1"/>
    <col min="30" max="30" width="14.5" customWidth="1"/>
    <col min="31" max="31" width="14.375" customWidth="1"/>
    <col min="32" max="32" width="14.875" customWidth="1"/>
    <col min="33" max="33" width="16.125" customWidth="1"/>
    <col min="34" max="34" width="1" customWidth="1"/>
    <col min="35" max="35" width="12.125" customWidth="1"/>
    <col min="36" max="37" width="11.625" customWidth="1"/>
    <col min="38" max="38" width="1" customWidth="1"/>
    <col min="39" max="39" width="11" customWidth="1"/>
    <col min="40" max="40" width="11.125" customWidth="1"/>
    <col min="41" max="41" width="9.875" customWidth="1"/>
    <col min="42" max="42" width="1" customWidth="1"/>
    <col min="43" max="43" width="8" customWidth="1"/>
    <col min="44" max="44" width="11.125" customWidth="1"/>
    <col min="46" max="46" width="11.625" customWidth="1"/>
    <col min="47" max="47" width="1" style="313" customWidth="1"/>
    <col min="48" max="48" width="12.375" style="361" customWidth="1"/>
    <col min="49" max="49" width="1" style="313" customWidth="1"/>
    <col min="50" max="50" width="6.125" style="313" customWidth="1"/>
    <col min="51" max="51" width="8" customWidth="1"/>
    <col min="52" max="52" width="12" customWidth="1"/>
    <col min="53" max="53" width="13.625" customWidth="1"/>
    <col min="54" max="54" width="11.625" customWidth="1"/>
    <col min="55" max="76" width="8" customWidth="1"/>
    <col min="77" max="77" width="13.5" customWidth="1"/>
    <col min="78" max="101" width="8" customWidth="1"/>
  </cols>
  <sheetData>
    <row r="1" spans="1:101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356"/>
      <c r="AW1" s="1"/>
      <c r="AX1" s="352"/>
      <c r="AY1" s="233"/>
      <c r="AZ1" s="233"/>
      <c r="BA1" s="233"/>
      <c r="BB1" s="233"/>
      <c r="BC1" s="233"/>
      <c r="BD1" s="233"/>
      <c r="BE1" s="233"/>
      <c r="BF1" s="233"/>
      <c r="BG1" s="233"/>
      <c r="BH1" s="233"/>
      <c r="BI1" s="233"/>
      <c r="BJ1" s="233"/>
      <c r="BK1" s="233"/>
      <c r="BL1" s="233"/>
      <c r="BM1" s="233"/>
      <c r="BN1" s="233"/>
      <c r="BO1" s="233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</row>
    <row r="2" spans="1:101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356"/>
      <c r="AW2" s="1"/>
      <c r="AX2" s="352"/>
      <c r="AY2" s="233"/>
      <c r="AZ2" s="233"/>
      <c r="BA2" s="233"/>
      <c r="BB2" s="233"/>
      <c r="BC2" s="233"/>
      <c r="BD2" s="233"/>
      <c r="BE2" s="233"/>
      <c r="BF2" s="233"/>
      <c r="BG2" s="233"/>
      <c r="BH2" s="233"/>
      <c r="BI2" s="233"/>
      <c r="BJ2" s="233"/>
      <c r="BK2" s="233"/>
      <c r="BL2" s="233"/>
      <c r="BM2" s="233"/>
      <c r="BN2" s="233"/>
      <c r="BO2" s="233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</row>
    <row r="3" spans="1:101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356"/>
      <c r="AW3" s="1"/>
      <c r="AX3" s="352"/>
      <c r="AY3" s="233"/>
      <c r="AZ3" s="233"/>
      <c r="BA3" s="233"/>
      <c r="BB3" s="233"/>
      <c r="BC3" s="233"/>
      <c r="BD3" s="233"/>
      <c r="BE3" s="233"/>
      <c r="BF3" s="233"/>
      <c r="BG3" s="233"/>
      <c r="BH3" s="233"/>
      <c r="BI3" s="233"/>
      <c r="BJ3" s="233"/>
      <c r="BK3" s="233"/>
      <c r="BL3" s="233"/>
      <c r="BM3" s="233"/>
      <c r="BN3" s="233"/>
      <c r="BO3" s="233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</row>
    <row r="4" spans="1:101" ht="14.25" customHeight="1" x14ac:dyDescent="0.2">
      <c r="A4" s="212"/>
      <c r="B4" s="534" t="s">
        <v>286</v>
      </c>
      <c r="C4" s="535"/>
      <c r="D4" s="535"/>
      <c r="E4" s="535"/>
      <c r="F4" s="535"/>
      <c r="G4" s="535"/>
      <c r="H4" s="535"/>
      <c r="I4" s="535"/>
      <c r="J4" s="535"/>
      <c r="K4" s="536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357"/>
      <c r="AW4" s="8"/>
      <c r="AX4" s="353"/>
      <c r="AY4" s="234"/>
      <c r="AZ4" s="234"/>
      <c r="BA4" s="234"/>
      <c r="BB4" s="234"/>
      <c r="BC4" s="234"/>
      <c r="BD4" s="234"/>
      <c r="BE4" s="234"/>
      <c r="BF4" s="234"/>
      <c r="BG4" s="234"/>
      <c r="BH4" s="234"/>
      <c r="BI4" s="234"/>
      <c r="BJ4" s="234"/>
      <c r="BK4" s="234"/>
      <c r="BL4" s="234"/>
      <c r="BM4" s="234"/>
      <c r="BN4" s="234"/>
      <c r="BO4" s="234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</row>
    <row r="5" spans="1:101" ht="14.25" customHeight="1" x14ac:dyDescent="0.2">
      <c r="A5" s="212"/>
      <c r="B5" s="537"/>
      <c r="C5" s="538"/>
      <c r="D5" s="538"/>
      <c r="E5" s="538"/>
      <c r="F5" s="538"/>
      <c r="G5" s="538"/>
      <c r="H5" s="538"/>
      <c r="I5" s="538"/>
      <c r="J5" s="538"/>
      <c r="K5" s="539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357"/>
      <c r="AW5" s="8"/>
      <c r="AX5" s="353"/>
      <c r="AY5" s="234"/>
      <c r="AZ5" s="234"/>
      <c r="BA5" s="234"/>
      <c r="BB5" s="234"/>
      <c r="BC5" s="234"/>
      <c r="BD5" s="234"/>
      <c r="BE5" s="234"/>
      <c r="BF5" s="234"/>
      <c r="BG5" s="234"/>
      <c r="BH5" s="234"/>
      <c r="BI5" s="234"/>
      <c r="BJ5" s="234"/>
      <c r="BK5" s="234"/>
      <c r="BL5" s="234"/>
      <c r="BM5" s="234"/>
      <c r="BN5" s="234"/>
      <c r="BO5" s="234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</row>
    <row r="6" spans="1:101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235"/>
      <c r="AB6" s="3"/>
      <c r="AC6" s="3"/>
      <c r="AD6" s="3"/>
      <c r="AE6" s="3"/>
      <c r="AF6" s="3"/>
      <c r="AG6" s="3"/>
      <c r="AH6" s="235"/>
      <c r="AI6" s="236" t="s">
        <v>287</v>
      </c>
      <c r="AJ6" s="52">
        <v>950000</v>
      </c>
      <c r="AK6" s="3"/>
      <c r="AL6" s="235"/>
      <c r="AM6" s="3"/>
      <c r="AN6" s="3"/>
      <c r="AO6" s="3"/>
      <c r="AP6" s="235"/>
      <c r="AQ6" s="3"/>
      <c r="AR6" s="3"/>
      <c r="AS6" s="3"/>
      <c r="AT6" s="3"/>
      <c r="AU6" s="235"/>
      <c r="AV6" s="363">
        <f>AV12-MAX(AI11:AJ11)</f>
        <v>52139.225503207184</v>
      </c>
      <c r="AW6" s="235"/>
      <c r="AX6" s="354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3"/>
      <c r="BQ6" s="3"/>
      <c r="BR6" s="3"/>
      <c r="BS6" s="3"/>
      <c r="BT6" s="3"/>
      <c r="BU6" s="3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3"/>
      <c r="CT6" s="3"/>
      <c r="CU6" s="3"/>
      <c r="CV6" s="3"/>
      <c r="CW6" s="3"/>
    </row>
    <row r="7" spans="1:101" ht="14.25" customHeight="1" x14ac:dyDescent="0.2">
      <c r="A7" s="3"/>
      <c r="B7" s="4" t="s">
        <v>288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235"/>
      <c r="AB7" s="3"/>
      <c r="AC7" s="3"/>
      <c r="AD7" s="3"/>
      <c r="AE7" s="3"/>
      <c r="AF7" s="3"/>
      <c r="AG7" s="3"/>
      <c r="AH7" s="235"/>
      <c r="AI7" s="3"/>
      <c r="AJ7" s="3"/>
      <c r="AK7" s="3"/>
      <c r="AL7" s="235"/>
      <c r="AM7" s="3"/>
      <c r="AN7" s="3"/>
      <c r="AO7" s="3"/>
      <c r="AP7" s="235"/>
      <c r="AQ7" s="3"/>
      <c r="AR7" s="3"/>
      <c r="AS7" s="3"/>
      <c r="AT7" s="3"/>
      <c r="AU7" s="235"/>
      <c r="AV7" s="358"/>
      <c r="AW7" s="235"/>
      <c r="AX7" s="35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3"/>
      <c r="CT7" s="3"/>
      <c r="CU7" s="3"/>
      <c r="CV7" s="3"/>
      <c r="CW7" s="3"/>
    </row>
    <row r="8" spans="1:101" ht="14.25" customHeight="1" x14ac:dyDescent="0.2">
      <c r="A8" s="3"/>
      <c r="B8" s="237" t="s">
        <v>268</v>
      </c>
      <c r="C8" s="3"/>
      <c r="D8" s="3"/>
      <c r="E8" s="3"/>
      <c r="F8" s="3"/>
      <c r="G8" s="3"/>
      <c r="H8" s="3"/>
      <c r="I8" s="3"/>
      <c r="J8" s="3"/>
      <c r="K8" s="3"/>
      <c r="L8" s="237" t="s">
        <v>274</v>
      </c>
      <c r="M8" s="3"/>
      <c r="N8" s="3"/>
      <c r="O8" s="3"/>
      <c r="P8" s="3"/>
      <c r="Q8" s="3"/>
      <c r="R8" s="3"/>
      <c r="S8" s="3"/>
      <c r="T8" s="237" t="s">
        <v>289</v>
      </c>
      <c r="U8" s="3"/>
      <c r="V8" s="3"/>
      <c r="W8" s="3"/>
      <c r="X8" s="3"/>
      <c r="Y8" s="237" t="s">
        <v>290</v>
      </c>
      <c r="Z8" s="3"/>
      <c r="AA8" s="235"/>
      <c r="AB8" s="4" t="s">
        <v>291</v>
      </c>
      <c r="AC8" s="3"/>
      <c r="AD8" s="3"/>
      <c r="AE8" s="3"/>
      <c r="AF8" s="3"/>
      <c r="AG8" s="3"/>
      <c r="AH8" s="235"/>
      <c r="AI8" s="4" t="s">
        <v>292</v>
      </c>
      <c r="AJ8" s="3"/>
      <c r="AK8" s="3"/>
      <c r="AL8" s="235"/>
      <c r="AM8" s="4" t="s">
        <v>293</v>
      </c>
      <c r="AN8" s="3"/>
      <c r="AO8" s="3"/>
      <c r="AP8" s="235"/>
      <c r="AQ8" s="4" t="s">
        <v>294</v>
      </c>
      <c r="AR8" s="3"/>
      <c r="AS8" s="3"/>
      <c r="AT8" s="3"/>
      <c r="AU8" s="235"/>
      <c r="AV8" s="359" t="s">
        <v>472</v>
      </c>
      <c r="AW8" s="235"/>
      <c r="AX8" s="35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3"/>
      <c r="CT8" s="3"/>
      <c r="CU8" s="3"/>
      <c r="CV8" s="3"/>
      <c r="CW8" s="3"/>
    </row>
    <row r="9" spans="1:101" ht="6" customHeight="1" x14ac:dyDescent="0.2">
      <c r="A9" s="328"/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235"/>
      <c r="AB9" s="82"/>
      <c r="AC9" s="82"/>
      <c r="AD9" s="82"/>
      <c r="AE9" s="82"/>
      <c r="AF9" s="82"/>
      <c r="AG9" s="82"/>
      <c r="AH9" s="235"/>
      <c r="AI9" s="82"/>
      <c r="AJ9" s="82"/>
      <c r="AK9" s="82"/>
      <c r="AL9" s="235"/>
      <c r="AM9" s="82"/>
      <c r="AN9" s="82"/>
      <c r="AO9" s="82"/>
      <c r="AP9" s="235"/>
      <c r="AQ9" s="82"/>
      <c r="AR9" s="82"/>
      <c r="AS9" s="82"/>
      <c r="AT9" s="82"/>
      <c r="AU9" s="235"/>
      <c r="AV9" s="82"/>
      <c r="AW9" s="235"/>
      <c r="AX9" s="35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3"/>
      <c r="CT9" s="3"/>
      <c r="CU9" s="3"/>
      <c r="CV9" s="3"/>
      <c r="CW9" s="3"/>
    </row>
    <row r="10" spans="1:101" ht="14.25" customHeight="1" x14ac:dyDescent="0.2">
      <c r="A10" s="328"/>
      <c r="B10" s="559" t="s">
        <v>295</v>
      </c>
      <c r="C10" s="560"/>
      <c r="D10" s="560"/>
      <c r="E10" s="560"/>
      <c r="F10" s="558"/>
      <c r="G10" s="559" t="s">
        <v>469</v>
      </c>
      <c r="H10" s="560"/>
      <c r="I10" s="560"/>
      <c r="J10" s="560"/>
      <c r="K10" s="558"/>
      <c r="L10" s="561"/>
      <c r="M10" s="560"/>
      <c r="N10" s="560"/>
      <c r="O10" s="560"/>
      <c r="P10" s="560"/>
      <c r="Q10" s="560"/>
      <c r="R10" s="560"/>
      <c r="S10" s="558"/>
      <c r="T10" s="562"/>
      <c r="U10" s="560"/>
      <c r="V10" s="560"/>
      <c r="W10" s="560"/>
      <c r="X10" s="558"/>
      <c r="Y10" s="562"/>
      <c r="Z10" s="558"/>
      <c r="AA10" s="235"/>
      <c r="AB10" s="557" t="s">
        <v>296</v>
      </c>
      <c r="AC10" s="558"/>
      <c r="AD10" s="557" t="s">
        <v>470</v>
      </c>
      <c r="AE10" s="558"/>
      <c r="AF10" s="557" t="s">
        <v>297</v>
      </c>
      <c r="AG10" s="558"/>
      <c r="AH10" s="235"/>
      <c r="AI10" s="238" t="s">
        <v>113</v>
      </c>
      <c r="AJ10" s="238" t="s">
        <v>446</v>
      </c>
      <c r="AK10" s="238" t="s">
        <v>297</v>
      </c>
      <c r="AL10" s="235"/>
      <c r="AM10" s="238" t="s">
        <v>113</v>
      </c>
      <c r="AN10" s="238" t="s">
        <v>446</v>
      </c>
      <c r="AO10" s="238" t="s">
        <v>297</v>
      </c>
      <c r="AP10" s="235"/>
      <c r="AQ10" s="238" t="s">
        <v>287</v>
      </c>
      <c r="AR10" s="238" t="s">
        <v>563</v>
      </c>
      <c r="AS10" s="238" t="s">
        <v>564</v>
      </c>
      <c r="AT10" s="239" t="s">
        <v>297</v>
      </c>
      <c r="AU10" s="235"/>
      <c r="AV10" s="358"/>
      <c r="AW10" s="235"/>
      <c r="AX10" s="35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3"/>
      <c r="CT10" s="3"/>
      <c r="CU10" s="3"/>
      <c r="CV10" s="3"/>
      <c r="CW10" s="3"/>
    </row>
    <row r="11" spans="1:101" ht="14.25" customHeight="1" x14ac:dyDescent="0.2">
      <c r="A11" s="329"/>
      <c r="B11" s="240" t="s">
        <v>180</v>
      </c>
      <c r="C11" s="240" t="s">
        <v>182</v>
      </c>
      <c r="D11" s="240" t="s">
        <v>298</v>
      </c>
      <c r="E11" s="240" t="s">
        <v>186</v>
      </c>
      <c r="F11" s="241" t="s">
        <v>188</v>
      </c>
      <c r="G11" s="240" t="s">
        <v>180</v>
      </c>
      <c r="H11" s="240" t="s">
        <v>182</v>
      </c>
      <c r="I11" s="240" t="s">
        <v>298</v>
      </c>
      <c r="J11" s="240" t="s">
        <v>186</v>
      </c>
      <c r="K11" s="242" t="s">
        <v>188</v>
      </c>
      <c r="L11" s="242" t="s">
        <v>192</v>
      </c>
      <c r="M11" s="242" t="s">
        <v>299</v>
      </c>
      <c r="N11" s="242" t="s">
        <v>194</v>
      </c>
      <c r="O11" s="242" t="s">
        <v>196</v>
      </c>
      <c r="P11" s="242" t="s">
        <v>198</v>
      </c>
      <c r="Q11" s="242" t="s">
        <v>300</v>
      </c>
      <c r="R11" s="242" t="s">
        <v>200</v>
      </c>
      <c r="S11" s="242" t="s">
        <v>301</v>
      </c>
      <c r="T11" s="242" t="s">
        <v>156</v>
      </c>
      <c r="U11" s="242" t="s">
        <v>158</v>
      </c>
      <c r="V11" s="242" t="s">
        <v>160</v>
      </c>
      <c r="W11" s="242" t="s">
        <v>162</v>
      </c>
      <c r="X11" s="242" t="s">
        <v>164</v>
      </c>
      <c r="Y11" s="242" t="s">
        <v>167</v>
      </c>
      <c r="Z11" s="243" t="s">
        <v>131</v>
      </c>
      <c r="AA11" s="244"/>
      <c r="AB11" s="245" t="s">
        <v>177</v>
      </c>
      <c r="AC11" s="245" t="s">
        <v>179</v>
      </c>
      <c r="AD11" s="245" t="s">
        <v>177</v>
      </c>
      <c r="AE11" s="245" t="s">
        <v>179</v>
      </c>
      <c r="AF11" s="245" t="s">
        <v>216</v>
      </c>
      <c r="AG11" s="245" t="s">
        <v>302</v>
      </c>
      <c r="AH11" s="244"/>
      <c r="AI11" s="362">
        <f>AVERAGE(AI14:AI1013)</f>
        <v>3461873.0846353606</v>
      </c>
      <c r="AJ11" s="362">
        <f>AVERAGE(AJ14:AJ1013)</f>
        <v>3324388.5102138785</v>
      </c>
      <c r="AK11" s="45"/>
      <c r="AL11" s="244"/>
      <c r="AM11" s="45"/>
      <c r="AN11" s="45"/>
      <c r="AO11" s="45"/>
      <c r="AP11" s="244"/>
      <c r="AQ11" s="45"/>
      <c r="AR11" s="45"/>
      <c r="AS11" s="45"/>
      <c r="AT11" s="45"/>
      <c r="AU11" s="244"/>
      <c r="AV11" s="358"/>
      <c r="AW11" s="244"/>
      <c r="AX11" s="354"/>
      <c r="AY11" s="14"/>
      <c r="AZ11" s="340" t="s">
        <v>216</v>
      </c>
      <c r="BA11" s="340" t="s">
        <v>302</v>
      </c>
      <c r="BB11" s="14" t="s">
        <v>254</v>
      </c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246"/>
      <c r="BX11" s="246"/>
      <c r="BY11" s="246"/>
      <c r="BZ11" s="246"/>
      <c r="CA11" s="246"/>
      <c r="CB11" s="246"/>
      <c r="CC11" s="246"/>
      <c r="CD11" s="246"/>
      <c r="CE11" s="246"/>
      <c r="CF11" s="246"/>
      <c r="CG11" s="246"/>
      <c r="CH11" s="246"/>
      <c r="CI11" s="246"/>
      <c r="CJ11" s="246"/>
      <c r="CK11" s="246"/>
      <c r="CL11" s="246"/>
      <c r="CM11" s="246"/>
      <c r="CN11" s="246"/>
      <c r="CO11" s="246"/>
      <c r="CP11" s="246"/>
      <c r="CQ11" s="246"/>
      <c r="CR11" s="246"/>
      <c r="CS11" s="45"/>
      <c r="CT11" s="45"/>
      <c r="CU11" s="45"/>
      <c r="CV11" s="45"/>
      <c r="CW11" s="45"/>
    </row>
    <row r="12" spans="1:101" ht="14.25" customHeight="1" x14ac:dyDescent="0.2">
      <c r="A12" s="328"/>
      <c r="B12" s="247">
        <f>Parameters!B21</f>
        <v>0.16</v>
      </c>
      <c r="C12" s="247">
        <f>Parameters!B22</f>
        <v>0.34799999999999998</v>
      </c>
      <c r="D12" s="247">
        <f>Parameters!B23</f>
        <v>1.4999999999999999E-2</v>
      </c>
      <c r="E12" s="247">
        <f>Parameters!B24</f>
        <v>0.86199999999999999</v>
      </c>
      <c r="F12" s="248">
        <f>Parameters!B25</f>
        <v>0.81200000000000006</v>
      </c>
      <c r="G12" s="247">
        <f>Parameters!B28</f>
        <v>0.4</v>
      </c>
      <c r="H12" s="247">
        <f>Parameters!B29</f>
        <v>0.34799999999999998</v>
      </c>
      <c r="I12" s="247">
        <f>Parameters!B30</f>
        <v>1.7999999999999999E-2</v>
      </c>
      <c r="J12" s="247">
        <f>Parameters!B31</f>
        <v>0.90399999999999991</v>
      </c>
      <c r="K12" s="247">
        <f>Parameters!B32</f>
        <v>0.76500000000000001</v>
      </c>
      <c r="L12" s="249">
        <f>Parameters!B34</f>
        <v>12182.016</v>
      </c>
      <c r="M12" s="250">
        <f>Parameters!B35</f>
        <v>0</v>
      </c>
      <c r="N12" s="250">
        <f>Parameters!B36</f>
        <v>18604.830000000002</v>
      </c>
      <c r="O12" s="250">
        <f>Parameters!B37</f>
        <v>1237.24</v>
      </c>
      <c r="P12" s="251">
        <f>Parameters!B38</f>
        <v>45002</v>
      </c>
      <c r="Q12" s="251">
        <f>Parameters!B39</f>
        <v>98442</v>
      </c>
      <c r="R12" s="251">
        <f>Parameters!B40</f>
        <v>23632</v>
      </c>
      <c r="S12" s="250">
        <f>Parameters!B41</f>
        <v>8624.6029999999992</v>
      </c>
      <c r="T12" s="248">
        <f>Parameters!B47</f>
        <v>0.751</v>
      </c>
      <c r="U12" s="248">
        <f>Parameters!B48</f>
        <v>0.75800000000000001</v>
      </c>
      <c r="V12" s="248">
        <f>Parameters!B49</f>
        <v>0.78600000000000003</v>
      </c>
      <c r="W12" s="248">
        <f>Parameters!B50</f>
        <v>0.76800000000000002</v>
      </c>
      <c r="X12" s="248">
        <f>uPostT</f>
        <v>0.76</v>
      </c>
      <c r="Y12" s="248">
        <f>rrDeath1_2</f>
        <v>0</v>
      </c>
      <c r="Z12" s="248">
        <f>rrDeath3</f>
        <v>0</v>
      </c>
      <c r="AA12" s="235"/>
      <c r="AB12" s="252">
        <f>'Markov Model_b'!AE10</f>
        <v>89216.373629588692</v>
      </c>
      <c r="AC12" s="327">
        <f>'Markov Model_b'!AF10</f>
        <v>3.915400478393372</v>
      </c>
      <c r="AD12" s="252">
        <f>'Markov Model_b'!AE12</f>
        <v>75710.003151432553</v>
      </c>
      <c r="AE12" s="327">
        <f>'Markov Model_b'!AF12</f>
        <v>3.6764400530801655</v>
      </c>
      <c r="AF12" s="253">
        <f t="shared" ref="AF12:AG12" si="0">AB12-AD12</f>
        <v>13506.370478156139</v>
      </c>
      <c r="AG12" s="326">
        <f t="shared" si="0"/>
        <v>0.23896042531320649</v>
      </c>
      <c r="AH12" s="235"/>
      <c r="AI12" s="3"/>
      <c r="AJ12" s="3"/>
      <c r="AK12" s="3"/>
      <c r="AL12" s="235"/>
      <c r="AM12" s="52">
        <f t="shared" ref="AM12:AO12" si="1">AVERAGE(AM14:AM1013)</f>
        <v>0.66</v>
      </c>
      <c r="AN12" s="52">
        <f t="shared" si="1"/>
        <v>0.34</v>
      </c>
      <c r="AO12" s="52">
        <f t="shared" si="1"/>
        <v>0.66</v>
      </c>
      <c r="AP12" s="235"/>
      <c r="AQ12" s="3"/>
      <c r="AR12" s="3"/>
      <c r="AS12" s="3"/>
      <c r="AT12" s="3"/>
      <c r="AU12" s="235"/>
      <c r="AV12" s="360">
        <f>AVERAGE(AV14:AV1013)</f>
        <v>3514012.3101385678</v>
      </c>
      <c r="AW12" s="235"/>
      <c r="AX12" s="354"/>
      <c r="AY12" s="14"/>
      <c r="AZ12" s="341">
        <f>AF12</f>
        <v>13506.370478156139</v>
      </c>
      <c r="BA12" s="341">
        <f>AG12</f>
        <v>0.23896042531320649</v>
      </c>
      <c r="BB12" s="14">
        <f t="shared" ref="BB12:BB268" si="2">AZ12/BA12</f>
        <v>56521.369429491431</v>
      </c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3"/>
      <c r="CT12" s="3"/>
      <c r="CU12" s="3"/>
      <c r="CV12" s="3"/>
      <c r="CW12" s="3"/>
    </row>
    <row r="13" spans="1:101" ht="6.75" customHeight="1" x14ac:dyDescent="0.2">
      <c r="A13" s="328"/>
      <c r="B13" s="82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235"/>
      <c r="AB13" s="82"/>
      <c r="AC13" s="82"/>
      <c r="AD13" s="82"/>
      <c r="AE13" s="82"/>
      <c r="AF13" s="82"/>
      <c r="AG13" s="82"/>
      <c r="AH13" s="235"/>
      <c r="AI13" s="82"/>
      <c r="AJ13" s="82"/>
      <c r="AK13" s="82"/>
      <c r="AL13" s="235"/>
      <c r="AM13" s="82"/>
      <c r="AN13" s="82"/>
      <c r="AO13" s="82"/>
      <c r="AP13" s="235"/>
      <c r="AQ13" s="82"/>
      <c r="AR13" s="82"/>
      <c r="AS13" s="82"/>
      <c r="AT13" s="82"/>
      <c r="AU13" s="235"/>
      <c r="AV13" s="82"/>
      <c r="AW13" s="235"/>
      <c r="AX13" s="354"/>
      <c r="AY13" s="14"/>
      <c r="AZ13" s="342"/>
      <c r="BA13" s="342"/>
      <c r="BB13" s="342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3"/>
      <c r="CT13" s="3"/>
      <c r="CU13" s="3"/>
      <c r="CV13" s="3"/>
      <c r="CW13" s="3"/>
    </row>
    <row r="14" spans="1:101" ht="14.25" customHeight="1" x14ac:dyDescent="0.2">
      <c r="A14" s="328"/>
      <c r="B14" s="52">
        <v>0.16476979742990672</v>
      </c>
      <c r="C14" s="330">
        <v>0.68764959709782392</v>
      </c>
      <c r="D14" s="330">
        <v>1.3387326091254835E-2</v>
      </c>
      <c r="E14" s="330">
        <v>7.5990727505086102E-3</v>
      </c>
      <c r="F14" s="331">
        <v>0.82535713864484817</v>
      </c>
      <c r="G14" s="94">
        <v>0.37449105950258549</v>
      </c>
      <c r="H14" s="330">
        <v>0.95232733696189786</v>
      </c>
      <c r="I14" s="330">
        <v>8.2373196732877813E-3</v>
      </c>
      <c r="J14" s="330">
        <v>0.99851296329129724</v>
      </c>
      <c r="K14" s="330">
        <v>0.79165608144298472</v>
      </c>
      <c r="L14" s="332">
        <v>10839.174371132</v>
      </c>
      <c r="M14" s="330">
        <v>0</v>
      </c>
      <c r="N14" s="330">
        <v>18022.232683647788</v>
      </c>
      <c r="O14" s="330">
        <v>869.13735637174773</v>
      </c>
      <c r="P14" s="330">
        <v>34036.825963374664</v>
      </c>
      <c r="Q14" s="333">
        <v>90545.469046890299</v>
      </c>
      <c r="R14" s="330">
        <v>23084.928222040322</v>
      </c>
      <c r="S14" s="330">
        <v>9401.8382717939421</v>
      </c>
      <c r="T14" s="332">
        <v>0.99971419008449014</v>
      </c>
      <c r="U14" s="330">
        <v>0.86272510210295505</v>
      </c>
      <c r="V14" s="330">
        <v>0.9991657230481612</v>
      </c>
      <c r="W14" s="330">
        <v>0.9909911084154428</v>
      </c>
      <c r="X14" s="330">
        <v>0.93547362776312748</v>
      </c>
      <c r="Y14" s="330">
        <v>0</v>
      </c>
      <c r="Z14" s="331">
        <v>0</v>
      </c>
      <c r="AA14" s="235"/>
      <c r="AB14" s="334">
        <v>97071.600402813317</v>
      </c>
      <c r="AC14" s="330">
        <v>4.8220760947258734</v>
      </c>
      <c r="AD14" s="330">
        <v>88852.063379095693</v>
      </c>
      <c r="AE14" s="330">
        <v>4.5924706778221926</v>
      </c>
      <c r="AF14" s="330">
        <v>8219.5370237176248</v>
      </c>
      <c r="AG14" s="331">
        <v>0.22960541690368075</v>
      </c>
      <c r="AH14" s="235"/>
      <c r="AI14" s="208">
        <f>AC14*cRatio-AB14</f>
        <v>4483900.6895867661</v>
      </c>
      <c r="AJ14" s="208">
        <f>AE14*cRatio-AD14</f>
        <v>4273995.0805519875</v>
      </c>
      <c r="AK14" s="208">
        <f t="shared" ref="AK14:AK77" si="3">AG14*cRatio-AF14</f>
        <v>209905.60903477907</v>
      </c>
      <c r="AL14" s="235"/>
      <c r="AM14" s="52">
        <f t="shared" ref="AM14:AM268" si="4">IF(MAX(AI14:AJ14)=AI14,1,0)</f>
        <v>1</v>
      </c>
      <c r="AN14" s="52">
        <f t="shared" ref="AN14:AN268" si="5">IF(MAX(AI14:AJ14)=AJ14,1,0)</f>
        <v>0</v>
      </c>
      <c r="AO14" s="52">
        <f t="shared" ref="AO14:AO268" si="6">IF(AK14&gt;0,1,0)</f>
        <v>1</v>
      </c>
      <c r="AP14" s="235"/>
      <c r="AQ14" s="45">
        <v>0</v>
      </c>
      <c r="AR14" s="45">
        <v>0.03</v>
      </c>
      <c r="AS14" s="45">
        <v>0.97</v>
      </c>
      <c r="AT14" s="45">
        <v>0.03</v>
      </c>
      <c r="AU14" s="235"/>
      <c r="AV14" s="360">
        <f>MAX(AI14:AJ14)</f>
        <v>4483900.6895867661</v>
      </c>
      <c r="AW14" s="235"/>
      <c r="AX14" s="354"/>
      <c r="AY14" s="14"/>
      <c r="AZ14" s="14">
        <f>AF14</f>
        <v>8219.5370237176248</v>
      </c>
      <c r="BA14" s="14">
        <f>AG14</f>
        <v>0.22960541690368075</v>
      </c>
      <c r="BB14" s="14">
        <f>AZ14/BA14</f>
        <v>35798.532693876783</v>
      </c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3"/>
      <c r="CT14" s="3"/>
      <c r="CU14" s="3"/>
      <c r="CV14" s="3"/>
      <c r="CW14" s="3"/>
    </row>
    <row r="15" spans="1:101" ht="14.25" customHeight="1" x14ac:dyDescent="0.2">
      <c r="A15" s="328"/>
      <c r="B15" s="52">
        <v>0.14476732933296824</v>
      </c>
      <c r="C15" s="330">
        <v>9.6712887767542818E-2</v>
      </c>
      <c r="D15" s="330">
        <v>1.1967948358752121E-2</v>
      </c>
      <c r="E15" s="330">
        <v>1.2595155992340071E-2</v>
      </c>
      <c r="F15" s="331">
        <v>0.77717366293986323</v>
      </c>
      <c r="G15" s="94">
        <v>0.37909666356360749</v>
      </c>
      <c r="H15" s="330">
        <v>0.9942936961775789</v>
      </c>
      <c r="I15" s="330">
        <v>1.4150768084701042E-2</v>
      </c>
      <c r="J15" s="330">
        <v>0.99999944260009821</v>
      </c>
      <c r="K15" s="330">
        <v>0.77249651940220487</v>
      </c>
      <c r="L15" s="332">
        <v>12517.494662997637</v>
      </c>
      <c r="M15" s="330">
        <v>0</v>
      </c>
      <c r="N15" s="330">
        <v>27521.736503675213</v>
      </c>
      <c r="O15" s="330">
        <v>1035.7093003989344</v>
      </c>
      <c r="P15" s="330">
        <v>42272.411108895285</v>
      </c>
      <c r="Q15" s="333">
        <v>92808.649876962067</v>
      </c>
      <c r="R15" s="330">
        <v>24406.655621076199</v>
      </c>
      <c r="S15" s="330">
        <v>9480.1351288692276</v>
      </c>
      <c r="T15" s="332">
        <v>0.99960541863268493</v>
      </c>
      <c r="U15" s="330">
        <v>0.64264819302422038</v>
      </c>
      <c r="V15" s="330">
        <v>0.62115180480327026</v>
      </c>
      <c r="W15" s="330">
        <v>0.99767430588985184</v>
      </c>
      <c r="X15" s="330">
        <v>0.99638207954420199</v>
      </c>
      <c r="Y15" s="330">
        <v>0</v>
      </c>
      <c r="Z15" s="331">
        <v>0</v>
      </c>
      <c r="AA15" s="235"/>
      <c r="AB15" s="52">
        <v>92236.080573031766</v>
      </c>
      <c r="AC15" s="330">
        <v>4.8622938314734654</v>
      </c>
      <c r="AD15" s="330">
        <v>88935.874224802072</v>
      </c>
      <c r="AE15" s="330">
        <v>4.9335572468776601</v>
      </c>
      <c r="AF15" s="330">
        <v>3300.2063482296944</v>
      </c>
      <c r="AG15" s="331">
        <v>-7.1263415404194674E-2</v>
      </c>
      <c r="AH15" s="235"/>
      <c r="AI15" s="208">
        <f t="shared" ref="AI15:AI77" si="7">AC15*cRatio-AB15</f>
        <v>4526943.0593267605</v>
      </c>
      <c r="AJ15" s="208">
        <f t="shared" ref="AJ15:AJ77" si="8">AE15*cRatio-AD15</f>
        <v>4597943.5103089744</v>
      </c>
      <c r="AK15" s="208">
        <f t="shared" si="3"/>
        <v>-71000.450982214636</v>
      </c>
      <c r="AL15" s="235"/>
      <c r="AM15" s="52">
        <f t="shared" si="4"/>
        <v>0</v>
      </c>
      <c r="AN15" s="52">
        <f t="shared" si="5"/>
        <v>1</v>
      </c>
      <c r="AO15" s="52">
        <f t="shared" si="6"/>
        <v>0</v>
      </c>
      <c r="AP15" s="235"/>
      <c r="AQ15" s="45">
        <v>100</v>
      </c>
      <c r="AR15" s="45">
        <v>3.1E-2</v>
      </c>
      <c r="AS15" s="45">
        <v>0.96899999999999997</v>
      </c>
      <c r="AT15" s="45">
        <v>3.1E-2</v>
      </c>
      <c r="AU15" s="235"/>
      <c r="AV15" s="360">
        <f t="shared" ref="AV15:AV78" si="9">MAX(AI15:AJ15)</f>
        <v>4597943.5103089744</v>
      </c>
      <c r="AW15" s="235"/>
      <c r="AX15" s="354"/>
      <c r="AY15" s="14"/>
      <c r="AZ15" s="14">
        <f>AF15</f>
        <v>3300.2063482296944</v>
      </c>
      <c r="BA15" s="14">
        <f t="shared" ref="BA15:BA78" si="10">AG15</f>
        <v>-7.1263415404194674E-2</v>
      </c>
      <c r="BB15" s="14">
        <f t="shared" si="2"/>
        <v>-46309.96605356974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3"/>
      <c r="CT15" s="3"/>
      <c r="CU15" s="3"/>
      <c r="CV15" s="3"/>
      <c r="CW15" s="3"/>
    </row>
    <row r="16" spans="1:101" ht="14.25" customHeight="1" x14ac:dyDescent="0.2">
      <c r="A16" s="328"/>
      <c r="B16" s="52">
        <v>0.13527219103779178</v>
      </c>
      <c r="C16" s="330">
        <v>0.42399210843911839</v>
      </c>
      <c r="D16" s="330">
        <v>1.6461619931206095E-2</v>
      </c>
      <c r="E16" s="330">
        <v>1.4923127618654997E-2</v>
      </c>
      <c r="F16" s="331">
        <v>0.76536706698923029</v>
      </c>
      <c r="G16" s="94">
        <v>0.41465536223553701</v>
      </c>
      <c r="H16" s="330">
        <v>0.56529145654649415</v>
      </c>
      <c r="I16" s="330">
        <v>1.5902025627342331E-2</v>
      </c>
      <c r="J16" s="330">
        <v>0.99999999999986433</v>
      </c>
      <c r="K16" s="330">
        <v>0.76773972887418029</v>
      </c>
      <c r="L16" s="332">
        <v>10178.436014062414</v>
      </c>
      <c r="M16" s="330">
        <v>0</v>
      </c>
      <c r="N16" s="330">
        <v>17980.316916707587</v>
      </c>
      <c r="O16" s="330">
        <v>1677.5629566270479</v>
      </c>
      <c r="P16" s="330">
        <v>47718.197948065346</v>
      </c>
      <c r="Q16" s="333">
        <v>142518.3440897587</v>
      </c>
      <c r="R16" s="330">
        <v>11763.198037450855</v>
      </c>
      <c r="S16" s="330">
        <v>8000.4487646245198</v>
      </c>
      <c r="T16" s="332">
        <v>0.24399179640842231</v>
      </c>
      <c r="U16" s="330">
        <v>0.95935720979887662</v>
      </c>
      <c r="V16" s="330">
        <v>0.99473940851581877</v>
      </c>
      <c r="W16" s="330">
        <v>0.78780624477018046</v>
      </c>
      <c r="X16" s="330">
        <v>0.97812614073916748</v>
      </c>
      <c r="Y16" s="330">
        <v>0</v>
      </c>
      <c r="Z16" s="331">
        <v>0</v>
      </c>
      <c r="AA16" s="235"/>
      <c r="AB16" s="52">
        <v>77109.91097643254</v>
      </c>
      <c r="AC16" s="330">
        <v>4.6170836531733697</v>
      </c>
      <c r="AD16" s="330">
        <v>70728.94840673139</v>
      </c>
      <c r="AE16" s="330">
        <v>4.6189152685406603</v>
      </c>
      <c r="AF16" s="330">
        <v>6380.9625697011506</v>
      </c>
      <c r="AG16" s="331">
        <v>-1.8316153672905955E-3</v>
      </c>
      <c r="AH16" s="235"/>
      <c r="AI16" s="208">
        <f t="shared" si="7"/>
        <v>4309119.5595382685</v>
      </c>
      <c r="AJ16" s="208">
        <f t="shared" si="8"/>
        <v>4317240.5567068951</v>
      </c>
      <c r="AK16" s="208">
        <f t="shared" si="3"/>
        <v>-8120.9971686272165</v>
      </c>
      <c r="AL16" s="235"/>
      <c r="AM16" s="52">
        <f t="shared" si="4"/>
        <v>0</v>
      </c>
      <c r="AN16" s="52">
        <f t="shared" si="5"/>
        <v>1</v>
      </c>
      <c r="AO16" s="52">
        <f t="shared" si="6"/>
        <v>0</v>
      </c>
      <c r="AP16" s="235"/>
      <c r="AQ16" s="45">
        <v>200</v>
      </c>
      <c r="AR16" s="45">
        <v>3.1E-2</v>
      </c>
      <c r="AS16" s="45">
        <v>0.96899999999999997</v>
      </c>
      <c r="AT16" s="45">
        <v>3.1E-2</v>
      </c>
      <c r="AU16" s="235"/>
      <c r="AV16" s="360">
        <f t="shared" si="9"/>
        <v>4317240.5567068951</v>
      </c>
      <c r="AW16" s="235"/>
      <c r="AX16" s="354"/>
      <c r="AY16" s="14"/>
      <c r="AZ16" s="14">
        <f t="shared" ref="AZ16:AZ79" si="11">AF16</f>
        <v>6380.9625697011506</v>
      </c>
      <c r="BA16" s="14">
        <f t="shared" si="10"/>
        <v>-1.8316153672905955E-3</v>
      </c>
      <c r="BB16" s="14">
        <f t="shared" si="2"/>
        <v>-3483789.6010558954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3"/>
      <c r="CT16" s="3"/>
      <c r="CU16" s="3"/>
      <c r="CV16" s="3"/>
      <c r="CW16" s="3"/>
    </row>
    <row r="17" spans="1:101" ht="14.25" customHeight="1" x14ac:dyDescent="0.2">
      <c r="A17" s="328"/>
      <c r="B17" s="52">
        <v>0.15714959729355774</v>
      </c>
      <c r="C17" s="330">
        <v>1.443461553080257E-3</v>
      </c>
      <c r="D17" s="330">
        <v>9.3216984979439723E-3</v>
      </c>
      <c r="E17" s="330">
        <v>7.3096435740929305E-3</v>
      </c>
      <c r="F17" s="331">
        <v>0.84155002739572116</v>
      </c>
      <c r="G17" s="94">
        <v>0.37479840851771962</v>
      </c>
      <c r="H17" s="330">
        <v>0.67895024597672515</v>
      </c>
      <c r="I17" s="330">
        <v>1.3292473160820724E-2</v>
      </c>
      <c r="J17" s="330">
        <v>0.99999999999582723</v>
      </c>
      <c r="K17" s="330">
        <v>0.64390477656413225</v>
      </c>
      <c r="L17" s="332">
        <v>21841.941123156026</v>
      </c>
      <c r="M17" s="330">
        <v>0</v>
      </c>
      <c r="N17" s="330">
        <v>18312.996055875697</v>
      </c>
      <c r="O17" s="330">
        <v>933.2538933776143</v>
      </c>
      <c r="P17" s="330">
        <v>38361.879834862171</v>
      </c>
      <c r="Q17" s="333">
        <v>92727.269784736374</v>
      </c>
      <c r="R17" s="330">
        <v>32042.85722095587</v>
      </c>
      <c r="S17" s="330">
        <v>8425.0787699089215</v>
      </c>
      <c r="T17" s="332">
        <v>0.85965369178603923</v>
      </c>
      <c r="U17" s="330">
        <v>0.59874761666493415</v>
      </c>
      <c r="V17" s="330">
        <v>0.6990018722291359</v>
      </c>
      <c r="W17" s="330">
        <v>0.71747144320639888</v>
      </c>
      <c r="X17" s="330">
        <v>0.80779902107713508</v>
      </c>
      <c r="Y17" s="330">
        <v>0</v>
      </c>
      <c r="Z17" s="331">
        <v>0</v>
      </c>
      <c r="AA17" s="235"/>
      <c r="AB17" s="52">
        <v>98218.087358793666</v>
      </c>
      <c r="AC17" s="330">
        <v>4.200126931177528</v>
      </c>
      <c r="AD17" s="330">
        <v>67356.253329748026</v>
      </c>
      <c r="AE17" s="330">
        <v>3.2563008118803483</v>
      </c>
      <c r="AF17" s="330">
        <v>30861.83402904564</v>
      </c>
      <c r="AG17" s="331">
        <v>0.94382611929717974</v>
      </c>
      <c r="AH17" s="235"/>
      <c r="AI17" s="208">
        <f t="shared" si="7"/>
        <v>3891902.4972598581</v>
      </c>
      <c r="AJ17" s="208">
        <f t="shared" si="8"/>
        <v>3026129.5179565828</v>
      </c>
      <c r="AK17" s="208">
        <f t="shared" si="3"/>
        <v>865772.97930327512</v>
      </c>
      <c r="AL17" s="235"/>
      <c r="AM17" s="52">
        <f t="shared" si="4"/>
        <v>1</v>
      </c>
      <c r="AN17" s="52">
        <f t="shared" si="5"/>
        <v>0</v>
      </c>
      <c r="AO17" s="52">
        <f t="shared" si="6"/>
        <v>1</v>
      </c>
      <c r="AP17" s="235"/>
      <c r="AQ17" s="45">
        <v>300</v>
      </c>
      <c r="AR17" s="45">
        <v>3.1E-2</v>
      </c>
      <c r="AS17" s="45">
        <v>0.96899999999999997</v>
      </c>
      <c r="AT17" s="45">
        <v>3.1E-2</v>
      </c>
      <c r="AU17" s="235"/>
      <c r="AV17" s="360">
        <f t="shared" si="9"/>
        <v>3891902.4972598581</v>
      </c>
      <c r="AW17" s="235"/>
      <c r="AX17" s="354"/>
      <c r="AY17" s="14"/>
      <c r="AZ17" s="14">
        <f t="shared" si="11"/>
        <v>30861.83402904564</v>
      </c>
      <c r="BA17" s="14">
        <f t="shared" si="10"/>
        <v>0.94382611929717974</v>
      </c>
      <c r="BB17" s="14">
        <f t="shared" si="2"/>
        <v>32698.643741738055</v>
      </c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3"/>
      <c r="CT17" s="3"/>
      <c r="CU17" s="3"/>
      <c r="CV17" s="3"/>
      <c r="CW17" s="3"/>
    </row>
    <row r="18" spans="1:101" ht="14.25" customHeight="1" x14ac:dyDescent="0.2">
      <c r="A18" s="328"/>
      <c r="B18" s="52">
        <v>0.16479683802065936</v>
      </c>
      <c r="C18" s="330">
        <v>0.2505751577217028</v>
      </c>
      <c r="D18" s="330">
        <v>2.0630808117077626E-2</v>
      </c>
      <c r="E18" s="330">
        <v>7.347109308055399E-3</v>
      </c>
      <c r="F18" s="331">
        <v>0.8078386098882544</v>
      </c>
      <c r="G18" s="94">
        <v>0.41130108615013894</v>
      </c>
      <c r="H18" s="330">
        <v>0.88013628652677511</v>
      </c>
      <c r="I18" s="330">
        <v>5.3221441941485759E-4</v>
      </c>
      <c r="J18" s="330">
        <v>1.3015843776939581E-3</v>
      </c>
      <c r="K18" s="330">
        <v>0.74365225900451548</v>
      </c>
      <c r="L18" s="332">
        <v>11470.817315122707</v>
      </c>
      <c r="M18" s="330">
        <v>0</v>
      </c>
      <c r="N18" s="330">
        <v>13686.925941133357</v>
      </c>
      <c r="O18" s="330">
        <v>1114.1069998970215</v>
      </c>
      <c r="P18" s="330">
        <v>54086.722789053507</v>
      </c>
      <c r="Q18" s="333">
        <v>114855.59335594007</v>
      </c>
      <c r="R18" s="330">
        <v>20855.631626889703</v>
      </c>
      <c r="S18" s="330">
        <v>8721.8281868452686</v>
      </c>
      <c r="T18" s="332">
        <v>0.99799263990212284</v>
      </c>
      <c r="U18" s="330">
        <v>0.96565675331493517</v>
      </c>
      <c r="V18" s="330">
        <v>0.98728644228004403</v>
      </c>
      <c r="W18" s="330">
        <v>0.99999999992107758</v>
      </c>
      <c r="X18" s="330">
        <v>0.79288164242503423</v>
      </c>
      <c r="Y18" s="330">
        <v>0</v>
      </c>
      <c r="Z18" s="331">
        <v>0</v>
      </c>
      <c r="AA18" s="235"/>
      <c r="AB18" s="52">
        <v>88518.246997061258</v>
      </c>
      <c r="AC18" s="330">
        <v>4.4356368186698329</v>
      </c>
      <c r="AD18" s="330">
        <v>77633.123913684292</v>
      </c>
      <c r="AE18" s="330">
        <v>3.6120461898169753</v>
      </c>
      <c r="AF18" s="330">
        <v>10885.123083376966</v>
      </c>
      <c r="AG18" s="331">
        <v>0.82359062885285761</v>
      </c>
      <c r="AH18" s="235"/>
      <c r="AI18" s="208">
        <f t="shared" si="7"/>
        <v>4125336.7307392797</v>
      </c>
      <c r="AJ18" s="208">
        <f t="shared" si="8"/>
        <v>3353810.7564124423</v>
      </c>
      <c r="AK18" s="208">
        <f t="shared" si="3"/>
        <v>771525.97432683781</v>
      </c>
      <c r="AL18" s="235"/>
      <c r="AM18" s="52">
        <f t="shared" si="4"/>
        <v>1</v>
      </c>
      <c r="AN18" s="52">
        <f t="shared" si="5"/>
        <v>0</v>
      </c>
      <c r="AO18" s="52">
        <f t="shared" si="6"/>
        <v>1</v>
      </c>
      <c r="AP18" s="235"/>
      <c r="AQ18" s="45">
        <v>400</v>
      </c>
      <c r="AR18" s="45">
        <v>3.1E-2</v>
      </c>
      <c r="AS18" s="45">
        <v>0.96899999999999997</v>
      </c>
      <c r="AT18" s="45">
        <v>3.1E-2</v>
      </c>
      <c r="AU18" s="235"/>
      <c r="AV18" s="360">
        <f t="shared" si="9"/>
        <v>4125336.7307392797</v>
      </c>
      <c r="AW18" s="235"/>
      <c r="AX18" s="354"/>
      <c r="AY18" s="14"/>
      <c r="AZ18" s="14">
        <f t="shared" si="11"/>
        <v>10885.123083376966</v>
      </c>
      <c r="BA18" s="14">
        <f t="shared" si="10"/>
        <v>0.82359062885285761</v>
      </c>
      <c r="BB18" s="14">
        <f t="shared" si="2"/>
        <v>13216.666996974413</v>
      </c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3"/>
      <c r="CT18" s="3"/>
      <c r="CU18" s="3"/>
      <c r="CV18" s="3"/>
      <c r="CW18" s="3"/>
    </row>
    <row r="19" spans="1:101" ht="14.25" customHeight="1" x14ac:dyDescent="0.2">
      <c r="A19" s="328"/>
      <c r="B19" s="52">
        <v>0.15718906678477243</v>
      </c>
      <c r="C19" s="330">
        <v>0.96645247527249067</v>
      </c>
      <c r="D19" s="330">
        <v>1.0367583052557E-2</v>
      </c>
      <c r="E19" s="330">
        <v>2.2507499497006145E-2</v>
      </c>
      <c r="F19" s="331">
        <v>0.80108375019069766</v>
      </c>
      <c r="G19" s="94">
        <v>0.40089186750013828</v>
      </c>
      <c r="H19" s="330">
        <v>5.6796401580341774E-3</v>
      </c>
      <c r="I19" s="330">
        <v>1.4419701977465541E-2</v>
      </c>
      <c r="J19" s="330">
        <v>0.99999999999999978</v>
      </c>
      <c r="K19" s="330">
        <v>0.6996068276148415</v>
      </c>
      <c r="L19" s="332">
        <v>12950.698953219557</v>
      </c>
      <c r="M19" s="330">
        <v>0</v>
      </c>
      <c r="N19" s="330">
        <v>20614.845076687358</v>
      </c>
      <c r="O19" s="330">
        <v>1541.0307171906588</v>
      </c>
      <c r="P19" s="330">
        <v>41780.169025055337</v>
      </c>
      <c r="Q19" s="333">
        <v>139505.97555109288</v>
      </c>
      <c r="R19" s="330">
        <v>22415.939360731394</v>
      </c>
      <c r="S19" s="330">
        <v>8539.9969777290862</v>
      </c>
      <c r="T19" s="332">
        <v>0.99853178628660877</v>
      </c>
      <c r="U19" s="330">
        <v>0.99921924337533208</v>
      </c>
      <c r="V19" s="330">
        <v>0.55237738262816038</v>
      </c>
      <c r="W19" s="330">
        <v>0.21024553821000169</v>
      </c>
      <c r="X19" s="330">
        <v>0.98675284719534906</v>
      </c>
      <c r="Y19" s="330">
        <v>0</v>
      </c>
      <c r="Z19" s="331">
        <v>0</v>
      </c>
      <c r="AA19" s="235"/>
      <c r="AB19" s="52">
        <v>90242.970151738409</v>
      </c>
      <c r="AC19" s="330">
        <v>5.0768642397452997</v>
      </c>
      <c r="AD19" s="330">
        <v>66075.706748095821</v>
      </c>
      <c r="AE19" s="330">
        <v>4.4179196359128605</v>
      </c>
      <c r="AF19" s="330">
        <v>24167.263403642588</v>
      </c>
      <c r="AG19" s="331">
        <v>0.65894460383243914</v>
      </c>
      <c r="AH19" s="235"/>
      <c r="AI19" s="208">
        <f t="shared" si="7"/>
        <v>4732778.0576062966</v>
      </c>
      <c r="AJ19" s="208">
        <f t="shared" si="8"/>
        <v>4130947.9473691215</v>
      </c>
      <c r="AK19" s="208">
        <f t="shared" si="3"/>
        <v>601830.11023717455</v>
      </c>
      <c r="AL19" s="235"/>
      <c r="AM19" s="52">
        <f t="shared" si="4"/>
        <v>1</v>
      </c>
      <c r="AN19" s="52">
        <f t="shared" si="5"/>
        <v>0</v>
      </c>
      <c r="AO19" s="52">
        <f t="shared" si="6"/>
        <v>1</v>
      </c>
      <c r="AP19" s="235"/>
      <c r="AQ19" s="45">
        <v>500</v>
      </c>
      <c r="AR19" s="45">
        <v>3.1E-2</v>
      </c>
      <c r="AS19" s="45">
        <v>0.96899999999999997</v>
      </c>
      <c r="AT19" s="45">
        <v>3.1E-2</v>
      </c>
      <c r="AU19" s="235"/>
      <c r="AV19" s="360">
        <f t="shared" si="9"/>
        <v>4732778.0576062966</v>
      </c>
      <c r="AW19" s="235"/>
      <c r="AX19" s="354"/>
      <c r="AY19" s="14"/>
      <c r="AZ19" s="14">
        <f t="shared" si="11"/>
        <v>24167.263403642588</v>
      </c>
      <c r="BA19" s="14">
        <f t="shared" si="10"/>
        <v>0.65894460383243914</v>
      </c>
      <c r="BB19" s="14">
        <f t="shared" si="2"/>
        <v>36675.713349931313</v>
      </c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3"/>
      <c r="CT19" s="3"/>
      <c r="CU19" s="3"/>
      <c r="CV19" s="3"/>
      <c r="CW19" s="3"/>
    </row>
    <row r="20" spans="1:101" ht="14.25" customHeight="1" x14ac:dyDescent="0.2">
      <c r="A20" s="328"/>
      <c r="B20" s="52">
        <v>0.15167691583961021</v>
      </c>
      <c r="C20" s="330">
        <v>0.19389442431647355</v>
      </c>
      <c r="D20" s="330">
        <v>1.2609327597426872E-2</v>
      </c>
      <c r="E20" s="330">
        <v>2.0384091782534308E-2</v>
      </c>
      <c r="F20" s="331">
        <v>0.75864572070823688</v>
      </c>
      <c r="G20" s="94">
        <v>0.46903436086325123</v>
      </c>
      <c r="H20" s="330">
        <v>0.636794807888026</v>
      </c>
      <c r="I20" s="330">
        <v>1.4926045915252381E-2</v>
      </c>
      <c r="J20" s="330">
        <v>0.99999999999999989</v>
      </c>
      <c r="K20" s="330">
        <v>0.75862984025348223</v>
      </c>
      <c r="L20" s="332">
        <v>11066.366848315531</v>
      </c>
      <c r="M20" s="330">
        <v>0</v>
      </c>
      <c r="N20" s="330">
        <v>22413.338130903965</v>
      </c>
      <c r="O20" s="330">
        <v>1436.3180489303456</v>
      </c>
      <c r="P20" s="330">
        <v>32814.416227893387</v>
      </c>
      <c r="Q20" s="333">
        <v>144415.89603191902</v>
      </c>
      <c r="R20" s="330">
        <v>16708.935510107833</v>
      </c>
      <c r="S20" s="330">
        <v>8902.5799187401244</v>
      </c>
      <c r="T20" s="332">
        <v>0.7013957198014682</v>
      </c>
      <c r="U20" s="330">
        <v>0.96925167384890609</v>
      </c>
      <c r="V20" s="330">
        <v>0.99437352926854583</v>
      </c>
      <c r="W20" s="330">
        <v>0.96640616300445026</v>
      </c>
      <c r="X20" s="330">
        <v>0.19598574884775039</v>
      </c>
      <c r="Y20" s="330">
        <v>0</v>
      </c>
      <c r="Z20" s="331">
        <v>0</v>
      </c>
      <c r="AA20" s="235"/>
      <c r="AB20" s="52">
        <v>84531.683723174705</v>
      </c>
      <c r="AC20" s="330">
        <v>0.92594842108011877</v>
      </c>
      <c r="AD20" s="330">
        <v>79486.337172334635</v>
      </c>
      <c r="AE20" s="330">
        <v>0.9287273086761032</v>
      </c>
      <c r="AF20" s="330">
        <v>5045.3465508400695</v>
      </c>
      <c r="AG20" s="331">
        <v>-2.7788875959844361E-3</v>
      </c>
      <c r="AH20" s="235"/>
      <c r="AI20" s="208">
        <f t="shared" si="7"/>
        <v>795119.31630293804</v>
      </c>
      <c r="AJ20" s="208">
        <f t="shared" si="8"/>
        <v>802804.60606996343</v>
      </c>
      <c r="AK20" s="208">
        <f t="shared" si="3"/>
        <v>-7685.2897670252842</v>
      </c>
      <c r="AL20" s="235"/>
      <c r="AM20" s="52">
        <f t="shared" si="4"/>
        <v>0</v>
      </c>
      <c r="AN20" s="52">
        <f t="shared" si="5"/>
        <v>1</v>
      </c>
      <c r="AO20" s="52">
        <f t="shared" si="6"/>
        <v>0</v>
      </c>
      <c r="AP20" s="235"/>
      <c r="AQ20" s="45">
        <v>600</v>
      </c>
      <c r="AR20" s="45">
        <v>0.03</v>
      </c>
      <c r="AS20" s="45">
        <v>0.97</v>
      </c>
      <c r="AT20" s="45">
        <v>0.03</v>
      </c>
      <c r="AU20" s="235"/>
      <c r="AV20" s="360">
        <f t="shared" si="9"/>
        <v>802804.60606996343</v>
      </c>
      <c r="AW20" s="235"/>
      <c r="AX20" s="354"/>
      <c r="AY20" s="14"/>
      <c r="AZ20" s="14">
        <f t="shared" si="11"/>
        <v>5045.3465508400695</v>
      </c>
      <c r="BA20" s="14">
        <f t="shared" si="10"/>
        <v>-2.7788875959844361E-3</v>
      </c>
      <c r="BB20" s="14">
        <f t="shared" si="2"/>
        <v>-1815599.3636197178</v>
      </c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3"/>
      <c r="CT20" s="3"/>
      <c r="CU20" s="3"/>
      <c r="CV20" s="3"/>
      <c r="CW20" s="3"/>
    </row>
    <row r="21" spans="1:101" ht="14.25" customHeight="1" x14ac:dyDescent="0.2">
      <c r="A21" s="328"/>
      <c r="B21" s="52">
        <v>0.20763102948381063</v>
      </c>
      <c r="C21" s="330">
        <v>0.13662431815361489</v>
      </c>
      <c r="D21" s="330">
        <v>1.8160812623484235E-2</v>
      </c>
      <c r="E21" s="330">
        <v>1.8351828610687515E-2</v>
      </c>
      <c r="F21" s="331">
        <v>0.75821299002367315</v>
      </c>
      <c r="G21" s="94">
        <v>0.43371422547659322</v>
      </c>
      <c r="H21" s="330">
        <v>0.52218890520051797</v>
      </c>
      <c r="I21" s="330">
        <v>3.5489166485784818E-2</v>
      </c>
      <c r="J21" s="330">
        <v>0.8192980819702288</v>
      </c>
      <c r="K21" s="330">
        <v>0.77175887193180148</v>
      </c>
      <c r="L21" s="332">
        <v>14774.433586936442</v>
      </c>
      <c r="M21" s="330">
        <v>0</v>
      </c>
      <c r="N21" s="330">
        <v>19715.182738730109</v>
      </c>
      <c r="O21" s="330">
        <v>1741.1836900924225</v>
      </c>
      <c r="P21" s="330">
        <v>42058.211735423625</v>
      </c>
      <c r="Q21" s="333">
        <v>93951.822729966923</v>
      </c>
      <c r="R21" s="330">
        <v>25449.054972873804</v>
      </c>
      <c r="S21" s="330">
        <v>9123.8008031177578</v>
      </c>
      <c r="T21" s="332">
        <v>0.99648288821801501</v>
      </c>
      <c r="U21" s="330">
        <v>0.2110570211103511</v>
      </c>
      <c r="V21" s="330">
        <v>0.10304608027349402</v>
      </c>
      <c r="W21" s="330">
        <v>0.79139043309348689</v>
      </c>
      <c r="X21" s="330">
        <v>0.97327146941184606</v>
      </c>
      <c r="Y21" s="330">
        <v>0</v>
      </c>
      <c r="Z21" s="331">
        <v>0</v>
      </c>
      <c r="AA21" s="235"/>
      <c r="AB21" s="52">
        <v>90452.76856910385</v>
      </c>
      <c r="AC21" s="330">
        <v>4.4965962514181719</v>
      </c>
      <c r="AD21" s="330">
        <v>84155.611650569292</v>
      </c>
      <c r="AE21" s="330">
        <v>4.5586055957329492</v>
      </c>
      <c r="AF21" s="330">
        <v>6297.1569185345579</v>
      </c>
      <c r="AG21" s="331">
        <v>-6.2009344314777337E-2</v>
      </c>
      <c r="AH21" s="235"/>
      <c r="AI21" s="208">
        <f t="shared" si="7"/>
        <v>4181313.6702781594</v>
      </c>
      <c r="AJ21" s="208">
        <f t="shared" si="8"/>
        <v>4246519.7042957321</v>
      </c>
      <c r="AK21" s="208">
        <f t="shared" si="3"/>
        <v>-65206.034017573031</v>
      </c>
      <c r="AL21" s="235"/>
      <c r="AM21" s="52">
        <f t="shared" si="4"/>
        <v>0</v>
      </c>
      <c r="AN21" s="52">
        <f t="shared" si="5"/>
        <v>1</v>
      </c>
      <c r="AO21" s="52">
        <f t="shared" si="6"/>
        <v>0</v>
      </c>
      <c r="AP21" s="235"/>
      <c r="AQ21" s="45">
        <v>700</v>
      </c>
      <c r="AR21" s="45">
        <v>0.03</v>
      </c>
      <c r="AS21" s="45">
        <v>0.97</v>
      </c>
      <c r="AT21" s="45">
        <v>0.03</v>
      </c>
      <c r="AU21" s="235"/>
      <c r="AV21" s="360">
        <f t="shared" si="9"/>
        <v>4246519.7042957321</v>
      </c>
      <c r="AW21" s="235"/>
      <c r="AX21" s="354"/>
      <c r="AY21" s="14"/>
      <c r="AZ21" s="14">
        <f t="shared" si="11"/>
        <v>6297.1569185345579</v>
      </c>
      <c r="BA21" s="14">
        <f t="shared" si="10"/>
        <v>-6.2009344314777337E-2</v>
      </c>
      <c r="BB21" s="14">
        <f t="shared" si="2"/>
        <v>-101551.74172731728</v>
      </c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>
        <v>0</v>
      </c>
      <c r="BT21" s="343">
        <v>100000</v>
      </c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3"/>
      <c r="CT21" s="3"/>
      <c r="CU21" s="3"/>
      <c r="CV21" s="3"/>
      <c r="CW21" s="3"/>
    </row>
    <row r="22" spans="1:101" ht="14.25" customHeight="1" x14ac:dyDescent="0.2">
      <c r="A22" s="328"/>
      <c r="B22" s="52">
        <v>0.17719865957720271</v>
      </c>
      <c r="C22" s="330">
        <v>0.1783905902606151</v>
      </c>
      <c r="D22" s="330">
        <v>1.6530128455395254E-2</v>
      </c>
      <c r="E22" s="330">
        <v>9.8945165964789087E-3</v>
      </c>
      <c r="F22" s="331">
        <v>0.79349438646472059</v>
      </c>
      <c r="G22" s="94">
        <v>0.42967885895451929</v>
      </c>
      <c r="H22" s="330">
        <v>0.23468474585390153</v>
      </c>
      <c r="I22" s="330">
        <v>1.6613932439951795E-2</v>
      </c>
      <c r="J22" s="330">
        <v>0.99944422735258864</v>
      </c>
      <c r="K22" s="330">
        <v>0.79324768732542794</v>
      </c>
      <c r="L22" s="332">
        <v>16201.65689471376</v>
      </c>
      <c r="M22" s="330">
        <v>0</v>
      </c>
      <c r="N22" s="330">
        <v>10656.166761207847</v>
      </c>
      <c r="O22" s="330">
        <v>1076.3091515866472</v>
      </c>
      <c r="P22" s="330">
        <v>58980.105549036969</v>
      </c>
      <c r="Q22" s="333">
        <v>80609.165522306328</v>
      </c>
      <c r="R22" s="330">
        <v>19324.457558703103</v>
      </c>
      <c r="S22" s="330">
        <v>8673.313237843915</v>
      </c>
      <c r="T22" s="332">
        <v>0.88475839081910512</v>
      </c>
      <c r="U22" s="330">
        <v>0.55851702064579634</v>
      </c>
      <c r="V22" s="330">
        <v>0.99297258980334036</v>
      </c>
      <c r="W22" s="330">
        <v>0.99936333752363216</v>
      </c>
      <c r="X22" s="330">
        <v>0.89820784684764465</v>
      </c>
      <c r="Y22" s="330">
        <v>0</v>
      </c>
      <c r="Z22" s="331">
        <v>0</v>
      </c>
      <c r="AA22" s="235"/>
      <c r="AB22" s="52">
        <v>91096.118556597416</v>
      </c>
      <c r="AC22" s="330">
        <v>4.8450082956289737</v>
      </c>
      <c r="AD22" s="330">
        <v>77307.426497970286</v>
      </c>
      <c r="AE22" s="330">
        <v>4.3409584724810442</v>
      </c>
      <c r="AF22" s="330">
        <v>13788.69205862713</v>
      </c>
      <c r="AG22" s="331">
        <v>0.50404982314792957</v>
      </c>
      <c r="AH22" s="235"/>
      <c r="AI22" s="208">
        <f t="shared" si="7"/>
        <v>4511661.7622909276</v>
      </c>
      <c r="AJ22" s="208">
        <f t="shared" si="8"/>
        <v>4046603.1223590216</v>
      </c>
      <c r="AK22" s="208">
        <f t="shared" si="3"/>
        <v>465058.63993190596</v>
      </c>
      <c r="AL22" s="235"/>
      <c r="AM22" s="52">
        <f t="shared" si="4"/>
        <v>1</v>
      </c>
      <c r="AN22" s="52">
        <f t="shared" si="5"/>
        <v>0</v>
      </c>
      <c r="AO22" s="52">
        <f t="shared" si="6"/>
        <v>1</v>
      </c>
      <c r="AP22" s="235"/>
      <c r="AQ22" s="45">
        <v>800</v>
      </c>
      <c r="AR22" s="45">
        <v>0.03</v>
      </c>
      <c r="AS22" s="45">
        <v>0.97</v>
      </c>
      <c r="AT22" s="45">
        <v>0.03</v>
      </c>
      <c r="AU22" s="235"/>
      <c r="AV22" s="360">
        <f t="shared" si="9"/>
        <v>4511661.7622909276</v>
      </c>
      <c r="AW22" s="235"/>
      <c r="AX22" s="354"/>
      <c r="AY22" s="14"/>
      <c r="AZ22" s="14">
        <f t="shared" si="11"/>
        <v>13788.69205862713</v>
      </c>
      <c r="BA22" s="14">
        <f t="shared" si="10"/>
        <v>0.50404982314792957</v>
      </c>
      <c r="BB22" s="14">
        <f t="shared" si="2"/>
        <v>27355.811718200715</v>
      </c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>
        <v>1</v>
      </c>
      <c r="BT22" s="343">
        <v>100000</v>
      </c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3"/>
      <c r="CT22" s="3"/>
      <c r="CU22" s="3"/>
      <c r="CV22" s="3"/>
      <c r="CW22" s="3"/>
    </row>
    <row r="23" spans="1:101" ht="14.25" customHeight="1" x14ac:dyDescent="0.2">
      <c r="A23" s="328"/>
      <c r="B23" s="52">
        <v>0.13606281182235172</v>
      </c>
      <c r="C23" s="330">
        <v>0.32981409132086603</v>
      </c>
      <c r="D23" s="330">
        <v>6.8760541516211474E-3</v>
      </c>
      <c r="E23" s="330">
        <v>1.6911774005873181E-2</v>
      </c>
      <c r="F23" s="331">
        <v>0.75748685834288398</v>
      </c>
      <c r="G23" s="94">
        <v>0.43362498478852773</v>
      </c>
      <c r="H23" s="330">
        <v>0.81826113013996782</v>
      </c>
      <c r="I23" s="330">
        <v>5.6431223585162223E-3</v>
      </c>
      <c r="J23" s="330">
        <v>0.14439563229037117</v>
      </c>
      <c r="K23" s="330">
        <v>0.7871734394679748</v>
      </c>
      <c r="L23" s="332">
        <v>15573.215013755762</v>
      </c>
      <c r="M23" s="330">
        <v>0</v>
      </c>
      <c r="N23" s="330">
        <v>16689.835219336685</v>
      </c>
      <c r="O23" s="330">
        <v>1407.8408351667729</v>
      </c>
      <c r="P23" s="330">
        <v>37854.769904582296</v>
      </c>
      <c r="Q23" s="333">
        <v>86100.799009608134</v>
      </c>
      <c r="R23" s="330">
        <v>28818.781596642602</v>
      </c>
      <c r="S23" s="330">
        <v>10581.946626973238</v>
      </c>
      <c r="T23" s="332">
        <v>0.73100147032749185</v>
      </c>
      <c r="U23" s="330">
        <v>0.92183353670452461</v>
      </c>
      <c r="V23" s="330">
        <v>0.99984833381485261</v>
      </c>
      <c r="W23" s="330">
        <v>0.46035151813055852</v>
      </c>
      <c r="X23" s="330">
        <v>0.41065377006109988</v>
      </c>
      <c r="Y23" s="330">
        <v>0</v>
      </c>
      <c r="Z23" s="331">
        <v>0</v>
      </c>
      <c r="AA23" s="235"/>
      <c r="AB23" s="52">
        <v>103157.61685865291</v>
      </c>
      <c r="AC23" s="330">
        <v>1.9015982653926728</v>
      </c>
      <c r="AD23" s="330">
        <v>100420.73049490745</v>
      </c>
      <c r="AE23" s="330">
        <v>2.1268795617136784</v>
      </c>
      <c r="AF23" s="330">
        <v>2736.8863637454633</v>
      </c>
      <c r="AG23" s="331">
        <v>-0.22528129632100558</v>
      </c>
      <c r="AH23" s="235"/>
      <c r="AI23" s="208">
        <f t="shared" si="7"/>
        <v>1703360.7352643865</v>
      </c>
      <c r="AJ23" s="208">
        <f t="shared" si="8"/>
        <v>1920114.853133087</v>
      </c>
      <c r="AK23" s="208">
        <f t="shared" si="3"/>
        <v>-216754.11786870076</v>
      </c>
      <c r="AL23" s="235"/>
      <c r="AM23" s="52">
        <f t="shared" si="4"/>
        <v>0</v>
      </c>
      <c r="AN23" s="52">
        <f t="shared" si="5"/>
        <v>1</v>
      </c>
      <c r="AO23" s="52">
        <f t="shared" si="6"/>
        <v>0</v>
      </c>
      <c r="AP23" s="235"/>
      <c r="AQ23" s="45">
        <v>900</v>
      </c>
      <c r="AR23" s="45">
        <v>0.03</v>
      </c>
      <c r="AS23" s="45">
        <v>0.97</v>
      </c>
      <c r="AT23" s="45">
        <v>0.03</v>
      </c>
      <c r="AU23" s="235"/>
      <c r="AV23" s="360">
        <f t="shared" si="9"/>
        <v>1920114.853133087</v>
      </c>
      <c r="AW23" s="235"/>
      <c r="AX23" s="354"/>
      <c r="AY23" s="14"/>
      <c r="AZ23" s="14">
        <f t="shared" si="11"/>
        <v>2736.8863637454633</v>
      </c>
      <c r="BA23" s="14">
        <f t="shared" si="10"/>
        <v>-0.22528129632100558</v>
      </c>
      <c r="BB23" s="14">
        <f t="shared" si="2"/>
        <v>-12148.750954653806</v>
      </c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3"/>
      <c r="CT23" s="3"/>
      <c r="CU23" s="3"/>
      <c r="CV23" s="3"/>
      <c r="CW23" s="3"/>
    </row>
    <row r="24" spans="1:101" ht="14.25" customHeight="1" x14ac:dyDescent="0.2">
      <c r="A24" s="328"/>
      <c r="B24" s="52">
        <v>0.14738881738879567</v>
      </c>
      <c r="C24" s="330">
        <v>0.96352122574159027</v>
      </c>
      <c r="D24" s="330">
        <v>1.5716517601888857E-2</v>
      </c>
      <c r="E24" s="330">
        <v>2.6049805947293447E-2</v>
      </c>
      <c r="F24" s="331">
        <v>0.77692824820509898</v>
      </c>
      <c r="G24" s="94">
        <v>0.3581589025284132</v>
      </c>
      <c r="H24" s="330">
        <v>1.7777900671286075E-2</v>
      </c>
      <c r="I24" s="330">
        <v>1.0489160965911732E-2</v>
      </c>
      <c r="J24" s="330">
        <v>1</v>
      </c>
      <c r="K24" s="330">
        <v>0.74949277541926929</v>
      </c>
      <c r="L24" s="332">
        <v>9289.4764247637831</v>
      </c>
      <c r="M24" s="330">
        <v>0</v>
      </c>
      <c r="N24" s="330">
        <v>23559.176206228232</v>
      </c>
      <c r="O24" s="330">
        <v>1398.3173749488437</v>
      </c>
      <c r="P24" s="330">
        <v>43207.776096627567</v>
      </c>
      <c r="Q24" s="333">
        <v>94995.81992696716</v>
      </c>
      <c r="R24" s="330">
        <v>20265.997591501844</v>
      </c>
      <c r="S24" s="330">
        <v>6433.9498747080124</v>
      </c>
      <c r="T24" s="332">
        <v>0.66098897016112323</v>
      </c>
      <c r="U24" s="330">
        <v>0.9516232076585569</v>
      </c>
      <c r="V24" s="330">
        <v>0.98505036418116143</v>
      </c>
      <c r="W24" s="330">
        <v>3.8825660969311407E-2</v>
      </c>
      <c r="X24" s="330">
        <v>0.99183170871373405</v>
      </c>
      <c r="Y24" s="330">
        <v>0</v>
      </c>
      <c r="Z24" s="331">
        <v>0</v>
      </c>
      <c r="AA24" s="235"/>
      <c r="AB24" s="52">
        <v>66240.066231730845</v>
      </c>
      <c r="AC24" s="330">
        <v>4.915241739450062</v>
      </c>
      <c r="AD24" s="330">
        <v>53057.704306390464</v>
      </c>
      <c r="AE24" s="330">
        <v>4.5424839781894795</v>
      </c>
      <c r="AF24" s="330">
        <v>13182.361925340381</v>
      </c>
      <c r="AG24" s="331">
        <v>0.37275776126058258</v>
      </c>
      <c r="AH24" s="235"/>
      <c r="AI24" s="208">
        <f t="shared" si="7"/>
        <v>4603239.5862458283</v>
      </c>
      <c r="AJ24" s="208">
        <f t="shared" si="8"/>
        <v>4262302.0749736158</v>
      </c>
      <c r="AK24" s="208">
        <f t="shared" si="3"/>
        <v>340937.51127221307</v>
      </c>
      <c r="AL24" s="235"/>
      <c r="AM24" s="52">
        <f t="shared" si="4"/>
        <v>1</v>
      </c>
      <c r="AN24" s="52">
        <f t="shared" si="5"/>
        <v>0</v>
      </c>
      <c r="AO24" s="52">
        <f t="shared" si="6"/>
        <v>1</v>
      </c>
      <c r="AP24" s="235"/>
      <c r="AQ24" s="45">
        <v>1000</v>
      </c>
      <c r="AR24" s="45">
        <v>2.9000000000000001E-2</v>
      </c>
      <c r="AS24" s="45">
        <v>0.97099999999999997</v>
      </c>
      <c r="AT24" s="45">
        <v>2.9000000000000001E-2</v>
      </c>
      <c r="AU24" s="235"/>
      <c r="AV24" s="360">
        <f t="shared" si="9"/>
        <v>4603239.5862458283</v>
      </c>
      <c r="AW24" s="235"/>
      <c r="AX24" s="354"/>
      <c r="AY24" s="14"/>
      <c r="AZ24" s="14">
        <f t="shared" si="11"/>
        <v>13182.361925340381</v>
      </c>
      <c r="BA24" s="14">
        <f t="shared" si="10"/>
        <v>0.37275776126058258</v>
      </c>
      <c r="BB24" s="14">
        <f t="shared" si="2"/>
        <v>35364.419725992047</v>
      </c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3"/>
      <c r="CT24" s="3"/>
      <c r="CU24" s="3"/>
      <c r="CV24" s="3"/>
      <c r="CW24" s="3"/>
    </row>
    <row r="25" spans="1:101" ht="14.25" customHeight="1" x14ac:dyDescent="0.2">
      <c r="A25" s="328"/>
      <c r="B25" s="52">
        <v>0.13062407968511949</v>
      </c>
      <c r="C25" s="330">
        <v>8.5332515641177151E-2</v>
      </c>
      <c r="D25" s="330">
        <v>2.6824522337287493E-2</v>
      </c>
      <c r="E25" s="330">
        <v>1.3104390537695833E-2</v>
      </c>
      <c r="F25" s="331">
        <v>0.7555057396105449</v>
      </c>
      <c r="G25" s="94">
        <v>0.38139050539091718</v>
      </c>
      <c r="H25" s="330">
        <v>0.93532944298014753</v>
      </c>
      <c r="I25" s="330">
        <v>7.218412987663481E-3</v>
      </c>
      <c r="J25" s="330">
        <v>0.82751773654417993</v>
      </c>
      <c r="K25" s="330">
        <v>0.79264497257880628</v>
      </c>
      <c r="L25" s="332">
        <v>10653.532589764169</v>
      </c>
      <c r="M25" s="330">
        <v>0</v>
      </c>
      <c r="N25" s="330">
        <v>16555.964053758988</v>
      </c>
      <c r="O25" s="330">
        <v>1208.3114781772163</v>
      </c>
      <c r="P25" s="330">
        <v>49366.155629938992</v>
      </c>
      <c r="Q25" s="333">
        <v>143728.67497352403</v>
      </c>
      <c r="R25" s="330">
        <v>21311.152658324634</v>
      </c>
      <c r="S25" s="330">
        <v>6901.4784300334768</v>
      </c>
      <c r="T25" s="332">
        <v>0.81580948940823439</v>
      </c>
      <c r="U25" s="330">
        <v>0.35094019274460903</v>
      </c>
      <c r="V25" s="330">
        <v>0.99943345952032381</v>
      </c>
      <c r="W25" s="330">
        <v>0.68264593010321772</v>
      </c>
      <c r="X25" s="330">
        <v>0.98872240477247519</v>
      </c>
      <c r="Y25" s="330">
        <v>0</v>
      </c>
      <c r="Z25" s="331">
        <v>0</v>
      </c>
      <c r="AA25" s="235"/>
      <c r="AB25" s="52">
        <v>67509.3369121945</v>
      </c>
      <c r="AC25" s="330">
        <v>4.8510024131736058</v>
      </c>
      <c r="AD25" s="330">
        <v>67263.444542319034</v>
      </c>
      <c r="AE25" s="330">
        <v>4.7365199116180632</v>
      </c>
      <c r="AF25" s="330">
        <v>245.8923698754661</v>
      </c>
      <c r="AG25" s="331">
        <v>0.11448250155554263</v>
      </c>
      <c r="AH25" s="235"/>
      <c r="AI25" s="208">
        <f t="shared" si="7"/>
        <v>4540942.9556027316</v>
      </c>
      <c r="AJ25" s="208">
        <f t="shared" si="8"/>
        <v>4432430.4714948414</v>
      </c>
      <c r="AK25" s="208">
        <f t="shared" si="3"/>
        <v>108512.48410789004</v>
      </c>
      <c r="AL25" s="235"/>
      <c r="AM25" s="52">
        <f t="shared" si="4"/>
        <v>1</v>
      </c>
      <c r="AN25" s="52">
        <f t="shared" si="5"/>
        <v>0</v>
      </c>
      <c r="AO25" s="52">
        <f t="shared" si="6"/>
        <v>1</v>
      </c>
      <c r="AP25" s="235"/>
      <c r="AQ25" s="45">
        <v>1500</v>
      </c>
      <c r="AR25" s="45">
        <v>2.8000000000000001E-2</v>
      </c>
      <c r="AS25" s="45">
        <v>0.97199999999999998</v>
      </c>
      <c r="AT25" s="45">
        <v>2.8000000000000001E-2</v>
      </c>
      <c r="AU25" s="235"/>
      <c r="AV25" s="360">
        <f t="shared" si="9"/>
        <v>4540942.9556027316</v>
      </c>
      <c r="AW25" s="235"/>
      <c r="AX25" s="354"/>
      <c r="AY25" s="14"/>
      <c r="AZ25" s="14">
        <f t="shared" si="11"/>
        <v>245.8923698754661</v>
      </c>
      <c r="BA25" s="14">
        <f t="shared" si="10"/>
        <v>0.11448250155554263</v>
      </c>
      <c r="BB25" s="14">
        <f t="shared" si="2"/>
        <v>2147.8598609776914</v>
      </c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3"/>
      <c r="CT25" s="3"/>
      <c r="CU25" s="3"/>
      <c r="CV25" s="3"/>
      <c r="CW25" s="3"/>
    </row>
    <row r="26" spans="1:101" ht="14.25" customHeight="1" x14ac:dyDescent="0.2">
      <c r="A26" s="328"/>
      <c r="B26" s="52">
        <v>0.18007842630706905</v>
      </c>
      <c r="C26" s="330">
        <v>0.79997747247576312</v>
      </c>
      <c r="D26" s="330">
        <v>2.2039691386766203E-2</v>
      </c>
      <c r="E26" s="330">
        <v>1.259383357093017E-2</v>
      </c>
      <c r="F26" s="331">
        <v>0.77272421287438886</v>
      </c>
      <c r="G26" s="94">
        <v>0.43643251245612258</v>
      </c>
      <c r="H26" s="330">
        <v>0.93494374644599243</v>
      </c>
      <c r="I26" s="330">
        <v>1.8730751593061035E-2</v>
      </c>
      <c r="J26" s="330">
        <v>0.99999987257777101</v>
      </c>
      <c r="K26" s="330">
        <v>0.78279534529337691</v>
      </c>
      <c r="L26" s="332">
        <v>9431.1097341619698</v>
      </c>
      <c r="M26" s="330">
        <v>0</v>
      </c>
      <c r="N26" s="330">
        <v>17470.517707484632</v>
      </c>
      <c r="O26" s="330">
        <v>1217.6706289995884</v>
      </c>
      <c r="P26" s="330">
        <v>52926.662313740308</v>
      </c>
      <c r="Q26" s="333">
        <v>77032.856470109386</v>
      </c>
      <c r="R26" s="330">
        <v>33334.746769342622</v>
      </c>
      <c r="S26" s="330">
        <v>8684.9634471232803</v>
      </c>
      <c r="T26" s="332">
        <v>5.3372180912330987E-2</v>
      </c>
      <c r="U26" s="330">
        <v>0.91238498928802558</v>
      </c>
      <c r="V26" s="330">
        <v>0.33945853583986901</v>
      </c>
      <c r="W26" s="330">
        <v>0.63544653898042835</v>
      </c>
      <c r="X26" s="330">
        <v>0.52198742949760535</v>
      </c>
      <c r="Y26" s="330">
        <v>0</v>
      </c>
      <c r="Z26" s="331">
        <v>0</v>
      </c>
      <c r="AA26" s="235"/>
      <c r="AB26" s="52">
        <v>86779.96614873028</v>
      </c>
      <c r="AC26" s="330">
        <v>2.4373837511785825</v>
      </c>
      <c r="AD26" s="330">
        <v>88258.556292707741</v>
      </c>
      <c r="AE26" s="330">
        <v>2.8742306673733431</v>
      </c>
      <c r="AF26" s="330">
        <v>-1478.5901439774607</v>
      </c>
      <c r="AG26" s="331">
        <v>-0.43684691619476057</v>
      </c>
      <c r="AH26" s="235"/>
      <c r="AI26" s="208">
        <f t="shared" si="7"/>
        <v>2228734.5974709229</v>
      </c>
      <c r="AJ26" s="208">
        <f t="shared" si="8"/>
        <v>2642260.5777119682</v>
      </c>
      <c r="AK26" s="208">
        <f t="shared" si="3"/>
        <v>-413525.98024104512</v>
      </c>
      <c r="AL26" s="235"/>
      <c r="AM26" s="52">
        <f t="shared" si="4"/>
        <v>0</v>
      </c>
      <c r="AN26" s="52">
        <f t="shared" si="5"/>
        <v>1</v>
      </c>
      <c r="AO26" s="52">
        <f t="shared" si="6"/>
        <v>0</v>
      </c>
      <c r="AP26" s="235"/>
      <c r="AQ26" s="45">
        <v>2000</v>
      </c>
      <c r="AR26" s="45">
        <v>2.5000000000000001E-2</v>
      </c>
      <c r="AS26" s="45">
        <v>0.97499999999999998</v>
      </c>
      <c r="AT26" s="45">
        <v>2.5000000000000001E-2</v>
      </c>
      <c r="AU26" s="235"/>
      <c r="AV26" s="360">
        <f t="shared" si="9"/>
        <v>2642260.5777119682</v>
      </c>
      <c r="AW26" s="235"/>
      <c r="AX26" s="354"/>
      <c r="AY26" s="14"/>
      <c r="AZ26" s="14">
        <f t="shared" si="11"/>
        <v>-1478.5901439774607</v>
      </c>
      <c r="BA26" s="14">
        <f t="shared" si="10"/>
        <v>-0.43684691619476057</v>
      </c>
      <c r="BB26" s="14">
        <f t="shared" si="2"/>
        <v>3384.6871504942869</v>
      </c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3"/>
      <c r="CT26" s="3"/>
      <c r="CU26" s="3"/>
      <c r="CV26" s="3"/>
      <c r="CW26" s="3"/>
    </row>
    <row r="27" spans="1:101" ht="14.25" customHeight="1" x14ac:dyDescent="0.2">
      <c r="A27" s="328"/>
      <c r="B27" s="52">
        <v>0.16367076521611712</v>
      </c>
      <c r="C27" s="330">
        <v>0.53972230695913204</v>
      </c>
      <c r="D27" s="330">
        <v>2.7934951979015854E-2</v>
      </c>
      <c r="E27" s="330">
        <v>1.725865539556537E-2</v>
      </c>
      <c r="F27" s="331">
        <v>0.80476240371587282</v>
      </c>
      <c r="G27" s="94">
        <v>0.41289086741436209</v>
      </c>
      <c r="H27" s="330">
        <v>0.12252791889858247</v>
      </c>
      <c r="I27" s="330">
        <v>1.6488582464719514E-2</v>
      </c>
      <c r="J27" s="330">
        <v>0.95987162247489166</v>
      </c>
      <c r="K27" s="330">
        <v>0.79858727706534605</v>
      </c>
      <c r="L27" s="332">
        <v>12842.762213673259</v>
      </c>
      <c r="M27" s="330">
        <v>0</v>
      </c>
      <c r="N27" s="330">
        <v>23346.819910835799</v>
      </c>
      <c r="O27" s="330">
        <v>1653.1082618790158</v>
      </c>
      <c r="P27" s="330">
        <v>45549.796291883016</v>
      </c>
      <c r="Q27" s="333">
        <v>102055.06158761527</v>
      </c>
      <c r="R27" s="330">
        <v>31925.924150917563</v>
      </c>
      <c r="S27" s="330">
        <v>6959.2081977083171</v>
      </c>
      <c r="T27" s="332">
        <v>0.9643137937484797</v>
      </c>
      <c r="U27" s="330">
        <v>0.93819464595522106</v>
      </c>
      <c r="V27" s="330">
        <v>0.99600391271834554</v>
      </c>
      <c r="W27" s="330">
        <v>0.98777461253450216</v>
      </c>
      <c r="X27" s="330">
        <v>0.25153066244474637</v>
      </c>
      <c r="Y27" s="330">
        <v>0</v>
      </c>
      <c r="Z27" s="331">
        <v>0</v>
      </c>
      <c r="AA27" s="235"/>
      <c r="AB27" s="52">
        <v>76505.965158728432</v>
      </c>
      <c r="AC27" s="330">
        <v>1.6234876240677525</v>
      </c>
      <c r="AD27" s="330">
        <v>63172.593659394188</v>
      </c>
      <c r="AE27" s="330">
        <v>1.5642860003754715</v>
      </c>
      <c r="AF27" s="330">
        <v>13333.371499334244</v>
      </c>
      <c r="AG27" s="331">
        <v>5.9201623692280991E-2</v>
      </c>
      <c r="AH27" s="235"/>
      <c r="AI27" s="208">
        <f t="shared" si="7"/>
        <v>1465807.2777056363</v>
      </c>
      <c r="AJ27" s="208">
        <f t="shared" si="8"/>
        <v>1422899.1066973037</v>
      </c>
      <c r="AK27" s="208">
        <f t="shared" si="3"/>
        <v>42908.171008332698</v>
      </c>
      <c r="AL27" s="235"/>
      <c r="AM27" s="52">
        <f t="shared" si="4"/>
        <v>1</v>
      </c>
      <c r="AN27" s="52">
        <f t="shared" si="5"/>
        <v>0</v>
      </c>
      <c r="AO27" s="52">
        <f t="shared" si="6"/>
        <v>1</v>
      </c>
      <c r="AP27" s="235"/>
      <c r="AQ27" s="45">
        <v>2500</v>
      </c>
      <c r="AR27" s="45">
        <v>2.7E-2</v>
      </c>
      <c r="AS27" s="45">
        <v>0.97299999999999998</v>
      </c>
      <c r="AT27" s="45">
        <v>2.7E-2</v>
      </c>
      <c r="AU27" s="235"/>
      <c r="AV27" s="360">
        <f t="shared" si="9"/>
        <v>1465807.2777056363</v>
      </c>
      <c r="AW27" s="235"/>
      <c r="AX27" s="354"/>
      <c r="AY27" s="14"/>
      <c r="AZ27" s="14">
        <f t="shared" si="11"/>
        <v>13333.371499334244</v>
      </c>
      <c r="BA27" s="14">
        <f t="shared" si="10"/>
        <v>5.9201623692280991E-2</v>
      </c>
      <c r="BB27" s="14">
        <f t="shared" si="2"/>
        <v>225219.69276786436</v>
      </c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3"/>
      <c r="CT27" s="3"/>
      <c r="CU27" s="3"/>
      <c r="CV27" s="3"/>
      <c r="CW27" s="3"/>
    </row>
    <row r="28" spans="1:101" ht="14.25" customHeight="1" x14ac:dyDescent="0.2">
      <c r="A28" s="328"/>
      <c r="B28" s="52">
        <v>0.16530804287629941</v>
      </c>
      <c r="C28" s="330">
        <v>0.4320193661634234</v>
      </c>
      <c r="D28" s="330">
        <v>3.9491794105780652E-3</v>
      </c>
      <c r="E28" s="330">
        <v>5.4988947112589422E-3</v>
      </c>
      <c r="F28" s="331">
        <v>0.7837526621072457</v>
      </c>
      <c r="G28" s="94">
        <v>0.37874903421882194</v>
      </c>
      <c r="H28" s="330">
        <v>0.11126393398492301</v>
      </c>
      <c r="I28" s="330">
        <v>3.224986731591049E-3</v>
      </c>
      <c r="J28" s="330">
        <v>0.99661194391674079</v>
      </c>
      <c r="K28" s="330">
        <v>0.67491266615651879</v>
      </c>
      <c r="L28" s="332">
        <v>7086.5340512864532</v>
      </c>
      <c r="M28" s="330">
        <v>0</v>
      </c>
      <c r="N28" s="330">
        <v>16262.857372394132</v>
      </c>
      <c r="O28" s="330">
        <v>1176.4418101223603</v>
      </c>
      <c r="P28" s="330">
        <v>37177.431962519375</v>
      </c>
      <c r="Q28" s="333">
        <v>143589.08717354102</v>
      </c>
      <c r="R28" s="330">
        <v>20229.428656134511</v>
      </c>
      <c r="S28" s="330">
        <v>12975.074617990078</v>
      </c>
      <c r="T28" s="332">
        <v>3.0890767213177208E-2</v>
      </c>
      <c r="U28" s="330">
        <v>0.55042004533703404</v>
      </c>
      <c r="V28" s="330">
        <v>0.96442762507664082</v>
      </c>
      <c r="W28" s="330">
        <v>0.39677343414807165</v>
      </c>
      <c r="X28" s="330">
        <v>0.5949829227039517</v>
      </c>
      <c r="Y28" s="330">
        <v>0</v>
      </c>
      <c r="Z28" s="331">
        <v>0</v>
      </c>
      <c r="AA28" s="235"/>
      <c r="AB28" s="52">
        <v>117948.21689276902</v>
      </c>
      <c r="AC28" s="330">
        <v>2.8219962204535802</v>
      </c>
      <c r="AD28" s="330">
        <v>95520.280045575244</v>
      </c>
      <c r="AE28" s="330">
        <v>2.4333238808654287</v>
      </c>
      <c r="AF28" s="330">
        <v>22427.936847193778</v>
      </c>
      <c r="AG28" s="331">
        <v>0.38867233958815151</v>
      </c>
      <c r="AH28" s="235"/>
      <c r="AI28" s="208">
        <f t="shared" si="7"/>
        <v>2562948.192538132</v>
      </c>
      <c r="AJ28" s="208">
        <f t="shared" si="8"/>
        <v>2216137.4067765819</v>
      </c>
      <c r="AK28" s="208">
        <f t="shared" si="3"/>
        <v>346810.78576155019</v>
      </c>
      <c r="AL28" s="235"/>
      <c r="AM28" s="52">
        <f t="shared" si="4"/>
        <v>1</v>
      </c>
      <c r="AN28" s="52">
        <f t="shared" si="5"/>
        <v>0</v>
      </c>
      <c r="AO28" s="52">
        <f t="shared" si="6"/>
        <v>1</v>
      </c>
      <c r="AP28" s="235"/>
      <c r="AQ28" s="45">
        <v>3000</v>
      </c>
      <c r="AR28" s="45">
        <v>2.7E-2</v>
      </c>
      <c r="AS28" s="45">
        <v>0.97299999999999998</v>
      </c>
      <c r="AT28" s="45">
        <v>2.7E-2</v>
      </c>
      <c r="AU28" s="235"/>
      <c r="AV28" s="360">
        <f t="shared" si="9"/>
        <v>2562948.192538132</v>
      </c>
      <c r="AW28" s="235"/>
      <c r="AX28" s="354"/>
      <c r="AY28" s="14"/>
      <c r="AZ28" s="14">
        <f t="shared" si="11"/>
        <v>22427.936847193778</v>
      </c>
      <c r="BA28" s="14">
        <f t="shared" si="10"/>
        <v>0.38867233958815151</v>
      </c>
      <c r="BB28" s="14">
        <f t="shared" si="2"/>
        <v>57703.96954658279</v>
      </c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3"/>
      <c r="CT28" s="3"/>
      <c r="CU28" s="3"/>
      <c r="CV28" s="3"/>
      <c r="CW28" s="3"/>
    </row>
    <row r="29" spans="1:101" ht="14.25" customHeight="1" x14ac:dyDescent="0.2">
      <c r="A29" s="328"/>
      <c r="B29" s="52">
        <v>0.15174099667750449</v>
      </c>
      <c r="C29" s="330">
        <v>0.57435758549458416</v>
      </c>
      <c r="D29" s="330">
        <v>1.5287022639784431E-2</v>
      </c>
      <c r="E29" s="330">
        <v>8.2955063762895111E-3</v>
      </c>
      <c r="F29" s="331">
        <v>0.81974599781444979</v>
      </c>
      <c r="G29" s="94">
        <v>0.36624911097910812</v>
      </c>
      <c r="H29" s="330">
        <v>0.27346926286500833</v>
      </c>
      <c r="I29" s="330">
        <v>4.555650484822895E-3</v>
      </c>
      <c r="J29" s="330">
        <v>0.28385285479975475</v>
      </c>
      <c r="K29" s="330">
        <v>0.76841114241644903</v>
      </c>
      <c r="L29" s="332">
        <v>14011.909841138558</v>
      </c>
      <c r="M29" s="330">
        <v>0</v>
      </c>
      <c r="N29" s="330">
        <v>19427.643263644844</v>
      </c>
      <c r="O29" s="330">
        <v>1118.3061872128101</v>
      </c>
      <c r="P29" s="330">
        <v>45780.46052104493</v>
      </c>
      <c r="Q29" s="333">
        <v>123704.22151704758</v>
      </c>
      <c r="R29" s="330">
        <v>24800.834763059542</v>
      </c>
      <c r="S29" s="330">
        <v>7848.6913694523728</v>
      </c>
      <c r="T29" s="332">
        <v>0.77976749083150598</v>
      </c>
      <c r="U29" s="330">
        <v>0.66254914328359393</v>
      </c>
      <c r="V29" s="330">
        <v>0.33150224319605393</v>
      </c>
      <c r="W29" s="330">
        <v>0.92207410039908033</v>
      </c>
      <c r="X29" s="330">
        <v>0.94640479782593068</v>
      </c>
      <c r="Y29" s="330">
        <v>0</v>
      </c>
      <c r="Z29" s="331">
        <v>0</v>
      </c>
      <c r="AA29" s="235"/>
      <c r="AB29" s="52">
        <v>85675.318749755024</v>
      </c>
      <c r="AC29" s="330">
        <v>4.8455047708206376</v>
      </c>
      <c r="AD29" s="330">
        <v>67863.603243108169</v>
      </c>
      <c r="AE29" s="330">
        <v>4.6181592771394691</v>
      </c>
      <c r="AF29" s="330">
        <v>17811.715506646855</v>
      </c>
      <c r="AG29" s="331">
        <v>0.22734549368116852</v>
      </c>
      <c r="AH29" s="235"/>
      <c r="AI29" s="208">
        <f t="shared" si="7"/>
        <v>4517554.2135298513</v>
      </c>
      <c r="AJ29" s="208">
        <f t="shared" si="8"/>
        <v>4319387.7100393875</v>
      </c>
      <c r="AK29" s="208">
        <f t="shared" si="3"/>
        <v>198166.50349046325</v>
      </c>
      <c r="AL29" s="235"/>
      <c r="AM29" s="52">
        <f t="shared" si="4"/>
        <v>1</v>
      </c>
      <c r="AN29" s="52">
        <f t="shared" si="5"/>
        <v>0</v>
      </c>
      <c r="AO29" s="52">
        <f t="shared" si="6"/>
        <v>1</v>
      </c>
      <c r="AP29" s="235"/>
      <c r="AQ29" s="45">
        <v>3500</v>
      </c>
      <c r="AR29" s="45">
        <v>2.5999999999999999E-2</v>
      </c>
      <c r="AS29" s="45">
        <v>0.97399999999999998</v>
      </c>
      <c r="AT29" s="45">
        <v>2.5999999999999999E-2</v>
      </c>
      <c r="AU29" s="235"/>
      <c r="AV29" s="360">
        <f t="shared" si="9"/>
        <v>4517554.2135298513</v>
      </c>
      <c r="AW29" s="235"/>
      <c r="AX29" s="354"/>
      <c r="AY29" s="14"/>
      <c r="AZ29" s="14">
        <f t="shared" si="11"/>
        <v>17811.715506646855</v>
      </c>
      <c r="BA29" s="14">
        <f t="shared" si="10"/>
        <v>0.22734549368116852</v>
      </c>
      <c r="BB29" s="14">
        <f t="shared" si="2"/>
        <v>78346.463869770712</v>
      </c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3"/>
      <c r="CT29" s="3"/>
      <c r="CU29" s="3"/>
      <c r="CV29" s="3"/>
      <c r="CW29" s="3"/>
    </row>
    <row r="30" spans="1:101" ht="14.25" customHeight="1" x14ac:dyDescent="0.2">
      <c r="A30" s="328"/>
      <c r="B30" s="52">
        <v>0.1220916089297699</v>
      </c>
      <c r="C30" s="330">
        <v>0.28787792422057307</v>
      </c>
      <c r="D30" s="330">
        <v>1.5397583495142531E-2</v>
      </c>
      <c r="E30" s="330">
        <v>1.6981574988739978E-2</v>
      </c>
      <c r="F30" s="331">
        <v>0.7795478724402497</v>
      </c>
      <c r="G30" s="94">
        <v>0.44713382834758519</v>
      </c>
      <c r="H30" s="330">
        <v>0.96638956696368894</v>
      </c>
      <c r="I30" s="330">
        <v>1.5721861219551297E-2</v>
      </c>
      <c r="J30" s="330">
        <v>0.99999999996087685</v>
      </c>
      <c r="K30" s="330">
        <v>0.7689648596752896</v>
      </c>
      <c r="L30" s="332">
        <v>15761.365430160271</v>
      </c>
      <c r="M30" s="330">
        <v>0</v>
      </c>
      <c r="N30" s="330">
        <v>20664.628714741502</v>
      </c>
      <c r="O30" s="330">
        <v>616.23069452950324</v>
      </c>
      <c r="P30" s="330">
        <v>42829.730298419825</v>
      </c>
      <c r="Q30" s="333">
        <v>129495.57941517739</v>
      </c>
      <c r="R30" s="330">
        <v>28644.955753154922</v>
      </c>
      <c r="S30" s="330">
        <v>7434.7314998535721</v>
      </c>
      <c r="T30" s="332">
        <v>0.98189613694310385</v>
      </c>
      <c r="U30" s="330">
        <v>0.15616625923073466</v>
      </c>
      <c r="V30" s="330">
        <v>0.96562259989914145</v>
      </c>
      <c r="W30" s="330">
        <v>0.84166902069778171</v>
      </c>
      <c r="X30" s="330">
        <v>0.99905295880666722</v>
      </c>
      <c r="Y30" s="330">
        <v>0</v>
      </c>
      <c r="Z30" s="331">
        <v>0</v>
      </c>
      <c r="AA30" s="235"/>
      <c r="AB30" s="52">
        <v>79284.17738889555</v>
      </c>
      <c r="AC30" s="330">
        <v>4.7902058505690341</v>
      </c>
      <c r="AD30" s="330">
        <v>75224.181721369212</v>
      </c>
      <c r="AE30" s="330">
        <v>4.7044265104217819</v>
      </c>
      <c r="AF30" s="330">
        <v>4059.9956675263384</v>
      </c>
      <c r="AG30" s="331">
        <v>8.5779340147252192E-2</v>
      </c>
      <c r="AH30" s="235"/>
      <c r="AI30" s="208">
        <f t="shared" si="7"/>
        <v>4471411.3806516873</v>
      </c>
      <c r="AJ30" s="208">
        <f t="shared" si="8"/>
        <v>4393981.0031793239</v>
      </c>
      <c r="AK30" s="208">
        <f t="shared" si="3"/>
        <v>77430.377472363238</v>
      </c>
      <c r="AL30" s="235"/>
      <c r="AM30" s="52">
        <f t="shared" si="4"/>
        <v>1</v>
      </c>
      <c r="AN30" s="52">
        <f t="shared" si="5"/>
        <v>0</v>
      </c>
      <c r="AO30" s="52">
        <f t="shared" si="6"/>
        <v>1</v>
      </c>
      <c r="AP30" s="235"/>
      <c r="AQ30" s="45">
        <v>4000</v>
      </c>
      <c r="AR30" s="45">
        <v>2.4E-2</v>
      </c>
      <c r="AS30" s="45">
        <v>0.97599999999999998</v>
      </c>
      <c r="AT30" s="45">
        <v>2.4E-2</v>
      </c>
      <c r="AU30" s="235"/>
      <c r="AV30" s="360">
        <f t="shared" si="9"/>
        <v>4471411.3806516873</v>
      </c>
      <c r="AW30" s="235"/>
      <c r="AX30" s="354"/>
      <c r="AY30" s="14"/>
      <c r="AZ30" s="14">
        <f t="shared" si="11"/>
        <v>4059.9956675263384</v>
      </c>
      <c r="BA30" s="14">
        <f t="shared" si="10"/>
        <v>8.5779340147252192E-2</v>
      </c>
      <c r="BB30" s="14">
        <f t="shared" si="2"/>
        <v>47330.693621060622</v>
      </c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3"/>
      <c r="CT30" s="3"/>
      <c r="CU30" s="3"/>
      <c r="CV30" s="3"/>
      <c r="CW30" s="3"/>
    </row>
    <row r="31" spans="1:101" ht="14.25" customHeight="1" x14ac:dyDescent="0.2">
      <c r="A31" s="328"/>
      <c r="B31" s="52">
        <v>0.1786137660668432</v>
      </c>
      <c r="C31" s="330">
        <v>0.80630992381845268</v>
      </c>
      <c r="D31" s="330">
        <v>1.2587752960377634E-2</v>
      </c>
      <c r="E31" s="330">
        <v>4.9832684425512169E-3</v>
      </c>
      <c r="F31" s="331">
        <v>0.7645249859339196</v>
      </c>
      <c r="G31" s="94">
        <v>0.35971548616276477</v>
      </c>
      <c r="H31" s="330">
        <v>0.75945159599041934</v>
      </c>
      <c r="I31" s="330">
        <v>6.6240697445719924E-3</v>
      </c>
      <c r="J31" s="330">
        <v>0.99834966678107606</v>
      </c>
      <c r="K31" s="330">
        <v>0.77954327630170717</v>
      </c>
      <c r="L31" s="332">
        <v>10533.170955275396</v>
      </c>
      <c r="M31" s="330">
        <v>0</v>
      </c>
      <c r="N31" s="330">
        <v>17027.867535191999</v>
      </c>
      <c r="O31" s="330">
        <v>932.93544000493262</v>
      </c>
      <c r="P31" s="330">
        <v>52242.580209360691</v>
      </c>
      <c r="Q31" s="333">
        <v>130981.15741614881</v>
      </c>
      <c r="R31" s="330">
        <v>19952.350603420869</v>
      </c>
      <c r="S31" s="330">
        <v>9536.487408694722</v>
      </c>
      <c r="T31" s="332">
        <v>0.99995732586237973</v>
      </c>
      <c r="U31" s="330">
        <v>0.91078900155448517</v>
      </c>
      <c r="V31" s="330">
        <v>0.99130851970603928</v>
      </c>
      <c r="W31" s="330">
        <v>0.9894996545124638</v>
      </c>
      <c r="X31" s="330">
        <v>0.50811332193173109</v>
      </c>
      <c r="Y31" s="330">
        <v>0</v>
      </c>
      <c r="Z31" s="331">
        <v>0</v>
      </c>
      <c r="AA31" s="235"/>
      <c r="AB31" s="52">
        <v>92108.722414481061</v>
      </c>
      <c r="AC31" s="330">
        <v>2.4025131912669315</v>
      </c>
      <c r="AD31" s="330">
        <v>86042.511303143707</v>
      </c>
      <c r="AE31" s="330">
        <v>2.4695856848340889</v>
      </c>
      <c r="AF31" s="330">
        <v>6066.2111113373539</v>
      </c>
      <c r="AG31" s="331">
        <v>-6.7072493567157387E-2</v>
      </c>
      <c r="AH31" s="235"/>
      <c r="AI31" s="208">
        <f t="shared" si="7"/>
        <v>2190278.8092891038</v>
      </c>
      <c r="AJ31" s="208">
        <f t="shared" si="8"/>
        <v>2260063.8892892408</v>
      </c>
      <c r="AK31" s="208">
        <f t="shared" si="3"/>
        <v>-69785.080000136863</v>
      </c>
      <c r="AL31" s="235"/>
      <c r="AM31" s="52">
        <f t="shared" si="4"/>
        <v>0</v>
      </c>
      <c r="AN31" s="52">
        <f t="shared" si="5"/>
        <v>1</v>
      </c>
      <c r="AO31" s="52">
        <f t="shared" si="6"/>
        <v>0</v>
      </c>
      <c r="AP31" s="235"/>
      <c r="AQ31" s="45">
        <v>4500</v>
      </c>
      <c r="AR31" s="45">
        <v>2.4E-2</v>
      </c>
      <c r="AS31" s="45">
        <v>0.97599999999999998</v>
      </c>
      <c r="AT31" s="45">
        <v>2.4E-2</v>
      </c>
      <c r="AU31" s="235"/>
      <c r="AV31" s="360">
        <f t="shared" si="9"/>
        <v>2260063.8892892408</v>
      </c>
      <c r="AW31" s="235"/>
      <c r="AX31" s="354"/>
      <c r="AY31" s="14"/>
      <c r="AZ31" s="14">
        <f t="shared" si="11"/>
        <v>6066.2111113373539</v>
      </c>
      <c r="BA31" s="14">
        <f t="shared" si="10"/>
        <v>-6.7072493567157387E-2</v>
      </c>
      <c r="BB31" s="14">
        <f t="shared" si="2"/>
        <v>-90442.606032880896</v>
      </c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3"/>
      <c r="CT31" s="3"/>
      <c r="CU31" s="3"/>
      <c r="CV31" s="3"/>
      <c r="CW31" s="3"/>
    </row>
    <row r="32" spans="1:101" ht="14.25" customHeight="1" x14ac:dyDescent="0.2">
      <c r="A32" s="328"/>
      <c r="B32" s="52">
        <v>0.15428753188421962</v>
      </c>
      <c r="C32" s="330">
        <v>0.26702868192647339</v>
      </c>
      <c r="D32" s="330">
        <v>1.9060791929269016E-2</v>
      </c>
      <c r="E32" s="330">
        <v>1.0699455401924225E-2</v>
      </c>
      <c r="F32" s="331">
        <v>0.76535181636120986</v>
      </c>
      <c r="G32" s="94">
        <v>0.36545745460071971</v>
      </c>
      <c r="H32" s="330">
        <v>0.8074904180257263</v>
      </c>
      <c r="I32" s="330">
        <v>2.6451845405389363E-2</v>
      </c>
      <c r="J32" s="330">
        <v>2.7222090809911996E-3</v>
      </c>
      <c r="K32" s="330">
        <v>0.76274830741918753</v>
      </c>
      <c r="L32" s="332">
        <v>16470.120938445198</v>
      </c>
      <c r="M32" s="330">
        <v>0</v>
      </c>
      <c r="N32" s="330">
        <v>18097.47314325755</v>
      </c>
      <c r="O32" s="330">
        <v>1109.1673328082081</v>
      </c>
      <c r="P32" s="330">
        <v>30838.716156769133</v>
      </c>
      <c r="Q32" s="333">
        <v>153023.28117575418</v>
      </c>
      <c r="R32" s="330">
        <v>26098.92596088026</v>
      </c>
      <c r="S32" s="330">
        <v>8935.8813353599271</v>
      </c>
      <c r="T32" s="332">
        <v>0.99999849105967253</v>
      </c>
      <c r="U32" s="330">
        <v>0.98985294879225438</v>
      </c>
      <c r="V32" s="330">
        <v>0.99897951605616742</v>
      </c>
      <c r="W32" s="330">
        <v>0.99509870102876308</v>
      </c>
      <c r="X32" s="330">
        <v>0.9492434001752097</v>
      </c>
      <c r="Y32" s="330">
        <v>0</v>
      </c>
      <c r="Z32" s="331">
        <v>0</v>
      </c>
      <c r="AA32" s="235"/>
      <c r="AB32" s="52">
        <v>91559.952373001273</v>
      </c>
      <c r="AC32" s="330">
        <v>4.5113759956647828</v>
      </c>
      <c r="AD32" s="330">
        <v>82593.675168047033</v>
      </c>
      <c r="AE32" s="330">
        <v>4.7194381703124408</v>
      </c>
      <c r="AF32" s="330">
        <v>8966.27720495424</v>
      </c>
      <c r="AG32" s="331">
        <v>-0.20806217464765808</v>
      </c>
      <c r="AH32" s="235"/>
      <c r="AI32" s="208">
        <f t="shared" si="7"/>
        <v>4194247.2435085424</v>
      </c>
      <c r="AJ32" s="208">
        <f t="shared" si="8"/>
        <v>4400872.5866287723</v>
      </c>
      <c r="AK32" s="208">
        <f t="shared" si="3"/>
        <v>-206625.34312022943</v>
      </c>
      <c r="AL32" s="235"/>
      <c r="AM32" s="52">
        <f t="shared" si="4"/>
        <v>0</v>
      </c>
      <c r="AN32" s="52">
        <f t="shared" si="5"/>
        <v>1</v>
      </c>
      <c r="AO32" s="52">
        <f t="shared" si="6"/>
        <v>0</v>
      </c>
      <c r="AP32" s="235"/>
      <c r="AQ32" s="45">
        <v>5000</v>
      </c>
      <c r="AR32" s="45">
        <v>2.1000000000000001E-2</v>
      </c>
      <c r="AS32" s="45">
        <v>0.97899999999999998</v>
      </c>
      <c r="AT32" s="45">
        <v>2.1000000000000001E-2</v>
      </c>
      <c r="AU32" s="235"/>
      <c r="AV32" s="360">
        <f t="shared" si="9"/>
        <v>4400872.5866287723</v>
      </c>
      <c r="AW32" s="235"/>
      <c r="AX32" s="354"/>
      <c r="AY32" s="14"/>
      <c r="AZ32" s="14">
        <f t="shared" si="11"/>
        <v>8966.27720495424</v>
      </c>
      <c r="BA32" s="14">
        <f t="shared" si="10"/>
        <v>-0.20806217464765808</v>
      </c>
      <c r="BB32" s="14">
        <f t="shared" si="2"/>
        <v>-43094.220370128016</v>
      </c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3"/>
      <c r="CT32" s="3"/>
      <c r="CU32" s="3"/>
      <c r="CV32" s="3"/>
      <c r="CW32" s="3"/>
    </row>
    <row r="33" spans="1:101" ht="14.25" customHeight="1" x14ac:dyDescent="0.2">
      <c r="A33" s="328"/>
      <c r="B33" s="52">
        <v>0.13119759414789098</v>
      </c>
      <c r="C33" s="330">
        <v>0.10786163052078791</v>
      </c>
      <c r="D33" s="330">
        <v>1.1246018567298921E-2</v>
      </c>
      <c r="E33" s="330">
        <v>2.6358356866683308E-2</v>
      </c>
      <c r="F33" s="331">
        <v>0.77216555831820588</v>
      </c>
      <c r="G33" s="94">
        <v>0.38226238967919096</v>
      </c>
      <c r="H33" s="330">
        <v>5.5963118249073712E-2</v>
      </c>
      <c r="I33" s="330">
        <v>3.8226266045947699E-2</v>
      </c>
      <c r="J33" s="330">
        <v>0.99997244202315483</v>
      </c>
      <c r="K33" s="330">
        <v>0.79329344234344978</v>
      </c>
      <c r="L33" s="332">
        <v>8585.1562904780076</v>
      </c>
      <c r="M33" s="330">
        <v>0</v>
      </c>
      <c r="N33" s="330">
        <v>10378.479299789225</v>
      </c>
      <c r="O33" s="330">
        <v>1700.1476090171636</v>
      </c>
      <c r="P33" s="330">
        <v>39236.200463387817</v>
      </c>
      <c r="Q33" s="333">
        <v>102612.41221062417</v>
      </c>
      <c r="R33" s="330">
        <v>27858.783116311079</v>
      </c>
      <c r="S33" s="330">
        <v>9663.2054130815886</v>
      </c>
      <c r="T33" s="332">
        <v>0.61832727022166034</v>
      </c>
      <c r="U33" s="330">
        <v>0.83296190539998416</v>
      </c>
      <c r="V33" s="330">
        <v>0.79985953099583584</v>
      </c>
      <c r="W33" s="330">
        <v>0.989954206678062</v>
      </c>
      <c r="X33" s="330">
        <v>0.50321158331623561</v>
      </c>
      <c r="Y33" s="330">
        <v>0</v>
      </c>
      <c r="Z33" s="331">
        <v>0</v>
      </c>
      <c r="AA33" s="235"/>
      <c r="AB33" s="52">
        <v>89427.870685605245</v>
      </c>
      <c r="AC33" s="330">
        <v>2.4853400707865676</v>
      </c>
      <c r="AD33" s="330">
        <v>85754.410652736988</v>
      </c>
      <c r="AE33" s="330">
        <v>2.7375744749343518</v>
      </c>
      <c r="AF33" s="330">
        <v>3673.4600328682573</v>
      </c>
      <c r="AG33" s="331">
        <v>-0.2522344041477842</v>
      </c>
      <c r="AH33" s="235"/>
      <c r="AI33" s="208">
        <f t="shared" si="7"/>
        <v>2271645.1965616341</v>
      </c>
      <c r="AJ33" s="208">
        <f t="shared" si="8"/>
        <v>2514941.3405348971</v>
      </c>
      <c r="AK33" s="208">
        <f t="shared" si="3"/>
        <v>-243296.14397326324</v>
      </c>
      <c r="AL33" s="235"/>
      <c r="AM33" s="52">
        <f t="shared" si="4"/>
        <v>0</v>
      </c>
      <c r="AN33" s="52">
        <f t="shared" si="5"/>
        <v>1</v>
      </c>
      <c r="AO33" s="52">
        <f t="shared" si="6"/>
        <v>0</v>
      </c>
      <c r="AP33" s="235"/>
      <c r="AQ33" s="45">
        <v>6000</v>
      </c>
      <c r="AR33" s="45">
        <v>2.1000000000000001E-2</v>
      </c>
      <c r="AS33" s="45">
        <v>0.97899999999999998</v>
      </c>
      <c r="AT33" s="45">
        <v>2.1000000000000001E-2</v>
      </c>
      <c r="AU33" s="235"/>
      <c r="AV33" s="360">
        <f t="shared" si="9"/>
        <v>2514941.3405348971</v>
      </c>
      <c r="AW33" s="235"/>
      <c r="AX33" s="354"/>
      <c r="AY33" s="14"/>
      <c r="AZ33" s="14">
        <f t="shared" si="11"/>
        <v>3673.4600328682573</v>
      </c>
      <c r="BA33" s="14">
        <f t="shared" si="10"/>
        <v>-0.2522344041477842</v>
      </c>
      <c r="BB33" s="14">
        <f t="shared" si="2"/>
        <v>-14563.675582954878</v>
      </c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3"/>
      <c r="CT33" s="3"/>
      <c r="CU33" s="3"/>
      <c r="CV33" s="3"/>
      <c r="CW33" s="3"/>
    </row>
    <row r="34" spans="1:101" ht="14.25" customHeight="1" x14ac:dyDescent="0.2">
      <c r="A34" s="328"/>
      <c r="B34" s="52">
        <v>0.14781845223995524</v>
      </c>
      <c r="C34" s="330">
        <v>0.74796686142621938</v>
      </c>
      <c r="D34" s="330">
        <v>1.6214077485265599E-2</v>
      </c>
      <c r="E34" s="330">
        <v>1.2449706282977794E-2</v>
      </c>
      <c r="F34" s="331">
        <v>0.7865254905798813</v>
      </c>
      <c r="G34" s="94">
        <v>0.37440027986751351</v>
      </c>
      <c r="H34" s="330">
        <v>0.51402192188920792</v>
      </c>
      <c r="I34" s="330">
        <v>2.924127218007287E-3</v>
      </c>
      <c r="J34" s="330">
        <v>0.31384504574253397</v>
      </c>
      <c r="K34" s="330">
        <v>0.76867043551014258</v>
      </c>
      <c r="L34" s="332">
        <v>17563.678323259446</v>
      </c>
      <c r="M34" s="330">
        <v>0</v>
      </c>
      <c r="N34" s="330">
        <v>18523.719472062305</v>
      </c>
      <c r="O34" s="330">
        <v>1759.7143307414178</v>
      </c>
      <c r="P34" s="330">
        <v>39870.117801498673</v>
      </c>
      <c r="Q34" s="333">
        <v>71527.024953582717</v>
      </c>
      <c r="R34" s="330">
        <v>16348.630913367399</v>
      </c>
      <c r="S34" s="330">
        <v>8044.7444921059678</v>
      </c>
      <c r="T34" s="332">
        <v>0.98566372233233013</v>
      </c>
      <c r="U34" s="330">
        <v>0.95095195175773117</v>
      </c>
      <c r="V34" s="330">
        <v>0.90595807016130636</v>
      </c>
      <c r="W34" s="330">
        <v>0.99999998852646277</v>
      </c>
      <c r="X34" s="330">
        <v>0.7245792031689301</v>
      </c>
      <c r="Y34" s="330">
        <v>0</v>
      </c>
      <c r="Z34" s="331">
        <v>0</v>
      </c>
      <c r="AA34" s="235"/>
      <c r="AB34" s="52">
        <v>87705.285645693744</v>
      </c>
      <c r="AC34" s="330">
        <v>3.9415494765572339</v>
      </c>
      <c r="AD34" s="330">
        <v>70267.018443481546</v>
      </c>
      <c r="AE34" s="330">
        <v>3.5872254494959366</v>
      </c>
      <c r="AF34" s="330">
        <v>17438.267202212199</v>
      </c>
      <c r="AG34" s="331">
        <v>0.35432402706129729</v>
      </c>
      <c r="AH34" s="235"/>
      <c r="AI34" s="208">
        <f t="shared" si="7"/>
        <v>3656766.7170836786</v>
      </c>
      <c r="AJ34" s="208">
        <f t="shared" si="8"/>
        <v>3337597.1585776582</v>
      </c>
      <c r="AK34" s="208">
        <f t="shared" si="3"/>
        <v>319169.55850602023</v>
      </c>
      <c r="AL34" s="235"/>
      <c r="AM34" s="52">
        <f t="shared" si="4"/>
        <v>1</v>
      </c>
      <c r="AN34" s="52">
        <f t="shared" si="5"/>
        <v>0</v>
      </c>
      <c r="AO34" s="52">
        <f t="shared" si="6"/>
        <v>1</v>
      </c>
      <c r="AP34" s="235"/>
      <c r="AQ34" s="45">
        <v>7000</v>
      </c>
      <c r="AR34" s="45">
        <v>2.4E-2</v>
      </c>
      <c r="AS34" s="45">
        <v>0.97599999999999998</v>
      </c>
      <c r="AT34" s="45">
        <v>2.4E-2</v>
      </c>
      <c r="AU34" s="235"/>
      <c r="AV34" s="360">
        <f t="shared" si="9"/>
        <v>3656766.7170836786</v>
      </c>
      <c r="AW34" s="235"/>
      <c r="AX34" s="354"/>
      <c r="AY34" s="14"/>
      <c r="AZ34" s="14">
        <f t="shared" si="11"/>
        <v>17438.267202212199</v>
      </c>
      <c r="BA34" s="14">
        <f t="shared" si="10"/>
        <v>0.35432402706129729</v>
      </c>
      <c r="BB34" s="14">
        <f t="shared" si="2"/>
        <v>49215.59327162258</v>
      </c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3"/>
      <c r="CT34" s="3"/>
      <c r="CU34" s="3"/>
      <c r="CV34" s="3"/>
      <c r="CW34" s="3"/>
    </row>
    <row r="35" spans="1:101" ht="14.25" customHeight="1" x14ac:dyDescent="0.2">
      <c r="A35" s="328"/>
      <c r="B35" s="52">
        <v>0.1460946557662727</v>
      </c>
      <c r="C35" s="330">
        <v>0.179695120023556</v>
      </c>
      <c r="D35" s="330">
        <v>1.2121688688696028E-2</v>
      </c>
      <c r="E35" s="330">
        <v>9.9345296629473178E-3</v>
      </c>
      <c r="F35" s="331">
        <v>0.76260331212929588</v>
      </c>
      <c r="G35" s="94">
        <v>0.37406985481610255</v>
      </c>
      <c r="H35" s="330">
        <v>0.68001309296015466</v>
      </c>
      <c r="I35" s="330">
        <v>3.1650560068854472E-2</v>
      </c>
      <c r="J35" s="330">
        <v>0.99999999999999989</v>
      </c>
      <c r="K35" s="330">
        <v>0.77298481316145728</v>
      </c>
      <c r="L35" s="332">
        <v>13833.984033883638</v>
      </c>
      <c r="M35" s="330">
        <v>0</v>
      </c>
      <c r="N35" s="330">
        <v>22559.549544407142</v>
      </c>
      <c r="O35" s="330">
        <v>1532.6690018794488</v>
      </c>
      <c r="P35" s="330">
        <v>46450.735775489884</v>
      </c>
      <c r="Q35" s="333">
        <v>102160.72249419767</v>
      </c>
      <c r="R35" s="330">
        <v>21738.216030269887</v>
      </c>
      <c r="S35" s="330">
        <v>10332.752479348936</v>
      </c>
      <c r="T35" s="332">
        <v>0.99979594808866834</v>
      </c>
      <c r="U35" s="330">
        <v>0.66410821094747197</v>
      </c>
      <c r="V35" s="330">
        <v>0.98434978472540502</v>
      </c>
      <c r="W35" s="330">
        <v>0.75668167784149132</v>
      </c>
      <c r="X35" s="330">
        <v>0.74731794729439316</v>
      </c>
      <c r="Y35" s="330">
        <v>0</v>
      </c>
      <c r="Z35" s="331">
        <v>0</v>
      </c>
      <c r="AA35" s="235"/>
      <c r="AB35" s="52">
        <v>99370.575628333449</v>
      </c>
      <c r="AC35" s="330">
        <v>3.7270687566363976</v>
      </c>
      <c r="AD35" s="330">
        <v>93711.73925429197</v>
      </c>
      <c r="AE35" s="330">
        <v>3.7132118017437139</v>
      </c>
      <c r="AF35" s="330">
        <v>5658.8363740414788</v>
      </c>
      <c r="AG35" s="331">
        <v>1.3856954892683682E-2</v>
      </c>
      <c r="AH35" s="235"/>
      <c r="AI35" s="208">
        <f t="shared" si="7"/>
        <v>3441344.7431762447</v>
      </c>
      <c r="AJ35" s="208">
        <f t="shared" si="8"/>
        <v>3433839.472402236</v>
      </c>
      <c r="AK35" s="208">
        <f t="shared" si="3"/>
        <v>7505.2707740080186</v>
      </c>
      <c r="AL35" s="235"/>
      <c r="AM35" s="52">
        <f t="shared" si="4"/>
        <v>1</v>
      </c>
      <c r="AN35" s="52">
        <f t="shared" si="5"/>
        <v>0</v>
      </c>
      <c r="AO35" s="52">
        <f t="shared" si="6"/>
        <v>1</v>
      </c>
      <c r="AP35" s="235"/>
      <c r="AQ35" s="45">
        <v>8000</v>
      </c>
      <c r="AR35" s="45">
        <v>2.4E-2</v>
      </c>
      <c r="AS35" s="45">
        <v>0.97599999999999998</v>
      </c>
      <c r="AT35" s="45">
        <v>2.4E-2</v>
      </c>
      <c r="AU35" s="235"/>
      <c r="AV35" s="360">
        <f t="shared" si="9"/>
        <v>3441344.7431762447</v>
      </c>
      <c r="AW35" s="235"/>
      <c r="AX35" s="354"/>
      <c r="AY35" s="14"/>
      <c r="AZ35" s="14">
        <f t="shared" si="11"/>
        <v>5658.8363740414788</v>
      </c>
      <c r="BA35" s="14">
        <f t="shared" si="10"/>
        <v>1.3856954892683682E-2</v>
      </c>
      <c r="BB35" s="14">
        <f t="shared" si="2"/>
        <v>408375.17462290952</v>
      </c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3"/>
      <c r="CT35" s="3"/>
      <c r="CU35" s="3"/>
      <c r="CV35" s="3"/>
      <c r="CW35" s="3"/>
    </row>
    <row r="36" spans="1:101" ht="14.25" customHeight="1" x14ac:dyDescent="0.2">
      <c r="A36" s="328"/>
      <c r="B36" s="52">
        <v>0.17944206010066177</v>
      </c>
      <c r="C36" s="330">
        <v>0.61187324433696788</v>
      </c>
      <c r="D36" s="330">
        <v>8.6411974347610516E-3</v>
      </c>
      <c r="E36" s="330">
        <v>2.5489508962426966E-2</v>
      </c>
      <c r="F36" s="331">
        <v>0.75644481420565746</v>
      </c>
      <c r="G36" s="94">
        <v>0.40315235805189187</v>
      </c>
      <c r="H36" s="330">
        <v>0.52373889487779191</v>
      </c>
      <c r="I36" s="330">
        <v>5.7383944239361171E-3</v>
      </c>
      <c r="J36" s="330">
        <v>0.99986517428486699</v>
      </c>
      <c r="K36" s="330">
        <v>0.72859686805671409</v>
      </c>
      <c r="L36" s="332">
        <v>10834.880010328303</v>
      </c>
      <c r="M36" s="330">
        <v>0</v>
      </c>
      <c r="N36" s="330">
        <v>24113.993991215975</v>
      </c>
      <c r="O36" s="330">
        <v>1235.1842638614185</v>
      </c>
      <c r="P36" s="330">
        <v>62218.22935297816</v>
      </c>
      <c r="Q36" s="333">
        <v>102619.75561139816</v>
      </c>
      <c r="R36" s="330">
        <v>37472.338793293391</v>
      </c>
      <c r="S36" s="330">
        <v>7282.0618932761381</v>
      </c>
      <c r="T36" s="332">
        <v>0.35458282768557653</v>
      </c>
      <c r="U36" s="330">
        <v>0.98424518976881181</v>
      </c>
      <c r="V36" s="330">
        <v>0.49352524987296414</v>
      </c>
      <c r="W36" s="330">
        <v>0.99998911831363135</v>
      </c>
      <c r="X36" s="330">
        <v>0.2915250673586387</v>
      </c>
      <c r="Y36" s="330">
        <v>0</v>
      </c>
      <c r="Z36" s="331">
        <v>0</v>
      </c>
      <c r="AA36" s="235"/>
      <c r="AB36" s="52">
        <v>74446.11396406962</v>
      </c>
      <c r="AC36" s="330">
        <v>1.4141937392772643</v>
      </c>
      <c r="AD36" s="330">
        <v>65791.426672633592</v>
      </c>
      <c r="AE36" s="330">
        <v>1.3082305057462615</v>
      </c>
      <c r="AF36" s="330">
        <v>8654.6872914360283</v>
      </c>
      <c r="AG36" s="331">
        <v>0.10596323353100279</v>
      </c>
      <c r="AH36" s="235"/>
      <c r="AI36" s="208">
        <f t="shared" si="7"/>
        <v>1269037.9383493315</v>
      </c>
      <c r="AJ36" s="208">
        <f t="shared" si="8"/>
        <v>1177027.553786315</v>
      </c>
      <c r="AK36" s="208">
        <f t="shared" si="3"/>
        <v>92010.384563016618</v>
      </c>
      <c r="AL36" s="235"/>
      <c r="AM36" s="52">
        <f t="shared" si="4"/>
        <v>1</v>
      </c>
      <c r="AN36" s="52">
        <f t="shared" si="5"/>
        <v>0</v>
      </c>
      <c r="AO36" s="52">
        <f t="shared" si="6"/>
        <v>1</v>
      </c>
      <c r="AP36" s="235"/>
      <c r="AQ36" s="45">
        <v>9000</v>
      </c>
      <c r="AR36" s="45">
        <v>2.5999999999999999E-2</v>
      </c>
      <c r="AS36" s="45">
        <v>0.97399999999999998</v>
      </c>
      <c r="AT36" s="45">
        <v>2.5999999999999999E-2</v>
      </c>
      <c r="AU36" s="235"/>
      <c r="AV36" s="360">
        <f t="shared" si="9"/>
        <v>1269037.9383493315</v>
      </c>
      <c r="AW36" s="235"/>
      <c r="AX36" s="354"/>
      <c r="AY36" s="14"/>
      <c r="AZ36" s="14">
        <f t="shared" si="11"/>
        <v>8654.6872914360283</v>
      </c>
      <c r="BA36" s="14">
        <f t="shared" si="10"/>
        <v>0.10596323353100279</v>
      </c>
      <c r="BB36" s="14">
        <f t="shared" si="2"/>
        <v>81676.323032401939</v>
      </c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3"/>
      <c r="CT36" s="3"/>
      <c r="CU36" s="3"/>
      <c r="CV36" s="3"/>
      <c r="CW36" s="3"/>
    </row>
    <row r="37" spans="1:101" ht="14.25" customHeight="1" x14ac:dyDescent="0.2">
      <c r="A37" s="328"/>
      <c r="B37" s="52">
        <v>0.19071284926101972</v>
      </c>
      <c r="C37" s="330">
        <v>0.85303361176662296</v>
      </c>
      <c r="D37" s="330">
        <v>3.6189820114542748E-2</v>
      </c>
      <c r="E37" s="330">
        <v>2.9125259919632107E-2</v>
      </c>
      <c r="F37" s="331">
        <v>0.79997517153570241</v>
      </c>
      <c r="G37" s="94">
        <v>0.42693554931028399</v>
      </c>
      <c r="H37" s="330">
        <v>0.86281798286295031</v>
      </c>
      <c r="I37" s="330">
        <v>1.9388901704188166E-2</v>
      </c>
      <c r="J37" s="330">
        <v>0.99999723615196801</v>
      </c>
      <c r="K37" s="330">
        <v>0.76221232994334298</v>
      </c>
      <c r="L37" s="332">
        <v>15456.811421848954</v>
      </c>
      <c r="M37" s="330">
        <v>0</v>
      </c>
      <c r="N37" s="330">
        <v>16645.821395043211</v>
      </c>
      <c r="O37" s="330">
        <v>1147.0484833807466</v>
      </c>
      <c r="P37" s="330">
        <v>46005.394181362753</v>
      </c>
      <c r="Q37" s="333">
        <v>92112.233096364929</v>
      </c>
      <c r="R37" s="330">
        <v>30757.603227889314</v>
      </c>
      <c r="S37" s="330">
        <v>9318.93276515658</v>
      </c>
      <c r="T37" s="332">
        <v>0.78501210773667551</v>
      </c>
      <c r="U37" s="330">
        <v>0.97320429906039518</v>
      </c>
      <c r="V37" s="330">
        <v>0.98804279879569834</v>
      </c>
      <c r="W37" s="330">
        <v>0.13806304191879692</v>
      </c>
      <c r="X37" s="330">
        <v>0.62873334214444188</v>
      </c>
      <c r="Y37" s="330">
        <v>0</v>
      </c>
      <c r="Z37" s="331">
        <v>0</v>
      </c>
      <c r="AA37" s="235"/>
      <c r="AB37" s="52">
        <v>101328.10808358011</v>
      </c>
      <c r="AC37" s="330">
        <v>3.4981763415839344</v>
      </c>
      <c r="AD37" s="330">
        <v>89322.426722479009</v>
      </c>
      <c r="AE37" s="330">
        <v>3.2052571122570113</v>
      </c>
      <c r="AF37" s="330">
        <v>12005.681361101102</v>
      </c>
      <c r="AG37" s="331">
        <v>0.29291922932692316</v>
      </c>
      <c r="AH37" s="235"/>
      <c r="AI37" s="208">
        <f t="shared" si="7"/>
        <v>3221939.4164211578</v>
      </c>
      <c r="AJ37" s="208">
        <f t="shared" si="8"/>
        <v>2955671.8299216814</v>
      </c>
      <c r="AK37" s="208">
        <f t="shared" si="3"/>
        <v>266267.58649947587</v>
      </c>
      <c r="AL37" s="235"/>
      <c r="AM37" s="52">
        <f t="shared" si="4"/>
        <v>1</v>
      </c>
      <c r="AN37" s="52">
        <f t="shared" si="5"/>
        <v>0</v>
      </c>
      <c r="AO37" s="52">
        <f t="shared" si="6"/>
        <v>1</v>
      </c>
      <c r="AP37" s="235"/>
      <c r="AQ37" s="45">
        <v>10000</v>
      </c>
      <c r="AR37" s="45">
        <v>3.1E-2</v>
      </c>
      <c r="AS37" s="45">
        <v>0.96899999999999997</v>
      </c>
      <c r="AT37" s="45">
        <v>3.1E-2</v>
      </c>
      <c r="AU37" s="235"/>
      <c r="AV37" s="360">
        <f t="shared" si="9"/>
        <v>3221939.4164211578</v>
      </c>
      <c r="AW37" s="235"/>
      <c r="AX37" s="354"/>
      <c r="AY37" s="14"/>
      <c r="AZ37" s="14">
        <f t="shared" si="11"/>
        <v>12005.681361101102</v>
      </c>
      <c r="BA37" s="14">
        <f t="shared" si="10"/>
        <v>0.29291922932692316</v>
      </c>
      <c r="BB37" s="14">
        <f t="shared" si="2"/>
        <v>40986.320320069273</v>
      </c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3"/>
      <c r="CT37" s="3"/>
      <c r="CU37" s="3"/>
      <c r="CV37" s="3"/>
      <c r="CW37" s="3"/>
    </row>
    <row r="38" spans="1:101" ht="14.25" customHeight="1" x14ac:dyDescent="0.2">
      <c r="A38" s="328"/>
      <c r="B38" s="52">
        <v>0.17301272372846432</v>
      </c>
      <c r="C38" s="330">
        <v>0.45944113886431381</v>
      </c>
      <c r="D38" s="330">
        <v>1.3318513420364813E-2</v>
      </c>
      <c r="E38" s="330">
        <v>8.6875503081442138E-3</v>
      </c>
      <c r="F38" s="331">
        <v>0.75837183292611787</v>
      </c>
      <c r="G38" s="94">
        <v>0.37664158545404253</v>
      </c>
      <c r="H38" s="330">
        <v>0.93627025691740196</v>
      </c>
      <c r="I38" s="330">
        <v>1.2596892612673525E-2</v>
      </c>
      <c r="J38" s="330">
        <v>0.99999995976506972</v>
      </c>
      <c r="K38" s="330">
        <v>0.74912119421856016</v>
      </c>
      <c r="L38" s="332">
        <v>11838.108232674645</v>
      </c>
      <c r="M38" s="330">
        <v>0</v>
      </c>
      <c r="N38" s="330">
        <v>18827.423477875578</v>
      </c>
      <c r="O38" s="330">
        <v>1197.8692875074155</v>
      </c>
      <c r="P38" s="330">
        <v>50384.212978428834</v>
      </c>
      <c r="Q38" s="333">
        <v>59511.550420499771</v>
      </c>
      <c r="R38" s="330">
        <v>18539.306794162185</v>
      </c>
      <c r="S38" s="330">
        <v>8100.3531843832279</v>
      </c>
      <c r="T38" s="332">
        <v>0.27686366392597156</v>
      </c>
      <c r="U38" s="330">
        <v>0.75849895902969267</v>
      </c>
      <c r="V38" s="330">
        <v>0.83187890819481491</v>
      </c>
      <c r="W38" s="330">
        <v>0.60249426618719604</v>
      </c>
      <c r="X38" s="330">
        <v>0.99525328697740623</v>
      </c>
      <c r="Y38" s="330">
        <v>0</v>
      </c>
      <c r="Z38" s="331">
        <v>0</v>
      </c>
      <c r="AA38" s="235"/>
      <c r="AB38" s="52">
        <v>79580.354067955486</v>
      </c>
      <c r="AC38" s="330">
        <v>4.6588749545925117</v>
      </c>
      <c r="AD38" s="330">
        <v>72676.305110379908</v>
      </c>
      <c r="AE38" s="330">
        <v>4.5083256676810839</v>
      </c>
      <c r="AF38" s="330">
        <v>6904.0489575755782</v>
      </c>
      <c r="AG38" s="331">
        <v>0.15054928691142777</v>
      </c>
      <c r="AH38" s="235"/>
      <c r="AI38" s="208">
        <f t="shared" si="7"/>
        <v>4346350.8527949313</v>
      </c>
      <c r="AJ38" s="208">
        <f t="shared" si="8"/>
        <v>4210233.07918665</v>
      </c>
      <c r="AK38" s="208">
        <f t="shared" si="3"/>
        <v>136117.77360828081</v>
      </c>
      <c r="AL38" s="235"/>
      <c r="AM38" s="52">
        <f t="shared" si="4"/>
        <v>1</v>
      </c>
      <c r="AN38" s="52">
        <f t="shared" si="5"/>
        <v>0</v>
      </c>
      <c r="AO38" s="52">
        <f t="shared" si="6"/>
        <v>1</v>
      </c>
      <c r="AP38" s="235"/>
      <c r="AQ38" s="45">
        <v>11000</v>
      </c>
      <c r="AR38" s="45">
        <v>3.4000000000000002E-2</v>
      </c>
      <c r="AS38" s="45">
        <v>0.96599999999999997</v>
      </c>
      <c r="AT38" s="45">
        <v>3.4000000000000002E-2</v>
      </c>
      <c r="AU38" s="235"/>
      <c r="AV38" s="360">
        <f t="shared" si="9"/>
        <v>4346350.8527949313</v>
      </c>
      <c r="AW38" s="235"/>
      <c r="AX38" s="354"/>
      <c r="AY38" s="14"/>
      <c r="AZ38" s="14">
        <f t="shared" si="11"/>
        <v>6904.0489575755782</v>
      </c>
      <c r="BA38" s="14">
        <f t="shared" si="10"/>
        <v>0.15054928691142777</v>
      </c>
      <c r="BB38" s="14">
        <f t="shared" si="2"/>
        <v>45859.061170030101</v>
      </c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3"/>
      <c r="CT38" s="3"/>
      <c r="CU38" s="3"/>
      <c r="CV38" s="3"/>
      <c r="CW38" s="3"/>
    </row>
    <row r="39" spans="1:101" ht="14.25" customHeight="1" x14ac:dyDescent="0.2">
      <c r="A39" s="328"/>
      <c r="B39" s="52">
        <v>0.16894278745520963</v>
      </c>
      <c r="C39" s="330">
        <v>0.14020215817156903</v>
      </c>
      <c r="D39" s="330">
        <v>1.2150130449015889E-2</v>
      </c>
      <c r="E39" s="330">
        <v>9.867274759561992E-3</v>
      </c>
      <c r="F39" s="331">
        <v>0.7829661302439388</v>
      </c>
      <c r="G39" s="94">
        <v>0.43638032745037836</v>
      </c>
      <c r="H39" s="330">
        <v>9.4446809178522717E-2</v>
      </c>
      <c r="I39" s="330">
        <v>1.3197800985177997E-2</v>
      </c>
      <c r="J39" s="330">
        <v>0.99999999839600351</v>
      </c>
      <c r="K39" s="330">
        <v>0.80098346357552619</v>
      </c>
      <c r="L39" s="332">
        <v>12372.342320510312</v>
      </c>
      <c r="M39" s="330">
        <v>0</v>
      </c>
      <c r="N39" s="330">
        <v>20762.859147233492</v>
      </c>
      <c r="O39" s="330">
        <v>1528.5211152023298</v>
      </c>
      <c r="P39" s="330">
        <v>39228.868811600856</v>
      </c>
      <c r="Q39" s="333">
        <v>84705.016224778839</v>
      </c>
      <c r="R39" s="330">
        <v>27143.662962489034</v>
      </c>
      <c r="S39" s="330">
        <v>8046.1318368280636</v>
      </c>
      <c r="T39" s="332">
        <v>0.71691901134523794</v>
      </c>
      <c r="U39" s="330">
        <v>0.83725994236025425</v>
      </c>
      <c r="V39" s="330">
        <v>0.44752594054291578</v>
      </c>
      <c r="W39" s="330">
        <v>0.99984603485796586</v>
      </c>
      <c r="X39" s="330">
        <v>0.88876978250810268</v>
      </c>
      <c r="Y39" s="330">
        <v>0</v>
      </c>
      <c r="Z39" s="331">
        <v>0</v>
      </c>
      <c r="AA39" s="235"/>
      <c r="AB39" s="52">
        <v>81053.72422373564</v>
      </c>
      <c r="AC39" s="330">
        <v>4.3752255199793471</v>
      </c>
      <c r="AD39" s="330">
        <v>71787.07270453377</v>
      </c>
      <c r="AE39" s="330">
        <v>4.5721686612609513</v>
      </c>
      <c r="AF39" s="330">
        <v>9266.6515192018705</v>
      </c>
      <c r="AG39" s="331">
        <v>-0.19694314128160428</v>
      </c>
      <c r="AH39" s="235"/>
      <c r="AI39" s="208">
        <f t="shared" si="7"/>
        <v>4075410.519756644</v>
      </c>
      <c r="AJ39" s="208">
        <f t="shared" si="8"/>
        <v>4271773.1554933693</v>
      </c>
      <c r="AK39" s="208">
        <f t="shared" si="3"/>
        <v>-196362.63573672593</v>
      </c>
      <c r="AL39" s="235"/>
      <c r="AM39" s="52">
        <f t="shared" si="4"/>
        <v>0</v>
      </c>
      <c r="AN39" s="52">
        <f t="shared" si="5"/>
        <v>1</v>
      </c>
      <c r="AO39" s="52">
        <f t="shared" si="6"/>
        <v>0</v>
      </c>
      <c r="AP39" s="235"/>
      <c r="AQ39" s="45">
        <v>12000</v>
      </c>
      <c r="AR39" s="45">
        <v>4.2999999999999997E-2</v>
      </c>
      <c r="AS39" s="45">
        <v>0.95699999999999996</v>
      </c>
      <c r="AT39" s="45">
        <v>4.2999999999999997E-2</v>
      </c>
      <c r="AU39" s="235"/>
      <c r="AV39" s="360">
        <f t="shared" si="9"/>
        <v>4271773.1554933693</v>
      </c>
      <c r="AW39" s="235"/>
      <c r="AX39" s="354"/>
      <c r="AY39" s="14"/>
      <c r="AZ39" s="14">
        <f t="shared" si="11"/>
        <v>9266.6515192018705</v>
      </c>
      <c r="BA39" s="14">
        <f t="shared" si="10"/>
        <v>-0.19694314128160428</v>
      </c>
      <c r="BB39" s="14">
        <f t="shared" si="2"/>
        <v>-47052.420606776592</v>
      </c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3"/>
      <c r="CT39" s="3"/>
      <c r="CU39" s="3"/>
      <c r="CV39" s="3"/>
      <c r="CW39" s="3"/>
    </row>
    <row r="40" spans="1:101" ht="14.25" customHeight="1" x14ac:dyDescent="0.2">
      <c r="A40" s="328"/>
      <c r="B40" s="52">
        <v>0.14685517040521057</v>
      </c>
      <c r="C40" s="330">
        <v>0.27805541898622382</v>
      </c>
      <c r="D40" s="330">
        <v>2.2233345323821707E-2</v>
      </c>
      <c r="E40" s="330">
        <v>1.2191498167653633E-2</v>
      </c>
      <c r="F40" s="331">
        <v>0.77413831692528046</v>
      </c>
      <c r="G40" s="94">
        <v>0.44370122199696826</v>
      </c>
      <c r="H40" s="330">
        <v>0.55951914069754749</v>
      </c>
      <c r="I40" s="330">
        <v>4.431233816091903E-3</v>
      </c>
      <c r="J40" s="330">
        <v>1</v>
      </c>
      <c r="K40" s="330">
        <v>0.76948131308114898</v>
      </c>
      <c r="L40" s="332">
        <v>13939.692355270399</v>
      </c>
      <c r="M40" s="330">
        <v>0</v>
      </c>
      <c r="N40" s="330">
        <v>11634.013564073235</v>
      </c>
      <c r="O40" s="330">
        <v>1830.5981577304997</v>
      </c>
      <c r="P40" s="330">
        <v>63717.904055962696</v>
      </c>
      <c r="Q40" s="333">
        <v>95121.663501889852</v>
      </c>
      <c r="R40" s="330">
        <v>28701.567684104783</v>
      </c>
      <c r="S40" s="330">
        <v>5981.6844702182207</v>
      </c>
      <c r="T40" s="332">
        <v>0.99289958482868657</v>
      </c>
      <c r="U40" s="330">
        <v>0.98301690130195296</v>
      </c>
      <c r="V40" s="330">
        <v>0.96529361771149813</v>
      </c>
      <c r="W40" s="330">
        <v>0.77083046905436536</v>
      </c>
      <c r="X40" s="330">
        <v>0.76849185777946927</v>
      </c>
      <c r="Y40" s="330">
        <v>0</v>
      </c>
      <c r="Z40" s="331">
        <v>0</v>
      </c>
      <c r="AA40" s="235"/>
      <c r="AB40" s="52">
        <v>65386.689310995898</v>
      </c>
      <c r="AC40" s="330">
        <v>4.1332463871439371</v>
      </c>
      <c r="AD40" s="330">
        <v>57650.614121367944</v>
      </c>
      <c r="AE40" s="330">
        <v>3.6506031994382093</v>
      </c>
      <c r="AF40" s="330">
        <v>7736.0751896279544</v>
      </c>
      <c r="AG40" s="331">
        <v>0.48264318770572778</v>
      </c>
      <c r="AH40" s="235"/>
      <c r="AI40" s="208">
        <f t="shared" si="7"/>
        <v>3861197.3784757443</v>
      </c>
      <c r="AJ40" s="208">
        <f t="shared" si="8"/>
        <v>3410422.4253449305</v>
      </c>
      <c r="AK40" s="208">
        <f t="shared" si="3"/>
        <v>450774.95313081343</v>
      </c>
      <c r="AL40" s="235"/>
      <c r="AM40" s="52">
        <f t="shared" si="4"/>
        <v>1</v>
      </c>
      <c r="AN40" s="52">
        <f t="shared" si="5"/>
        <v>0</v>
      </c>
      <c r="AO40" s="52">
        <f t="shared" si="6"/>
        <v>1</v>
      </c>
      <c r="AP40" s="235"/>
      <c r="AQ40" s="45">
        <v>13000</v>
      </c>
      <c r="AR40" s="45">
        <v>0.05</v>
      </c>
      <c r="AS40" s="45">
        <v>0.95</v>
      </c>
      <c r="AT40" s="45">
        <v>0.05</v>
      </c>
      <c r="AU40" s="235"/>
      <c r="AV40" s="360">
        <f t="shared" si="9"/>
        <v>3861197.3784757443</v>
      </c>
      <c r="AW40" s="235"/>
      <c r="AX40" s="354"/>
      <c r="AY40" s="14"/>
      <c r="AZ40" s="14">
        <f t="shared" si="11"/>
        <v>7736.0751896279544</v>
      </c>
      <c r="BA40" s="14">
        <f t="shared" si="10"/>
        <v>0.48264318770572778</v>
      </c>
      <c r="BB40" s="14">
        <f t="shared" si="2"/>
        <v>16028.559786375177</v>
      </c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3"/>
      <c r="CT40" s="3"/>
      <c r="CU40" s="3"/>
      <c r="CV40" s="3"/>
      <c r="CW40" s="3"/>
    </row>
    <row r="41" spans="1:101" ht="14.25" customHeight="1" x14ac:dyDescent="0.2">
      <c r="A41" s="328"/>
      <c r="B41" s="52">
        <v>0.17857293816468667</v>
      </c>
      <c r="C41" s="330">
        <v>0.34460842075781684</v>
      </c>
      <c r="D41" s="330">
        <v>2.9767007773373044E-2</v>
      </c>
      <c r="E41" s="330">
        <v>6.2096190972323233E-3</v>
      </c>
      <c r="F41" s="331">
        <v>0.80641382108344883</v>
      </c>
      <c r="G41" s="94">
        <v>0.36739319713051494</v>
      </c>
      <c r="H41" s="330">
        <v>0.62984667864159172</v>
      </c>
      <c r="I41" s="330">
        <v>2.2615598835228901E-2</v>
      </c>
      <c r="J41" s="330">
        <v>0.55212299032956558</v>
      </c>
      <c r="K41" s="330">
        <v>0.72132641091562677</v>
      </c>
      <c r="L41" s="332">
        <v>10409.882208502531</v>
      </c>
      <c r="M41" s="330">
        <v>0</v>
      </c>
      <c r="N41" s="330">
        <v>22649.658007191458</v>
      </c>
      <c r="O41" s="330">
        <v>1508.7240913165886</v>
      </c>
      <c r="P41" s="330">
        <v>60526.829907389481</v>
      </c>
      <c r="Q41" s="333">
        <v>122529.35984918065</v>
      </c>
      <c r="R41" s="330">
        <v>17084.696897524747</v>
      </c>
      <c r="S41" s="330">
        <v>10091.857607836857</v>
      </c>
      <c r="T41" s="332">
        <v>0.89942553537912973</v>
      </c>
      <c r="U41" s="330">
        <v>0.61820660108121273</v>
      </c>
      <c r="V41" s="330">
        <v>0.50917186849325091</v>
      </c>
      <c r="W41" s="330">
        <v>0.96591422601724763</v>
      </c>
      <c r="X41" s="330">
        <v>0.99605618623069114</v>
      </c>
      <c r="Y41" s="330">
        <v>0</v>
      </c>
      <c r="Z41" s="331">
        <v>0</v>
      </c>
      <c r="AA41" s="235"/>
      <c r="AB41" s="52">
        <v>99717.764180468017</v>
      </c>
      <c r="AC41" s="330">
        <v>4.8852063985211789</v>
      </c>
      <c r="AD41" s="330">
        <v>83985.121618759033</v>
      </c>
      <c r="AE41" s="330">
        <v>4.4649280064064865</v>
      </c>
      <c r="AF41" s="330">
        <v>15732.642561708984</v>
      </c>
      <c r="AG41" s="331">
        <v>0.42027839211469242</v>
      </c>
      <c r="AH41" s="235"/>
      <c r="AI41" s="208">
        <f t="shared" si="7"/>
        <v>4541228.3144146511</v>
      </c>
      <c r="AJ41" s="208">
        <f t="shared" si="8"/>
        <v>4157696.484467403</v>
      </c>
      <c r="AK41" s="208">
        <f t="shared" si="3"/>
        <v>383531.8299472488</v>
      </c>
      <c r="AL41" s="235"/>
      <c r="AM41" s="52">
        <f t="shared" si="4"/>
        <v>1</v>
      </c>
      <c r="AN41" s="52">
        <f t="shared" si="5"/>
        <v>0</v>
      </c>
      <c r="AO41" s="52">
        <f t="shared" si="6"/>
        <v>1</v>
      </c>
      <c r="AP41" s="235"/>
      <c r="AQ41" s="45">
        <v>14000</v>
      </c>
      <c r="AR41" s="45">
        <v>5.8999999999999997E-2</v>
      </c>
      <c r="AS41" s="45">
        <v>0.94099999999999995</v>
      </c>
      <c r="AT41" s="45">
        <v>5.8999999999999997E-2</v>
      </c>
      <c r="AU41" s="235"/>
      <c r="AV41" s="360">
        <f t="shared" si="9"/>
        <v>4541228.3144146511</v>
      </c>
      <c r="AW41" s="235"/>
      <c r="AX41" s="354"/>
      <c r="AY41" s="14"/>
      <c r="AZ41" s="14">
        <f t="shared" si="11"/>
        <v>15732.642561708984</v>
      </c>
      <c r="BA41" s="14">
        <f t="shared" si="10"/>
        <v>0.42027839211469242</v>
      </c>
      <c r="BB41" s="14">
        <f t="shared" si="2"/>
        <v>37433.860167180814</v>
      </c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3"/>
      <c r="CT41" s="3"/>
      <c r="CU41" s="3"/>
      <c r="CV41" s="3"/>
      <c r="CW41" s="3"/>
    </row>
    <row r="42" spans="1:101" ht="14.25" customHeight="1" x14ac:dyDescent="0.2">
      <c r="A42" s="328"/>
      <c r="B42" s="52">
        <v>0.16318459290504062</v>
      </c>
      <c r="C42" s="330">
        <v>0.67733177839158265</v>
      </c>
      <c r="D42" s="330">
        <v>1.4529696667369363E-2</v>
      </c>
      <c r="E42" s="330">
        <v>1.305547513432178E-2</v>
      </c>
      <c r="F42" s="331">
        <v>0.78717258350744446</v>
      </c>
      <c r="G42" s="94">
        <v>0.39225597294641545</v>
      </c>
      <c r="H42" s="330">
        <v>0.17337148131597813</v>
      </c>
      <c r="I42" s="330">
        <v>6.1325591906687293E-2</v>
      </c>
      <c r="J42" s="330">
        <v>0.99999999693859598</v>
      </c>
      <c r="K42" s="330">
        <v>0.74701983345955481</v>
      </c>
      <c r="L42" s="332">
        <v>13006.300606045155</v>
      </c>
      <c r="M42" s="330">
        <v>0</v>
      </c>
      <c r="N42" s="330">
        <v>25668.255474178997</v>
      </c>
      <c r="O42" s="330">
        <v>1519.3114729131046</v>
      </c>
      <c r="P42" s="330">
        <v>53339.332094789039</v>
      </c>
      <c r="Q42" s="333">
        <v>128409.48325678236</v>
      </c>
      <c r="R42" s="330">
        <v>24830.732047268328</v>
      </c>
      <c r="S42" s="330">
        <v>9802.1399389234721</v>
      </c>
      <c r="T42" s="332">
        <v>0.58432452059656448</v>
      </c>
      <c r="U42" s="330">
        <v>0.63868919185533013</v>
      </c>
      <c r="V42" s="330">
        <v>0.7313154021172058</v>
      </c>
      <c r="W42" s="330">
        <v>0.99962826562578244</v>
      </c>
      <c r="X42" s="330">
        <v>0.96989852068851079</v>
      </c>
      <c r="Y42" s="330">
        <v>0</v>
      </c>
      <c r="Z42" s="331">
        <v>0</v>
      </c>
      <c r="AA42" s="235"/>
      <c r="AB42" s="52">
        <v>99107.600864654814</v>
      </c>
      <c r="AC42" s="330">
        <v>4.6950269100685684</v>
      </c>
      <c r="AD42" s="330">
        <v>86153.397180934611</v>
      </c>
      <c r="AE42" s="330">
        <v>4.4011542730511897</v>
      </c>
      <c r="AF42" s="330">
        <v>12954.203683720203</v>
      </c>
      <c r="AG42" s="331">
        <v>0.29387263701737876</v>
      </c>
      <c r="AH42" s="235"/>
      <c r="AI42" s="208">
        <f t="shared" si="7"/>
        <v>4361167.9637004854</v>
      </c>
      <c r="AJ42" s="208">
        <f t="shared" si="8"/>
        <v>4094943.1622176957</v>
      </c>
      <c r="AK42" s="208">
        <f t="shared" si="3"/>
        <v>266224.80148278963</v>
      </c>
      <c r="AL42" s="235"/>
      <c r="AM42" s="52">
        <f t="shared" si="4"/>
        <v>1</v>
      </c>
      <c r="AN42" s="52">
        <f t="shared" si="5"/>
        <v>0</v>
      </c>
      <c r="AO42" s="52">
        <f t="shared" si="6"/>
        <v>1</v>
      </c>
      <c r="AP42" s="235"/>
      <c r="AQ42" s="45">
        <v>15000</v>
      </c>
      <c r="AR42" s="45">
        <v>6.6000000000000003E-2</v>
      </c>
      <c r="AS42" s="45">
        <v>0.93400000000000005</v>
      </c>
      <c r="AT42" s="45">
        <v>6.6000000000000003E-2</v>
      </c>
      <c r="AU42" s="235"/>
      <c r="AV42" s="360">
        <f t="shared" si="9"/>
        <v>4361167.9637004854</v>
      </c>
      <c r="AW42" s="235"/>
      <c r="AX42" s="354"/>
      <c r="AY42" s="14"/>
      <c r="AZ42" s="14">
        <f t="shared" si="11"/>
        <v>12954.203683720203</v>
      </c>
      <c r="BA42" s="14">
        <f t="shared" si="10"/>
        <v>0.29387263701737876</v>
      </c>
      <c r="BB42" s="14">
        <f t="shared" si="2"/>
        <v>44081.01351387176</v>
      </c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3"/>
      <c r="CT42" s="3"/>
      <c r="CU42" s="3"/>
      <c r="CV42" s="3"/>
      <c r="CW42" s="3"/>
    </row>
    <row r="43" spans="1:101" ht="14.25" customHeight="1" x14ac:dyDescent="0.2">
      <c r="A43" s="328"/>
      <c r="B43" s="52">
        <v>0.17380878989118032</v>
      </c>
      <c r="C43" s="330">
        <v>0.50994897471326983</v>
      </c>
      <c r="D43" s="330">
        <v>2.1284921824638814E-2</v>
      </c>
      <c r="E43" s="330">
        <v>9.5719764596245999E-3</v>
      </c>
      <c r="F43" s="331">
        <v>0.77781351218184325</v>
      </c>
      <c r="G43" s="94">
        <v>0.43119858142891465</v>
      </c>
      <c r="H43" s="330">
        <v>0.8656372732897164</v>
      </c>
      <c r="I43" s="330">
        <v>9.3186806664993672E-3</v>
      </c>
      <c r="J43" s="330">
        <v>0.98960715026914625</v>
      </c>
      <c r="K43" s="330">
        <v>0.74006401276185463</v>
      </c>
      <c r="L43" s="332">
        <v>13682.250376541977</v>
      </c>
      <c r="M43" s="330">
        <v>0</v>
      </c>
      <c r="N43" s="330">
        <v>23798.143009996613</v>
      </c>
      <c r="O43" s="330">
        <v>959.48758228253837</v>
      </c>
      <c r="P43" s="330">
        <v>37628.222574733329</v>
      </c>
      <c r="Q43" s="333">
        <v>107817.21879387408</v>
      </c>
      <c r="R43" s="330">
        <v>22252.908569260664</v>
      </c>
      <c r="S43" s="330">
        <v>6516.1361151205574</v>
      </c>
      <c r="T43" s="332">
        <v>0.9981338075107713</v>
      </c>
      <c r="U43" s="330">
        <v>0.39684725043605568</v>
      </c>
      <c r="V43" s="330">
        <v>0.96225982765901197</v>
      </c>
      <c r="W43" s="330">
        <v>0.99999344934957524</v>
      </c>
      <c r="X43" s="330">
        <v>0.9938311357700762</v>
      </c>
      <c r="Y43" s="330">
        <v>0</v>
      </c>
      <c r="Z43" s="331">
        <v>0</v>
      </c>
      <c r="AA43" s="235"/>
      <c r="AB43" s="52">
        <v>70611.934122000996</v>
      </c>
      <c r="AC43" s="330">
        <v>4.779988418385261</v>
      </c>
      <c r="AD43" s="330">
        <v>61115.407644677318</v>
      </c>
      <c r="AE43" s="330">
        <v>4.4858058339797475</v>
      </c>
      <c r="AF43" s="330">
        <v>9496.5264773236777</v>
      </c>
      <c r="AG43" s="331">
        <v>0.29418258440551348</v>
      </c>
      <c r="AH43" s="235"/>
      <c r="AI43" s="208">
        <f t="shared" si="7"/>
        <v>4470377.0633439971</v>
      </c>
      <c r="AJ43" s="208">
        <f t="shared" si="8"/>
        <v>4200400.1346360836</v>
      </c>
      <c r="AK43" s="208">
        <f t="shared" si="3"/>
        <v>269976.92870791414</v>
      </c>
      <c r="AL43" s="235"/>
      <c r="AM43" s="52">
        <f t="shared" si="4"/>
        <v>1</v>
      </c>
      <c r="AN43" s="52">
        <f t="shared" si="5"/>
        <v>0</v>
      </c>
      <c r="AO43" s="52">
        <f t="shared" si="6"/>
        <v>1</v>
      </c>
      <c r="AP43" s="235"/>
      <c r="AQ43" s="45">
        <v>16000</v>
      </c>
      <c r="AR43" s="45">
        <v>7.0999999999999994E-2</v>
      </c>
      <c r="AS43" s="45">
        <v>0.92900000000000005</v>
      </c>
      <c r="AT43" s="45">
        <v>7.0999999999999994E-2</v>
      </c>
      <c r="AU43" s="235"/>
      <c r="AV43" s="360">
        <f t="shared" si="9"/>
        <v>4470377.0633439971</v>
      </c>
      <c r="AW43" s="235"/>
      <c r="AX43" s="354"/>
      <c r="AY43" s="14"/>
      <c r="AZ43" s="14">
        <f t="shared" si="11"/>
        <v>9496.5264773236777</v>
      </c>
      <c r="BA43" s="14">
        <f t="shared" si="10"/>
        <v>0.29418258440551348</v>
      </c>
      <c r="BB43" s="14">
        <f t="shared" si="2"/>
        <v>32281.062784577593</v>
      </c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3"/>
      <c r="CT43" s="3"/>
      <c r="CU43" s="3"/>
      <c r="CV43" s="3"/>
      <c r="CW43" s="3"/>
    </row>
    <row r="44" spans="1:101" ht="14.25" customHeight="1" x14ac:dyDescent="0.2">
      <c r="A44" s="328"/>
      <c r="B44" s="52">
        <v>0.1556436359901931</v>
      </c>
      <c r="C44" s="330">
        <v>0.25837456666831649</v>
      </c>
      <c r="D44" s="330">
        <v>1.2407959453635256E-2</v>
      </c>
      <c r="E44" s="330">
        <v>1.6202234663471149E-2</v>
      </c>
      <c r="F44" s="331">
        <v>0.80407919184503407</v>
      </c>
      <c r="G44" s="94">
        <v>0.41282981174217892</v>
      </c>
      <c r="H44" s="330">
        <v>0.17227960983237639</v>
      </c>
      <c r="I44" s="330">
        <v>1.1323097197334823E-2</v>
      </c>
      <c r="J44" s="330">
        <v>0.37788855400770888</v>
      </c>
      <c r="K44" s="330">
        <v>0.74950626861383307</v>
      </c>
      <c r="L44" s="332">
        <v>11139.226355047034</v>
      </c>
      <c r="M44" s="330">
        <v>0</v>
      </c>
      <c r="N44" s="330">
        <v>13288.450200938429</v>
      </c>
      <c r="O44" s="330">
        <v>1140.5100842477111</v>
      </c>
      <c r="P44" s="330">
        <v>32589.145142600628</v>
      </c>
      <c r="Q44" s="333">
        <v>76153.934534910295</v>
      </c>
      <c r="R44" s="330">
        <v>26191.759593270213</v>
      </c>
      <c r="S44" s="330">
        <v>7941.1439195957037</v>
      </c>
      <c r="T44" s="332">
        <v>0.99223556194066354</v>
      </c>
      <c r="U44" s="330">
        <v>0.99950778943087193</v>
      </c>
      <c r="V44" s="330">
        <v>0.99901144665141306</v>
      </c>
      <c r="W44" s="330">
        <v>0.97799385065476452</v>
      </c>
      <c r="X44" s="330">
        <v>0.99220020113727914</v>
      </c>
      <c r="Y44" s="330">
        <v>0</v>
      </c>
      <c r="Z44" s="331">
        <v>0</v>
      </c>
      <c r="AA44" s="235"/>
      <c r="AB44" s="52">
        <v>81040.752950432521</v>
      </c>
      <c r="AC44" s="330">
        <v>4.8686358216438199</v>
      </c>
      <c r="AD44" s="330">
        <v>66652.82874901536</v>
      </c>
      <c r="AE44" s="330">
        <v>4.5712260210550442</v>
      </c>
      <c r="AF44" s="330">
        <v>14387.924201417161</v>
      </c>
      <c r="AG44" s="331">
        <v>0.29740980058877575</v>
      </c>
      <c r="AH44" s="235"/>
      <c r="AI44" s="208">
        <f t="shared" si="7"/>
        <v>4544163.277611196</v>
      </c>
      <c r="AJ44" s="208">
        <f t="shared" si="8"/>
        <v>4276011.8912532767</v>
      </c>
      <c r="AK44" s="208">
        <f t="shared" si="3"/>
        <v>268151.38635791978</v>
      </c>
      <c r="AL44" s="235"/>
      <c r="AM44" s="52">
        <f t="shared" si="4"/>
        <v>1</v>
      </c>
      <c r="AN44" s="52">
        <f t="shared" si="5"/>
        <v>0</v>
      </c>
      <c r="AO44" s="52">
        <f t="shared" si="6"/>
        <v>1</v>
      </c>
      <c r="AP44" s="235"/>
      <c r="AQ44" s="45">
        <v>17000</v>
      </c>
      <c r="AR44" s="45">
        <v>8.1000000000000003E-2</v>
      </c>
      <c r="AS44" s="45">
        <v>0.91900000000000004</v>
      </c>
      <c r="AT44" s="45">
        <v>8.1000000000000003E-2</v>
      </c>
      <c r="AU44" s="235"/>
      <c r="AV44" s="360">
        <f t="shared" si="9"/>
        <v>4544163.277611196</v>
      </c>
      <c r="AW44" s="235"/>
      <c r="AX44" s="354"/>
      <c r="AY44" s="14"/>
      <c r="AZ44" s="14">
        <f t="shared" si="11"/>
        <v>14387.924201417161</v>
      </c>
      <c r="BA44" s="14">
        <f t="shared" si="10"/>
        <v>0.29740980058877575</v>
      </c>
      <c r="BB44" s="14">
        <f t="shared" si="2"/>
        <v>48377.438043177121</v>
      </c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3"/>
      <c r="CT44" s="3"/>
      <c r="CU44" s="3"/>
      <c r="CV44" s="3"/>
      <c r="CW44" s="3"/>
    </row>
    <row r="45" spans="1:101" ht="14.25" customHeight="1" x14ac:dyDescent="0.2">
      <c r="A45" s="328"/>
      <c r="B45" s="52">
        <v>0.16827001525050256</v>
      </c>
      <c r="C45" s="330">
        <v>2.9858635605727584E-2</v>
      </c>
      <c r="D45" s="330">
        <v>9.6648064900238355E-3</v>
      </c>
      <c r="E45" s="330">
        <v>1.9412292144618482E-2</v>
      </c>
      <c r="F45" s="331">
        <v>0.7486694062953998</v>
      </c>
      <c r="G45" s="94">
        <v>0.36433528272667109</v>
      </c>
      <c r="H45" s="330">
        <v>0.38176458629369886</v>
      </c>
      <c r="I45" s="330">
        <v>1.883551008766815E-2</v>
      </c>
      <c r="J45" s="330">
        <v>0.12551286061470301</v>
      </c>
      <c r="K45" s="330">
        <v>0.77329089644866178</v>
      </c>
      <c r="L45" s="332">
        <v>10702.997546613618</v>
      </c>
      <c r="M45" s="330">
        <v>0</v>
      </c>
      <c r="N45" s="330">
        <v>16768.281172891449</v>
      </c>
      <c r="O45" s="330">
        <v>813.58708949388665</v>
      </c>
      <c r="P45" s="330">
        <v>43305.961083443617</v>
      </c>
      <c r="Q45" s="333">
        <v>102086.27137700531</v>
      </c>
      <c r="R45" s="330">
        <v>15450.846583238173</v>
      </c>
      <c r="S45" s="330">
        <v>12521.453573006758</v>
      </c>
      <c r="T45" s="332">
        <v>0.50455461766879006</v>
      </c>
      <c r="U45" s="330">
        <v>0.99275414464438572</v>
      </c>
      <c r="V45" s="330">
        <v>0.95984555917010939</v>
      </c>
      <c r="W45" s="330">
        <v>0.95716134770013661</v>
      </c>
      <c r="X45" s="330">
        <v>0.22196400643293149</v>
      </c>
      <c r="Y45" s="330">
        <v>0</v>
      </c>
      <c r="Z45" s="331">
        <v>0</v>
      </c>
      <c r="AA45" s="235"/>
      <c r="AB45" s="52">
        <v>111684.61684659643</v>
      </c>
      <c r="AC45" s="330">
        <v>1.1668734131675105</v>
      </c>
      <c r="AD45" s="330">
        <v>107068.04584106184</v>
      </c>
      <c r="AE45" s="330">
        <v>1.0561127232465115</v>
      </c>
      <c r="AF45" s="330">
        <v>4616.5710055345844</v>
      </c>
      <c r="AG45" s="331">
        <v>0.11076068992099897</v>
      </c>
      <c r="AH45" s="235"/>
      <c r="AI45" s="208">
        <f t="shared" si="7"/>
        <v>996845.12566253857</v>
      </c>
      <c r="AJ45" s="208">
        <f t="shared" si="8"/>
        <v>896239.04124312405</v>
      </c>
      <c r="AK45" s="208">
        <f t="shared" si="3"/>
        <v>100606.08441941443</v>
      </c>
      <c r="AL45" s="235"/>
      <c r="AM45" s="52">
        <f t="shared" si="4"/>
        <v>1</v>
      </c>
      <c r="AN45" s="52">
        <f t="shared" si="5"/>
        <v>0</v>
      </c>
      <c r="AO45" s="52">
        <f t="shared" si="6"/>
        <v>1</v>
      </c>
      <c r="AP45" s="235"/>
      <c r="AQ45" s="45">
        <v>18000</v>
      </c>
      <c r="AR45" s="45">
        <v>0.09</v>
      </c>
      <c r="AS45" s="45">
        <v>0.91</v>
      </c>
      <c r="AT45" s="45">
        <v>0.09</v>
      </c>
      <c r="AU45" s="235"/>
      <c r="AV45" s="360">
        <f t="shared" si="9"/>
        <v>996845.12566253857</v>
      </c>
      <c r="AW45" s="235"/>
      <c r="AX45" s="354"/>
      <c r="AY45" s="14"/>
      <c r="AZ45" s="14">
        <f t="shared" si="11"/>
        <v>4616.5710055345844</v>
      </c>
      <c r="BA45" s="14">
        <f t="shared" si="10"/>
        <v>0.11076068992099897</v>
      </c>
      <c r="BB45" s="14">
        <f t="shared" si="2"/>
        <v>41680.590910253399</v>
      </c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3"/>
      <c r="CT45" s="3"/>
      <c r="CU45" s="3"/>
      <c r="CV45" s="3"/>
      <c r="CW45" s="3"/>
    </row>
    <row r="46" spans="1:101" ht="14.25" customHeight="1" x14ac:dyDescent="0.2">
      <c r="A46" s="328"/>
      <c r="B46" s="52">
        <v>0.13322312426735861</v>
      </c>
      <c r="C46" s="330">
        <v>0.52677621479900505</v>
      </c>
      <c r="D46" s="330">
        <v>1.1163488109809182E-2</v>
      </c>
      <c r="E46" s="330">
        <v>1.0134341188529516E-2</v>
      </c>
      <c r="F46" s="331">
        <v>0.80991350017474018</v>
      </c>
      <c r="G46" s="94">
        <v>0.38247383897307685</v>
      </c>
      <c r="H46" s="330">
        <v>7.1028405457900526E-2</v>
      </c>
      <c r="I46" s="330">
        <v>7.8465018450927116E-3</v>
      </c>
      <c r="J46" s="330">
        <v>0.99994906335697853</v>
      </c>
      <c r="K46" s="330">
        <v>0.73230720070620614</v>
      </c>
      <c r="L46" s="332">
        <v>10520.106313771414</v>
      </c>
      <c r="M46" s="330">
        <v>0</v>
      </c>
      <c r="N46" s="330">
        <v>19996.739043691741</v>
      </c>
      <c r="O46" s="330">
        <v>1067.2093690651461</v>
      </c>
      <c r="P46" s="330">
        <v>29482.746424259993</v>
      </c>
      <c r="Q46" s="333">
        <v>92751.300367022079</v>
      </c>
      <c r="R46" s="330">
        <v>22803.442498162152</v>
      </c>
      <c r="S46" s="330">
        <v>7937.5775570080759</v>
      </c>
      <c r="T46" s="332">
        <v>0.99835769261160068</v>
      </c>
      <c r="U46" s="330">
        <v>0.99877391669490967</v>
      </c>
      <c r="V46" s="330">
        <v>0.69118370411291818</v>
      </c>
      <c r="W46" s="330">
        <v>0.99864817958434737</v>
      </c>
      <c r="X46" s="330">
        <v>0.52793607687057786</v>
      </c>
      <c r="Y46" s="330">
        <v>0</v>
      </c>
      <c r="Z46" s="331">
        <v>0</v>
      </c>
      <c r="AA46" s="235"/>
      <c r="AB46" s="52">
        <v>81389.705780663004</v>
      </c>
      <c r="AC46" s="330">
        <v>2.6778204171922866</v>
      </c>
      <c r="AD46" s="330">
        <v>63863.610369725982</v>
      </c>
      <c r="AE46" s="330">
        <v>2.7324405416979163</v>
      </c>
      <c r="AF46" s="330">
        <v>17526.095410937021</v>
      </c>
      <c r="AG46" s="331">
        <v>-5.4620124505629697E-2</v>
      </c>
      <c r="AH46" s="235"/>
      <c r="AI46" s="208">
        <f t="shared" si="7"/>
        <v>2462539.6905520093</v>
      </c>
      <c r="AJ46" s="208">
        <f t="shared" si="8"/>
        <v>2531954.9042432946</v>
      </c>
      <c r="AK46" s="208">
        <f t="shared" si="3"/>
        <v>-69415.213691285229</v>
      </c>
      <c r="AL46" s="235"/>
      <c r="AM46" s="52">
        <f t="shared" si="4"/>
        <v>0</v>
      </c>
      <c r="AN46" s="52">
        <f t="shared" si="5"/>
        <v>1</v>
      </c>
      <c r="AO46" s="52">
        <f t="shared" si="6"/>
        <v>0</v>
      </c>
      <c r="AP46" s="235"/>
      <c r="AQ46" s="45">
        <v>19000</v>
      </c>
      <c r="AR46" s="45">
        <v>0.10100000000000001</v>
      </c>
      <c r="AS46" s="45">
        <v>0.89900000000000002</v>
      </c>
      <c r="AT46" s="45">
        <v>0.10100000000000001</v>
      </c>
      <c r="AU46" s="235"/>
      <c r="AV46" s="360">
        <f t="shared" si="9"/>
        <v>2531954.9042432946</v>
      </c>
      <c r="AW46" s="235"/>
      <c r="AX46" s="354"/>
      <c r="AY46" s="14"/>
      <c r="AZ46" s="14">
        <f t="shared" si="11"/>
        <v>17526.095410937021</v>
      </c>
      <c r="BA46" s="14">
        <f t="shared" si="10"/>
        <v>-5.4620124505629697E-2</v>
      </c>
      <c r="BB46" s="14">
        <f t="shared" si="2"/>
        <v>-320872.49103818147</v>
      </c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3"/>
      <c r="CT46" s="3"/>
      <c r="CU46" s="3"/>
      <c r="CV46" s="3"/>
      <c r="CW46" s="3"/>
    </row>
    <row r="47" spans="1:101" ht="14.25" customHeight="1" x14ac:dyDescent="0.2">
      <c r="A47" s="328"/>
      <c r="B47" s="52">
        <v>0.14446484540355739</v>
      </c>
      <c r="C47" s="330">
        <v>0.10863534913320208</v>
      </c>
      <c r="D47" s="330">
        <v>2.5142137669211362E-2</v>
      </c>
      <c r="E47" s="330">
        <v>1.0855747817445648E-2</v>
      </c>
      <c r="F47" s="331">
        <v>0.83022146127465601</v>
      </c>
      <c r="G47" s="94">
        <v>0.35346583446806734</v>
      </c>
      <c r="H47" s="330">
        <v>0.1072144878685535</v>
      </c>
      <c r="I47" s="330">
        <v>1.1189453105196258E-2</v>
      </c>
      <c r="J47" s="330">
        <v>0.99999645327151598</v>
      </c>
      <c r="K47" s="330">
        <v>0.71455893938936799</v>
      </c>
      <c r="L47" s="332">
        <v>16598.437942874585</v>
      </c>
      <c r="M47" s="330">
        <v>0</v>
      </c>
      <c r="N47" s="330">
        <v>20495.443495185453</v>
      </c>
      <c r="O47" s="330">
        <v>1319.209270798485</v>
      </c>
      <c r="P47" s="330">
        <v>40828.105590627951</v>
      </c>
      <c r="Q47" s="333">
        <v>88296.192887749407</v>
      </c>
      <c r="R47" s="330">
        <v>18808.392909674556</v>
      </c>
      <c r="S47" s="330">
        <v>8303.1676033414606</v>
      </c>
      <c r="T47" s="332">
        <v>0.21536537283182158</v>
      </c>
      <c r="U47" s="330">
        <v>0.91831761793321498</v>
      </c>
      <c r="V47" s="330">
        <v>0.16767943349376027</v>
      </c>
      <c r="W47" s="330">
        <v>0.99749193569560235</v>
      </c>
      <c r="X47" s="330">
        <v>0.98447423893649244</v>
      </c>
      <c r="Y47" s="330">
        <v>0</v>
      </c>
      <c r="Z47" s="331">
        <v>0</v>
      </c>
      <c r="AA47" s="235"/>
      <c r="AB47" s="52">
        <v>91382.71819830648</v>
      </c>
      <c r="AC47" s="330">
        <v>4.9377059451903165</v>
      </c>
      <c r="AD47" s="330">
        <v>65440.431492982505</v>
      </c>
      <c r="AE47" s="330">
        <v>4.3650645046329828</v>
      </c>
      <c r="AF47" s="330">
        <v>25942.286705323975</v>
      </c>
      <c r="AG47" s="331">
        <v>0.57264144055733368</v>
      </c>
      <c r="AH47" s="235"/>
      <c r="AI47" s="208">
        <f t="shared" si="7"/>
        <v>4599437.9297324941</v>
      </c>
      <c r="AJ47" s="208">
        <f t="shared" si="8"/>
        <v>4081370.8479083511</v>
      </c>
      <c r="AK47" s="208">
        <f t="shared" si="3"/>
        <v>518067.08182414307</v>
      </c>
      <c r="AL47" s="235"/>
      <c r="AM47" s="52">
        <f t="shared" si="4"/>
        <v>1</v>
      </c>
      <c r="AN47" s="52">
        <f t="shared" si="5"/>
        <v>0</v>
      </c>
      <c r="AO47" s="52">
        <f t="shared" si="6"/>
        <v>1</v>
      </c>
      <c r="AP47" s="235"/>
      <c r="AQ47" s="45">
        <v>20000</v>
      </c>
      <c r="AR47" s="45">
        <v>0.112</v>
      </c>
      <c r="AS47" s="45">
        <v>0.88800000000000001</v>
      </c>
      <c r="AT47" s="45">
        <v>0.112</v>
      </c>
      <c r="AU47" s="235"/>
      <c r="AV47" s="360">
        <f t="shared" si="9"/>
        <v>4599437.9297324941</v>
      </c>
      <c r="AW47" s="235"/>
      <c r="AX47" s="354"/>
      <c r="AY47" s="14"/>
      <c r="AZ47" s="14">
        <f t="shared" si="11"/>
        <v>25942.286705323975</v>
      </c>
      <c r="BA47" s="14">
        <f t="shared" si="10"/>
        <v>0.57264144055733368</v>
      </c>
      <c r="BB47" s="14">
        <f t="shared" si="2"/>
        <v>45302.845494512541</v>
      </c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3"/>
      <c r="CT47" s="3"/>
      <c r="CU47" s="3"/>
      <c r="CV47" s="3"/>
      <c r="CW47" s="3"/>
    </row>
    <row r="48" spans="1:101" ht="14.25" customHeight="1" x14ac:dyDescent="0.2">
      <c r="A48" s="328"/>
      <c r="B48" s="52">
        <v>0.15522062935075406</v>
      </c>
      <c r="C48" s="330">
        <v>0.57833733337936755</v>
      </c>
      <c r="D48" s="330">
        <v>5.6862586711538413E-3</v>
      </c>
      <c r="E48" s="330">
        <v>1.9227764591376095E-2</v>
      </c>
      <c r="F48" s="331">
        <v>0.77625343427971705</v>
      </c>
      <c r="G48" s="94">
        <v>0.35970063091551624</v>
      </c>
      <c r="H48" s="330">
        <v>3.6392032473578882E-2</v>
      </c>
      <c r="I48" s="330">
        <v>2.1448817007939436E-2</v>
      </c>
      <c r="J48" s="330">
        <v>0.74965884734271293</v>
      </c>
      <c r="K48" s="330">
        <v>0.74873935401139191</v>
      </c>
      <c r="L48" s="332">
        <v>9078.3000158137638</v>
      </c>
      <c r="M48" s="330">
        <v>0</v>
      </c>
      <c r="N48" s="330">
        <v>19283.240303753617</v>
      </c>
      <c r="O48" s="330">
        <v>1377.1944434496361</v>
      </c>
      <c r="P48" s="330">
        <v>36871.944346970879</v>
      </c>
      <c r="Q48" s="333">
        <v>118199.48135337602</v>
      </c>
      <c r="R48" s="330">
        <v>29648.809556821565</v>
      </c>
      <c r="S48" s="330">
        <v>8137.1132755296103</v>
      </c>
      <c r="T48" s="332">
        <v>0.97889453087549028</v>
      </c>
      <c r="U48" s="330">
        <v>0.46509212686001344</v>
      </c>
      <c r="V48" s="330">
        <v>0.78429306733093596</v>
      </c>
      <c r="W48" s="330">
        <v>0.69736130625582671</v>
      </c>
      <c r="X48" s="330">
        <v>0.94383601220917912</v>
      </c>
      <c r="Y48" s="330">
        <v>0</v>
      </c>
      <c r="Z48" s="331">
        <v>0</v>
      </c>
      <c r="AA48" s="235"/>
      <c r="AB48" s="52">
        <v>79842.333899036021</v>
      </c>
      <c r="AC48" s="330">
        <v>4.7960252354210544</v>
      </c>
      <c r="AD48" s="330">
        <v>67625.020817206445</v>
      </c>
      <c r="AE48" s="330">
        <v>4.3959743773134834</v>
      </c>
      <c r="AF48" s="330">
        <v>12217.313081829576</v>
      </c>
      <c r="AG48" s="331">
        <v>0.40005085810757102</v>
      </c>
      <c r="AH48" s="235"/>
      <c r="AI48" s="208">
        <f t="shared" si="7"/>
        <v>4476381.6397509659</v>
      </c>
      <c r="AJ48" s="208">
        <f t="shared" si="8"/>
        <v>4108550.6376306028</v>
      </c>
      <c r="AK48" s="208">
        <f t="shared" si="3"/>
        <v>367831.00212036289</v>
      </c>
      <c r="AL48" s="235"/>
      <c r="AM48" s="52">
        <f t="shared" si="4"/>
        <v>1</v>
      </c>
      <c r="AN48" s="52">
        <f t="shared" si="5"/>
        <v>0</v>
      </c>
      <c r="AO48" s="52">
        <f t="shared" si="6"/>
        <v>1</v>
      </c>
      <c r="AP48" s="235"/>
      <c r="AQ48" s="45">
        <v>21000</v>
      </c>
      <c r="AR48" s="45">
        <v>0.11700000000000001</v>
      </c>
      <c r="AS48" s="45">
        <v>0.88300000000000001</v>
      </c>
      <c r="AT48" s="45">
        <v>0.11700000000000001</v>
      </c>
      <c r="AU48" s="235"/>
      <c r="AV48" s="360">
        <f t="shared" si="9"/>
        <v>4476381.6397509659</v>
      </c>
      <c r="AW48" s="235"/>
      <c r="AX48" s="354"/>
      <c r="AY48" s="14"/>
      <c r="AZ48" s="14">
        <f t="shared" si="11"/>
        <v>12217.313081829576</v>
      </c>
      <c r="BA48" s="14">
        <f t="shared" si="10"/>
        <v>0.40005085810757102</v>
      </c>
      <c r="BB48" s="14">
        <f t="shared" si="2"/>
        <v>30539.399764378013</v>
      </c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3"/>
      <c r="CT48" s="3"/>
      <c r="CU48" s="3"/>
      <c r="CV48" s="3"/>
      <c r="CW48" s="3"/>
    </row>
    <row r="49" spans="1:101" ht="14.25" customHeight="1" x14ac:dyDescent="0.2">
      <c r="A49" s="328"/>
      <c r="B49" s="52">
        <v>0.16004900258551102</v>
      </c>
      <c r="C49" s="330">
        <v>0.38166136180701615</v>
      </c>
      <c r="D49" s="330">
        <v>2.8453865394971856E-2</v>
      </c>
      <c r="E49" s="330">
        <v>1.5203376891360088E-2</v>
      </c>
      <c r="F49" s="331">
        <v>0.76232201180776671</v>
      </c>
      <c r="G49" s="94">
        <v>0.35536075687357249</v>
      </c>
      <c r="H49" s="330">
        <v>0.53803333519204299</v>
      </c>
      <c r="I49" s="330">
        <v>1.1615210843508847E-2</v>
      </c>
      <c r="J49" s="330">
        <v>0.99997559441518491</v>
      </c>
      <c r="K49" s="330">
        <v>0.76095951288904329</v>
      </c>
      <c r="L49" s="332">
        <v>13558.392638987432</v>
      </c>
      <c r="M49" s="330">
        <v>0</v>
      </c>
      <c r="N49" s="330">
        <v>16812.77007774638</v>
      </c>
      <c r="O49" s="330">
        <v>1606.4387592315481</v>
      </c>
      <c r="P49" s="330">
        <v>46992.508349620679</v>
      </c>
      <c r="Q49" s="333">
        <v>104967.04015490797</v>
      </c>
      <c r="R49" s="330">
        <v>26602.954343185935</v>
      </c>
      <c r="S49" s="330">
        <v>10088.61438166681</v>
      </c>
      <c r="T49" s="332">
        <v>0.59709779678399666</v>
      </c>
      <c r="U49" s="330">
        <v>0.99908681144115241</v>
      </c>
      <c r="V49" s="330">
        <v>0.95749635588033599</v>
      </c>
      <c r="W49" s="330">
        <v>0.97989815431238514</v>
      </c>
      <c r="X49" s="330">
        <v>0.23955289669985183</v>
      </c>
      <c r="Y49" s="330">
        <v>0</v>
      </c>
      <c r="Z49" s="331">
        <v>0</v>
      </c>
      <c r="AA49" s="235"/>
      <c r="AB49" s="52">
        <v>98454.430865660979</v>
      </c>
      <c r="AC49" s="330">
        <v>1.4124984903994138</v>
      </c>
      <c r="AD49" s="330">
        <v>88720.641053443847</v>
      </c>
      <c r="AE49" s="330">
        <v>1.3013939417997527</v>
      </c>
      <c r="AF49" s="330">
        <v>9733.7898122171318</v>
      </c>
      <c r="AG49" s="331">
        <v>0.11110454859966112</v>
      </c>
      <c r="AH49" s="235"/>
      <c r="AI49" s="208">
        <f t="shared" si="7"/>
        <v>1243419.1350137822</v>
      </c>
      <c r="AJ49" s="208">
        <f t="shared" si="8"/>
        <v>1147603.6036563213</v>
      </c>
      <c r="AK49" s="208">
        <f t="shared" si="3"/>
        <v>95815.531357460932</v>
      </c>
      <c r="AL49" s="235"/>
      <c r="AM49" s="52">
        <f t="shared" si="4"/>
        <v>1</v>
      </c>
      <c r="AN49" s="52">
        <f t="shared" si="5"/>
        <v>0</v>
      </c>
      <c r="AO49" s="52">
        <f t="shared" si="6"/>
        <v>1</v>
      </c>
      <c r="AP49" s="235"/>
      <c r="AQ49" s="45">
        <v>22000</v>
      </c>
      <c r="AR49" s="45">
        <v>0.126</v>
      </c>
      <c r="AS49" s="45">
        <v>0.874</v>
      </c>
      <c r="AT49" s="45">
        <v>0.126</v>
      </c>
      <c r="AU49" s="235"/>
      <c r="AV49" s="360">
        <f t="shared" si="9"/>
        <v>1243419.1350137822</v>
      </c>
      <c r="AW49" s="235"/>
      <c r="AX49" s="354"/>
      <c r="AY49" s="14"/>
      <c r="AZ49" s="14">
        <f t="shared" si="11"/>
        <v>9733.7898122171318</v>
      </c>
      <c r="BA49" s="14">
        <f t="shared" si="10"/>
        <v>0.11110454859966112</v>
      </c>
      <c r="BB49" s="14">
        <f t="shared" si="2"/>
        <v>87609.282742244279</v>
      </c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3"/>
      <c r="CT49" s="3"/>
      <c r="CU49" s="3"/>
      <c r="CV49" s="3"/>
      <c r="CW49" s="3"/>
    </row>
    <row r="50" spans="1:101" ht="14.25" customHeight="1" x14ac:dyDescent="0.2">
      <c r="A50" s="328"/>
      <c r="B50" s="52">
        <v>0.16587304242456435</v>
      </c>
      <c r="C50" s="330">
        <v>0.66237440734532327</v>
      </c>
      <c r="D50" s="330">
        <v>2.4660086248183055E-2</v>
      </c>
      <c r="E50" s="330">
        <v>1.3856178792024986E-2</v>
      </c>
      <c r="F50" s="331">
        <v>0.7807839057511119</v>
      </c>
      <c r="G50" s="94">
        <v>0.36357642260359824</v>
      </c>
      <c r="H50" s="330">
        <v>0.31292541227836357</v>
      </c>
      <c r="I50" s="330">
        <v>7.1240562203711494E-3</v>
      </c>
      <c r="J50" s="330">
        <v>0.99999996677375336</v>
      </c>
      <c r="K50" s="330">
        <v>0.78227831551113924</v>
      </c>
      <c r="L50" s="332">
        <v>11512.70928811106</v>
      </c>
      <c r="M50" s="330">
        <v>0</v>
      </c>
      <c r="N50" s="330">
        <v>17832.846298435699</v>
      </c>
      <c r="O50" s="330">
        <v>1172.3094791678175</v>
      </c>
      <c r="P50" s="330">
        <v>35976.761313600291</v>
      </c>
      <c r="Q50" s="333">
        <v>122524.44627190477</v>
      </c>
      <c r="R50" s="330">
        <v>27910.061121037481</v>
      </c>
      <c r="S50" s="330">
        <v>9487.3867455291947</v>
      </c>
      <c r="T50" s="332">
        <v>0.99978223003088507</v>
      </c>
      <c r="U50" s="330">
        <v>0.9386967367313318</v>
      </c>
      <c r="V50" s="330">
        <v>0.36698349352302317</v>
      </c>
      <c r="W50" s="330">
        <v>0.28075843382595522</v>
      </c>
      <c r="X50" s="330">
        <v>0.96998229593368679</v>
      </c>
      <c r="Y50" s="330">
        <v>0</v>
      </c>
      <c r="Z50" s="331">
        <v>0</v>
      </c>
      <c r="AA50" s="235"/>
      <c r="AB50" s="52">
        <v>94770.529757547396</v>
      </c>
      <c r="AC50" s="330">
        <v>4.623656631407191</v>
      </c>
      <c r="AD50" s="330">
        <v>83728.412272713947</v>
      </c>
      <c r="AE50" s="330">
        <v>4.8703074430535835</v>
      </c>
      <c r="AF50" s="330">
        <v>11042.117484833449</v>
      </c>
      <c r="AG50" s="331">
        <v>-0.24665081164639258</v>
      </c>
      <c r="AH50" s="235"/>
      <c r="AI50" s="208">
        <f t="shared" si="7"/>
        <v>4297703.270079284</v>
      </c>
      <c r="AJ50" s="208">
        <f t="shared" si="8"/>
        <v>4543063.6586281899</v>
      </c>
      <c r="AK50" s="208">
        <f t="shared" si="3"/>
        <v>-245360.38854890637</v>
      </c>
      <c r="AL50" s="235"/>
      <c r="AM50" s="52">
        <f t="shared" si="4"/>
        <v>0</v>
      </c>
      <c r="AN50" s="52">
        <f t="shared" si="5"/>
        <v>1</v>
      </c>
      <c r="AO50" s="52">
        <f t="shared" si="6"/>
        <v>0</v>
      </c>
      <c r="AP50" s="235"/>
      <c r="AQ50" s="45">
        <v>23000</v>
      </c>
      <c r="AR50" s="45">
        <v>0.13900000000000001</v>
      </c>
      <c r="AS50" s="45">
        <v>0.86099999999999999</v>
      </c>
      <c r="AT50" s="45">
        <v>0.13900000000000001</v>
      </c>
      <c r="AU50" s="235"/>
      <c r="AV50" s="360">
        <f t="shared" si="9"/>
        <v>4543063.6586281899</v>
      </c>
      <c r="AW50" s="235"/>
      <c r="AX50" s="354"/>
      <c r="AY50" s="14"/>
      <c r="AZ50" s="14">
        <f t="shared" si="11"/>
        <v>11042.117484833449</v>
      </c>
      <c r="BA50" s="14">
        <f t="shared" si="10"/>
        <v>-0.24665081164639258</v>
      </c>
      <c r="BB50" s="14">
        <f t="shared" si="2"/>
        <v>-44768.218726414831</v>
      </c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3"/>
      <c r="CT50" s="3"/>
      <c r="CU50" s="3"/>
      <c r="CV50" s="3"/>
      <c r="CW50" s="3"/>
    </row>
    <row r="51" spans="1:101" ht="14.25" customHeight="1" x14ac:dyDescent="0.2">
      <c r="A51" s="328"/>
      <c r="B51" s="52">
        <v>0.16430746220077497</v>
      </c>
      <c r="C51" s="330">
        <v>0.18599917335870064</v>
      </c>
      <c r="D51" s="330">
        <v>2.0142592369751799E-2</v>
      </c>
      <c r="E51" s="330">
        <v>2.1068285296342637E-2</v>
      </c>
      <c r="F51" s="331">
        <v>0.78992290873813065</v>
      </c>
      <c r="G51" s="94">
        <v>0.373093299182646</v>
      </c>
      <c r="H51" s="330">
        <v>0.96358409585832849</v>
      </c>
      <c r="I51" s="330">
        <v>2.5966443189496702E-2</v>
      </c>
      <c r="J51" s="330">
        <v>0.14132165071423236</v>
      </c>
      <c r="K51" s="330">
        <v>0.82254958037667236</v>
      </c>
      <c r="L51" s="332">
        <v>12631.171137548034</v>
      </c>
      <c r="M51" s="330">
        <v>0</v>
      </c>
      <c r="N51" s="330">
        <v>19115.431532877781</v>
      </c>
      <c r="O51" s="330">
        <v>1090.9754706689012</v>
      </c>
      <c r="P51" s="330">
        <v>48480.786536837833</v>
      </c>
      <c r="Q51" s="333">
        <v>86492.506410636401</v>
      </c>
      <c r="R51" s="330">
        <v>23996.33534800967</v>
      </c>
      <c r="S51" s="330">
        <v>8634.2608294263719</v>
      </c>
      <c r="T51" s="332">
        <v>1.2003774764969092E-2</v>
      </c>
      <c r="U51" s="330">
        <v>0.95049892004299941</v>
      </c>
      <c r="V51" s="330">
        <v>0.91463869933323649</v>
      </c>
      <c r="W51" s="330">
        <v>0.22490483873255529</v>
      </c>
      <c r="X51" s="330">
        <v>0.99923482744596814</v>
      </c>
      <c r="Y51" s="330">
        <v>0</v>
      </c>
      <c r="Z51" s="331">
        <v>0</v>
      </c>
      <c r="AA51" s="235"/>
      <c r="AB51" s="52">
        <v>87026.041193716301</v>
      </c>
      <c r="AC51" s="330">
        <v>4.7751414112200115</v>
      </c>
      <c r="AD51" s="330">
        <v>85997.949576168307</v>
      </c>
      <c r="AE51" s="330">
        <v>5.2394210453944678</v>
      </c>
      <c r="AF51" s="330">
        <v>1028.0916175479942</v>
      </c>
      <c r="AG51" s="331">
        <v>-0.46427963417445639</v>
      </c>
      <c r="AH51" s="235"/>
      <c r="AI51" s="208">
        <f t="shared" si="7"/>
        <v>4449358.2994652949</v>
      </c>
      <c r="AJ51" s="208">
        <f t="shared" si="8"/>
        <v>4891452.0435485765</v>
      </c>
      <c r="AK51" s="208">
        <f t="shared" si="3"/>
        <v>-442093.74408328161</v>
      </c>
      <c r="AL51" s="235"/>
      <c r="AM51" s="52">
        <f t="shared" si="4"/>
        <v>0</v>
      </c>
      <c r="AN51" s="52">
        <f t="shared" si="5"/>
        <v>1</v>
      </c>
      <c r="AO51" s="52">
        <f t="shared" si="6"/>
        <v>0</v>
      </c>
      <c r="AP51" s="235"/>
      <c r="AQ51" s="45">
        <v>24000</v>
      </c>
      <c r="AR51" s="45">
        <v>0.14699999999999999</v>
      </c>
      <c r="AS51" s="45">
        <v>0.85299999999999998</v>
      </c>
      <c r="AT51" s="45">
        <v>0.14699999999999999</v>
      </c>
      <c r="AU51" s="235"/>
      <c r="AV51" s="360">
        <f t="shared" si="9"/>
        <v>4891452.0435485765</v>
      </c>
      <c r="AW51" s="235"/>
      <c r="AX51" s="354"/>
      <c r="AY51" s="14"/>
      <c r="AZ51" s="14">
        <f t="shared" si="11"/>
        <v>1028.0916175479942</v>
      </c>
      <c r="BA51" s="14">
        <f t="shared" si="10"/>
        <v>-0.46427963417445639</v>
      </c>
      <c r="BB51" s="14">
        <f t="shared" si="2"/>
        <v>-2214.3801749479312</v>
      </c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3"/>
      <c r="CT51" s="3"/>
      <c r="CU51" s="3"/>
      <c r="CV51" s="3"/>
      <c r="CW51" s="3"/>
    </row>
    <row r="52" spans="1:101" ht="14.25" customHeight="1" x14ac:dyDescent="0.2">
      <c r="A52" s="328"/>
      <c r="B52" s="52">
        <v>0.12652770711500971</v>
      </c>
      <c r="C52" s="330">
        <v>0.30518652303249083</v>
      </c>
      <c r="D52" s="330">
        <v>8.2121053104203014E-3</v>
      </c>
      <c r="E52" s="330">
        <v>1.0239735950313248E-2</v>
      </c>
      <c r="F52" s="331">
        <v>0.76417753831194701</v>
      </c>
      <c r="G52" s="94">
        <v>0.42792024275900886</v>
      </c>
      <c r="H52" s="330">
        <v>0.67844652937595762</v>
      </c>
      <c r="I52" s="330">
        <v>2.2063607239891314E-2</v>
      </c>
      <c r="J52" s="330">
        <v>0.999999999999996</v>
      </c>
      <c r="K52" s="330">
        <v>0.73472380311599372</v>
      </c>
      <c r="L52" s="332">
        <v>13395.176887544965</v>
      </c>
      <c r="M52" s="330">
        <v>0</v>
      </c>
      <c r="N52" s="330">
        <v>28833.806842020407</v>
      </c>
      <c r="O52" s="330">
        <v>1007.70741328523</v>
      </c>
      <c r="P52" s="330">
        <v>48182.515071025584</v>
      </c>
      <c r="Q52" s="333">
        <v>89829.772179810112</v>
      </c>
      <c r="R52" s="330">
        <v>27822.76071300426</v>
      </c>
      <c r="S52" s="330">
        <v>10244.210470246451</v>
      </c>
      <c r="T52" s="332">
        <v>0.6920500910075853</v>
      </c>
      <c r="U52" s="330">
        <v>0.99651056850286035</v>
      </c>
      <c r="V52" s="330">
        <v>0.99974315094058475</v>
      </c>
      <c r="W52" s="330">
        <v>0.68852160136930074</v>
      </c>
      <c r="X52" s="330">
        <v>0.89329483586112557</v>
      </c>
      <c r="Y52" s="330">
        <v>0</v>
      </c>
      <c r="Z52" s="331">
        <v>0</v>
      </c>
      <c r="AA52" s="235"/>
      <c r="AB52" s="52">
        <v>98699.524087200756</v>
      </c>
      <c r="AC52" s="330">
        <v>4.3714610528908189</v>
      </c>
      <c r="AD52" s="330">
        <v>90756.35665657252</v>
      </c>
      <c r="AE52" s="330">
        <v>4.1924127211206992</v>
      </c>
      <c r="AF52" s="330">
        <v>7943.1674306282366</v>
      </c>
      <c r="AG52" s="331">
        <v>0.1790483317701197</v>
      </c>
      <c r="AH52" s="235"/>
      <c r="AI52" s="208">
        <f t="shared" si="7"/>
        <v>4054188.4761590771</v>
      </c>
      <c r="AJ52" s="208">
        <f t="shared" si="8"/>
        <v>3892035.7284080917</v>
      </c>
      <c r="AK52" s="208">
        <f t="shared" si="3"/>
        <v>162152.74775098547</v>
      </c>
      <c r="AL52" s="235"/>
      <c r="AM52" s="52">
        <f t="shared" si="4"/>
        <v>1</v>
      </c>
      <c r="AN52" s="52">
        <f t="shared" si="5"/>
        <v>0</v>
      </c>
      <c r="AO52" s="52">
        <f t="shared" si="6"/>
        <v>1</v>
      </c>
      <c r="AP52" s="235"/>
      <c r="AQ52" s="45">
        <v>25000</v>
      </c>
      <c r="AR52" s="45">
        <v>0.16</v>
      </c>
      <c r="AS52" s="45">
        <v>0.84</v>
      </c>
      <c r="AT52" s="45">
        <v>0.16</v>
      </c>
      <c r="AU52" s="235"/>
      <c r="AV52" s="360">
        <f t="shared" si="9"/>
        <v>4054188.4761590771</v>
      </c>
      <c r="AW52" s="235"/>
      <c r="AX52" s="354"/>
      <c r="AY52" s="14"/>
      <c r="AZ52" s="14">
        <f t="shared" si="11"/>
        <v>7943.1674306282366</v>
      </c>
      <c r="BA52" s="14">
        <f t="shared" si="10"/>
        <v>0.1790483317701197</v>
      </c>
      <c r="BB52" s="14">
        <f t="shared" si="2"/>
        <v>44363.258524108875</v>
      </c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3"/>
      <c r="CT52" s="3"/>
      <c r="CU52" s="3"/>
      <c r="CV52" s="3"/>
      <c r="CW52" s="3"/>
    </row>
    <row r="53" spans="1:101" ht="14.25" customHeight="1" x14ac:dyDescent="0.2">
      <c r="A53" s="328"/>
      <c r="B53" s="52">
        <v>0.13500938447265004</v>
      </c>
      <c r="C53" s="330">
        <v>0.77720970659995459</v>
      </c>
      <c r="D53" s="330">
        <v>1.0510748969983628E-2</v>
      </c>
      <c r="E53" s="330">
        <v>1.3162015284059888E-2</v>
      </c>
      <c r="F53" s="331">
        <v>0.79385391275416362</v>
      </c>
      <c r="G53" s="94">
        <v>0.35372734227715757</v>
      </c>
      <c r="H53" s="330">
        <v>0.85881820610639692</v>
      </c>
      <c r="I53" s="330">
        <v>9.8854155605387819E-3</v>
      </c>
      <c r="J53" s="330">
        <v>1.6778725034921594E-3</v>
      </c>
      <c r="K53" s="330">
        <v>0.7220704475939419</v>
      </c>
      <c r="L53" s="332">
        <v>13927.797452635776</v>
      </c>
      <c r="M53" s="330">
        <v>0</v>
      </c>
      <c r="N53" s="330">
        <v>11814.692879797911</v>
      </c>
      <c r="O53" s="330">
        <v>1714.4610729594872</v>
      </c>
      <c r="P53" s="330">
        <v>40815.393900310468</v>
      </c>
      <c r="Q53" s="333">
        <v>76703.703809310304</v>
      </c>
      <c r="R53" s="330">
        <v>24923.528274877495</v>
      </c>
      <c r="S53" s="330">
        <v>9504.443527084617</v>
      </c>
      <c r="T53" s="332">
        <v>0.54623408562319509</v>
      </c>
      <c r="U53" s="330">
        <v>0.74086976706366159</v>
      </c>
      <c r="V53" s="330">
        <v>0.86192026561598101</v>
      </c>
      <c r="W53" s="330">
        <v>0.68489969773747805</v>
      </c>
      <c r="X53" s="330">
        <v>0.31197663892343885</v>
      </c>
      <c r="Y53" s="330">
        <v>0</v>
      </c>
      <c r="Z53" s="331">
        <v>0</v>
      </c>
      <c r="AA53" s="235"/>
      <c r="AB53" s="52">
        <v>97852.974960075444</v>
      </c>
      <c r="AC53" s="330">
        <v>1.6939860677846399</v>
      </c>
      <c r="AD53" s="330">
        <v>82086.445984497812</v>
      </c>
      <c r="AE53" s="330">
        <v>1.4455175748903275</v>
      </c>
      <c r="AF53" s="330">
        <v>15766.528975577632</v>
      </c>
      <c r="AG53" s="331">
        <v>0.24846849289431239</v>
      </c>
      <c r="AH53" s="235"/>
      <c r="AI53" s="208">
        <f t="shared" si="7"/>
        <v>1511433.7894353324</v>
      </c>
      <c r="AJ53" s="208">
        <f t="shared" si="8"/>
        <v>1291155.2501613132</v>
      </c>
      <c r="AK53" s="208">
        <f t="shared" si="3"/>
        <v>220278.53927401913</v>
      </c>
      <c r="AL53" s="235"/>
      <c r="AM53" s="52">
        <f t="shared" si="4"/>
        <v>1</v>
      </c>
      <c r="AN53" s="52">
        <f t="shared" si="5"/>
        <v>0</v>
      </c>
      <c r="AO53" s="52">
        <f t="shared" si="6"/>
        <v>1</v>
      </c>
      <c r="AP53" s="235"/>
      <c r="AQ53" s="45">
        <v>26000</v>
      </c>
      <c r="AR53" s="45">
        <v>0.17100000000000001</v>
      </c>
      <c r="AS53" s="45">
        <v>0.82899999999999996</v>
      </c>
      <c r="AT53" s="45">
        <v>0.17100000000000001</v>
      </c>
      <c r="AU53" s="235"/>
      <c r="AV53" s="360">
        <f t="shared" si="9"/>
        <v>1511433.7894353324</v>
      </c>
      <c r="AW53" s="235"/>
      <c r="AX53" s="354"/>
      <c r="AY53" s="14"/>
      <c r="AZ53" s="14">
        <f t="shared" si="11"/>
        <v>15766.528975577632</v>
      </c>
      <c r="BA53" s="14">
        <f t="shared" si="10"/>
        <v>0.24846849289431239</v>
      </c>
      <c r="BB53" s="14">
        <f t="shared" si="2"/>
        <v>63454.842068382583</v>
      </c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38"/>
      <c r="CM53" s="138"/>
      <c r="CN53" s="138"/>
      <c r="CO53" s="138"/>
      <c r="CP53" s="14"/>
      <c r="CQ53" s="14"/>
      <c r="CR53" s="14"/>
      <c r="CS53" s="3"/>
      <c r="CT53" s="3"/>
      <c r="CU53" s="3"/>
      <c r="CV53" s="3"/>
      <c r="CW53" s="3"/>
    </row>
    <row r="54" spans="1:101" ht="14.25" customHeight="1" x14ac:dyDescent="0.2">
      <c r="A54" s="328"/>
      <c r="B54" s="52">
        <v>0.16238311370352909</v>
      </c>
      <c r="C54" s="330">
        <v>1.3746974985374381E-2</v>
      </c>
      <c r="D54" s="330">
        <v>2.6011973139556943E-2</v>
      </c>
      <c r="E54" s="330">
        <v>5.161690394188641E-3</v>
      </c>
      <c r="F54" s="331">
        <v>0.82209837408189346</v>
      </c>
      <c r="G54" s="94">
        <v>0.37160018319189819</v>
      </c>
      <c r="H54" s="330">
        <v>0.92339134630363051</v>
      </c>
      <c r="I54" s="330">
        <v>1.6414066684499073E-2</v>
      </c>
      <c r="J54" s="330">
        <v>0.74529238278015209</v>
      </c>
      <c r="K54" s="330">
        <v>0.75156341032170837</v>
      </c>
      <c r="L54" s="332">
        <v>10729.897435568268</v>
      </c>
      <c r="M54" s="330">
        <v>0</v>
      </c>
      <c r="N54" s="330">
        <v>28503.488621188491</v>
      </c>
      <c r="O54" s="330">
        <v>1394.1829177191312</v>
      </c>
      <c r="P54" s="330">
        <v>50027.71754171019</v>
      </c>
      <c r="Q54" s="333">
        <v>82277.306467600574</v>
      </c>
      <c r="R54" s="330">
        <v>29237.844863238352</v>
      </c>
      <c r="S54" s="330">
        <v>11393.400430435247</v>
      </c>
      <c r="T54" s="332">
        <v>0.996912467804137</v>
      </c>
      <c r="U54" s="330">
        <v>0.8878537720655163</v>
      </c>
      <c r="V54" s="330">
        <v>0.65837435997183369</v>
      </c>
      <c r="W54" s="330">
        <v>0.99997326391931329</v>
      </c>
      <c r="X54" s="330">
        <v>0.81586710222903003</v>
      </c>
      <c r="Y54" s="330">
        <v>0</v>
      </c>
      <c r="Z54" s="331">
        <v>0</v>
      </c>
      <c r="AA54" s="235"/>
      <c r="AB54" s="52">
        <v>111884.83433847653</v>
      </c>
      <c r="AC54" s="330">
        <v>4.3471934069937284</v>
      </c>
      <c r="AD54" s="330">
        <v>103137.21260869488</v>
      </c>
      <c r="AE54" s="330">
        <v>3.745860827896208</v>
      </c>
      <c r="AF54" s="330">
        <v>8747.6217297816474</v>
      </c>
      <c r="AG54" s="331">
        <v>0.60133257909752036</v>
      </c>
      <c r="AH54" s="235"/>
      <c r="AI54" s="208">
        <f t="shared" si="7"/>
        <v>4017948.9023055653</v>
      </c>
      <c r="AJ54" s="208">
        <f t="shared" si="8"/>
        <v>3455430.5738927023</v>
      </c>
      <c r="AK54" s="208">
        <f t="shared" si="3"/>
        <v>562518.32841286273</v>
      </c>
      <c r="AL54" s="235"/>
      <c r="AM54" s="52">
        <f t="shared" si="4"/>
        <v>1</v>
      </c>
      <c r="AN54" s="52">
        <f t="shared" si="5"/>
        <v>0</v>
      </c>
      <c r="AO54" s="52">
        <f t="shared" si="6"/>
        <v>1</v>
      </c>
      <c r="AP54" s="235"/>
      <c r="AQ54" s="45">
        <v>27000</v>
      </c>
      <c r="AR54" s="45">
        <v>0.192</v>
      </c>
      <c r="AS54" s="45">
        <v>0.80800000000000005</v>
      </c>
      <c r="AT54" s="45">
        <v>0.192</v>
      </c>
      <c r="AU54" s="235"/>
      <c r="AV54" s="360">
        <f t="shared" si="9"/>
        <v>4017948.9023055653</v>
      </c>
      <c r="AW54" s="235"/>
      <c r="AX54" s="354"/>
      <c r="AY54" s="14"/>
      <c r="AZ54" s="14">
        <f t="shared" si="11"/>
        <v>8747.6217297816474</v>
      </c>
      <c r="BA54" s="14">
        <f t="shared" si="10"/>
        <v>0.60133257909752036</v>
      </c>
      <c r="BB54" s="14">
        <f t="shared" si="2"/>
        <v>14547.061033862616</v>
      </c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 t="s">
        <v>303</v>
      </c>
      <c r="CC54" s="14" t="s">
        <v>304</v>
      </c>
      <c r="CD54" s="14"/>
      <c r="CE54" s="14"/>
      <c r="CF54" s="14"/>
      <c r="CG54" s="14"/>
      <c r="CH54" s="14"/>
      <c r="CI54" s="14"/>
      <c r="CJ54" s="14"/>
      <c r="CK54" s="14"/>
      <c r="CL54" s="138"/>
      <c r="CM54" s="138"/>
      <c r="CN54" s="138"/>
      <c r="CO54" s="138"/>
      <c r="CP54" s="14"/>
      <c r="CQ54" s="14"/>
      <c r="CR54" s="14"/>
      <c r="CS54" s="3"/>
      <c r="CT54" s="3"/>
      <c r="CU54" s="3"/>
      <c r="CV54" s="3"/>
      <c r="CW54" s="3"/>
    </row>
    <row r="55" spans="1:101" ht="14.25" customHeight="1" x14ac:dyDescent="0.2">
      <c r="A55" s="328"/>
      <c r="B55" s="52">
        <v>0.17776029058380727</v>
      </c>
      <c r="C55" s="330">
        <v>0.49962101567280248</v>
      </c>
      <c r="D55" s="330">
        <v>7.2860175183359225E-3</v>
      </c>
      <c r="E55" s="330">
        <v>1.5722447609715084E-2</v>
      </c>
      <c r="F55" s="331">
        <v>0.76424226715806698</v>
      </c>
      <c r="G55" s="94">
        <v>0.37498162328928908</v>
      </c>
      <c r="H55" s="330">
        <v>0.25414941934956842</v>
      </c>
      <c r="I55" s="330">
        <v>1.0442406259427975E-2</v>
      </c>
      <c r="J55" s="330">
        <v>0.52099062873750601</v>
      </c>
      <c r="K55" s="330">
        <v>0.75499408961425596</v>
      </c>
      <c r="L55" s="332">
        <v>10385.833625261961</v>
      </c>
      <c r="M55" s="330">
        <v>0</v>
      </c>
      <c r="N55" s="330">
        <v>18105.495382480152</v>
      </c>
      <c r="O55" s="330">
        <v>1171.884129033418</v>
      </c>
      <c r="P55" s="330">
        <v>35965.265116753086</v>
      </c>
      <c r="Q55" s="333">
        <v>112026.18870394961</v>
      </c>
      <c r="R55" s="330">
        <v>24046.156045178166</v>
      </c>
      <c r="S55" s="330">
        <v>6323.6179648488451</v>
      </c>
      <c r="T55" s="332">
        <v>0.99962087478283057</v>
      </c>
      <c r="U55" s="330">
        <v>0.99887506993693187</v>
      </c>
      <c r="V55" s="330">
        <v>0.99374678638679259</v>
      </c>
      <c r="W55" s="330">
        <v>0.93721646362240929</v>
      </c>
      <c r="X55" s="330">
        <v>6.4258670693783632E-2</v>
      </c>
      <c r="Y55" s="330">
        <v>0</v>
      </c>
      <c r="Z55" s="331">
        <v>0</v>
      </c>
      <c r="AA55" s="235"/>
      <c r="AB55" s="52">
        <v>64737.585729691265</v>
      </c>
      <c r="AC55" s="330">
        <v>0.60333859416165114</v>
      </c>
      <c r="AD55" s="330">
        <v>54537.203684137901</v>
      </c>
      <c r="AE55" s="330">
        <v>0.6459365670105971</v>
      </c>
      <c r="AF55" s="330">
        <v>10200.382045553364</v>
      </c>
      <c r="AG55" s="331">
        <v>-4.2597972848945953E-2</v>
      </c>
      <c r="AH55" s="235"/>
      <c r="AI55" s="208">
        <f t="shared" si="7"/>
        <v>508434.07872387738</v>
      </c>
      <c r="AJ55" s="208">
        <f t="shared" si="8"/>
        <v>559102.5349759293</v>
      </c>
      <c r="AK55" s="208">
        <f t="shared" si="3"/>
        <v>-50668.456252052019</v>
      </c>
      <c r="AL55" s="235"/>
      <c r="AM55" s="52">
        <f t="shared" si="4"/>
        <v>0</v>
      </c>
      <c r="AN55" s="52">
        <f t="shared" si="5"/>
        <v>1</v>
      </c>
      <c r="AO55" s="52">
        <f t="shared" si="6"/>
        <v>0</v>
      </c>
      <c r="AP55" s="235"/>
      <c r="AQ55" s="45">
        <v>28000</v>
      </c>
      <c r="AR55" s="45">
        <v>0.19900000000000001</v>
      </c>
      <c r="AS55" s="45">
        <v>0.80100000000000005</v>
      </c>
      <c r="AT55" s="45">
        <v>0.19900000000000001</v>
      </c>
      <c r="AU55" s="235"/>
      <c r="AV55" s="360">
        <f t="shared" si="9"/>
        <v>559102.5349759293</v>
      </c>
      <c r="AW55" s="235"/>
      <c r="AX55" s="354"/>
      <c r="AY55" s="14"/>
      <c r="AZ55" s="14">
        <f t="shared" si="11"/>
        <v>10200.382045553364</v>
      </c>
      <c r="BA55" s="14">
        <f t="shared" si="10"/>
        <v>-4.2597972848945953E-2</v>
      </c>
      <c r="BB55" s="14">
        <f t="shared" si="2"/>
        <v>-239456.98265324291</v>
      </c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>
        <v>100000</v>
      </c>
      <c r="CC55" s="14">
        <v>1</v>
      </c>
      <c r="CD55" s="14"/>
      <c r="CE55" s="14"/>
      <c r="CF55" s="14"/>
      <c r="CG55" s="14"/>
      <c r="CH55" s="14"/>
      <c r="CI55" s="14"/>
      <c r="CJ55" s="14"/>
      <c r="CK55" s="14"/>
      <c r="CL55" s="138"/>
      <c r="CM55" s="138"/>
      <c r="CN55" s="138"/>
      <c r="CO55" s="138"/>
      <c r="CP55" s="14"/>
      <c r="CQ55" s="14"/>
      <c r="CR55" s="14"/>
      <c r="CS55" s="3"/>
      <c r="CT55" s="3"/>
      <c r="CU55" s="3"/>
      <c r="CV55" s="3"/>
      <c r="CW55" s="3"/>
    </row>
    <row r="56" spans="1:101" ht="14.25" customHeight="1" x14ac:dyDescent="0.2">
      <c r="A56" s="328"/>
      <c r="B56" s="52">
        <v>0.15769451479902341</v>
      </c>
      <c r="C56" s="330">
        <v>0.12554358498289814</v>
      </c>
      <c r="D56" s="330">
        <v>9.9614122587846163E-3</v>
      </c>
      <c r="E56" s="330">
        <v>1.5485024430086591E-2</v>
      </c>
      <c r="F56" s="331">
        <v>0.80306150957359823</v>
      </c>
      <c r="G56" s="94">
        <v>0.27128897076819558</v>
      </c>
      <c r="H56" s="330">
        <v>0.95862426583856064</v>
      </c>
      <c r="I56" s="330">
        <v>4.099403637324317E-2</v>
      </c>
      <c r="J56" s="330">
        <v>0.80430983960989932</v>
      </c>
      <c r="K56" s="330">
        <v>0.67122157255883441</v>
      </c>
      <c r="L56" s="332">
        <v>8473.6534241123445</v>
      </c>
      <c r="M56" s="330">
        <v>0</v>
      </c>
      <c r="N56" s="330">
        <v>22690.431736269311</v>
      </c>
      <c r="O56" s="330">
        <v>1348.0757947790887</v>
      </c>
      <c r="P56" s="330">
        <v>36971.858983633589</v>
      </c>
      <c r="Q56" s="333">
        <v>123073.96140821811</v>
      </c>
      <c r="R56" s="330">
        <v>16451.626704606435</v>
      </c>
      <c r="S56" s="330">
        <v>9309.601884615764</v>
      </c>
      <c r="T56" s="332">
        <v>9.0367395117333549E-2</v>
      </c>
      <c r="U56" s="330">
        <v>0.76761044970660941</v>
      </c>
      <c r="V56" s="330">
        <v>0.60289593545588283</v>
      </c>
      <c r="W56" s="330">
        <v>0.99667168394584793</v>
      </c>
      <c r="X56" s="330">
        <v>0.94564490053746697</v>
      </c>
      <c r="Y56" s="330">
        <v>0</v>
      </c>
      <c r="Z56" s="331">
        <v>0</v>
      </c>
      <c r="AA56" s="235"/>
      <c r="AB56" s="52">
        <v>89435.370681499335</v>
      </c>
      <c r="AC56" s="330">
        <v>4.6196882781967119</v>
      </c>
      <c r="AD56" s="330">
        <v>73451.560877807686</v>
      </c>
      <c r="AE56" s="330">
        <v>4.0198720063150484</v>
      </c>
      <c r="AF56" s="330">
        <v>15983.809803691649</v>
      </c>
      <c r="AG56" s="331">
        <v>0.59981627188166353</v>
      </c>
      <c r="AH56" s="235"/>
      <c r="AI56" s="208">
        <f t="shared" si="7"/>
        <v>4299268.4936053772</v>
      </c>
      <c r="AJ56" s="208">
        <f t="shared" si="8"/>
        <v>3745426.845121488</v>
      </c>
      <c r="AK56" s="208">
        <f t="shared" si="3"/>
        <v>553841.64848388871</v>
      </c>
      <c r="AL56" s="235"/>
      <c r="AM56" s="52">
        <f t="shared" si="4"/>
        <v>1</v>
      </c>
      <c r="AN56" s="52">
        <f t="shared" si="5"/>
        <v>0</v>
      </c>
      <c r="AO56" s="52">
        <f t="shared" si="6"/>
        <v>1</v>
      </c>
      <c r="AP56" s="235"/>
      <c r="AQ56" s="45">
        <v>29000</v>
      </c>
      <c r="AR56" s="45">
        <v>0.21099999999999999</v>
      </c>
      <c r="AS56" s="45">
        <v>0.78900000000000003</v>
      </c>
      <c r="AT56" s="45">
        <v>0.21099999999999999</v>
      </c>
      <c r="AU56" s="235"/>
      <c r="AV56" s="360">
        <f t="shared" si="9"/>
        <v>4299268.4936053772</v>
      </c>
      <c r="AW56" s="235"/>
      <c r="AX56" s="354"/>
      <c r="AY56" s="14"/>
      <c r="AZ56" s="14">
        <f t="shared" si="11"/>
        <v>15983.809803691649</v>
      </c>
      <c r="BA56" s="14">
        <f t="shared" si="10"/>
        <v>0.59981627188166353</v>
      </c>
      <c r="BB56" s="14">
        <f t="shared" si="2"/>
        <v>26647.842936220077</v>
      </c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>
        <v>-100000</v>
      </c>
      <c r="CC56" s="14">
        <v>-1</v>
      </c>
      <c r="CD56" s="14"/>
      <c r="CE56" s="14"/>
      <c r="CF56" s="14"/>
      <c r="CG56" s="14"/>
      <c r="CH56" s="14"/>
      <c r="CI56" s="14"/>
      <c r="CJ56" s="14"/>
      <c r="CK56" s="14"/>
      <c r="CL56" s="138"/>
      <c r="CM56" s="138"/>
      <c r="CN56" s="138"/>
      <c r="CO56" s="138"/>
      <c r="CP56" s="14"/>
      <c r="CQ56" s="14"/>
      <c r="CR56" s="14"/>
      <c r="CS56" s="3"/>
      <c r="CT56" s="3"/>
      <c r="CU56" s="3"/>
      <c r="CV56" s="3"/>
      <c r="CW56" s="3"/>
    </row>
    <row r="57" spans="1:101" ht="14.25" customHeight="1" x14ac:dyDescent="0.2">
      <c r="A57" s="328"/>
      <c r="B57" s="52">
        <v>0.16169017171219846</v>
      </c>
      <c r="C57" s="330">
        <v>0.14451278695239841</v>
      </c>
      <c r="D57" s="330">
        <v>1.3143389779275956E-2</v>
      </c>
      <c r="E57" s="330">
        <v>2.4376330424505821E-2</v>
      </c>
      <c r="F57" s="331">
        <v>0.81130616964642566</v>
      </c>
      <c r="G57" s="94">
        <v>0.35732563281686064</v>
      </c>
      <c r="H57" s="330">
        <v>0.77499400977580668</v>
      </c>
      <c r="I57" s="330">
        <v>4.357915015502793E-3</v>
      </c>
      <c r="J57" s="330">
        <v>1.3483023948063027E-3</v>
      </c>
      <c r="K57" s="330">
        <v>0.75921958086882491</v>
      </c>
      <c r="L57" s="332">
        <v>11203.739414926144</v>
      </c>
      <c r="M57" s="330">
        <v>0</v>
      </c>
      <c r="N57" s="330">
        <v>11341.104910791799</v>
      </c>
      <c r="O57" s="330">
        <v>1512.3699698671321</v>
      </c>
      <c r="P57" s="330">
        <v>55320.240704975506</v>
      </c>
      <c r="Q57" s="333">
        <v>117195.36041441317</v>
      </c>
      <c r="R57" s="330">
        <v>17651.799973849371</v>
      </c>
      <c r="S57" s="330">
        <v>10047.875661436141</v>
      </c>
      <c r="T57" s="332">
        <v>0.98518319940160759</v>
      </c>
      <c r="U57" s="330">
        <v>0.99997964355252744</v>
      </c>
      <c r="V57" s="330">
        <v>0.98172071788056336</v>
      </c>
      <c r="W57" s="330">
        <v>0.96067675327366153</v>
      </c>
      <c r="X57" s="330">
        <v>0.97336990491226694</v>
      </c>
      <c r="Y57" s="330">
        <v>0</v>
      </c>
      <c r="Z57" s="331">
        <v>0</v>
      </c>
      <c r="AA57" s="235"/>
      <c r="AB57" s="52">
        <v>99593.205756537442</v>
      </c>
      <c r="AC57" s="330">
        <v>4.7788527436060368</v>
      </c>
      <c r="AD57" s="330">
        <v>87457.61236164943</v>
      </c>
      <c r="AE57" s="330">
        <v>4.7076122989914699</v>
      </c>
      <c r="AF57" s="330">
        <v>12135.593394888012</v>
      </c>
      <c r="AG57" s="331">
        <v>7.1240444614566911E-2</v>
      </c>
      <c r="AH57" s="235"/>
      <c r="AI57" s="208">
        <f t="shared" si="7"/>
        <v>4440316.9006691976</v>
      </c>
      <c r="AJ57" s="208">
        <f t="shared" si="8"/>
        <v>4384774.0716802478</v>
      </c>
      <c r="AK57" s="208">
        <f t="shared" si="3"/>
        <v>55542.828988950554</v>
      </c>
      <c r="AL57" s="235"/>
      <c r="AM57" s="52">
        <f t="shared" si="4"/>
        <v>1</v>
      </c>
      <c r="AN57" s="52">
        <f t="shared" si="5"/>
        <v>0</v>
      </c>
      <c r="AO57" s="52">
        <f t="shared" si="6"/>
        <v>1</v>
      </c>
      <c r="AP57" s="235"/>
      <c r="AQ57" s="45">
        <v>30000</v>
      </c>
      <c r="AR57" s="45">
        <v>0.221</v>
      </c>
      <c r="AS57" s="45">
        <v>0.77900000000000003</v>
      </c>
      <c r="AT57" s="45">
        <v>0.221</v>
      </c>
      <c r="AU57" s="235"/>
      <c r="AV57" s="360">
        <f t="shared" si="9"/>
        <v>4440316.9006691976</v>
      </c>
      <c r="AW57" s="235"/>
      <c r="AX57" s="354"/>
      <c r="AY57" s="14"/>
      <c r="AZ57" s="14">
        <f t="shared" si="11"/>
        <v>12135.593394888012</v>
      </c>
      <c r="BA57" s="14">
        <f t="shared" si="10"/>
        <v>7.1240444614566911E-2</v>
      </c>
      <c r="BB57" s="14">
        <f t="shared" si="2"/>
        <v>170346.96316882031</v>
      </c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38"/>
      <c r="CM57" s="138"/>
      <c r="CN57" s="138"/>
      <c r="CO57" s="138"/>
      <c r="CP57" s="14"/>
      <c r="CQ57" s="14"/>
      <c r="CR57" s="14"/>
      <c r="CS57" s="3"/>
      <c r="CT57" s="3"/>
      <c r="CU57" s="3"/>
      <c r="CV57" s="3"/>
      <c r="CW57" s="3"/>
    </row>
    <row r="58" spans="1:101" ht="14.25" customHeight="1" x14ac:dyDescent="0.2">
      <c r="A58" s="328"/>
      <c r="B58" s="52">
        <v>0.19978476478117024</v>
      </c>
      <c r="C58" s="330">
        <v>0.21427208985177096</v>
      </c>
      <c r="D58" s="330">
        <v>1.5410353842502666E-2</v>
      </c>
      <c r="E58" s="330">
        <v>1.297135161100549E-2</v>
      </c>
      <c r="F58" s="331">
        <v>0.81623872946618348</v>
      </c>
      <c r="G58" s="94">
        <v>0.45126397452559985</v>
      </c>
      <c r="H58" s="330">
        <v>0.13139732917098776</v>
      </c>
      <c r="I58" s="330">
        <v>8.6179793350108815E-3</v>
      </c>
      <c r="J58" s="330">
        <v>0.99923593619802109</v>
      </c>
      <c r="K58" s="330">
        <v>0.70309458831568883</v>
      </c>
      <c r="L58" s="332">
        <v>9048.6131598670363</v>
      </c>
      <c r="M58" s="330">
        <v>0</v>
      </c>
      <c r="N58" s="330">
        <v>16041.164029337961</v>
      </c>
      <c r="O58" s="330">
        <v>1138.9082151431187</v>
      </c>
      <c r="P58" s="330">
        <v>35594.507422365437</v>
      </c>
      <c r="Q58" s="333">
        <v>91339.738827006819</v>
      </c>
      <c r="R58" s="330">
        <v>35267.884294482668</v>
      </c>
      <c r="S58" s="330">
        <v>5389.1695687594683</v>
      </c>
      <c r="T58" s="332">
        <v>0.77648867583609937</v>
      </c>
      <c r="U58" s="330">
        <v>0.74977921233079492</v>
      </c>
      <c r="V58" s="330">
        <v>0.8070719881268591</v>
      </c>
      <c r="W58" s="330">
        <v>0.99698824976536282</v>
      </c>
      <c r="X58" s="330">
        <v>0.65148664536009282</v>
      </c>
      <c r="Y58" s="330">
        <v>0</v>
      </c>
      <c r="Z58" s="331">
        <v>0</v>
      </c>
      <c r="AA58" s="235"/>
      <c r="AB58" s="52">
        <v>58274.247603165546</v>
      </c>
      <c r="AC58" s="330">
        <v>3.6285280634617316</v>
      </c>
      <c r="AD58" s="330">
        <v>43834.060690396123</v>
      </c>
      <c r="AE58" s="330">
        <v>2.9434780419501925</v>
      </c>
      <c r="AF58" s="330">
        <v>14440.186912769423</v>
      </c>
      <c r="AG58" s="331">
        <v>0.68505002151153915</v>
      </c>
      <c r="AH58" s="235"/>
      <c r="AI58" s="208">
        <f t="shared" si="7"/>
        <v>3388827.4126854795</v>
      </c>
      <c r="AJ58" s="208">
        <f t="shared" si="8"/>
        <v>2752470.0791622871</v>
      </c>
      <c r="AK58" s="208">
        <f t="shared" si="3"/>
        <v>636357.33352319279</v>
      </c>
      <c r="AL58" s="235"/>
      <c r="AM58" s="52">
        <f t="shared" si="4"/>
        <v>1</v>
      </c>
      <c r="AN58" s="52">
        <f t="shared" si="5"/>
        <v>0</v>
      </c>
      <c r="AO58" s="52">
        <f t="shared" si="6"/>
        <v>1</v>
      </c>
      <c r="AP58" s="235"/>
      <c r="AQ58" s="45">
        <v>35000</v>
      </c>
      <c r="AR58" s="45">
        <v>0.26700000000000002</v>
      </c>
      <c r="AS58" s="45">
        <v>0.73299999999999998</v>
      </c>
      <c r="AT58" s="45">
        <v>0.26700000000000002</v>
      </c>
      <c r="AU58" s="235"/>
      <c r="AV58" s="360">
        <f t="shared" si="9"/>
        <v>3388827.4126854795</v>
      </c>
      <c r="AW58" s="235"/>
      <c r="AX58" s="354"/>
      <c r="AY58" s="14"/>
      <c r="AZ58" s="14">
        <f t="shared" si="11"/>
        <v>14440.186912769423</v>
      </c>
      <c r="BA58" s="14">
        <f t="shared" si="10"/>
        <v>0.68505002151153915</v>
      </c>
      <c r="BB58" s="14">
        <f t="shared" si="2"/>
        <v>21079.025559195881</v>
      </c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38"/>
      <c r="CM58" s="138"/>
      <c r="CN58" s="138"/>
      <c r="CO58" s="138"/>
      <c r="CP58" s="14"/>
      <c r="CQ58" s="14"/>
      <c r="CR58" s="14"/>
      <c r="CS58" s="3"/>
      <c r="CT58" s="3"/>
      <c r="CU58" s="3"/>
      <c r="CV58" s="3"/>
      <c r="CW58" s="3"/>
    </row>
    <row r="59" spans="1:101" ht="14.25" customHeight="1" x14ac:dyDescent="0.2">
      <c r="A59" s="328"/>
      <c r="B59" s="52">
        <v>0.15771827737103614</v>
      </c>
      <c r="C59" s="330">
        <v>0.20067438370998084</v>
      </c>
      <c r="D59" s="330">
        <v>2.880911580191059E-2</v>
      </c>
      <c r="E59" s="330">
        <v>2.6640395488392032E-2</v>
      </c>
      <c r="F59" s="331">
        <v>0.81148984864578411</v>
      </c>
      <c r="G59" s="94">
        <v>0.33411190417909037</v>
      </c>
      <c r="H59" s="330">
        <v>9.2668602448468113E-2</v>
      </c>
      <c r="I59" s="330">
        <v>1.0147223687092127E-2</v>
      </c>
      <c r="J59" s="330">
        <v>0.99225089884281659</v>
      </c>
      <c r="K59" s="330">
        <v>0.75235331682701889</v>
      </c>
      <c r="L59" s="332">
        <v>12500.603912069693</v>
      </c>
      <c r="M59" s="330">
        <v>0</v>
      </c>
      <c r="N59" s="330">
        <v>18040.961077696236</v>
      </c>
      <c r="O59" s="330">
        <v>1227.274671580451</v>
      </c>
      <c r="P59" s="330">
        <v>56803.482250354493</v>
      </c>
      <c r="Q59" s="333">
        <v>98032.174609021895</v>
      </c>
      <c r="R59" s="330">
        <v>18017.573041538228</v>
      </c>
      <c r="S59" s="330">
        <v>6185.8908498083547</v>
      </c>
      <c r="T59" s="332">
        <v>0.98391959969447407</v>
      </c>
      <c r="U59" s="330">
        <v>0.4802099486671379</v>
      </c>
      <c r="V59" s="330">
        <v>0.98921507513987128</v>
      </c>
      <c r="W59" s="330">
        <v>0.99710104538811417</v>
      </c>
      <c r="X59" s="330">
        <v>0.68423563908988538</v>
      </c>
      <c r="Y59" s="330">
        <v>0</v>
      </c>
      <c r="Z59" s="331">
        <v>0</v>
      </c>
      <c r="AA59" s="235"/>
      <c r="AB59" s="52">
        <v>67587.416888483451</v>
      </c>
      <c r="AC59" s="330">
        <v>3.3584928371520784</v>
      </c>
      <c r="AD59" s="330">
        <v>51501.525145360363</v>
      </c>
      <c r="AE59" s="330">
        <v>3.129045429851133</v>
      </c>
      <c r="AF59" s="330">
        <v>16085.891743123088</v>
      </c>
      <c r="AG59" s="331">
        <v>0.22944740730094537</v>
      </c>
      <c r="AH59" s="235"/>
      <c r="AI59" s="208">
        <f t="shared" si="7"/>
        <v>3122980.7784059909</v>
      </c>
      <c r="AJ59" s="208">
        <f t="shared" si="8"/>
        <v>2921091.633213216</v>
      </c>
      <c r="AK59" s="208">
        <f t="shared" si="3"/>
        <v>201889.145192775</v>
      </c>
      <c r="AL59" s="235"/>
      <c r="AM59" s="52">
        <f t="shared" si="4"/>
        <v>1</v>
      </c>
      <c r="AN59" s="52">
        <f t="shared" si="5"/>
        <v>0</v>
      </c>
      <c r="AO59" s="52">
        <f t="shared" si="6"/>
        <v>1</v>
      </c>
      <c r="AP59" s="235"/>
      <c r="AQ59" s="45">
        <v>40000</v>
      </c>
      <c r="AR59" s="45">
        <v>0.313</v>
      </c>
      <c r="AS59" s="45">
        <v>0.68700000000000006</v>
      </c>
      <c r="AT59" s="45">
        <v>0.313</v>
      </c>
      <c r="AU59" s="235"/>
      <c r="AV59" s="360">
        <f t="shared" si="9"/>
        <v>3122980.7784059909</v>
      </c>
      <c r="AW59" s="235"/>
      <c r="AX59" s="354"/>
      <c r="AY59" s="14"/>
      <c r="AZ59" s="14">
        <f t="shared" si="11"/>
        <v>16085.891743123088</v>
      </c>
      <c r="BA59" s="14">
        <f t="shared" si="10"/>
        <v>0.22944740730094537</v>
      </c>
      <c r="BB59" s="14">
        <f t="shared" si="2"/>
        <v>70107.09744924109</v>
      </c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>
        <v>0</v>
      </c>
      <c r="CA59" s="14">
        <v>100000</v>
      </c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38"/>
      <c r="CM59" s="138"/>
      <c r="CN59" s="138"/>
      <c r="CO59" s="138"/>
      <c r="CP59" s="14"/>
      <c r="CQ59" s="14"/>
      <c r="CR59" s="14"/>
      <c r="CS59" s="3"/>
      <c r="CT59" s="3"/>
      <c r="CU59" s="3"/>
      <c r="CV59" s="3"/>
      <c r="CW59" s="3"/>
    </row>
    <row r="60" spans="1:101" ht="14.25" customHeight="1" x14ac:dyDescent="0.2">
      <c r="A60" s="328"/>
      <c r="B60" s="52">
        <v>0.12814673300222224</v>
      </c>
      <c r="C60" s="330">
        <v>8.3201806347745072E-2</v>
      </c>
      <c r="D60" s="330">
        <v>3.3410337195499411E-3</v>
      </c>
      <c r="E60" s="330">
        <v>1.2603403764358704E-2</v>
      </c>
      <c r="F60" s="331">
        <v>0.79173170585062158</v>
      </c>
      <c r="G60" s="94">
        <v>0.46947929841613845</v>
      </c>
      <c r="H60" s="330">
        <v>0.66292699914742537</v>
      </c>
      <c r="I60" s="330">
        <v>1.2534364945847422E-2</v>
      </c>
      <c r="J60" s="330">
        <v>9.3811066075115526E-5</v>
      </c>
      <c r="K60" s="330">
        <v>0.7660637825254305</v>
      </c>
      <c r="L60" s="332">
        <v>12593.680006626111</v>
      </c>
      <c r="M60" s="330">
        <v>0</v>
      </c>
      <c r="N60" s="330">
        <v>22209.97907563805</v>
      </c>
      <c r="O60" s="330">
        <v>1501.8924607394704</v>
      </c>
      <c r="P60" s="330">
        <v>49406.933605814906</v>
      </c>
      <c r="Q60" s="333">
        <v>93513.600799631284</v>
      </c>
      <c r="R60" s="330">
        <v>25976.165844931314</v>
      </c>
      <c r="S60" s="330">
        <v>8916.5623781999839</v>
      </c>
      <c r="T60" s="332">
        <v>0.99999112774368615</v>
      </c>
      <c r="U60" s="330">
        <v>0.97780419563438603</v>
      </c>
      <c r="V60" s="330">
        <v>0.7954866432587141</v>
      </c>
      <c r="W60" s="330">
        <v>0.99948312520885552</v>
      </c>
      <c r="X60" s="330">
        <v>0.74844000289106982</v>
      </c>
      <c r="Y60" s="330">
        <v>0</v>
      </c>
      <c r="Z60" s="331">
        <v>0</v>
      </c>
      <c r="AA60" s="235"/>
      <c r="AB60" s="52">
        <v>88860.922108502971</v>
      </c>
      <c r="AC60" s="330">
        <v>3.6635934627880316</v>
      </c>
      <c r="AD60" s="330">
        <v>82552.741720520746</v>
      </c>
      <c r="AE60" s="330">
        <v>3.8257319329408137</v>
      </c>
      <c r="AF60" s="330">
        <v>6308.1803879822255</v>
      </c>
      <c r="AG60" s="331">
        <v>-0.16213847015278215</v>
      </c>
      <c r="AH60" s="235"/>
      <c r="AI60" s="208">
        <f t="shared" si="7"/>
        <v>3391552.8675401271</v>
      </c>
      <c r="AJ60" s="208">
        <f t="shared" si="8"/>
        <v>3551892.5945732519</v>
      </c>
      <c r="AK60" s="208">
        <f t="shared" si="3"/>
        <v>-160339.72703312527</v>
      </c>
      <c r="AL60" s="235"/>
      <c r="AM60" s="52">
        <f t="shared" si="4"/>
        <v>0</v>
      </c>
      <c r="AN60" s="52">
        <f t="shared" si="5"/>
        <v>1</v>
      </c>
      <c r="AO60" s="52">
        <f t="shared" si="6"/>
        <v>0</v>
      </c>
      <c r="AP60" s="235"/>
      <c r="AQ60" s="45">
        <v>45000</v>
      </c>
      <c r="AR60" s="45">
        <v>0.34599999999999997</v>
      </c>
      <c r="AS60" s="45">
        <v>0.65400000000000003</v>
      </c>
      <c r="AT60" s="45">
        <v>0.34599999999999997</v>
      </c>
      <c r="AU60" s="235"/>
      <c r="AV60" s="360">
        <f t="shared" si="9"/>
        <v>3551892.5945732519</v>
      </c>
      <c r="AW60" s="235"/>
      <c r="AX60" s="354"/>
      <c r="AY60" s="14"/>
      <c r="AZ60" s="14">
        <f t="shared" si="11"/>
        <v>6308.1803879822255</v>
      </c>
      <c r="BA60" s="14">
        <f t="shared" si="10"/>
        <v>-0.16213847015278215</v>
      </c>
      <c r="BB60" s="14">
        <f t="shared" si="2"/>
        <v>-38906.12993966246</v>
      </c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>
        <v>0.1</v>
      </c>
      <c r="CA60" s="14">
        <v>100000</v>
      </c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38"/>
      <c r="CM60" s="138"/>
      <c r="CN60" s="138"/>
      <c r="CO60" s="138"/>
      <c r="CP60" s="14"/>
      <c r="CQ60" s="14"/>
      <c r="CR60" s="14"/>
      <c r="CS60" s="3"/>
      <c r="CT60" s="3"/>
      <c r="CU60" s="3"/>
      <c r="CV60" s="3"/>
      <c r="CW60" s="3"/>
    </row>
    <row r="61" spans="1:101" ht="14.25" customHeight="1" x14ac:dyDescent="0.2">
      <c r="A61" s="328"/>
      <c r="B61" s="52">
        <v>0.12097935592947667</v>
      </c>
      <c r="C61" s="330">
        <v>0.18021754734907025</v>
      </c>
      <c r="D61" s="330">
        <v>1.0133522591572715E-2</v>
      </c>
      <c r="E61" s="330">
        <v>1.4991927625473522E-2</v>
      </c>
      <c r="F61" s="331">
        <v>0.81462171694104013</v>
      </c>
      <c r="G61" s="94">
        <v>0.40282592442979048</v>
      </c>
      <c r="H61" s="330">
        <v>0.88543908382590986</v>
      </c>
      <c r="I61" s="330">
        <v>1.0468221027196379E-2</v>
      </c>
      <c r="J61" s="330">
        <v>0.99986439637215019</v>
      </c>
      <c r="K61" s="330">
        <v>0.78964039333767488</v>
      </c>
      <c r="L61" s="332">
        <v>16322.814591799282</v>
      </c>
      <c r="M61" s="330">
        <v>0</v>
      </c>
      <c r="N61" s="330">
        <v>17645.91479237967</v>
      </c>
      <c r="O61" s="330">
        <v>975.13237202373375</v>
      </c>
      <c r="P61" s="330">
        <v>64235.643708017888</v>
      </c>
      <c r="Q61" s="333">
        <v>48097.072216308079</v>
      </c>
      <c r="R61" s="330">
        <v>23874.693110435306</v>
      </c>
      <c r="S61" s="330">
        <v>12216.373480868408</v>
      </c>
      <c r="T61" s="332">
        <v>0.75093394140885128</v>
      </c>
      <c r="U61" s="330">
        <v>0.62344758634012143</v>
      </c>
      <c r="V61" s="330">
        <v>0.99851191842473852</v>
      </c>
      <c r="W61" s="330">
        <v>0.98113600575148707</v>
      </c>
      <c r="X61" s="330">
        <v>0.92026153857767179</v>
      </c>
      <c r="Y61" s="330">
        <v>0</v>
      </c>
      <c r="Z61" s="331">
        <v>0</v>
      </c>
      <c r="AA61" s="235"/>
      <c r="AB61" s="52">
        <v>123816.02789920855</v>
      </c>
      <c r="AC61" s="330">
        <v>4.8519378615207271</v>
      </c>
      <c r="AD61" s="330">
        <v>112904.71183573204</v>
      </c>
      <c r="AE61" s="330">
        <v>4.6709651062876807</v>
      </c>
      <c r="AF61" s="330">
        <v>10911.316063476508</v>
      </c>
      <c r="AG61" s="331">
        <v>0.18097275523304646</v>
      </c>
      <c r="AH61" s="235"/>
      <c r="AI61" s="208">
        <f t="shared" si="7"/>
        <v>4485524.9405454826</v>
      </c>
      <c r="AJ61" s="208">
        <f t="shared" si="8"/>
        <v>4324512.1391375652</v>
      </c>
      <c r="AK61" s="208">
        <f t="shared" si="3"/>
        <v>161012.80140791764</v>
      </c>
      <c r="AL61" s="235"/>
      <c r="AM61" s="52">
        <f t="shared" si="4"/>
        <v>1</v>
      </c>
      <c r="AN61" s="52">
        <f t="shared" si="5"/>
        <v>0</v>
      </c>
      <c r="AO61" s="52">
        <f t="shared" si="6"/>
        <v>1</v>
      </c>
      <c r="AP61" s="235"/>
      <c r="AQ61" s="45">
        <v>50000</v>
      </c>
      <c r="AR61" s="45">
        <v>0.38100000000000001</v>
      </c>
      <c r="AS61" s="45">
        <v>0.61899999999999999</v>
      </c>
      <c r="AT61" s="45">
        <v>0.38100000000000001</v>
      </c>
      <c r="AU61" s="235"/>
      <c r="AV61" s="360">
        <f t="shared" si="9"/>
        <v>4485524.9405454826</v>
      </c>
      <c r="AW61" s="235"/>
      <c r="AX61" s="354"/>
      <c r="AY61" s="14"/>
      <c r="AZ61" s="14">
        <f t="shared" si="11"/>
        <v>10911.316063476508</v>
      </c>
      <c r="BA61" s="14">
        <f t="shared" si="10"/>
        <v>0.18097275523304646</v>
      </c>
      <c r="BB61" s="14">
        <f t="shared" si="2"/>
        <v>60292.58961894863</v>
      </c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>
        <v>0.2</v>
      </c>
      <c r="CA61" s="14">
        <v>100000</v>
      </c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38"/>
      <c r="CM61" s="138"/>
      <c r="CN61" s="138"/>
      <c r="CO61" s="138"/>
      <c r="CP61" s="14"/>
      <c r="CQ61" s="14"/>
      <c r="CR61" s="14"/>
      <c r="CS61" s="3"/>
      <c r="CT61" s="3"/>
      <c r="CU61" s="3"/>
      <c r="CV61" s="3"/>
      <c r="CW61" s="3"/>
    </row>
    <row r="62" spans="1:101" ht="14.25" customHeight="1" x14ac:dyDescent="0.2">
      <c r="A62" s="328"/>
      <c r="B62" s="52">
        <v>0.1589857570889168</v>
      </c>
      <c r="C62" s="330">
        <v>0.63131546274780692</v>
      </c>
      <c r="D62" s="330">
        <v>1.3837551781934552E-2</v>
      </c>
      <c r="E62" s="330">
        <v>1.829181720928108E-2</v>
      </c>
      <c r="F62" s="331">
        <v>0.82086139319684226</v>
      </c>
      <c r="G62" s="94">
        <v>0.42270421101009192</v>
      </c>
      <c r="H62" s="330">
        <v>0.83161542340629513</v>
      </c>
      <c r="I62" s="330">
        <v>2.802614029661521E-2</v>
      </c>
      <c r="J62" s="330">
        <v>1.1262391682996728E-3</v>
      </c>
      <c r="K62" s="330">
        <v>0.73773155722973838</v>
      </c>
      <c r="L62" s="332">
        <v>8610.0359082803297</v>
      </c>
      <c r="M62" s="330">
        <v>0</v>
      </c>
      <c r="N62" s="330">
        <v>24091.544384972349</v>
      </c>
      <c r="O62" s="330">
        <v>1150.8235052633354</v>
      </c>
      <c r="P62" s="330">
        <v>46593.303810875921</v>
      </c>
      <c r="Q62" s="333">
        <v>97681.243563399781</v>
      </c>
      <c r="R62" s="330">
        <v>27990.832858273352</v>
      </c>
      <c r="S62" s="330">
        <v>11078.616602180258</v>
      </c>
      <c r="T62" s="332">
        <v>0.8375121810673416</v>
      </c>
      <c r="U62" s="330">
        <v>0.5464590327667177</v>
      </c>
      <c r="V62" s="330">
        <v>0.97710330506598031</v>
      </c>
      <c r="W62" s="330">
        <v>0.11683872097600102</v>
      </c>
      <c r="X62" s="330">
        <v>0.36182797276870238</v>
      </c>
      <c r="Y62" s="330">
        <v>0</v>
      </c>
      <c r="Z62" s="331">
        <v>0</v>
      </c>
      <c r="AA62" s="235"/>
      <c r="AB62" s="52">
        <v>109410.09576283903</v>
      </c>
      <c r="AC62" s="330">
        <v>2.17848355416485</v>
      </c>
      <c r="AD62" s="330">
        <v>99124.568374581548</v>
      </c>
      <c r="AE62" s="330">
        <v>1.8320920245483128</v>
      </c>
      <c r="AF62" s="330">
        <v>10285.527388257484</v>
      </c>
      <c r="AG62" s="331">
        <v>0.34639152961653719</v>
      </c>
      <c r="AH62" s="235"/>
      <c r="AI62" s="208">
        <f t="shared" si="7"/>
        <v>1960149.2806937683</v>
      </c>
      <c r="AJ62" s="208">
        <f t="shared" si="8"/>
        <v>1641362.8549463155</v>
      </c>
      <c r="AK62" s="208">
        <f t="shared" si="3"/>
        <v>318786.42574745283</v>
      </c>
      <c r="AL62" s="235"/>
      <c r="AM62" s="52">
        <f t="shared" si="4"/>
        <v>1</v>
      </c>
      <c r="AN62" s="52">
        <f t="shared" si="5"/>
        <v>0</v>
      </c>
      <c r="AO62" s="52">
        <f t="shared" si="6"/>
        <v>1</v>
      </c>
      <c r="AP62" s="235"/>
      <c r="AQ62" s="45">
        <v>55000</v>
      </c>
      <c r="AR62" s="45">
        <v>0.40799999999999997</v>
      </c>
      <c r="AS62" s="45">
        <v>0.59199999999999997</v>
      </c>
      <c r="AT62" s="45">
        <v>0.40799999999999997</v>
      </c>
      <c r="AU62" s="235"/>
      <c r="AV62" s="360">
        <f t="shared" si="9"/>
        <v>1960149.2806937683</v>
      </c>
      <c r="AW62" s="235"/>
      <c r="AX62" s="354"/>
      <c r="AY62" s="14"/>
      <c r="AZ62" s="14">
        <f t="shared" si="11"/>
        <v>10285.527388257484</v>
      </c>
      <c r="BA62" s="14">
        <f t="shared" si="10"/>
        <v>0.34639152961653719</v>
      </c>
      <c r="BB62" s="14">
        <f t="shared" si="2"/>
        <v>29693.357108482942</v>
      </c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>
        <v>0.3</v>
      </c>
      <c r="CA62" s="14">
        <v>100000</v>
      </c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38"/>
      <c r="CM62" s="138"/>
      <c r="CN62" s="138"/>
      <c r="CO62" s="138"/>
      <c r="CP62" s="14"/>
      <c r="CQ62" s="14"/>
      <c r="CR62" s="14"/>
      <c r="CS62" s="3"/>
      <c r="CT62" s="3"/>
      <c r="CU62" s="3"/>
      <c r="CV62" s="3"/>
      <c r="CW62" s="3"/>
    </row>
    <row r="63" spans="1:101" ht="14.25" customHeight="1" x14ac:dyDescent="0.2">
      <c r="A63" s="328"/>
      <c r="B63" s="52">
        <v>0.15397863314221913</v>
      </c>
      <c r="C63" s="330">
        <v>0.22726386319472539</v>
      </c>
      <c r="D63" s="330">
        <v>1.1643678885274419E-2</v>
      </c>
      <c r="E63" s="330">
        <v>1.4885974503912269E-2</v>
      </c>
      <c r="F63" s="331">
        <v>0.79682135307315027</v>
      </c>
      <c r="G63" s="94">
        <v>0.46680848877691272</v>
      </c>
      <c r="H63" s="330">
        <v>0.10978918026006911</v>
      </c>
      <c r="I63" s="330">
        <v>1.6977136019209027E-2</v>
      </c>
      <c r="J63" s="330">
        <v>0.99999765497363657</v>
      </c>
      <c r="K63" s="330">
        <v>0.73977970537898197</v>
      </c>
      <c r="L63" s="332">
        <v>15340.224684547831</v>
      </c>
      <c r="M63" s="330">
        <v>0</v>
      </c>
      <c r="N63" s="330">
        <v>15989.473466228443</v>
      </c>
      <c r="O63" s="330">
        <v>1208.6693166293105</v>
      </c>
      <c r="P63" s="330">
        <v>41901.473032152731</v>
      </c>
      <c r="Q63" s="333">
        <v>88218.676008067603</v>
      </c>
      <c r="R63" s="330">
        <v>22457.066842131586</v>
      </c>
      <c r="S63" s="330">
        <v>5803.9644764076747</v>
      </c>
      <c r="T63" s="332">
        <v>0.96603405135198828</v>
      </c>
      <c r="U63" s="330">
        <v>0.93036943156945107</v>
      </c>
      <c r="V63" s="330">
        <v>0.71456767078631611</v>
      </c>
      <c r="W63" s="330">
        <v>0.94082317588968589</v>
      </c>
      <c r="X63" s="330">
        <v>0.98843500937907902</v>
      </c>
      <c r="Y63" s="330">
        <v>0</v>
      </c>
      <c r="Z63" s="331">
        <v>0</v>
      </c>
      <c r="AA63" s="235"/>
      <c r="AB63" s="52">
        <v>66100.872140767766</v>
      </c>
      <c r="AC63" s="330">
        <v>4.8799196622985415</v>
      </c>
      <c r="AD63" s="330">
        <v>48970.195200808979</v>
      </c>
      <c r="AE63" s="330">
        <v>4.8075059160284273</v>
      </c>
      <c r="AF63" s="330">
        <v>17130.676939958787</v>
      </c>
      <c r="AG63" s="331">
        <v>7.241374627011421E-2</v>
      </c>
      <c r="AH63" s="235"/>
      <c r="AI63" s="208">
        <f t="shared" si="7"/>
        <v>4569822.8070428465</v>
      </c>
      <c r="AJ63" s="208">
        <f t="shared" si="8"/>
        <v>4518160.425026197</v>
      </c>
      <c r="AK63" s="208">
        <f t="shared" si="3"/>
        <v>51662.38201664971</v>
      </c>
      <c r="AL63" s="235"/>
      <c r="AM63" s="52">
        <f t="shared" si="4"/>
        <v>1</v>
      </c>
      <c r="AN63" s="52">
        <f t="shared" si="5"/>
        <v>0</v>
      </c>
      <c r="AO63" s="52">
        <f t="shared" si="6"/>
        <v>1</v>
      </c>
      <c r="AP63" s="235"/>
      <c r="AQ63" s="45">
        <v>60000</v>
      </c>
      <c r="AR63" s="45">
        <v>0.42399999999999999</v>
      </c>
      <c r="AS63" s="45">
        <v>0.57599999999999996</v>
      </c>
      <c r="AT63" s="45">
        <v>0.42399999999999999</v>
      </c>
      <c r="AU63" s="235"/>
      <c r="AV63" s="360">
        <f t="shared" si="9"/>
        <v>4569822.8070428465</v>
      </c>
      <c r="AW63" s="235"/>
      <c r="AX63" s="354"/>
      <c r="AY63" s="14"/>
      <c r="AZ63" s="14">
        <f t="shared" si="11"/>
        <v>17130.676939958787</v>
      </c>
      <c r="BA63" s="14">
        <f t="shared" si="10"/>
        <v>7.241374627011421E-2</v>
      </c>
      <c r="BB63" s="14">
        <f t="shared" si="2"/>
        <v>236566.64407416203</v>
      </c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>
        <v>0.4</v>
      </c>
      <c r="CA63" s="14">
        <v>100000</v>
      </c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38"/>
      <c r="CM63" s="138"/>
      <c r="CN63" s="138"/>
      <c r="CO63" s="138"/>
      <c r="CP63" s="14"/>
      <c r="CQ63" s="14"/>
      <c r="CR63" s="14"/>
      <c r="CS63" s="3"/>
      <c r="CT63" s="3"/>
      <c r="CU63" s="3"/>
      <c r="CV63" s="3"/>
      <c r="CW63" s="3"/>
    </row>
    <row r="64" spans="1:101" ht="14.25" customHeight="1" x14ac:dyDescent="0.2">
      <c r="A64" s="328"/>
      <c r="B64" s="52">
        <v>0.15234034551369383</v>
      </c>
      <c r="C64" s="330">
        <v>0.4365230678549209</v>
      </c>
      <c r="D64" s="330">
        <v>6.6606614011088684E-3</v>
      </c>
      <c r="E64" s="330">
        <v>1.6294499652864114E-2</v>
      </c>
      <c r="F64" s="331">
        <v>0.80702783363037989</v>
      </c>
      <c r="G64" s="94">
        <v>0.31504927136736222</v>
      </c>
      <c r="H64" s="330">
        <v>0.27568577436340092</v>
      </c>
      <c r="I64" s="330">
        <v>1.0257618122700658E-2</v>
      </c>
      <c r="J64" s="330">
        <v>0.99999993180727975</v>
      </c>
      <c r="K64" s="330">
        <v>0.78574291991338741</v>
      </c>
      <c r="L64" s="332">
        <v>10722.443709883495</v>
      </c>
      <c r="M64" s="330">
        <v>0</v>
      </c>
      <c r="N64" s="330">
        <v>18274.509826625428</v>
      </c>
      <c r="O64" s="330">
        <v>949.89824597094616</v>
      </c>
      <c r="P64" s="330">
        <v>36358.524557716759</v>
      </c>
      <c r="Q64" s="333">
        <v>118430.02378655178</v>
      </c>
      <c r="R64" s="330">
        <v>29069.54942680657</v>
      </c>
      <c r="S64" s="330">
        <v>9556.9426730065043</v>
      </c>
      <c r="T64" s="332">
        <v>0.97468158006190486</v>
      </c>
      <c r="U64" s="330">
        <v>0.64898187891756953</v>
      </c>
      <c r="V64" s="330">
        <v>0.98559134771118262</v>
      </c>
      <c r="W64" s="330">
        <v>0.97561329834681287</v>
      </c>
      <c r="X64" s="330">
        <v>1.2140528708883875E-2</v>
      </c>
      <c r="Y64" s="330">
        <v>0</v>
      </c>
      <c r="Z64" s="331">
        <v>0</v>
      </c>
      <c r="AA64" s="235"/>
      <c r="AB64" s="52">
        <v>95688.320067348352</v>
      </c>
      <c r="AC64" s="330">
        <v>0.67506071079247199</v>
      </c>
      <c r="AD64" s="330">
        <v>83982.513953979709</v>
      </c>
      <c r="AE64" s="330">
        <v>0.21081987389243084</v>
      </c>
      <c r="AF64" s="330">
        <v>11705.806113368642</v>
      </c>
      <c r="AG64" s="331">
        <v>0.46424083690004114</v>
      </c>
      <c r="AH64" s="235"/>
      <c r="AI64" s="208">
        <f t="shared" si="7"/>
        <v>545619.35518550011</v>
      </c>
      <c r="AJ64" s="208">
        <f t="shared" si="8"/>
        <v>116296.3662438296</v>
      </c>
      <c r="AK64" s="208">
        <f t="shared" si="3"/>
        <v>429322.98894167045</v>
      </c>
      <c r="AL64" s="235"/>
      <c r="AM64" s="52">
        <f t="shared" si="4"/>
        <v>1</v>
      </c>
      <c r="AN64" s="52">
        <f t="shared" si="5"/>
        <v>0</v>
      </c>
      <c r="AO64" s="52">
        <f t="shared" si="6"/>
        <v>1</v>
      </c>
      <c r="AP64" s="235"/>
      <c r="AQ64" s="45">
        <v>65000</v>
      </c>
      <c r="AR64" s="45">
        <v>0.438</v>
      </c>
      <c r="AS64" s="45">
        <v>0.56200000000000006</v>
      </c>
      <c r="AT64" s="45">
        <v>0.438</v>
      </c>
      <c r="AU64" s="235"/>
      <c r="AV64" s="360">
        <f t="shared" si="9"/>
        <v>545619.35518550011</v>
      </c>
      <c r="AW64" s="235"/>
      <c r="AX64" s="354"/>
      <c r="AY64" s="14"/>
      <c r="AZ64" s="14">
        <f t="shared" si="11"/>
        <v>11705.806113368642</v>
      </c>
      <c r="BA64" s="14">
        <f t="shared" si="10"/>
        <v>0.46424083690004114</v>
      </c>
      <c r="BB64" s="14">
        <f t="shared" si="2"/>
        <v>25214.942725706613</v>
      </c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>
        <v>0.5</v>
      </c>
      <c r="CA64" s="14">
        <v>100000</v>
      </c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38"/>
      <c r="CM64" s="138"/>
      <c r="CN64" s="138"/>
      <c r="CO64" s="138"/>
      <c r="CP64" s="14"/>
      <c r="CQ64" s="14"/>
      <c r="CR64" s="14"/>
      <c r="CS64" s="3"/>
      <c r="CT64" s="3"/>
      <c r="CU64" s="3"/>
      <c r="CV64" s="3"/>
      <c r="CW64" s="3"/>
    </row>
    <row r="65" spans="1:101" ht="14.25" customHeight="1" x14ac:dyDescent="0.2">
      <c r="A65" s="328"/>
      <c r="B65" s="52">
        <v>0.14947597057167336</v>
      </c>
      <c r="C65" s="330">
        <v>0.59723095934017589</v>
      </c>
      <c r="D65" s="330">
        <v>1.0226168783598959E-2</v>
      </c>
      <c r="E65" s="330">
        <v>1.7863150536688188E-2</v>
      </c>
      <c r="F65" s="331">
        <v>0.82260243174773218</v>
      </c>
      <c r="G65" s="94">
        <v>0.3959206511497263</v>
      </c>
      <c r="H65" s="330">
        <v>0.95077630052313844</v>
      </c>
      <c r="I65" s="330">
        <v>9.405571628226703E-3</v>
      </c>
      <c r="J65" s="330">
        <v>1</v>
      </c>
      <c r="K65" s="330">
        <v>0.74094431528977533</v>
      </c>
      <c r="L65" s="332">
        <v>12180.463776059867</v>
      </c>
      <c r="M65" s="330">
        <v>0</v>
      </c>
      <c r="N65" s="330">
        <v>18469.158771778773</v>
      </c>
      <c r="O65" s="330">
        <v>1705.1377189299619</v>
      </c>
      <c r="P65" s="330">
        <v>42193.030030749527</v>
      </c>
      <c r="Q65" s="333">
        <v>84680.421121467982</v>
      </c>
      <c r="R65" s="330">
        <v>32470.528969975327</v>
      </c>
      <c r="S65" s="330">
        <v>5912.0849353108033</v>
      </c>
      <c r="T65" s="332">
        <v>0.98492807024102857</v>
      </c>
      <c r="U65" s="330">
        <v>0.93204414917019318</v>
      </c>
      <c r="V65" s="330">
        <v>0.35635723404669334</v>
      </c>
      <c r="W65" s="330">
        <v>0.33438020540570818</v>
      </c>
      <c r="X65" s="330">
        <v>0.94490613986418936</v>
      </c>
      <c r="Y65" s="330">
        <v>0</v>
      </c>
      <c r="Z65" s="331">
        <v>0</v>
      </c>
      <c r="AA65" s="235"/>
      <c r="AB65" s="52">
        <v>67654.283677788801</v>
      </c>
      <c r="AC65" s="330">
        <v>4.7189397643216831</v>
      </c>
      <c r="AD65" s="330">
        <v>60404.965487707683</v>
      </c>
      <c r="AE65" s="330">
        <v>4.5516928999850697</v>
      </c>
      <c r="AF65" s="330">
        <v>7249.3181900811178</v>
      </c>
      <c r="AG65" s="331">
        <v>0.1672468643366134</v>
      </c>
      <c r="AH65" s="235"/>
      <c r="AI65" s="208">
        <f t="shared" si="7"/>
        <v>4415338.4924278101</v>
      </c>
      <c r="AJ65" s="208">
        <f t="shared" si="8"/>
        <v>4263703.2894981084</v>
      </c>
      <c r="AK65" s="208">
        <f t="shared" si="3"/>
        <v>151635.2029297016</v>
      </c>
      <c r="AL65" s="235"/>
      <c r="AM65" s="52">
        <f t="shared" si="4"/>
        <v>1</v>
      </c>
      <c r="AN65" s="52">
        <f t="shared" si="5"/>
        <v>0</v>
      </c>
      <c r="AO65" s="52">
        <f t="shared" si="6"/>
        <v>1</v>
      </c>
      <c r="AP65" s="235"/>
      <c r="AQ65" s="45">
        <v>70000</v>
      </c>
      <c r="AR65" s="45">
        <v>0.45400000000000001</v>
      </c>
      <c r="AS65" s="45">
        <v>0.54600000000000004</v>
      </c>
      <c r="AT65" s="45">
        <v>0.45400000000000001</v>
      </c>
      <c r="AU65" s="235"/>
      <c r="AV65" s="360">
        <f t="shared" si="9"/>
        <v>4415338.4924278101</v>
      </c>
      <c r="AW65" s="235"/>
      <c r="AX65" s="354"/>
      <c r="AY65" s="14"/>
      <c r="AZ65" s="14">
        <f t="shared" si="11"/>
        <v>7249.3181900811178</v>
      </c>
      <c r="BA65" s="14">
        <f t="shared" si="10"/>
        <v>0.1672468643366134</v>
      </c>
      <c r="BB65" s="14">
        <f t="shared" si="2"/>
        <v>43345.017073029267</v>
      </c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>
        <v>0.6</v>
      </c>
      <c r="CA65" s="14">
        <v>100000</v>
      </c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38"/>
      <c r="CM65" s="138"/>
      <c r="CN65" s="138"/>
      <c r="CO65" s="138"/>
      <c r="CP65" s="14"/>
      <c r="CQ65" s="14"/>
      <c r="CR65" s="14"/>
      <c r="CS65" s="3"/>
      <c r="CT65" s="3"/>
      <c r="CU65" s="3"/>
      <c r="CV65" s="3"/>
      <c r="CW65" s="3"/>
    </row>
    <row r="66" spans="1:101" ht="14.25" customHeight="1" x14ac:dyDescent="0.2">
      <c r="A66" s="328"/>
      <c r="B66" s="52">
        <v>0.15553188061751336</v>
      </c>
      <c r="C66" s="330">
        <v>0.30102825604431804</v>
      </c>
      <c r="D66" s="330">
        <v>8.1973688821571997E-3</v>
      </c>
      <c r="E66" s="330">
        <v>7.6427725144747032E-3</v>
      </c>
      <c r="F66" s="331">
        <v>0.78315041751603576</v>
      </c>
      <c r="G66" s="94">
        <v>0.43660176563709052</v>
      </c>
      <c r="H66" s="330">
        <v>0.52017268506465264</v>
      </c>
      <c r="I66" s="330">
        <v>2.4126860174679687E-2</v>
      </c>
      <c r="J66" s="330">
        <v>0.99998053020575772</v>
      </c>
      <c r="K66" s="330">
        <v>0.80762547642384641</v>
      </c>
      <c r="L66" s="332">
        <v>16026.266916363338</v>
      </c>
      <c r="M66" s="330">
        <v>0</v>
      </c>
      <c r="N66" s="330">
        <v>18594.29019754237</v>
      </c>
      <c r="O66" s="330">
        <v>1249.8154992040706</v>
      </c>
      <c r="P66" s="330">
        <v>39285.033323313095</v>
      </c>
      <c r="Q66" s="333">
        <v>111055.47702154127</v>
      </c>
      <c r="R66" s="330">
        <v>19601.17762239536</v>
      </c>
      <c r="S66" s="330">
        <v>7988.1209638325399</v>
      </c>
      <c r="T66" s="332">
        <v>0.21032479369601959</v>
      </c>
      <c r="U66" s="330">
        <v>0.21658527625013205</v>
      </c>
      <c r="V66" s="330">
        <v>0.59968015393555574</v>
      </c>
      <c r="W66" s="330">
        <v>0.98784048069306907</v>
      </c>
      <c r="X66" s="330">
        <v>0.93536778705891577</v>
      </c>
      <c r="Y66" s="330">
        <v>0</v>
      </c>
      <c r="Z66" s="331">
        <v>0</v>
      </c>
      <c r="AA66" s="235"/>
      <c r="AB66" s="52">
        <v>84414.03723522833</v>
      </c>
      <c r="AC66" s="330">
        <v>4.4345562511065024</v>
      </c>
      <c r="AD66" s="330">
        <v>75963.105379554298</v>
      </c>
      <c r="AE66" s="330">
        <v>4.5792974647231173</v>
      </c>
      <c r="AF66" s="330">
        <v>8450.9318556740327</v>
      </c>
      <c r="AG66" s="331">
        <v>-0.14474121361661485</v>
      </c>
      <c r="AH66" s="235"/>
      <c r="AI66" s="208">
        <f t="shared" si="7"/>
        <v>4128414.4013159489</v>
      </c>
      <c r="AJ66" s="208">
        <f t="shared" si="8"/>
        <v>4274369.4861074071</v>
      </c>
      <c r="AK66" s="208">
        <f t="shared" si="3"/>
        <v>-145955.08479145815</v>
      </c>
      <c r="AL66" s="235"/>
      <c r="AM66" s="52">
        <f t="shared" si="4"/>
        <v>0</v>
      </c>
      <c r="AN66" s="52">
        <f t="shared" si="5"/>
        <v>1</v>
      </c>
      <c r="AO66" s="52">
        <f t="shared" si="6"/>
        <v>0</v>
      </c>
      <c r="AP66" s="235"/>
      <c r="AQ66" s="45">
        <v>75000</v>
      </c>
      <c r="AR66" s="45">
        <v>0.47199999999999998</v>
      </c>
      <c r="AS66" s="45">
        <v>0.52800000000000002</v>
      </c>
      <c r="AT66" s="45">
        <v>0.47199999999999998</v>
      </c>
      <c r="AU66" s="235"/>
      <c r="AV66" s="360">
        <f t="shared" si="9"/>
        <v>4274369.4861074071</v>
      </c>
      <c r="AW66" s="235"/>
      <c r="AX66" s="354"/>
      <c r="AY66" s="14"/>
      <c r="AZ66" s="14">
        <f t="shared" si="11"/>
        <v>8450.9318556740327</v>
      </c>
      <c r="BA66" s="14">
        <f t="shared" si="10"/>
        <v>-0.14474121361661485</v>
      </c>
      <c r="BB66" s="14">
        <f t="shared" si="2"/>
        <v>-58386.493000249029</v>
      </c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>
        <v>0.7</v>
      </c>
      <c r="CA66" s="14">
        <v>100000</v>
      </c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38"/>
      <c r="CM66" s="138"/>
      <c r="CN66" s="138"/>
      <c r="CO66" s="138"/>
      <c r="CP66" s="14"/>
      <c r="CQ66" s="14"/>
      <c r="CR66" s="14"/>
      <c r="CS66" s="3"/>
      <c r="CT66" s="3"/>
      <c r="CU66" s="3"/>
      <c r="CV66" s="3"/>
      <c r="CW66" s="3"/>
    </row>
    <row r="67" spans="1:101" ht="14.25" customHeight="1" x14ac:dyDescent="0.2">
      <c r="A67" s="328"/>
      <c r="B67" s="52">
        <v>0.15713589006608039</v>
      </c>
      <c r="C67" s="330">
        <v>0.54591452383120176</v>
      </c>
      <c r="D67" s="330">
        <v>1.417682258525014E-2</v>
      </c>
      <c r="E67" s="330">
        <v>1.6706505968791197E-2</v>
      </c>
      <c r="F67" s="331">
        <v>0.76602236613132157</v>
      </c>
      <c r="G67" s="94">
        <v>0.41942383466443633</v>
      </c>
      <c r="H67" s="330">
        <v>0.78957171266248083</v>
      </c>
      <c r="I67" s="330">
        <v>9.1653542794232021E-3</v>
      </c>
      <c r="J67" s="330">
        <v>0.99999998108513199</v>
      </c>
      <c r="K67" s="330">
        <v>0.81009044495527427</v>
      </c>
      <c r="L67" s="332">
        <v>15605.836969243601</v>
      </c>
      <c r="M67" s="330">
        <v>0</v>
      </c>
      <c r="N67" s="330">
        <v>23536.770895154576</v>
      </c>
      <c r="O67" s="330">
        <v>1092.5691185159853</v>
      </c>
      <c r="P67" s="330">
        <v>45208.404354582366</v>
      </c>
      <c r="Q67" s="333">
        <v>106351.73537930701</v>
      </c>
      <c r="R67" s="330">
        <v>25303.36805776061</v>
      </c>
      <c r="S67" s="330">
        <v>8268.8912526337881</v>
      </c>
      <c r="T67" s="332">
        <v>0.56194957394802236</v>
      </c>
      <c r="U67" s="330">
        <v>0.40359698204997563</v>
      </c>
      <c r="V67" s="330">
        <v>0.99369207720249841</v>
      </c>
      <c r="W67" s="330">
        <v>0.63539228775225232</v>
      </c>
      <c r="X67" s="330">
        <v>0.58618141759252851</v>
      </c>
      <c r="Y67" s="330">
        <v>0</v>
      </c>
      <c r="Z67" s="331">
        <v>0</v>
      </c>
      <c r="AA67" s="235"/>
      <c r="AB67" s="52">
        <v>86160.877704366634</v>
      </c>
      <c r="AC67" s="330">
        <v>2.9225345752902356</v>
      </c>
      <c r="AD67" s="330">
        <v>81370.932704959065</v>
      </c>
      <c r="AE67" s="330">
        <v>3.0447420406272223</v>
      </c>
      <c r="AF67" s="330">
        <v>4789.9449994075694</v>
      </c>
      <c r="AG67" s="331">
        <v>-0.12220746533698668</v>
      </c>
      <c r="AH67" s="235"/>
      <c r="AI67" s="208">
        <f t="shared" si="7"/>
        <v>2690246.9688213575</v>
      </c>
      <c r="AJ67" s="208">
        <f t="shared" si="8"/>
        <v>2811134.0058909021</v>
      </c>
      <c r="AK67" s="208">
        <f t="shared" si="3"/>
        <v>-120887.03706954491</v>
      </c>
      <c r="AL67" s="235"/>
      <c r="AM67" s="52">
        <f t="shared" si="4"/>
        <v>0</v>
      </c>
      <c r="AN67" s="52">
        <f t="shared" si="5"/>
        <v>1</v>
      </c>
      <c r="AO67" s="52">
        <f t="shared" si="6"/>
        <v>0</v>
      </c>
      <c r="AP67" s="235"/>
      <c r="AQ67" s="45">
        <v>80000</v>
      </c>
      <c r="AR67" s="45">
        <v>0.48799999999999999</v>
      </c>
      <c r="AS67" s="45">
        <v>0.51200000000000001</v>
      </c>
      <c r="AT67" s="45">
        <v>0.48799999999999999</v>
      </c>
      <c r="AU67" s="235"/>
      <c r="AV67" s="360">
        <f t="shared" si="9"/>
        <v>2811134.0058909021</v>
      </c>
      <c r="AW67" s="235"/>
      <c r="AX67" s="354"/>
      <c r="AY67" s="14"/>
      <c r="AZ67" s="14">
        <f t="shared" si="11"/>
        <v>4789.9449994075694</v>
      </c>
      <c r="BA67" s="14">
        <f t="shared" si="10"/>
        <v>-0.12220746533698668</v>
      </c>
      <c r="BB67" s="14">
        <f t="shared" si="2"/>
        <v>-39195.191441040959</v>
      </c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>
        <v>0.8</v>
      </c>
      <c r="CA67" s="14">
        <v>100000</v>
      </c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38"/>
      <c r="CM67" s="138"/>
      <c r="CN67" s="138"/>
      <c r="CO67" s="138"/>
      <c r="CP67" s="14"/>
      <c r="CQ67" s="14"/>
      <c r="CR67" s="14"/>
      <c r="CS67" s="3"/>
      <c r="CT67" s="3"/>
      <c r="CU67" s="3"/>
      <c r="CV67" s="3"/>
      <c r="CW67" s="3"/>
    </row>
    <row r="68" spans="1:101" ht="14.25" customHeight="1" x14ac:dyDescent="0.2">
      <c r="A68" s="328"/>
      <c r="B68" s="52">
        <v>0.18002868216792611</v>
      </c>
      <c r="C68" s="330">
        <v>0.24555784703544198</v>
      </c>
      <c r="D68" s="330">
        <v>1.4281126633643219E-2</v>
      </c>
      <c r="E68" s="330">
        <v>1.9491863276607568E-2</v>
      </c>
      <c r="F68" s="331">
        <v>0.77140415064027101</v>
      </c>
      <c r="G68" s="94">
        <v>0.42551453013037421</v>
      </c>
      <c r="H68" s="330">
        <v>0.17701466668554081</v>
      </c>
      <c r="I68" s="330">
        <v>1.6160280837429375E-2</v>
      </c>
      <c r="J68" s="330">
        <v>0.9363734151969616</v>
      </c>
      <c r="K68" s="330">
        <v>0.75192572689705106</v>
      </c>
      <c r="L68" s="332">
        <v>10317.957818237113</v>
      </c>
      <c r="M68" s="330">
        <v>0</v>
      </c>
      <c r="N68" s="330">
        <v>20067.631700681355</v>
      </c>
      <c r="O68" s="330">
        <v>1184.5873763330208</v>
      </c>
      <c r="P68" s="330">
        <v>48394.17741476847</v>
      </c>
      <c r="Q68" s="333">
        <v>87034.236435517436</v>
      </c>
      <c r="R68" s="330">
        <v>17897.708263331366</v>
      </c>
      <c r="S68" s="330">
        <v>7989.8781286356134</v>
      </c>
      <c r="T68" s="332">
        <v>0.70291936594728321</v>
      </c>
      <c r="U68" s="330">
        <v>0.98639155421596825</v>
      </c>
      <c r="V68" s="330">
        <v>0.82302194966884856</v>
      </c>
      <c r="W68" s="330">
        <v>0.49789715608587853</v>
      </c>
      <c r="X68" s="330">
        <v>0.96750369687192528</v>
      </c>
      <c r="Y68" s="330">
        <v>0</v>
      </c>
      <c r="Z68" s="331">
        <v>0</v>
      </c>
      <c r="AA68" s="235"/>
      <c r="AB68" s="52">
        <v>77690.767387214059</v>
      </c>
      <c r="AC68" s="330">
        <v>4.5807281490480198</v>
      </c>
      <c r="AD68" s="330">
        <v>67370.933075578476</v>
      </c>
      <c r="AE68" s="330">
        <v>4.6274216592150816</v>
      </c>
      <c r="AF68" s="330">
        <v>10319.834311635583</v>
      </c>
      <c r="AG68" s="331">
        <v>-4.6693510167061802E-2</v>
      </c>
      <c r="AH68" s="235"/>
      <c r="AI68" s="208">
        <f t="shared" si="7"/>
        <v>4274000.9742084043</v>
      </c>
      <c r="AJ68" s="208">
        <f t="shared" si="8"/>
        <v>4328679.6431787489</v>
      </c>
      <c r="AK68" s="208">
        <f t="shared" si="3"/>
        <v>-54678.668970344297</v>
      </c>
      <c r="AL68" s="235"/>
      <c r="AM68" s="52">
        <f t="shared" si="4"/>
        <v>0</v>
      </c>
      <c r="AN68" s="52">
        <f t="shared" si="5"/>
        <v>1</v>
      </c>
      <c r="AO68" s="52">
        <f t="shared" si="6"/>
        <v>0</v>
      </c>
      <c r="AP68" s="235"/>
      <c r="AQ68" s="45">
        <v>85000</v>
      </c>
      <c r="AR68" s="45">
        <v>0.501</v>
      </c>
      <c r="AS68" s="45">
        <v>0.499</v>
      </c>
      <c r="AT68" s="45">
        <v>0.501</v>
      </c>
      <c r="AU68" s="235"/>
      <c r="AV68" s="360">
        <f t="shared" si="9"/>
        <v>4328679.6431787489</v>
      </c>
      <c r="AW68" s="235"/>
      <c r="AX68" s="354"/>
      <c r="AY68" s="14"/>
      <c r="AZ68" s="14">
        <f t="shared" si="11"/>
        <v>10319.834311635583</v>
      </c>
      <c r="BA68" s="14">
        <f t="shared" si="10"/>
        <v>-4.6693510167061802E-2</v>
      </c>
      <c r="BB68" s="14">
        <f t="shared" si="2"/>
        <v>-221012.17652545054</v>
      </c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>
        <v>0.9</v>
      </c>
      <c r="CA68" s="14">
        <v>100000</v>
      </c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38"/>
      <c r="CM68" s="138"/>
      <c r="CN68" s="138"/>
      <c r="CO68" s="138"/>
      <c r="CP68" s="14"/>
      <c r="CQ68" s="14"/>
      <c r="CR68" s="14"/>
      <c r="CS68" s="3"/>
      <c r="CT68" s="3"/>
      <c r="CU68" s="3"/>
      <c r="CV68" s="3"/>
      <c r="CW68" s="3"/>
    </row>
    <row r="69" spans="1:101" ht="14.25" customHeight="1" x14ac:dyDescent="0.2">
      <c r="A69" s="328"/>
      <c r="B69" s="52">
        <v>0.18544680392046153</v>
      </c>
      <c r="C69" s="330">
        <v>0.71477601189082418</v>
      </c>
      <c r="D69" s="330">
        <v>4.4047332019291674E-2</v>
      </c>
      <c r="E69" s="330">
        <v>5.7310505570615563E-3</v>
      </c>
      <c r="F69" s="331">
        <v>0.76899061699609395</v>
      </c>
      <c r="G69" s="94">
        <v>0.40001187894808599</v>
      </c>
      <c r="H69" s="330">
        <v>0.58758206819218262</v>
      </c>
      <c r="I69" s="330">
        <v>1.0766775482457006E-2</v>
      </c>
      <c r="J69" s="330">
        <v>0.9999999970817024</v>
      </c>
      <c r="K69" s="330">
        <v>0.77147998364737824</v>
      </c>
      <c r="L69" s="332">
        <v>11273.07687549567</v>
      </c>
      <c r="M69" s="330">
        <v>0</v>
      </c>
      <c r="N69" s="330">
        <v>16568.128420790756</v>
      </c>
      <c r="O69" s="330">
        <v>1791.909080194569</v>
      </c>
      <c r="P69" s="330">
        <v>30769.587351296454</v>
      </c>
      <c r="Q69" s="333">
        <v>69245.385707554131</v>
      </c>
      <c r="R69" s="330">
        <v>25695.344349095485</v>
      </c>
      <c r="S69" s="330">
        <v>4462.4166264447804</v>
      </c>
      <c r="T69" s="332">
        <v>0.99300770554024376</v>
      </c>
      <c r="U69" s="330">
        <v>0.99909056165214771</v>
      </c>
      <c r="V69" s="330">
        <v>0.19764316102552329</v>
      </c>
      <c r="W69" s="330">
        <v>0.99788314187663185</v>
      </c>
      <c r="X69" s="330">
        <v>0.97619077750890237</v>
      </c>
      <c r="Y69" s="330">
        <v>0</v>
      </c>
      <c r="Z69" s="331">
        <v>0</v>
      </c>
      <c r="AA69" s="235"/>
      <c r="AB69" s="52">
        <v>52404.042999056765</v>
      </c>
      <c r="AC69" s="330">
        <v>4.553755634839086</v>
      </c>
      <c r="AD69" s="330">
        <v>44216.429693865211</v>
      </c>
      <c r="AE69" s="330">
        <v>4.5785094635423373</v>
      </c>
      <c r="AF69" s="330">
        <v>8187.6133051915531</v>
      </c>
      <c r="AG69" s="331">
        <v>-2.4753828703251379E-2</v>
      </c>
      <c r="AH69" s="235"/>
      <c r="AI69" s="208">
        <f t="shared" si="7"/>
        <v>4273663.8100980744</v>
      </c>
      <c r="AJ69" s="208">
        <f t="shared" si="8"/>
        <v>4305367.5606713546</v>
      </c>
      <c r="AK69" s="208">
        <f t="shared" si="3"/>
        <v>-31703.750573280362</v>
      </c>
      <c r="AL69" s="235"/>
      <c r="AM69" s="52">
        <f t="shared" si="4"/>
        <v>0</v>
      </c>
      <c r="AN69" s="52">
        <f t="shared" si="5"/>
        <v>1</v>
      </c>
      <c r="AO69" s="52">
        <f t="shared" si="6"/>
        <v>0</v>
      </c>
      <c r="AP69" s="235"/>
      <c r="AQ69" s="45">
        <v>90000</v>
      </c>
      <c r="AR69" s="45">
        <v>0.51</v>
      </c>
      <c r="AS69" s="45">
        <v>0.49</v>
      </c>
      <c r="AT69" s="45">
        <v>0.51</v>
      </c>
      <c r="AU69" s="235"/>
      <c r="AV69" s="360">
        <f t="shared" si="9"/>
        <v>4305367.5606713546</v>
      </c>
      <c r="AW69" s="235"/>
      <c r="AX69" s="354"/>
      <c r="AY69" s="14"/>
      <c r="AZ69" s="14">
        <f t="shared" si="11"/>
        <v>8187.6133051915531</v>
      </c>
      <c r="BA69" s="14">
        <f t="shared" si="10"/>
        <v>-2.4753828703251379E-2</v>
      </c>
      <c r="BB69" s="14">
        <f t="shared" si="2"/>
        <v>-330761.49161992554</v>
      </c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>
        <v>10</v>
      </c>
      <c r="CA69" s="14">
        <v>100000</v>
      </c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38"/>
      <c r="CM69" s="138"/>
      <c r="CN69" s="138"/>
      <c r="CO69" s="138"/>
      <c r="CP69" s="14"/>
      <c r="CQ69" s="14"/>
      <c r="CR69" s="14"/>
      <c r="CS69" s="3"/>
      <c r="CT69" s="3"/>
      <c r="CU69" s="3"/>
      <c r="CV69" s="3"/>
      <c r="CW69" s="3"/>
    </row>
    <row r="70" spans="1:101" ht="14.25" customHeight="1" x14ac:dyDescent="0.2">
      <c r="A70" s="328"/>
      <c r="B70" s="52">
        <v>0.16597160292812085</v>
      </c>
      <c r="C70" s="330">
        <v>0.16397646644608035</v>
      </c>
      <c r="D70" s="330">
        <v>3.1972366605195424E-2</v>
      </c>
      <c r="E70" s="330">
        <v>1.89948498542859E-2</v>
      </c>
      <c r="F70" s="331">
        <v>0.79687914978928742</v>
      </c>
      <c r="G70" s="94">
        <v>0.37934975776103491</v>
      </c>
      <c r="H70" s="330">
        <v>0.94814951930084646</v>
      </c>
      <c r="I70" s="330">
        <v>1.0015343102211843E-2</v>
      </c>
      <c r="J70" s="330">
        <v>0.99080287170490855</v>
      </c>
      <c r="K70" s="330">
        <v>0.71380859626369175</v>
      </c>
      <c r="L70" s="332">
        <v>11102.431115648395</v>
      </c>
      <c r="M70" s="330">
        <v>0</v>
      </c>
      <c r="N70" s="330">
        <v>16302.708766208629</v>
      </c>
      <c r="O70" s="330">
        <v>1084.2648823495451</v>
      </c>
      <c r="P70" s="330">
        <v>40419.590396220483</v>
      </c>
      <c r="Q70" s="333">
        <v>77937.167995649157</v>
      </c>
      <c r="R70" s="330">
        <v>21543.99023043842</v>
      </c>
      <c r="S70" s="330">
        <v>10724.703856420576</v>
      </c>
      <c r="T70" s="332">
        <v>0.99988175104230503</v>
      </c>
      <c r="U70" s="330">
        <v>0.99602341164068808</v>
      </c>
      <c r="V70" s="330">
        <v>0.94371718394110471</v>
      </c>
      <c r="W70" s="330">
        <v>0.84828133028182529</v>
      </c>
      <c r="X70" s="330">
        <v>0.16766320079878472</v>
      </c>
      <c r="Y70" s="330">
        <v>0</v>
      </c>
      <c r="Z70" s="331">
        <v>0</v>
      </c>
      <c r="AA70" s="235"/>
      <c r="AB70" s="52">
        <v>104000.25430774734</v>
      </c>
      <c r="AC70" s="330">
        <v>0.95504071699171855</v>
      </c>
      <c r="AD70" s="330">
        <v>90757.425442023785</v>
      </c>
      <c r="AE70" s="330">
        <v>0.77563321742719715</v>
      </c>
      <c r="AF70" s="330">
        <v>13242.828865723553</v>
      </c>
      <c r="AG70" s="331">
        <v>0.1794074995645214</v>
      </c>
      <c r="AH70" s="235"/>
      <c r="AI70" s="208">
        <f t="shared" si="7"/>
        <v>803288.42683438526</v>
      </c>
      <c r="AJ70" s="208">
        <f t="shared" si="8"/>
        <v>646094.13111381349</v>
      </c>
      <c r="AK70" s="208">
        <f t="shared" si="3"/>
        <v>157194.29572057177</v>
      </c>
      <c r="AL70" s="235"/>
      <c r="AM70" s="52">
        <f t="shared" si="4"/>
        <v>1</v>
      </c>
      <c r="AN70" s="52">
        <f t="shared" si="5"/>
        <v>0</v>
      </c>
      <c r="AO70" s="52">
        <f t="shared" si="6"/>
        <v>1</v>
      </c>
      <c r="AP70" s="235"/>
      <c r="AQ70" s="45">
        <v>95000</v>
      </c>
      <c r="AR70" s="45">
        <v>0.51600000000000001</v>
      </c>
      <c r="AS70" s="45">
        <v>0.48399999999999999</v>
      </c>
      <c r="AT70" s="45">
        <v>0.51600000000000001</v>
      </c>
      <c r="AU70" s="235"/>
      <c r="AV70" s="360">
        <f t="shared" si="9"/>
        <v>803288.42683438526</v>
      </c>
      <c r="AW70" s="235"/>
      <c r="AX70" s="354"/>
      <c r="AY70" s="14"/>
      <c r="AZ70" s="14">
        <f t="shared" si="11"/>
        <v>13242.828865723553</v>
      </c>
      <c r="BA70" s="14">
        <f t="shared" si="10"/>
        <v>0.1794074995645214</v>
      </c>
      <c r="BB70" s="14">
        <f t="shared" si="2"/>
        <v>73814.243539807852</v>
      </c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38"/>
      <c r="CM70" s="138"/>
      <c r="CN70" s="138"/>
      <c r="CO70" s="138"/>
      <c r="CP70" s="14"/>
      <c r="CQ70" s="14"/>
      <c r="CR70" s="14"/>
      <c r="CS70" s="3"/>
      <c r="CT70" s="3"/>
      <c r="CU70" s="3"/>
      <c r="CV70" s="3"/>
      <c r="CW70" s="3"/>
    </row>
    <row r="71" spans="1:101" ht="14.25" customHeight="1" x14ac:dyDescent="0.2">
      <c r="A71" s="328"/>
      <c r="B71" s="52">
        <v>0.16968477597668918</v>
      </c>
      <c r="C71" s="330">
        <v>0.13135869257390315</v>
      </c>
      <c r="D71" s="330">
        <v>1.5972161447452948E-2</v>
      </c>
      <c r="E71" s="330">
        <v>4.5295181164845136E-3</v>
      </c>
      <c r="F71" s="331">
        <v>0.79392436329136551</v>
      </c>
      <c r="G71" s="94">
        <v>0.42612100276007914</v>
      </c>
      <c r="H71" s="330">
        <v>0.85448680716775305</v>
      </c>
      <c r="I71" s="330">
        <v>1.6936323250018703E-2</v>
      </c>
      <c r="J71" s="330">
        <v>0.99983976508952643</v>
      </c>
      <c r="K71" s="330">
        <v>0.72479732407142561</v>
      </c>
      <c r="L71" s="332">
        <v>15665.453135322825</v>
      </c>
      <c r="M71" s="330">
        <v>0</v>
      </c>
      <c r="N71" s="330">
        <v>21082.112799430608</v>
      </c>
      <c r="O71" s="330">
        <v>1207.7441786312579</v>
      </c>
      <c r="P71" s="330">
        <v>43470.780779838453</v>
      </c>
      <c r="Q71" s="333">
        <v>111200.33049514801</v>
      </c>
      <c r="R71" s="330">
        <v>15678.563370637186</v>
      </c>
      <c r="S71" s="330">
        <v>6342.0162668315215</v>
      </c>
      <c r="T71" s="332">
        <v>0.99962160666546507</v>
      </c>
      <c r="U71" s="330">
        <v>0.94896154918969522</v>
      </c>
      <c r="V71" s="330">
        <v>0.98269621102082572</v>
      </c>
      <c r="W71" s="330">
        <v>0.10939450114663803</v>
      </c>
      <c r="X71" s="330">
        <v>0.99994738629709645</v>
      </c>
      <c r="Y71" s="330">
        <v>0</v>
      </c>
      <c r="Z71" s="331">
        <v>0</v>
      </c>
      <c r="AA71" s="235"/>
      <c r="AB71" s="52">
        <v>70554.649718504123</v>
      </c>
      <c r="AC71" s="330">
        <v>5.3366928671362466</v>
      </c>
      <c r="AD71" s="330">
        <v>56737.939666898863</v>
      </c>
      <c r="AE71" s="330">
        <v>4.6350021306776554</v>
      </c>
      <c r="AF71" s="330">
        <v>13816.71005160526</v>
      </c>
      <c r="AG71" s="331">
        <v>0.70169073645859115</v>
      </c>
      <c r="AH71" s="235"/>
      <c r="AI71" s="208">
        <f t="shared" si="7"/>
        <v>4999303.5740609299</v>
      </c>
      <c r="AJ71" s="208">
        <f t="shared" si="8"/>
        <v>4346514.0844768733</v>
      </c>
      <c r="AK71" s="208">
        <f t="shared" si="3"/>
        <v>652789.48958405631</v>
      </c>
      <c r="AL71" s="235"/>
      <c r="AM71" s="52">
        <f t="shared" si="4"/>
        <v>1</v>
      </c>
      <c r="AN71" s="52">
        <f t="shared" si="5"/>
        <v>0</v>
      </c>
      <c r="AO71" s="52">
        <f t="shared" si="6"/>
        <v>1</v>
      </c>
      <c r="AP71" s="235"/>
      <c r="AQ71" s="45">
        <v>100000</v>
      </c>
      <c r="AR71" s="45">
        <v>0.52700000000000002</v>
      </c>
      <c r="AS71" s="45">
        <v>0.47299999999999998</v>
      </c>
      <c r="AT71" s="45">
        <v>0.52700000000000002</v>
      </c>
      <c r="AU71" s="235"/>
      <c r="AV71" s="360">
        <f t="shared" si="9"/>
        <v>4999303.5740609299</v>
      </c>
      <c r="AW71" s="235"/>
      <c r="AX71" s="354"/>
      <c r="AY71" s="14"/>
      <c r="AZ71" s="14">
        <f t="shared" si="11"/>
        <v>13816.71005160526</v>
      </c>
      <c r="BA71" s="14">
        <f t="shared" si="10"/>
        <v>0.70169073645859115</v>
      </c>
      <c r="BB71" s="14">
        <f t="shared" si="2"/>
        <v>19690.597771516434</v>
      </c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38"/>
      <c r="CM71" s="138"/>
      <c r="CN71" s="138"/>
      <c r="CO71" s="138"/>
      <c r="CP71" s="14"/>
      <c r="CQ71" s="14"/>
      <c r="CR71" s="14"/>
      <c r="CS71" s="3"/>
      <c r="CT71" s="3"/>
      <c r="CU71" s="3"/>
      <c r="CV71" s="3"/>
      <c r="CW71" s="3"/>
    </row>
    <row r="72" spans="1:101" ht="14.25" customHeight="1" x14ac:dyDescent="0.2">
      <c r="A72" s="328"/>
      <c r="B72" s="52">
        <v>0.13786529613454362</v>
      </c>
      <c r="C72" s="330">
        <v>0.2926842140943664</v>
      </c>
      <c r="D72" s="330">
        <v>2.8897209930966672E-2</v>
      </c>
      <c r="E72" s="330">
        <v>9.5732443299070494E-3</v>
      </c>
      <c r="F72" s="331">
        <v>0.80577210614248651</v>
      </c>
      <c r="G72" s="94">
        <v>0.35145155570320613</v>
      </c>
      <c r="H72" s="330">
        <v>0.85283757213003542</v>
      </c>
      <c r="I72" s="330">
        <v>1.8230976397611731E-2</v>
      </c>
      <c r="J72" s="330">
        <v>0.99999929430960122</v>
      </c>
      <c r="K72" s="330">
        <v>0.79757207444304734</v>
      </c>
      <c r="L72" s="332">
        <v>8613.6323351281153</v>
      </c>
      <c r="M72" s="330">
        <v>0</v>
      </c>
      <c r="N72" s="330">
        <v>16061.056465001917</v>
      </c>
      <c r="O72" s="330">
        <v>962.92001895278656</v>
      </c>
      <c r="P72" s="330">
        <v>44325.73616773948</v>
      </c>
      <c r="Q72" s="333">
        <v>90851.45527888104</v>
      </c>
      <c r="R72" s="330">
        <v>18978.49449590312</v>
      </c>
      <c r="S72" s="330">
        <v>7626.3048394547886</v>
      </c>
      <c r="T72" s="332">
        <v>0.99112005187701446</v>
      </c>
      <c r="U72" s="330">
        <v>0.99629602939665951</v>
      </c>
      <c r="V72" s="330">
        <v>0.89885950786708246</v>
      </c>
      <c r="W72" s="330">
        <v>0.81399780730588056</v>
      </c>
      <c r="X72" s="330">
        <v>0.17894538526280226</v>
      </c>
      <c r="Y72" s="330">
        <v>0</v>
      </c>
      <c r="Z72" s="331">
        <v>0</v>
      </c>
      <c r="AA72" s="235"/>
      <c r="AB72" s="52">
        <v>75820.534873747005</v>
      </c>
      <c r="AC72" s="330">
        <v>1.2427486893721187</v>
      </c>
      <c r="AD72" s="330">
        <v>72200.790948263064</v>
      </c>
      <c r="AE72" s="330">
        <v>1.2476269446046275</v>
      </c>
      <c r="AF72" s="330">
        <v>3619.743925483941</v>
      </c>
      <c r="AG72" s="331">
        <v>-4.8782552325088435E-3</v>
      </c>
      <c r="AH72" s="235"/>
      <c r="AI72" s="208">
        <f t="shared" si="7"/>
        <v>1104790.7200297657</v>
      </c>
      <c r="AJ72" s="208">
        <f t="shared" si="8"/>
        <v>1113044.806426133</v>
      </c>
      <c r="AK72" s="208">
        <f t="shared" si="3"/>
        <v>-8254.0863963673419</v>
      </c>
      <c r="AL72" s="235"/>
      <c r="AM72" s="52">
        <f t="shared" si="4"/>
        <v>0</v>
      </c>
      <c r="AN72" s="52">
        <f t="shared" si="5"/>
        <v>1</v>
      </c>
      <c r="AO72" s="52">
        <f t="shared" si="6"/>
        <v>0</v>
      </c>
      <c r="AP72" s="235"/>
      <c r="AQ72" s="52">
        <v>110000</v>
      </c>
      <c r="AR72" s="52">
        <v>0.54500000000000004</v>
      </c>
      <c r="AS72" s="52">
        <v>0.45500000000000002</v>
      </c>
      <c r="AT72" s="52">
        <v>0.54500000000000004</v>
      </c>
      <c r="AU72" s="235"/>
      <c r="AV72" s="360">
        <f t="shared" si="9"/>
        <v>1113044.806426133</v>
      </c>
      <c r="AW72" s="235"/>
      <c r="AX72" s="354"/>
      <c r="AY72" s="14"/>
      <c r="AZ72" s="14">
        <f t="shared" si="11"/>
        <v>3619.743925483941</v>
      </c>
      <c r="BA72" s="14">
        <f t="shared" si="10"/>
        <v>-4.8782552325088435E-3</v>
      </c>
      <c r="BB72" s="14">
        <f t="shared" si="2"/>
        <v>-742016.10062586633</v>
      </c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38"/>
      <c r="CM72" s="138"/>
      <c r="CN72" s="138"/>
      <c r="CO72" s="138"/>
      <c r="CP72" s="14"/>
      <c r="CQ72" s="14"/>
      <c r="CR72" s="14"/>
      <c r="CS72" s="3"/>
      <c r="CT72" s="3"/>
      <c r="CU72" s="3"/>
      <c r="CV72" s="3"/>
      <c r="CW72" s="3"/>
    </row>
    <row r="73" spans="1:101" ht="14.25" customHeight="1" x14ac:dyDescent="0.2">
      <c r="A73" s="328"/>
      <c r="B73" s="52">
        <v>0.16572327535014886</v>
      </c>
      <c r="C73" s="330">
        <v>0.40628223416818288</v>
      </c>
      <c r="D73" s="330">
        <v>7.9464948453394739E-3</v>
      </c>
      <c r="E73" s="330">
        <v>1.3807948367574693E-2</v>
      </c>
      <c r="F73" s="331">
        <v>0.79637728131671837</v>
      </c>
      <c r="G73" s="94">
        <v>0.34867435111025785</v>
      </c>
      <c r="H73" s="330">
        <v>2.2015029535282244E-2</v>
      </c>
      <c r="I73" s="330">
        <v>2.9362105853405152E-2</v>
      </c>
      <c r="J73" s="330">
        <v>0.99999999974713738</v>
      </c>
      <c r="K73" s="330">
        <v>0.73914980893947979</v>
      </c>
      <c r="L73" s="332">
        <v>13739.769638376638</v>
      </c>
      <c r="M73" s="330">
        <v>0</v>
      </c>
      <c r="N73" s="330">
        <v>22515.573153602141</v>
      </c>
      <c r="O73" s="330">
        <v>906.7649522134318</v>
      </c>
      <c r="P73" s="330">
        <v>54805.534719327938</v>
      </c>
      <c r="Q73" s="333">
        <v>99406.769109937421</v>
      </c>
      <c r="R73" s="330">
        <v>23865.18665393116</v>
      </c>
      <c r="S73" s="330">
        <v>8160.966774507111</v>
      </c>
      <c r="T73" s="332">
        <v>0.9311482325321625</v>
      </c>
      <c r="U73" s="330">
        <v>0.94081053044327989</v>
      </c>
      <c r="V73" s="330">
        <v>0.41058877792756271</v>
      </c>
      <c r="W73" s="330">
        <v>0.99987927791537157</v>
      </c>
      <c r="X73" s="330">
        <v>0.9560350460421263</v>
      </c>
      <c r="Y73" s="330">
        <v>0</v>
      </c>
      <c r="Z73" s="331">
        <v>0</v>
      </c>
      <c r="AA73" s="235"/>
      <c r="AB73" s="52">
        <v>85373.721338325893</v>
      </c>
      <c r="AC73" s="330">
        <v>4.687334022586449</v>
      </c>
      <c r="AD73" s="330">
        <v>67135.23745432742</v>
      </c>
      <c r="AE73" s="330">
        <v>4.3042129485101137</v>
      </c>
      <c r="AF73" s="330">
        <v>18238.483883998473</v>
      </c>
      <c r="AG73" s="331">
        <v>0.38312107407633533</v>
      </c>
      <c r="AH73" s="235"/>
      <c r="AI73" s="208">
        <f t="shared" si="7"/>
        <v>4367593.6001188001</v>
      </c>
      <c r="AJ73" s="208">
        <f t="shared" si="8"/>
        <v>4021867.0636302806</v>
      </c>
      <c r="AK73" s="208">
        <f t="shared" si="3"/>
        <v>345726.5364885201</v>
      </c>
      <c r="AL73" s="235"/>
      <c r="AM73" s="52">
        <f t="shared" si="4"/>
        <v>1</v>
      </c>
      <c r="AN73" s="52">
        <f t="shared" si="5"/>
        <v>0</v>
      </c>
      <c r="AO73" s="52">
        <f t="shared" si="6"/>
        <v>1</v>
      </c>
      <c r="AP73" s="235"/>
      <c r="AQ73" s="52">
        <v>120000</v>
      </c>
      <c r="AR73" s="52">
        <v>0.55800000000000005</v>
      </c>
      <c r="AS73" s="52">
        <v>0.442</v>
      </c>
      <c r="AT73" s="52">
        <v>0.55800000000000005</v>
      </c>
      <c r="AU73" s="235"/>
      <c r="AV73" s="360">
        <f t="shared" si="9"/>
        <v>4367593.6001188001</v>
      </c>
      <c r="AW73" s="235"/>
      <c r="AX73" s="354"/>
      <c r="AY73" s="14"/>
      <c r="AZ73" s="14">
        <f t="shared" si="11"/>
        <v>18238.483883998473</v>
      </c>
      <c r="BA73" s="14">
        <f t="shared" si="10"/>
        <v>0.38312107407633533</v>
      </c>
      <c r="BB73" s="14">
        <f t="shared" si="2"/>
        <v>47605.013448997925</v>
      </c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38"/>
      <c r="CM73" s="138"/>
      <c r="CN73" s="138"/>
      <c r="CO73" s="138"/>
      <c r="CP73" s="14"/>
      <c r="CQ73" s="14"/>
      <c r="CR73" s="14"/>
      <c r="CS73" s="3"/>
      <c r="CT73" s="3"/>
      <c r="CU73" s="3"/>
      <c r="CV73" s="3"/>
      <c r="CW73" s="3"/>
    </row>
    <row r="74" spans="1:101" ht="14.25" customHeight="1" x14ac:dyDescent="0.2">
      <c r="A74" s="328"/>
      <c r="B74" s="52">
        <v>0.15003427871067568</v>
      </c>
      <c r="C74" s="330">
        <v>0.75941745524982207</v>
      </c>
      <c r="D74" s="330">
        <v>1.9257424546125224E-2</v>
      </c>
      <c r="E74" s="330">
        <v>9.7266599615512313E-3</v>
      </c>
      <c r="F74" s="331">
        <v>0.78244138711493871</v>
      </c>
      <c r="G74" s="94">
        <v>0.38141904819496963</v>
      </c>
      <c r="H74" s="330">
        <v>0.2150672490077612</v>
      </c>
      <c r="I74" s="330">
        <v>6.9206259005072865E-3</v>
      </c>
      <c r="J74" s="330">
        <v>0.9968980097855924</v>
      </c>
      <c r="K74" s="330">
        <v>0.81978086482027956</v>
      </c>
      <c r="L74" s="332">
        <v>7506.0114987916195</v>
      </c>
      <c r="M74" s="330">
        <v>0</v>
      </c>
      <c r="N74" s="330">
        <v>16958.202481833883</v>
      </c>
      <c r="O74" s="330">
        <v>914.62329728630812</v>
      </c>
      <c r="P74" s="330">
        <v>48393.190093043791</v>
      </c>
      <c r="Q74" s="333">
        <v>87278.230803138082</v>
      </c>
      <c r="R74" s="330">
        <v>20030.376082744646</v>
      </c>
      <c r="S74" s="330">
        <v>7442.1417132177467</v>
      </c>
      <c r="T74" s="332">
        <v>0.99772723738474567</v>
      </c>
      <c r="U74" s="330">
        <v>0.6179095103051051</v>
      </c>
      <c r="V74" s="330">
        <v>0.89604850921585588</v>
      </c>
      <c r="W74" s="330">
        <v>0.99998327637832374</v>
      </c>
      <c r="X74" s="330">
        <v>0.41973477769854578</v>
      </c>
      <c r="Y74" s="330">
        <v>0</v>
      </c>
      <c r="Z74" s="331">
        <v>0</v>
      </c>
      <c r="AA74" s="235"/>
      <c r="AB74" s="52">
        <v>72667.863208215786</v>
      </c>
      <c r="AC74" s="330">
        <v>2.1577473291654261</v>
      </c>
      <c r="AD74" s="330">
        <v>67893.539152785001</v>
      </c>
      <c r="AE74" s="330">
        <v>2.2923653577594849</v>
      </c>
      <c r="AF74" s="330">
        <v>4774.3240554307849</v>
      </c>
      <c r="AG74" s="331">
        <v>-0.1346180285940588</v>
      </c>
      <c r="AH74" s="235"/>
      <c r="AI74" s="208">
        <f t="shared" si="7"/>
        <v>1977192.0994989392</v>
      </c>
      <c r="AJ74" s="208">
        <f t="shared" si="8"/>
        <v>2109853.5507187257</v>
      </c>
      <c r="AK74" s="208">
        <f t="shared" si="3"/>
        <v>-132661.45121978666</v>
      </c>
      <c r="AL74" s="235"/>
      <c r="AM74" s="52">
        <f t="shared" si="4"/>
        <v>0</v>
      </c>
      <c r="AN74" s="52">
        <f t="shared" si="5"/>
        <v>1</v>
      </c>
      <c r="AO74" s="52">
        <f t="shared" si="6"/>
        <v>0</v>
      </c>
      <c r="AP74" s="235"/>
      <c r="AQ74" s="52">
        <v>130000</v>
      </c>
      <c r="AR74" s="52">
        <v>0.56499999999999995</v>
      </c>
      <c r="AS74" s="52">
        <v>0.435</v>
      </c>
      <c r="AT74" s="52">
        <v>0.56499999999999995</v>
      </c>
      <c r="AU74" s="235"/>
      <c r="AV74" s="360">
        <f t="shared" si="9"/>
        <v>2109853.5507187257</v>
      </c>
      <c r="AW74" s="235"/>
      <c r="AX74" s="354"/>
      <c r="AY74" s="14"/>
      <c r="AZ74" s="14">
        <f t="shared" si="11"/>
        <v>4774.3240554307849</v>
      </c>
      <c r="BA74" s="14">
        <f t="shared" si="10"/>
        <v>-0.1346180285940588</v>
      </c>
      <c r="BB74" s="14">
        <f t="shared" si="2"/>
        <v>-35465.710687442748</v>
      </c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 t="s">
        <v>303</v>
      </c>
      <c r="BT74" s="14" t="s">
        <v>305</v>
      </c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38"/>
      <c r="CM74" s="138"/>
      <c r="CN74" s="138"/>
      <c r="CO74" s="138"/>
      <c r="CP74" s="14"/>
      <c r="CQ74" s="14"/>
      <c r="CR74" s="14"/>
      <c r="CS74" s="3"/>
      <c r="CT74" s="3"/>
      <c r="CU74" s="3"/>
      <c r="CV74" s="3"/>
      <c r="CW74" s="3"/>
    </row>
    <row r="75" spans="1:101" ht="14.25" customHeight="1" x14ac:dyDescent="0.2">
      <c r="A75" s="328"/>
      <c r="B75" s="52">
        <v>0.17489714178123439</v>
      </c>
      <c r="C75" s="330">
        <v>0.29894257951706749</v>
      </c>
      <c r="D75" s="330">
        <v>1.464387527102351E-2</v>
      </c>
      <c r="E75" s="330">
        <v>1.9167538032533238E-2</v>
      </c>
      <c r="F75" s="331">
        <v>0.76689109535222855</v>
      </c>
      <c r="G75" s="94">
        <v>0.35283948123935838</v>
      </c>
      <c r="H75" s="330">
        <v>0.37371913198293349</v>
      </c>
      <c r="I75" s="330">
        <v>2.2796999682621943E-2</v>
      </c>
      <c r="J75" s="330">
        <v>4.7573164236004977E-3</v>
      </c>
      <c r="K75" s="330">
        <v>0.70396229765729212</v>
      </c>
      <c r="L75" s="332">
        <v>13077.057901028604</v>
      </c>
      <c r="M75" s="330">
        <v>0</v>
      </c>
      <c r="N75" s="330">
        <v>19277.331846845074</v>
      </c>
      <c r="O75" s="330">
        <v>1150.2383872034884</v>
      </c>
      <c r="P75" s="330">
        <v>49529.467461472283</v>
      </c>
      <c r="Q75" s="333">
        <v>124323.23054023941</v>
      </c>
      <c r="R75" s="330">
        <v>21891.634173705297</v>
      </c>
      <c r="S75" s="330">
        <v>11215.221672381364</v>
      </c>
      <c r="T75" s="332">
        <v>0.45303123320810545</v>
      </c>
      <c r="U75" s="330">
        <v>0.69726802443179936</v>
      </c>
      <c r="V75" s="330">
        <v>0.99976403479900688</v>
      </c>
      <c r="W75" s="330">
        <v>0.83898002358927615</v>
      </c>
      <c r="X75" s="330">
        <v>0.43663270178183278</v>
      </c>
      <c r="Y75" s="330">
        <v>0</v>
      </c>
      <c r="Z75" s="331">
        <v>0</v>
      </c>
      <c r="AA75" s="235"/>
      <c r="AB75" s="52">
        <v>107042.35841653531</v>
      </c>
      <c r="AC75" s="330">
        <v>2.2524242720674645</v>
      </c>
      <c r="AD75" s="330">
        <v>89006.096453754362</v>
      </c>
      <c r="AE75" s="330">
        <v>1.9136893066125038</v>
      </c>
      <c r="AF75" s="330">
        <v>18036.261962780947</v>
      </c>
      <c r="AG75" s="331">
        <v>0.33873496545496073</v>
      </c>
      <c r="AH75" s="235"/>
      <c r="AI75" s="208">
        <f t="shared" si="7"/>
        <v>2032760.7000475558</v>
      </c>
      <c r="AJ75" s="208">
        <f t="shared" si="8"/>
        <v>1728998.7448281241</v>
      </c>
      <c r="AK75" s="208">
        <f t="shared" si="3"/>
        <v>303761.95521943172</v>
      </c>
      <c r="AL75" s="235"/>
      <c r="AM75" s="52">
        <f t="shared" si="4"/>
        <v>1</v>
      </c>
      <c r="AN75" s="52">
        <f t="shared" si="5"/>
        <v>0</v>
      </c>
      <c r="AO75" s="52">
        <f t="shared" si="6"/>
        <v>1</v>
      </c>
      <c r="AP75" s="235"/>
      <c r="AQ75" s="52">
        <v>140000</v>
      </c>
      <c r="AR75" s="52">
        <v>0.56999999999999995</v>
      </c>
      <c r="AS75" s="52">
        <v>0.43</v>
      </c>
      <c r="AT75" s="52">
        <v>0.56999999999999995</v>
      </c>
      <c r="AU75" s="235"/>
      <c r="AV75" s="360">
        <f t="shared" si="9"/>
        <v>2032760.7000475558</v>
      </c>
      <c r="AW75" s="235"/>
      <c r="AX75" s="354"/>
      <c r="AY75" s="14"/>
      <c r="AZ75" s="14">
        <f t="shared" si="11"/>
        <v>18036.261962780947</v>
      </c>
      <c r="BA75" s="14">
        <f t="shared" si="10"/>
        <v>0.33873496545496073</v>
      </c>
      <c r="BB75" s="14">
        <f t="shared" si="2"/>
        <v>53245.940933662205</v>
      </c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>
        <v>100000</v>
      </c>
      <c r="BT75" s="14">
        <v>1</v>
      </c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38"/>
      <c r="CM75" s="138"/>
      <c r="CN75" s="138"/>
      <c r="CO75" s="138"/>
      <c r="CP75" s="14"/>
      <c r="CQ75" s="14"/>
      <c r="CR75" s="14"/>
      <c r="CS75" s="3"/>
      <c r="CT75" s="3"/>
      <c r="CU75" s="3"/>
      <c r="CV75" s="3"/>
      <c r="CW75" s="3"/>
    </row>
    <row r="76" spans="1:101" ht="14.25" customHeight="1" x14ac:dyDescent="0.2">
      <c r="A76" s="328"/>
      <c r="B76" s="52">
        <v>0.17711712400624691</v>
      </c>
      <c r="C76" s="330">
        <v>9.3145640591181814E-2</v>
      </c>
      <c r="D76" s="330">
        <v>1.5682937031847644E-2</v>
      </c>
      <c r="E76" s="330">
        <v>1.9291144755731904E-2</v>
      </c>
      <c r="F76" s="331">
        <v>0.80831422832748334</v>
      </c>
      <c r="G76" s="94">
        <v>0.43644135325276134</v>
      </c>
      <c r="H76" s="330">
        <v>0.30649311126496992</v>
      </c>
      <c r="I76" s="330">
        <v>1.7790220334761409E-2</v>
      </c>
      <c r="J76" s="330">
        <v>0.9999999999938658</v>
      </c>
      <c r="K76" s="330">
        <v>0.73492504453811025</v>
      </c>
      <c r="L76" s="332">
        <v>15158.571612987776</v>
      </c>
      <c r="M76" s="330">
        <v>0</v>
      </c>
      <c r="N76" s="330">
        <v>19180.655676073013</v>
      </c>
      <c r="O76" s="330">
        <v>1244.9113998818041</v>
      </c>
      <c r="P76" s="330">
        <v>43218.620781667341</v>
      </c>
      <c r="Q76" s="333">
        <v>121708.6673959684</v>
      </c>
      <c r="R76" s="330">
        <v>33143.866822032745</v>
      </c>
      <c r="S76" s="330">
        <v>10473.877872157467</v>
      </c>
      <c r="T76" s="332">
        <v>0.99917890864212267</v>
      </c>
      <c r="U76" s="330">
        <v>0.6511502625857839</v>
      </c>
      <c r="V76" s="330">
        <v>0.89483330327013966</v>
      </c>
      <c r="W76" s="330">
        <v>1.1696457675594504E-2</v>
      </c>
      <c r="X76" s="330">
        <v>0.99254087421451254</v>
      </c>
      <c r="Y76" s="330">
        <v>0</v>
      </c>
      <c r="Z76" s="331">
        <v>0</v>
      </c>
      <c r="AA76" s="235"/>
      <c r="AB76" s="52">
        <v>107119.86377449056</v>
      </c>
      <c r="AC76" s="330">
        <v>5.0525409574490254</v>
      </c>
      <c r="AD76" s="330">
        <v>88955.259875612188</v>
      </c>
      <c r="AE76" s="330">
        <v>4.4887106363936295</v>
      </c>
      <c r="AF76" s="330">
        <v>18164.603898878369</v>
      </c>
      <c r="AG76" s="331">
        <v>0.56383032105539588</v>
      </c>
      <c r="AH76" s="235"/>
      <c r="AI76" s="208">
        <f t="shared" si="7"/>
        <v>4692794.0458020838</v>
      </c>
      <c r="AJ76" s="208">
        <f t="shared" si="8"/>
        <v>4175319.844698336</v>
      </c>
      <c r="AK76" s="208">
        <f t="shared" si="3"/>
        <v>517474.20110374765</v>
      </c>
      <c r="AL76" s="235"/>
      <c r="AM76" s="52">
        <f t="shared" si="4"/>
        <v>1</v>
      </c>
      <c r="AN76" s="52">
        <f t="shared" si="5"/>
        <v>0</v>
      </c>
      <c r="AO76" s="52">
        <f t="shared" si="6"/>
        <v>1</v>
      </c>
      <c r="AP76" s="235"/>
      <c r="AQ76" s="52">
        <v>150000</v>
      </c>
      <c r="AR76" s="52">
        <v>0.57599999999999996</v>
      </c>
      <c r="AS76" s="52">
        <v>0.42399999999999999</v>
      </c>
      <c r="AT76" s="52">
        <v>0.57599999999999996</v>
      </c>
      <c r="AU76" s="235"/>
      <c r="AV76" s="360">
        <f t="shared" si="9"/>
        <v>4692794.0458020838</v>
      </c>
      <c r="AW76" s="235"/>
      <c r="AX76" s="354"/>
      <c r="AY76" s="14"/>
      <c r="AZ76" s="14">
        <f t="shared" si="11"/>
        <v>18164.603898878369</v>
      </c>
      <c r="BA76" s="14">
        <f t="shared" si="10"/>
        <v>0.56383032105539588</v>
      </c>
      <c r="BB76" s="14">
        <f t="shared" si="2"/>
        <v>32216.436790553005</v>
      </c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>
        <v>-100000</v>
      </c>
      <c r="BT76" s="14">
        <v>-1</v>
      </c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38"/>
      <c r="CM76" s="138"/>
      <c r="CN76" s="138"/>
      <c r="CO76" s="138"/>
      <c r="CP76" s="14"/>
      <c r="CQ76" s="14"/>
      <c r="CR76" s="14"/>
      <c r="CS76" s="3"/>
      <c r="CT76" s="3"/>
      <c r="CU76" s="3"/>
      <c r="CV76" s="3"/>
      <c r="CW76" s="3"/>
    </row>
    <row r="77" spans="1:101" ht="14.25" customHeight="1" x14ac:dyDescent="0.2">
      <c r="A77" s="328"/>
      <c r="B77" s="52">
        <v>0.17167145422390373</v>
      </c>
      <c r="C77" s="330">
        <v>0.51544161168063285</v>
      </c>
      <c r="D77" s="330">
        <v>3.0876992979746332E-2</v>
      </c>
      <c r="E77" s="330">
        <v>2.8350749959368815E-2</v>
      </c>
      <c r="F77" s="331">
        <v>0.75689203078755263</v>
      </c>
      <c r="G77" s="94">
        <v>0.37241333305105584</v>
      </c>
      <c r="H77" s="330">
        <v>0.20027982244705769</v>
      </c>
      <c r="I77" s="330">
        <v>5.8477841425279746E-3</v>
      </c>
      <c r="J77" s="330">
        <v>1</v>
      </c>
      <c r="K77" s="330">
        <v>0.74980764892759821</v>
      </c>
      <c r="L77" s="332">
        <v>13909.085342097753</v>
      </c>
      <c r="M77" s="330">
        <v>0</v>
      </c>
      <c r="N77" s="330">
        <v>23681.194250004839</v>
      </c>
      <c r="O77" s="330">
        <v>1206.2328410988423</v>
      </c>
      <c r="P77" s="330">
        <v>38529.930918406528</v>
      </c>
      <c r="Q77" s="333">
        <v>116447.32928159977</v>
      </c>
      <c r="R77" s="330">
        <v>16810.915669743736</v>
      </c>
      <c r="S77" s="330">
        <v>9132.3741268273061</v>
      </c>
      <c r="T77" s="332">
        <v>0.99509469677440743</v>
      </c>
      <c r="U77" s="330">
        <v>0.51480207144466517</v>
      </c>
      <c r="V77" s="330">
        <v>8.2742937422726592E-2</v>
      </c>
      <c r="W77" s="330">
        <v>0.72959747037333045</v>
      </c>
      <c r="X77" s="330">
        <v>0.95238724141099163</v>
      </c>
      <c r="Y77" s="330">
        <v>0</v>
      </c>
      <c r="Z77" s="331">
        <v>0</v>
      </c>
      <c r="AA77" s="235"/>
      <c r="AB77" s="52">
        <v>90406.947510486061</v>
      </c>
      <c r="AC77" s="330">
        <v>4.3990858289800645</v>
      </c>
      <c r="AD77" s="330">
        <v>75586.073667892168</v>
      </c>
      <c r="AE77" s="330">
        <v>4.47678711989533</v>
      </c>
      <c r="AF77" s="330">
        <v>14820.873842593894</v>
      </c>
      <c r="AG77" s="331">
        <v>-7.7701290915265453E-2</v>
      </c>
      <c r="AH77" s="235"/>
      <c r="AI77" s="208">
        <f t="shared" si="7"/>
        <v>4088724.5900205751</v>
      </c>
      <c r="AJ77" s="208">
        <f t="shared" si="8"/>
        <v>4177361.6902326709</v>
      </c>
      <c r="AK77" s="208">
        <f t="shared" si="3"/>
        <v>-88637.100212096077</v>
      </c>
      <c r="AL77" s="235"/>
      <c r="AM77" s="52">
        <f t="shared" si="4"/>
        <v>0</v>
      </c>
      <c r="AN77" s="52">
        <f t="shared" si="5"/>
        <v>1</v>
      </c>
      <c r="AO77" s="52">
        <f t="shared" si="6"/>
        <v>0</v>
      </c>
      <c r="AP77" s="235"/>
      <c r="AQ77" s="52">
        <v>160000</v>
      </c>
      <c r="AR77" s="52">
        <v>0.58199999999999996</v>
      </c>
      <c r="AS77" s="52">
        <v>0.41799999999999998</v>
      </c>
      <c r="AT77" s="52">
        <v>0.58199999999999996</v>
      </c>
      <c r="AU77" s="235"/>
      <c r="AV77" s="360">
        <f t="shared" si="9"/>
        <v>4177361.6902326709</v>
      </c>
      <c r="AW77" s="235"/>
      <c r="AX77" s="354"/>
      <c r="AY77" s="14"/>
      <c r="AZ77" s="14">
        <f t="shared" si="11"/>
        <v>14820.873842593894</v>
      </c>
      <c r="BA77" s="14">
        <f t="shared" si="10"/>
        <v>-7.7701290915265453E-2</v>
      </c>
      <c r="BB77" s="14">
        <f t="shared" si="2"/>
        <v>-190741.66809862017</v>
      </c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38"/>
      <c r="CM77" s="138"/>
      <c r="CN77" s="138"/>
      <c r="CO77" s="138"/>
      <c r="CP77" s="14"/>
      <c r="CQ77" s="14"/>
      <c r="CR77" s="14"/>
      <c r="CS77" s="3"/>
      <c r="CT77" s="3"/>
      <c r="CU77" s="3"/>
      <c r="CV77" s="3"/>
      <c r="CW77" s="3"/>
    </row>
    <row r="78" spans="1:101" ht="14.25" customHeight="1" x14ac:dyDescent="0.2">
      <c r="A78" s="328"/>
      <c r="B78" s="52">
        <v>0.16810696743226428</v>
      </c>
      <c r="C78" s="330">
        <v>0.59400216213225376</v>
      </c>
      <c r="D78" s="330">
        <v>3.1478195448630286E-2</v>
      </c>
      <c r="E78" s="330">
        <v>1.9210815316226149E-2</v>
      </c>
      <c r="F78" s="331">
        <v>0.78934182715533996</v>
      </c>
      <c r="G78" s="94">
        <v>0.41099271901597989</v>
      </c>
      <c r="H78" s="330">
        <v>0.88264915015058198</v>
      </c>
      <c r="I78" s="330">
        <v>1.7063525810034785E-2</v>
      </c>
      <c r="J78" s="330">
        <v>1</v>
      </c>
      <c r="K78" s="330">
        <v>0.73853539587046846</v>
      </c>
      <c r="L78" s="332">
        <v>14349.303717742883</v>
      </c>
      <c r="M78" s="330">
        <v>0</v>
      </c>
      <c r="N78" s="330">
        <v>16647.759439631827</v>
      </c>
      <c r="O78" s="330">
        <v>1377.4535113055183</v>
      </c>
      <c r="P78" s="330">
        <v>22074.277645334496</v>
      </c>
      <c r="Q78" s="333">
        <v>74572.865304441759</v>
      </c>
      <c r="R78" s="330">
        <v>24088.516581974414</v>
      </c>
      <c r="S78" s="330">
        <v>7609.5971792779383</v>
      </c>
      <c r="T78" s="332">
        <v>0.29055121269431333</v>
      </c>
      <c r="U78" s="330">
        <v>0.9956707724458822</v>
      </c>
      <c r="V78" s="330">
        <v>0.98185166216951658</v>
      </c>
      <c r="W78" s="330">
        <v>0.79418935670451152</v>
      </c>
      <c r="X78" s="330">
        <v>0.97096670310814681</v>
      </c>
      <c r="Y78" s="330">
        <v>0</v>
      </c>
      <c r="Z78" s="331">
        <v>0</v>
      </c>
      <c r="AA78" s="235"/>
      <c r="AB78" s="52">
        <v>81842.725421657204</v>
      </c>
      <c r="AC78" s="330">
        <v>4.7213840321938196</v>
      </c>
      <c r="AD78" s="330">
        <v>70359.361302572972</v>
      </c>
      <c r="AE78" s="330">
        <v>4.7031562252442676</v>
      </c>
      <c r="AF78" s="330">
        <v>11483.364119084232</v>
      </c>
      <c r="AG78" s="331">
        <v>1.8227806949552061E-2</v>
      </c>
      <c r="AH78" s="235"/>
      <c r="AI78" s="208">
        <f t="shared" ref="AI78:AI141" si="12">AC78*cRatio-AB78</f>
        <v>4403472.1051624715</v>
      </c>
      <c r="AJ78" s="208">
        <f t="shared" ref="AJ78:AJ141" si="13">AE78*cRatio-AD78</f>
        <v>4397639.052679481</v>
      </c>
      <c r="AK78" s="208">
        <f t="shared" ref="AK78:AK141" si="14">AG78*cRatio-AF78</f>
        <v>5833.0524829902279</v>
      </c>
      <c r="AL78" s="235"/>
      <c r="AM78" s="52">
        <f t="shared" si="4"/>
        <v>1</v>
      </c>
      <c r="AN78" s="52">
        <f t="shared" si="5"/>
        <v>0</v>
      </c>
      <c r="AO78" s="52">
        <f t="shared" si="6"/>
        <v>1</v>
      </c>
      <c r="AP78" s="235"/>
      <c r="AQ78" s="52">
        <v>170000</v>
      </c>
      <c r="AR78" s="52">
        <v>0.58799999999999997</v>
      </c>
      <c r="AS78" s="52">
        <v>0.41199999999999998</v>
      </c>
      <c r="AT78" s="52">
        <v>0.58799999999999997</v>
      </c>
      <c r="AU78" s="235"/>
      <c r="AV78" s="360">
        <f t="shared" si="9"/>
        <v>4403472.1051624715</v>
      </c>
      <c r="AW78" s="235"/>
      <c r="AX78" s="354"/>
      <c r="AY78" s="14"/>
      <c r="AZ78" s="14">
        <f t="shared" si="11"/>
        <v>11483.364119084232</v>
      </c>
      <c r="BA78" s="14">
        <f t="shared" si="10"/>
        <v>1.8227806949552061E-2</v>
      </c>
      <c r="BB78" s="14">
        <f t="shared" si="2"/>
        <v>629991.53715342749</v>
      </c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38"/>
      <c r="CM78" s="138"/>
      <c r="CN78" s="138"/>
      <c r="CO78" s="138"/>
      <c r="CP78" s="14"/>
      <c r="CQ78" s="14"/>
      <c r="CR78" s="14"/>
      <c r="CS78" s="3"/>
      <c r="CT78" s="3"/>
      <c r="CU78" s="3"/>
      <c r="CV78" s="3"/>
      <c r="CW78" s="3"/>
    </row>
    <row r="79" spans="1:101" ht="14.25" customHeight="1" x14ac:dyDescent="0.2">
      <c r="A79" s="328"/>
      <c r="B79" s="52">
        <v>0.20725467770155659</v>
      </c>
      <c r="C79" s="330">
        <v>0.22787217093038029</v>
      </c>
      <c r="D79" s="330">
        <v>1.4562657294072356E-2</v>
      </c>
      <c r="E79" s="330">
        <v>1.0002030136406052E-2</v>
      </c>
      <c r="F79" s="331">
        <v>0.78165472725404195</v>
      </c>
      <c r="G79" s="94">
        <v>0.3475462304746636</v>
      </c>
      <c r="H79" s="330">
        <v>0.99884521258330683</v>
      </c>
      <c r="I79" s="330">
        <v>9.2044710372559142E-3</v>
      </c>
      <c r="J79" s="330">
        <v>1</v>
      </c>
      <c r="K79" s="330">
        <v>0.70076606970856281</v>
      </c>
      <c r="L79" s="332">
        <v>14930.289983666013</v>
      </c>
      <c r="M79" s="330">
        <v>0</v>
      </c>
      <c r="N79" s="330">
        <v>19664.844731280602</v>
      </c>
      <c r="O79" s="330">
        <v>1702.9781551838983</v>
      </c>
      <c r="P79" s="330">
        <v>42530.560863068829</v>
      </c>
      <c r="Q79" s="333">
        <v>73380.335423035343</v>
      </c>
      <c r="R79" s="330">
        <v>24433.65281480784</v>
      </c>
      <c r="S79" s="330">
        <v>7283.6911475195175</v>
      </c>
      <c r="T79" s="332">
        <v>0.34356725109260078</v>
      </c>
      <c r="U79" s="330">
        <v>0.93858910545783181</v>
      </c>
      <c r="V79" s="330">
        <v>0.7979687126937629</v>
      </c>
      <c r="W79" s="330">
        <v>0.84733751442670091</v>
      </c>
      <c r="X79" s="330">
        <v>1.7710257679470751E-2</v>
      </c>
      <c r="Y79" s="330">
        <v>0</v>
      </c>
      <c r="Z79" s="331">
        <v>0</v>
      </c>
      <c r="AA79" s="235"/>
      <c r="AB79" s="52">
        <v>77756.99312913965</v>
      </c>
      <c r="AC79" s="330">
        <v>0.13986059639406578</v>
      </c>
      <c r="AD79" s="330">
        <v>64221.284171443673</v>
      </c>
      <c r="AE79" s="330">
        <v>0.2426740354076751</v>
      </c>
      <c r="AF79" s="330">
        <v>13535.708957695977</v>
      </c>
      <c r="AG79" s="331">
        <v>-0.10281343901360931</v>
      </c>
      <c r="AH79" s="235"/>
      <c r="AI79" s="208">
        <f t="shared" si="12"/>
        <v>55110.573445222835</v>
      </c>
      <c r="AJ79" s="208">
        <f t="shared" si="13"/>
        <v>166319.04946584767</v>
      </c>
      <c r="AK79" s="208">
        <f t="shared" si="14"/>
        <v>-111208.47602062483</v>
      </c>
      <c r="AL79" s="235"/>
      <c r="AM79" s="52">
        <f t="shared" si="4"/>
        <v>0</v>
      </c>
      <c r="AN79" s="52">
        <f t="shared" si="5"/>
        <v>1</v>
      </c>
      <c r="AO79" s="52">
        <f t="shared" si="6"/>
        <v>0</v>
      </c>
      <c r="AP79" s="235"/>
      <c r="AQ79" s="52">
        <v>180000</v>
      </c>
      <c r="AR79" s="52">
        <v>0.59399999999999997</v>
      </c>
      <c r="AS79" s="52">
        <v>0.40600000000000003</v>
      </c>
      <c r="AT79" s="52">
        <v>0.59399999999999997</v>
      </c>
      <c r="AU79" s="235"/>
      <c r="AV79" s="360">
        <f t="shared" ref="AV79:AV142" si="15">MAX(AI79:AJ79)</f>
        <v>166319.04946584767</v>
      </c>
      <c r="AW79" s="235"/>
      <c r="AX79" s="354"/>
      <c r="AY79" s="14"/>
      <c r="AZ79" s="14">
        <f t="shared" si="11"/>
        <v>13535.708957695977</v>
      </c>
      <c r="BA79" s="14">
        <f t="shared" ref="BA79:BA142" si="16">AG79</f>
        <v>-0.10281343901360931</v>
      </c>
      <c r="BB79" s="14">
        <f t="shared" si="2"/>
        <v>-131653.10962805426</v>
      </c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38"/>
      <c r="CM79" s="138"/>
      <c r="CN79" s="138"/>
      <c r="CO79" s="138"/>
      <c r="CP79" s="14"/>
      <c r="CQ79" s="14"/>
      <c r="CR79" s="14"/>
      <c r="CS79" s="3"/>
      <c r="CT79" s="3"/>
      <c r="CU79" s="3"/>
      <c r="CV79" s="3"/>
      <c r="CW79" s="3"/>
    </row>
    <row r="80" spans="1:101" ht="14.25" customHeight="1" x14ac:dyDescent="0.2">
      <c r="A80" s="328"/>
      <c r="B80" s="52">
        <v>0.14885441048311648</v>
      </c>
      <c r="C80" s="330">
        <v>0.38651525468708781</v>
      </c>
      <c r="D80" s="330">
        <v>7.376709038976647E-3</v>
      </c>
      <c r="E80" s="330">
        <v>2.3152784631448764E-2</v>
      </c>
      <c r="F80" s="331">
        <v>0.79509634237549287</v>
      </c>
      <c r="G80" s="94">
        <v>0.43254091346315993</v>
      </c>
      <c r="H80" s="330">
        <v>0.29964279018260082</v>
      </c>
      <c r="I80" s="330">
        <v>5.4312096595338704E-3</v>
      </c>
      <c r="J80" s="330">
        <v>0.99997630681491856</v>
      </c>
      <c r="K80" s="330">
        <v>0.74269820031431322</v>
      </c>
      <c r="L80" s="332">
        <v>9954.0198977514774</v>
      </c>
      <c r="M80" s="330">
        <v>0</v>
      </c>
      <c r="N80" s="330">
        <v>23732.681911105323</v>
      </c>
      <c r="O80" s="330">
        <v>1220.7670104474641</v>
      </c>
      <c r="P80" s="330">
        <v>26807.630516130601</v>
      </c>
      <c r="Q80" s="333">
        <v>97738.025069859461</v>
      </c>
      <c r="R80" s="330">
        <v>18817.073250134887</v>
      </c>
      <c r="S80" s="330">
        <v>6233.0231833840671</v>
      </c>
      <c r="T80" s="332">
        <v>0.8291691421698838</v>
      </c>
      <c r="U80" s="330">
        <v>0.73914506551865566</v>
      </c>
      <c r="V80" s="330">
        <v>0.99730758804325548</v>
      </c>
      <c r="W80" s="330">
        <v>0.6192675357081473</v>
      </c>
      <c r="X80" s="330">
        <v>0.59103789487630276</v>
      </c>
      <c r="Y80" s="330">
        <v>0</v>
      </c>
      <c r="Z80" s="331">
        <v>0</v>
      </c>
      <c r="AA80" s="235"/>
      <c r="AB80" s="52">
        <v>64509.38877486431</v>
      </c>
      <c r="AC80" s="330">
        <v>3.1225940328436899</v>
      </c>
      <c r="AD80" s="330">
        <v>52996.653534519748</v>
      </c>
      <c r="AE80" s="330">
        <v>2.7136466114181563</v>
      </c>
      <c r="AF80" s="330">
        <v>11512.735240344562</v>
      </c>
      <c r="AG80" s="331">
        <v>0.40894742142553353</v>
      </c>
      <c r="AH80" s="235"/>
      <c r="AI80" s="208">
        <f t="shared" si="12"/>
        <v>2901954.942426641</v>
      </c>
      <c r="AJ80" s="208">
        <f t="shared" si="13"/>
        <v>2524967.6273127287</v>
      </c>
      <c r="AK80" s="208">
        <f t="shared" si="14"/>
        <v>376987.31511391234</v>
      </c>
      <c r="AL80" s="235"/>
      <c r="AM80" s="52">
        <f t="shared" si="4"/>
        <v>1</v>
      </c>
      <c r="AN80" s="52">
        <f t="shared" si="5"/>
        <v>0</v>
      </c>
      <c r="AO80" s="52">
        <f t="shared" si="6"/>
        <v>1</v>
      </c>
      <c r="AP80" s="235"/>
      <c r="AQ80" s="52">
        <v>190000</v>
      </c>
      <c r="AR80" s="52">
        <v>0.59699999999999998</v>
      </c>
      <c r="AS80" s="52">
        <v>0.40300000000000002</v>
      </c>
      <c r="AT80" s="52">
        <v>0.59699999999999998</v>
      </c>
      <c r="AU80" s="235"/>
      <c r="AV80" s="360">
        <f t="shared" si="15"/>
        <v>2901954.942426641</v>
      </c>
      <c r="AW80" s="235"/>
      <c r="AX80" s="354"/>
      <c r="AY80" s="14"/>
      <c r="AZ80" s="14">
        <f t="shared" ref="AZ80:AZ143" si="17">AF80</f>
        <v>11512.735240344562</v>
      </c>
      <c r="BA80" s="14">
        <f t="shared" si="16"/>
        <v>0.40894742142553353</v>
      </c>
      <c r="BB80" s="14">
        <f t="shared" si="2"/>
        <v>28152.115986482509</v>
      </c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38"/>
      <c r="CM80" s="138"/>
      <c r="CN80" s="138"/>
      <c r="CO80" s="138"/>
      <c r="CP80" s="14"/>
      <c r="CQ80" s="14"/>
      <c r="CR80" s="14"/>
      <c r="CS80" s="3"/>
      <c r="CT80" s="3"/>
      <c r="CU80" s="3"/>
      <c r="CV80" s="3"/>
      <c r="CW80" s="3"/>
    </row>
    <row r="81" spans="1:101" ht="14.25" customHeight="1" x14ac:dyDescent="0.2">
      <c r="A81" s="328"/>
      <c r="B81" s="52">
        <v>0.14757936017726522</v>
      </c>
      <c r="C81" s="330">
        <v>0.75332054103658697</v>
      </c>
      <c r="D81" s="330">
        <v>1.557024937036533E-2</v>
      </c>
      <c r="E81" s="330">
        <v>8.5581260686244404E-3</v>
      </c>
      <c r="F81" s="331">
        <v>0.71644411362412974</v>
      </c>
      <c r="G81" s="94">
        <v>0.40482622290548931</v>
      </c>
      <c r="H81" s="330">
        <v>0.98109127802477714</v>
      </c>
      <c r="I81" s="330">
        <v>8.2610375072591953E-3</v>
      </c>
      <c r="J81" s="330">
        <v>0.99999999999992573</v>
      </c>
      <c r="K81" s="330">
        <v>0.71793006392190584</v>
      </c>
      <c r="L81" s="332">
        <v>14526.993633631064</v>
      </c>
      <c r="M81" s="330">
        <v>0</v>
      </c>
      <c r="N81" s="330">
        <v>20157.151438273762</v>
      </c>
      <c r="O81" s="330">
        <v>1028.5718805048923</v>
      </c>
      <c r="P81" s="330">
        <v>49263.257949099454</v>
      </c>
      <c r="Q81" s="333">
        <v>133542.64879806858</v>
      </c>
      <c r="R81" s="330">
        <v>24213.946602916494</v>
      </c>
      <c r="S81" s="330">
        <v>7197.3404494584056</v>
      </c>
      <c r="T81" s="332">
        <v>0.99146525323885237</v>
      </c>
      <c r="U81" s="330">
        <v>0.99658538970354726</v>
      </c>
      <c r="V81" s="330">
        <v>0.99967815212964473</v>
      </c>
      <c r="W81" s="330">
        <v>0.99996162554344337</v>
      </c>
      <c r="X81" s="330">
        <v>0.10100558520131446</v>
      </c>
      <c r="Y81" s="330">
        <v>0</v>
      </c>
      <c r="Z81" s="331">
        <v>0</v>
      </c>
      <c r="AA81" s="235"/>
      <c r="AB81" s="52">
        <v>73014.500705084138</v>
      </c>
      <c r="AC81" s="330">
        <v>0.58204102382186484</v>
      </c>
      <c r="AD81" s="330">
        <v>66144.083213538892</v>
      </c>
      <c r="AE81" s="330">
        <v>0.47953731044546799</v>
      </c>
      <c r="AF81" s="330">
        <v>6870.4174915452459</v>
      </c>
      <c r="AG81" s="331">
        <v>0.10250371337639685</v>
      </c>
      <c r="AH81" s="235"/>
      <c r="AI81" s="208">
        <f t="shared" si="12"/>
        <v>479924.47192568745</v>
      </c>
      <c r="AJ81" s="208">
        <f t="shared" si="13"/>
        <v>389416.36170965573</v>
      </c>
      <c r="AK81" s="208">
        <f t="shared" si="14"/>
        <v>90508.110216031768</v>
      </c>
      <c r="AL81" s="235"/>
      <c r="AM81" s="52">
        <f t="shared" si="4"/>
        <v>1</v>
      </c>
      <c r="AN81" s="52">
        <f t="shared" si="5"/>
        <v>0</v>
      </c>
      <c r="AO81" s="52">
        <f t="shared" si="6"/>
        <v>1</v>
      </c>
      <c r="AP81" s="235"/>
      <c r="AQ81" s="52">
        <v>200000</v>
      </c>
      <c r="AR81" s="52">
        <v>0.59699999999999998</v>
      </c>
      <c r="AS81" s="52">
        <v>0.40300000000000002</v>
      </c>
      <c r="AT81" s="52">
        <v>0.59699999999999998</v>
      </c>
      <c r="AU81" s="235"/>
      <c r="AV81" s="360">
        <f t="shared" si="15"/>
        <v>479924.47192568745</v>
      </c>
      <c r="AW81" s="235"/>
      <c r="AX81" s="354"/>
      <c r="AY81" s="14"/>
      <c r="AZ81" s="14">
        <f t="shared" si="17"/>
        <v>6870.4174915452459</v>
      </c>
      <c r="BA81" s="14">
        <f t="shared" si="16"/>
        <v>0.10250371337639685</v>
      </c>
      <c r="BB81" s="14">
        <f t="shared" si="2"/>
        <v>67026.035108765835</v>
      </c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38"/>
      <c r="CM81" s="138"/>
      <c r="CN81" s="138"/>
      <c r="CO81" s="138"/>
      <c r="CP81" s="14"/>
      <c r="CQ81" s="14"/>
      <c r="CR81" s="14"/>
      <c r="CS81" s="3"/>
      <c r="CT81" s="3"/>
      <c r="CU81" s="3"/>
      <c r="CV81" s="3"/>
      <c r="CW81" s="3"/>
    </row>
    <row r="82" spans="1:101" ht="14.25" customHeight="1" x14ac:dyDescent="0.2">
      <c r="A82" s="328"/>
      <c r="B82" s="52">
        <v>0.16098171364724911</v>
      </c>
      <c r="C82" s="330">
        <v>4.9300632283436126E-2</v>
      </c>
      <c r="D82" s="330">
        <v>9.9537569993390761E-3</v>
      </c>
      <c r="E82" s="330">
        <v>8.9145623519102032E-3</v>
      </c>
      <c r="F82" s="331">
        <v>0.75568100643015279</v>
      </c>
      <c r="G82" s="94">
        <v>0.47579011654810544</v>
      </c>
      <c r="H82" s="330">
        <v>0.67766429397927896</v>
      </c>
      <c r="I82" s="330">
        <v>1.9235904900591905E-2</v>
      </c>
      <c r="J82" s="330">
        <v>0.99999999566534736</v>
      </c>
      <c r="K82" s="330">
        <v>0.79999255981342443</v>
      </c>
      <c r="L82" s="332">
        <v>20054.565845348607</v>
      </c>
      <c r="M82" s="330">
        <v>0</v>
      </c>
      <c r="N82" s="330">
        <v>15320.35204169073</v>
      </c>
      <c r="O82" s="330">
        <v>980.48373264739337</v>
      </c>
      <c r="P82" s="330">
        <v>40988.659896465695</v>
      </c>
      <c r="Q82" s="333">
        <v>73199.653169651618</v>
      </c>
      <c r="R82" s="330">
        <v>23177.049393797704</v>
      </c>
      <c r="S82" s="330">
        <v>10232.842211502631</v>
      </c>
      <c r="T82" s="332">
        <v>0.93402698194517708</v>
      </c>
      <c r="U82" s="330">
        <v>0.99871687385257435</v>
      </c>
      <c r="V82" s="330">
        <v>0.99635242925591561</v>
      </c>
      <c r="W82" s="330">
        <v>0.83172761922284799</v>
      </c>
      <c r="X82" s="330">
        <v>0.55929417944922588</v>
      </c>
      <c r="Y82" s="330">
        <v>0</v>
      </c>
      <c r="Z82" s="331">
        <v>0</v>
      </c>
      <c r="AA82" s="235"/>
      <c r="AB82" s="52">
        <v>103496.53217877746</v>
      </c>
      <c r="AC82" s="330">
        <v>2.5650231203822256</v>
      </c>
      <c r="AD82" s="330">
        <v>96839.373472033214</v>
      </c>
      <c r="AE82" s="330">
        <v>2.7265071542843402</v>
      </c>
      <c r="AF82" s="330">
        <v>6657.1587067442451</v>
      </c>
      <c r="AG82" s="331">
        <v>-0.16148403390211463</v>
      </c>
      <c r="AH82" s="235"/>
      <c r="AI82" s="208">
        <f t="shared" si="12"/>
        <v>2333275.4321843372</v>
      </c>
      <c r="AJ82" s="208">
        <f t="shared" si="13"/>
        <v>2493342.4230980901</v>
      </c>
      <c r="AK82" s="208">
        <f t="shared" si="14"/>
        <v>-160066.99091375316</v>
      </c>
      <c r="AL82" s="235"/>
      <c r="AM82" s="52">
        <f t="shared" si="4"/>
        <v>0</v>
      </c>
      <c r="AN82" s="52">
        <f t="shared" si="5"/>
        <v>1</v>
      </c>
      <c r="AO82" s="52">
        <f t="shared" si="6"/>
        <v>0</v>
      </c>
      <c r="AP82" s="235"/>
      <c r="AQ82" s="52">
        <v>250000</v>
      </c>
      <c r="AR82" s="52">
        <v>0.61499999999999999</v>
      </c>
      <c r="AS82" s="52">
        <v>0.38500000000000001</v>
      </c>
      <c r="AT82" s="52">
        <v>0.61499999999999999</v>
      </c>
      <c r="AU82" s="235"/>
      <c r="AV82" s="360">
        <f t="shared" si="15"/>
        <v>2493342.4230980901</v>
      </c>
      <c r="AW82" s="235"/>
      <c r="AX82" s="354"/>
      <c r="AY82" s="14"/>
      <c r="AZ82" s="14">
        <f t="shared" si="17"/>
        <v>6657.1587067442451</v>
      </c>
      <c r="BA82" s="14">
        <f t="shared" si="16"/>
        <v>-0.16148403390211463</v>
      </c>
      <c r="BB82" s="14">
        <f t="shared" si="2"/>
        <v>-41224.872489744448</v>
      </c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38"/>
      <c r="CM82" s="138"/>
      <c r="CN82" s="138"/>
      <c r="CO82" s="138"/>
      <c r="CP82" s="14"/>
      <c r="CQ82" s="14"/>
      <c r="CR82" s="14"/>
      <c r="CS82" s="3"/>
      <c r="CT82" s="3"/>
      <c r="CU82" s="3"/>
      <c r="CV82" s="3"/>
      <c r="CW82" s="3"/>
    </row>
    <row r="83" spans="1:101" ht="14.25" customHeight="1" x14ac:dyDescent="0.2">
      <c r="A83" s="328"/>
      <c r="B83" s="52">
        <v>0.15991446556349254</v>
      </c>
      <c r="C83" s="330">
        <v>3.7894028751251883E-2</v>
      </c>
      <c r="D83" s="330">
        <v>1.1465531214536183E-2</v>
      </c>
      <c r="E83" s="330">
        <v>1.0062046577037303E-2</v>
      </c>
      <c r="F83" s="331">
        <v>0.76062498201338369</v>
      </c>
      <c r="G83" s="94">
        <v>0.36048003199396278</v>
      </c>
      <c r="H83" s="330">
        <v>8.4137424060449204E-2</v>
      </c>
      <c r="I83" s="330">
        <v>1.9898187719674221E-2</v>
      </c>
      <c r="J83" s="330">
        <v>0.99053403401074602</v>
      </c>
      <c r="K83" s="330">
        <v>0.76979011231158412</v>
      </c>
      <c r="L83" s="332">
        <v>10196.967586815806</v>
      </c>
      <c r="M83" s="330">
        <v>0</v>
      </c>
      <c r="N83" s="330">
        <v>14805.623130359403</v>
      </c>
      <c r="O83" s="330">
        <v>1132.4372202361553</v>
      </c>
      <c r="P83" s="330">
        <v>41710.294573298837</v>
      </c>
      <c r="Q83" s="333">
        <v>108867.91109274812</v>
      </c>
      <c r="R83" s="330">
        <v>23495.776987299552</v>
      </c>
      <c r="S83" s="330">
        <v>11877.984478230053</v>
      </c>
      <c r="T83" s="332">
        <v>0.42107841778526495</v>
      </c>
      <c r="U83" s="330">
        <v>0.74229873012937519</v>
      </c>
      <c r="V83" s="330">
        <v>0.62909179083096411</v>
      </c>
      <c r="W83" s="330">
        <v>0.98933602482696559</v>
      </c>
      <c r="X83" s="330">
        <v>0.52781053085616281</v>
      </c>
      <c r="Y83" s="330">
        <v>0</v>
      </c>
      <c r="Z83" s="331">
        <v>0</v>
      </c>
      <c r="AA83" s="235"/>
      <c r="AB83" s="52">
        <v>107674.45934030632</v>
      </c>
      <c r="AC83" s="330">
        <v>2.4361416483866751</v>
      </c>
      <c r="AD83" s="330">
        <v>100417.09877203942</v>
      </c>
      <c r="AE83" s="330">
        <v>2.6884590962842059</v>
      </c>
      <c r="AF83" s="330">
        <v>7257.3605682669004</v>
      </c>
      <c r="AG83" s="331">
        <v>-0.25231744789753074</v>
      </c>
      <c r="AH83" s="235"/>
      <c r="AI83" s="208">
        <f t="shared" si="12"/>
        <v>2206660.106627035</v>
      </c>
      <c r="AJ83" s="208">
        <f t="shared" si="13"/>
        <v>2453619.0426979559</v>
      </c>
      <c r="AK83" s="208">
        <f t="shared" si="14"/>
        <v>-246958.93607092113</v>
      </c>
      <c r="AL83" s="235"/>
      <c r="AM83" s="52">
        <f t="shared" si="4"/>
        <v>0</v>
      </c>
      <c r="AN83" s="52">
        <f t="shared" si="5"/>
        <v>1</v>
      </c>
      <c r="AO83" s="52">
        <f t="shared" si="6"/>
        <v>0</v>
      </c>
      <c r="AP83" s="235"/>
      <c r="AQ83" s="52">
        <v>300000</v>
      </c>
      <c r="AR83" s="52">
        <v>0.624</v>
      </c>
      <c r="AS83" s="52">
        <v>0.376</v>
      </c>
      <c r="AT83" s="52">
        <v>0.624</v>
      </c>
      <c r="AU83" s="235"/>
      <c r="AV83" s="360">
        <f t="shared" si="15"/>
        <v>2453619.0426979559</v>
      </c>
      <c r="AW83" s="235"/>
      <c r="AX83" s="354"/>
      <c r="AY83" s="14"/>
      <c r="AZ83" s="14">
        <f t="shared" si="17"/>
        <v>7257.3605682669004</v>
      </c>
      <c r="BA83" s="14">
        <f t="shared" si="16"/>
        <v>-0.25231744789753074</v>
      </c>
      <c r="BB83" s="14">
        <f t="shared" si="2"/>
        <v>-28762.816954355865</v>
      </c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38"/>
      <c r="CM83" s="138"/>
      <c r="CN83" s="138"/>
      <c r="CO83" s="138"/>
      <c r="CP83" s="14"/>
      <c r="CQ83" s="14"/>
      <c r="CR83" s="14"/>
      <c r="CS83" s="3"/>
      <c r="CT83" s="3"/>
      <c r="CU83" s="3"/>
      <c r="CV83" s="3"/>
      <c r="CW83" s="3"/>
    </row>
    <row r="84" spans="1:101" ht="14.25" customHeight="1" x14ac:dyDescent="0.2">
      <c r="A84" s="328"/>
      <c r="B84" s="52">
        <v>0.16941507901092001</v>
      </c>
      <c r="C84" s="330">
        <v>0.41314841968326843</v>
      </c>
      <c r="D84" s="330">
        <v>3.9095263046324182E-3</v>
      </c>
      <c r="E84" s="330">
        <v>1.0738960558748336E-2</v>
      </c>
      <c r="F84" s="331">
        <v>0.79994490583419875</v>
      </c>
      <c r="G84" s="94">
        <v>0.37172462028019415</v>
      </c>
      <c r="H84" s="330">
        <v>0.32956880635086788</v>
      </c>
      <c r="I84" s="330">
        <v>1.7575339418657188E-2</v>
      </c>
      <c r="J84" s="330">
        <v>7.109932931302905E-2</v>
      </c>
      <c r="K84" s="330">
        <v>0.76449709590281811</v>
      </c>
      <c r="L84" s="332">
        <v>14338.584803790653</v>
      </c>
      <c r="M84" s="330">
        <v>0</v>
      </c>
      <c r="N84" s="330">
        <v>18493.583658477608</v>
      </c>
      <c r="O84" s="330">
        <v>1355.6560368955445</v>
      </c>
      <c r="P84" s="330">
        <v>42778.103585723125</v>
      </c>
      <c r="Q84" s="333">
        <v>97296.788592384764</v>
      </c>
      <c r="R84" s="330">
        <v>22505.546786663941</v>
      </c>
      <c r="S84" s="330">
        <v>6842.624361266604</v>
      </c>
      <c r="T84" s="332">
        <v>0.99922437834235711</v>
      </c>
      <c r="U84" s="330">
        <v>0.99973005845281282</v>
      </c>
      <c r="V84" s="330">
        <v>0.16445268053196518</v>
      </c>
      <c r="W84" s="330">
        <v>0.99993452891765644</v>
      </c>
      <c r="X84" s="330">
        <v>0.98070191946668794</v>
      </c>
      <c r="Y84" s="330">
        <v>0</v>
      </c>
      <c r="Z84" s="331">
        <v>0</v>
      </c>
      <c r="AA84" s="235"/>
      <c r="AB84" s="52">
        <v>74948.157724791017</v>
      </c>
      <c r="AC84" s="330">
        <v>4.7717012812142965</v>
      </c>
      <c r="AD84" s="330">
        <v>60074.324197823022</v>
      </c>
      <c r="AE84" s="330">
        <v>4.9088392646359038</v>
      </c>
      <c r="AF84" s="330">
        <v>14873.833526967996</v>
      </c>
      <c r="AG84" s="331">
        <v>-0.13713798342160732</v>
      </c>
      <c r="AH84" s="235"/>
      <c r="AI84" s="208">
        <f t="shared" si="12"/>
        <v>4458168.0594287906</v>
      </c>
      <c r="AJ84" s="208">
        <f t="shared" si="13"/>
        <v>4603322.9772062851</v>
      </c>
      <c r="AK84" s="208">
        <f t="shared" si="14"/>
        <v>-145154.91777749493</v>
      </c>
      <c r="AL84" s="235"/>
      <c r="AM84" s="52">
        <f t="shared" si="4"/>
        <v>0</v>
      </c>
      <c r="AN84" s="52">
        <f t="shared" si="5"/>
        <v>1</v>
      </c>
      <c r="AO84" s="52">
        <f t="shared" si="6"/>
        <v>0</v>
      </c>
      <c r="AP84" s="235"/>
      <c r="AQ84" s="52">
        <v>350000</v>
      </c>
      <c r="AR84" s="52">
        <v>0.63</v>
      </c>
      <c r="AS84" s="52">
        <v>0.37</v>
      </c>
      <c r="AT84" s="52">
        <v>0.63</v>
      </c>
      <c r="AU84" s="235"/>
      <c r="AV84" s="360">
        <f t="shared" si="15"/>
        <v>4603322.9772062851</v>
      </c>
      <c r="AW84" s="235"/>
      <c r="AX84" s="354"/>
      <c r="AY84" s="14"/>
      <c r="AZ84" s="14">
        <f t="shared" si="17"/>
        <v>14873.833526967996</v>
      </c>
      <c r="BA84" s="14">
        <f t="shared" si="16"/>
        <v>-0.13713798342160732</v>
      </c>
      <c r="BB84" s="14">
        <f t="shared" si="2"/>
        <v>-108458.89049747022</v>
      </c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38"/>
      <c r="CM84" s="138"/>
      <c r="CN84" s="138"/>
      <c r="CO84" s="138"/>
      <c r="CP84" s="14"/>
      <c r="CQ84" s="14"/>
      <c r="CR84" s="14"/>
      <c r="CS84" s="3"/>
      <c r="CT84" s="3"/>
      <c r="CU84" s="3"/>
      <c r="CV84" s="3"/>
      <c r="CW84" s="3"/>
    </row>
    <row r="85" spans="1:101" ht="14.25" customHeight="1" x14ac:dyDescent="0.2">
      <c r="A85" s="328"/>
      <c r="B85" s="52">
        <v>0.16999483442253727</v>
      </c>
      <c r="C85" s="330">
        <v>0.17837405804983356</v>
      </c>
      <c r="D85" s="330">
        <v>1.8754309772897493E-2</v>
      </c>
      <c r="E85" s="330">
        <v>1.0655071451730487E-2</v>
      </c>
      <c r="F85" s="331">
        <v>0.80856747891838154</v>
      </c>
      <c r="G85" s="94">
        <v>0.44132283323736687</v>
      </c>
      <c r="H85" s="330">
        <v>0.10221883459406095</v>
      </c>
      <c r="I85" s="330">
        <v>1.3287532781054764E-2</v>
      </c>
      <c r="J85" s="330">
        <v>0.99999999999716183</v>
      </c>
      <c r="K85" s="330">
        <v>0.73858177806326597</v>
      </c>
      <c r="L85" s="332">
        <v>8369.1821502565672</v>
      </c>
      <c r="M85" s="330">
        <v>0</v>
      </c>
      <c r="N85" s="330">
        <v>22759.085022739382</v>
      </c>
      <c r="O85" s="330">
        <v>1167.7503138839338</v>
      </c>
      <c r="P85" s="330">
        <v>40669.030214067905</v>
      </c>
      <c r="Q85" s="333">
        <v>57757.300662933878</v>
      </c>
      <c r="R85" s="330">
        <v>23374.185018899148</v>
      </c>
      <c r="S85" s="330">
        <v>13794.728436944768</v>
      </c>
      <c r="T85" s="332">
        <v>0.72448216728917214</v>
      </c>
      <c r="U85" s="330">
        <v>0.75282616100243371</v>
      </c>
      <c r="V85" s="330">
        <v>0.65488973724665789</v>
      </c>
      <c r="W85" s="330">
        <v>0.81286161894406894</v>
      </c>
      <c r="X85" s="330">
        <v>0.79206347176037273</v>
      </c>
      <c r="Y85" s="330">
        <v>0</v>
      </c>
      <c r="Z85" s="331">
        <v>0</v>
      </c>
      <c r="AA85" s="235"/>
      <c r="AB85" s="52">
        <v>129158.57284273097</v>
      </c>
      <c r="AC85" s="330">
        <v>4.0592076660594678</v>
      </c>
      <c r="AD85" s="330">
        <v>111626.40644136563</v>
      </c>
      <c r="AE85" s="330">
        <v>3.6833991643132538</v>
      </c>
      <c r="AF85" s="330">
        <v>17532.166401365335</v>
      </c>
      <c r="AG85" s="331">
        <v>0.37580850174621405</v>
      </c>
      <c r="AH85" s="235"/>
      <c r="AI85" s="208">
        <f t="shared" si="12"/>
        <v>3727088.7099137632</v>
      </c>
      <c r="AJ85" s="208">
        <f t="shared" si="13"/>
        <v>3387602.7996562254</v>
      </c>
      <c r="AK85" s="208">
        <f t="shared" si="14"/>
        <v>339485.91025753797</v>
      </c>
      <c r="AL85" s="235"/>
      <c r="AM85" s="52">
        <f t="shared" si="4"/>
        <v>1</v>
      </c>
      <c r="AN85" s="52">
        <f t="shared" si="5"/>
        <v>0</v>
      </c>
      <c r="AO85" s="52">
        <f t="shared" si="6"/>
        <v>1</v>
      </c>
      <c r="AP85" s="235"/>
      <c r="AQ85" s="52">
        <v>400000</v>
      </c>
      <c r="AR85" s="52">
        <v>0.63400000000000001</v>
      </c>
      <c r="AS85" s="52">
        <v>0.36599999999999999</v>
      </c>
      <c r="AT85" s="52">
        <v>0.63400000000000001</v>
      </c>
      <c r="AU85" s="235"/>
      <c r="AV85" s="360">
        <f t="shared" si="15"/>
        <v>3727088.7099137632</v>
      </c>
      <c r="AW85" s="235"/>
      <c r="AX85" s="354"/>
      <c r="AY85" s="14"/>
      <c r="AZ85" s="14">
        <f t="shared" si="17"/>
        <v>17532.166401365335</v>
      </c>
      <c r="BA85" s="14">
        <f t="shared" si="16"/>
        <v>0.37580850174621405</v>
      </c>
      <c r="BB85" s="14">
        <f t="shared" si="2"/>
        <v>46651.862105038068</v>
      </c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38"/>
      <c r="CM85" s="138"/>
      <c r="CN85" s="138"/>
      <c r="CO85" s="138"/>
      <c r="CP85" s="14"/>
      <c r="CQ85" s="14"/>
      <c r="CR85" s="14"/>
      <c r="CS85" s="3"/>
      <c r="CT85" s="3"/>
      <c r="CU85" s="3"/>
      <c r="CV85" s="3"/>
      <c r="CW85" s="3"/>
    </row>
    <row r="86" spans="1:101" ht="14.25" customHeight="1" x14ac:dyDescent="0.2">
      <c r="A86" s="328"/>
      <c r="B86" s="52">
        <v>0.14058928577116614</v>
      </c>
      <c r="C86" s="330">
        <v>0.16486695482577887</v>
      </c>
      <c r="D86" s="330">
        <v>1.4090433886103738E-2</v>
      </c>
      <c r="E86" s="330">
        <v>1.9244316986231969E-2</v>
      </c>
      <c r="F86" s="331">
        <v>0.75729576760737605</v>
      </c>
      <c r="G86" s="94">
        <v>0.41079299806844305</v>
      </c>
      <c r="H86" s="330">
        <v>0.17088074787009724</v>
      </c>
      <c r="I86" s="330">
        <v>1.3488721717574939E-2</v>
      </c>
      <c r="J86" s="330">
        <v>0.99999999999790923</v>
      </c>
      <c r="K86" s="330">
        <v>0.70879775968918279</v>
      </c>
      <c r="L86" s="332">
        <v>10198.321646071727</v>
      </c>
      <c r="M86" s="330">
        <v>0</v>
      </c>
      <c r="N86" s="330">
        <v>11933.925138218287</v>
      </c>
      <c r="O86" s="330">
        <v>953.26502941945603</v>
      </c>
      <c r="P86" s="330">
        <v>48193.840232485149</v>
      </c>
      <c r="Q86" s="333">
        <v>86749.629315308892</v>
      </c>
      <c r="R86" s="330">
        <v>22648.61361949343</v>
      </c>
      <c r="S86" s="330">
        <v>4999.8639578785342</v>
      </c>
      <c r="T86" s="332">
        <v>0.45224058303964515</v>
      </c>
      <c r="U86" s="330">
        <v>0.90925667604296656</v>
      </c>
      <c r="V86" s="330">
        <v>0.84484649543956936</v>
      </c>
      <c r="W86" s="330">
        <v>0.94111307306068848</v>
      </c>
      <c r="X86" s="330">
        <v>0.67870556118948278</v>
      </c>
      <c r="Y86" s="330">
        <v>0</v>
      </c>
      <c r="Z86" s="331">
        <v>0</v>
      </c>
      <c r="AA86" s="235"/>
      <c r="AB86" s="52">
        <v>51663.916658801762</v>
      </c>
      <c r="AC86" s="330">
        <v>3.2809933170612946</v>
      </c>
      <c r="AD86" s="330">
        <v>40824.882822611675</v>
      </c>
      <c r="AE86" s="330">
        <v>2.927777165427742</v>
      </c>
      <c r="AF86" s="330">
        <v>10839.033836190087</v>
      </c>
      <c r="AG86" s="331">
        <v>0.35321615163355258</v>
      </c>
      <c r="AH86" s="235"/>
      <c r="AI86" s="208">
        <f t="shared" si="12"/>
        <v>3065279.7345494279</v>
      </c>
      <c r="AJ86" s="208">
        <f t="shared" si="13"/>
        <v>2740563.4243337433</v>
      </c>
      <c r="AK86" s="208">
        <f t="shared" si="14"/>
        <v>324716.31021568488</v>
      </c>
      <c r="AL86" s="235"/>
      <c r="AM86" s="52">
        <f t="shared" si="4"/>
        <v>1</v>
      </c>
      <c r="AN86" s="52">
        <f t="shared" si="5"/>
        <v>0</v>
      </c>
      <c r="AO86" s="52">
        <f t="shared" si="6"/>
        <v>1</v>
      </c>
      <c r="AP86" s="235"/>
      <c r="AQ86" s="52">
        <v>450000</v>
      </c>
      <c r="AR86" s="52">
        <v>0.63700000000000001</v>
      </c>
      <c r="AS86" s="52">
        <v>0.36299999999999999</v>
      </c>
      <c r="AT86" s="52">
        <v>0.63700000000000001</v>
      </c>
      <c r="AU86" s="235"/>
      <c r="AV86" s="360">
        <f t="shared" si="15"/>
        <v>3065279.7345494279</v>
      </c>
      <c r="AW86" s="235"/>
      <c r="AX86" s="354"/>
      <c r="AY86" s="14"/>
      <c r="AZ86" s="14">
        <f t="shared" si="17"/>
        <v>10839.033836190087</v>
      </c>
      <c r="BA86" s="14">
        <f t="shared" si="16"/>
        <v>0.35321615163355258</v>
      </c>
      <c r="BB86" s="14">
        <f t="shared" si="2"/>
        <v>30686.687984288852</v>
      </c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38"/>
      <c r="CM86" s="138"/>
      <c r="CN86" s="138"/>
      <c r="CO86" s="138"/>
      <c r="CP86" s="14"/>
      <c r="CQ86" s="14"/>
      <c r="CR86" s="14"/>
      <c r="CS86" s="3"/>
      <c r="CT86" s="3"/>
      <c r="CU86" s="3"/>
      <c r="CV86" s="3"/>
      <c r="CW86" s="3"/>
    </row>
    <row r="87" spans="1:101" ht="14.25" customHeight="1" x14ac:dyDescent="0.2">
      <c r="A87" s="328"/>
      <c r="B87" s="52">
        <v>0.19997478950367031</v>
      </c>
      <c r="C87" s="330">
        <v>0.79340141466122716</v>
      </c>
      <c r="D87" s="330">
        <v>8.8945149713734375E-3</v>
      </c>
      <c r="E87" s="330">
        <v>1.9813116298349587E-2</v>
      </c>
      <c r="F87" s="331">
        <v>0.77905924424589357</v>
      </c>
      <c r="G87" s="94">
        <v>0.38744063897041853</v>
      </c>
      <c r="H87" s="330">
        <v>0.2977146314862355</v>
      </c>
      <c r="I87" s="330">
        <v>1.7273292387694483E-2</v>
      </c>
      <c r="J87" s="330">
        <v>0.9999988637207794</v>
      </c>
      <c r="K87" s="330">
        <v>0.74874468099017988</v>
      </c>
      <c r="L87" s="332">
        <v>11111.289445679129</v>
      </c>
      <c r="M87" s="330">
        <v>0</v>
      </c>
      <c r="N87" s="330">
        <v>20629.270212093274</v>
      </c>
      <c r="O87" s="330">
        <v>1299.7990732865312</v>
      </c>
      <c r="P87" s="330">
        <v>44063.310383170246</v>
      </c>
      <c r="Q87" s="333">
        <v>78879.375287530696</v>
      </c>
      <c r="R87" s="330">
        <v>23813.581782616999</v>
      </c>
      <c r="S87" s="330">
        <v>12905.201191782779</v>
      </c>
      <c r="T87" s="332">
        <v>0.93142778160557016</v>
      </c>
      <c r="U87" s="330">
        <v>0.99999961663774273</v>
      </c>
      <c r="V87" s="330">
        <v>0.99668696942399326</v>
      </c>
      <c r="W87" s="330">
        <v>0.99999987820484926</v>
      </c>
      <c r="X87" s="330">
        <v>0.99938790069733718</v>
      </c>
      <c r="Y87" s="330">
        <v>0</v>
      </c>
      <c r="Z87" s="331">
        <v>0</v>
      </c>
      <c r="AA87" s="235"/>
      <c r="AB87" s="52">
        <v>123182.96785908786</v>
      </c>
      <c r="AC87" s="330">
        <v>5.0506368115634208</v>
      </c>
      <c r="AD87" s="330">
        <v>107982.92490405576</v>
      </c>
      <c r="AE87" s="330">
        <v>4.9015541670574612</v>
      </c>
      <c r="AF87" s="330">
        <v>15200.042955032099</v>
      </c>
      <c r="AG87" s="331">
        <v>0.14908264450595965</v>
      </c>
      <c r="AH87" s="235"/>
      <c r="AI87" s="208">
        <f t="shared" si="12"/>
        <v>4674922.0031261621</v>
      </c>
      <c r="AJ87" s="208">
        <f t="shared" si="13"/>
        <v>4548493.5338005321</v>
      </c>
      <c r="AK87" s="208">
        <f t="shared" si="14"/>
        <v>126428.46932562957</v>
      </c>
      <c r="AL87" s="235"/>
      <c r="AM87" s="52">
        <f t="shared" si="4"/>
        <v>1</v>
      </c>
      <c r="AN87" s="52">
        <f t="shared" si="5"/>
        <v>0</v>
      </c>
      <c r="AO87" s="52">
        <f t="shared" si="6"/>
        <v>1</v>
      </c>
      <c r="AP87" s="235"/>
      <c r="AQ87" s="52">
        <v>500000</v>
      </c>
      <c r="AR87" s="52">
        <v>0.64</v>
      </c>
      <c r="AS87" s="52">
        <v>0.36</v>
      </c>
      <c r="AT87" s="52">
        <v>0.64</v>
      </c>
      <c r="AU87" s="235"/>
      <c r="AV87" s="360">
        <f t="shared" si="15"/>
        <v>4674922.0031261621</v>
      </c>
      <c r="AW87" s="235"/>
      <c r="AX87" s="354"/>
      <c r="AY87" s="14"/>
      <c r="AZ87" s="14">
        <f t="shared" si="17"/>
        <v>15200.042955032099</v>
      </c>
      <c r="BA87" s="14">
        <f t="shared" si="16"/>
        <v>0.14908264450595965</v>
      </c>
      <c r="BB87" s="14">
        <f t="shared" si="2"/>
        <v>101957.15943598298</v>
      </c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38"/>
      <c r="CM87" s="138"/>
      <c r="CN87" s="138"/>
      <c r="CO87" s="138"/>
      <c r="CP87" s="14"/>
      <c r="CQ87" s="14"/>
      <c r="CR87" s="14"/>
      <c r="CS87" s="3"/>
      <c r="CT87" s="3"/>
      <c r="CU87" s="3"/>
      <c r="CV87" s="3"/>
      <c r="CW87" s="3"/>
    </row>
    <row r="88" spans="1:101" ht="14.25" customHeight="1" x14ac:dyDescent="0.2">
      <c r="A88" s="328"/>
      <c r="B88" s="52">
        <v>0.16277584926072641</v>
      </c>
      <c r="C88" s="330">
        <v>4.2014321471927636E-2</v>
      </c>
      <c r="D88" s="330">
        <v>3.5801331507217093E-2</v>
      </c>
      <c r="E88" s="330">
        <v>3.635790682309803E-2</v>
      </c>
      <c r="F88" s="331">
        <v>0.81725027838934317</v>
      </c>
      <c r="G88" s="94">
        <v>0.37203544749354078</v>
      </c>
      <c r="H88" s="330">
        <v>0.86969540933407208</v>
      </c>
      <c r="I88" s="330">
        <v>2.281317119924001E-3</v>
      </c>
      <c r="J88" s="330">
        <v>0.95975968043955384</v>
      </c>
      <c r="K88" s="330">
        <v>0.77092045668025411</v>
      </c>
      <c r="L88" s="332">
        <v>10240.178341671774</v>
      </c>
      <c r="M88" s="330">
        <v>0</v>
      </c>
      <c r="N88" s="330">
        <v>22226.697635679939</v>
      </c>
      <c r="O88" s="330">
        <v>930.76380547671511</v>
      </c>
      <c r="P88" s="330">
        <v>35435.815304130083</v>
      </c>
      <c r="Q88" s="333">
        <v>121320.01371177373</v>
      </c>
      <c r="R88" s="330">
        <v>25466.916569098961</v>
      </c>
      <c r="S88" s="330">
        <v>6953.4373599200999</v>
      </c>
      <c r="T88" s="332">
        <v>0.99771860625195496</v>
      </c>
      <c r="U88" s="330">
        <v>0.96368580386443758</v>
      </c>
      <c r="V88" s="330">
        <v>0.65204889849568703</v>
      </c>
      <c r="W88" s="330">
        <v>0.81485589662831448</v>
      </c>
      <c r="X88" s="330">
        <v>0.97825401705974868</v>
      </c>
      <c r="Y88" s="330">
        <v>0</v>
      </c>
      <c r="Z88" s="331">
        <v>0</v>
      </c>
      <c r="AA88" s="235"/>
      <c r="AB88" s="52">
        <v>72267.424500358116</v>
      </c>
      <c r="AC88" s="330">
        <v>4.9589507868951372</v>
      </c>
      <c r="AD88" s="330">
        <v>66243.608921030711</v>
      </c>
      <c r="AE88" s="330">
        <v>4.5927183914389023</v>
      </c>
      <c r="AF88" s="330">
        <v>6023.8155793274054</v>
      </c>
      <c r="AG88" s="331">
        <v>0.36623239545623498</v>
      </c>
      <c r="AH88" s="235"/>
      <c r="AI88" s="208">
        <f t="shared" si="12"/>
        <v>4638735.8230500221</v>
      </c>
      <c r="AJ88" s="208">
        <f t="shared" si="13"/>
        <v>4296838.8629459264</v>
      </c>
      <c r="AK88" s="208">
        <f t="shared" si="14"/>
        <v>341896.96010409581</v>
      </c>
      <c r="AL88" s="235"/>
      <c r="AM88" s="52">
        <f t="shared" si="4"/>
        <v>1</v>
      </c>
      <c r="AN88" s="52">
        <f t="shared" si="5"/>
        <v>0</v>
      </c>
      <c r="AO88" s="52">
        <f t="shared" si="6"/>
        <v>1</v>
      </c>
      <c r="AP88" s="235"/>
      <c r="AQ88" s="52">
        <v>550000</v>
      </c>
      <c r="AR88" s="52">
        <v>0.64500000000000002</v>
      </c>
      <c r="AS88" s="52">
        <v>0.35499999999999998</v>
      </c>
      <c r="AT88" s="52">
        <v>0.64500000000000002</v>
      </c>
      <c r="AU88" s="235"/>
      <c r="AV88" s="360">
        <f t="shared" si="15"/>
        <v>4638735.8230500221</v>
      </c>
      <c r="AW88" s="235"/>
      <c r="AX88" s="354"/>
      <c r="AY88" s="14"/>
      <c r="AZ88" s="14">
        <f t="shared" si="17"/>
        <v>6023.8155793274054</v>
      </c>
      <c r="BA88" s="14">
        <f t="shared" si="16"/>
        <v>0.36623239545623498</v>
      </c>
      <c r="BB88" s="14">
        <f t="shared" si="2"/>
        <v>16448.068641833885</v>
      </c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38"/>
      <c r="CM88" s="138"/>
      <c r="CN88" s="138"/>
      <c r="CO88" s="138"/>
      <c r="CP88" s="14"/>
      <c r="CQ88" s="14"/>
      <c r="CR88" s="14"/>
      <c r="CS88" s="3"/>
      <c r="CT88" s="3"/>
      <c r="CU88" s="3"/>
      <c r="CV88" s="3"/>
      <c r="CW88" s="3"/>
    </row>
    <row r="89" spans="1:101" ht="14.25" customHeight="1" x14ac:dyDescent="0.2">
      <c r="A89" s="328"/>
      <c r="B89" s="52">
        <v>0.20724434474576525</v>
      </c>
      <c r="C89" s="330">
        <v>0.50714961580054418</v>
      </c>
      <c r="D89" s="330">
        <v>1.6046669809973713E-2</v>
      </c>
      <c r="E89" s="330">
        <v>1.7557679595747722E-2</v>
      </c>
      <c r="F89" s="331">
        <v>0.78363575075918812</v>
      </c>
      <c r="G89" s="94">
        <v>0.46054625028029494</v>
      </c>
      <c r="H89" s="330">
        <v>0.62011672654160177</v>
      </c>
      <c r="I89" s="330">
        <v>3.762794318320517E-2</v>
      </c>
      <c r="J89" s="330">
        <v>0.9999999787680578</v>
      </c>
      <c r="K89" s="330">
        <v>0.72089089252263994</v>
      </c>
      <c r="L89" s="332">
        <v>8502.363259762089</v>
      </c>
      <c r="M89" s="330">
        <v>0</v>
      </c>
      <c r="N89" s="330">
        <v>20275.22106898974</v>
      </c>
      <c r="O89" s="330">
        <v>1257.393834445219</v>
      </c>
      <c r="P89" s="330">
        <v>42771.190241564233</v>
      </c>
      <c r="Q89" s="333">
        <v>101735.90559909801</v>
      </c>
      <c r="R89" s="330">
        <v>30923.002030040901</v>
      </c>
      <c r="S89" s="330">
        <v>10367.635139916109</v>
      </c>
      <c r="T89" s="332">
        <v>0.99993779243093384</v>
      </c>
      <c r="U89" s="330">
        <v>0.94965203613345472</v>
      </c>
      <c r="V89" s="330">
        <v>0.98404470194158855</v>
      </c>
      <c r="W89" s="330">
        <v>0.90181038811295122</v>
      </c>
      <c r="X89" s="330">
        <v>0.54147618154703037</v>
      </c>
      <c r="Y89" s="330">
        <v>0</v>
      </c>
      <c r="Z89" s="331">
        <v>0</v>
      </c>
      <c r="AA89" s="235"/>
      <c r="AB89" s="52">
        <v>99540.438171120681</v>
      </c>
      <c r="AC89" s="330">
        <v>2.7767395008002178</v>
      </c>
      <c r="AD89" s="330">
        <v>92410.018478658196</v>
      </c>
      <c r="AE89" s="330">
        <v>2.698669624608335</v>
      </c>
      <c r="AF89" s="330">
        <v>7130.4196924624848</v>
      </c>
      <c r="AG89" s="331">
        <v>7.806987619188277E-2</v>
      </c>
      <c r="AH89" s="235"/>
      <c r="AI89" s="208">
        <f t="shared" si="12"/>
        <v>2538362.087589086</v>
      </c>
      <c r="AJ89" s="208">
        <f t="shared" si="13"/>
        <v>2471326.1248992602</v>
      </c>
      <c r="AK89" s="208">
        <f t="shared" si="14"/>
        <v>67035.962689826149</v>
      </c>
      <c r="AL89" s="235"/>
      <c r="AM89" s="52">
        <f t="shared" si="4"/>
        <v>1</v>
      </c>
      <c r="AN89" s="52">
        <f t="shared" si="5"/>
        <v>0</v>
      </c>
      <c r="AO89" s="52">
        <f t="shared" si="6"/>
        <v>1</v>
      </c>
      <c r="AP89" s="235"/>
      <c r="AQ89" s="52">
        <v>600000</v>
      </c>
      <c r="AR89" s="52">
        <v>0.64700000000000002</v>
      </c>
      <c r="AS89" s="52">
        <v>0.35299999999999998</v>
      </c>
      <c r="AT89" s="52">
        <v>0.64700000000000002</v>
      </c>
      <c r="AU89" s="235"/>
      <c r="AV89" s="360">
        <f t="shared" si="15"/>
        <v>2538362.087589086</v>
      </c>
      <c r="AW89" s="235"/>
      <c r="AX89" s="354"/>
      <c r="AY89" s="14"/>
      <c r="AZ89" s="14">
        <f t="shared" si="17"/>
        <v>7130.4196924624848</v>
      </c>
      <c r="BA89" s="14">
        <f t="shared" si="16"/>
        <v>7.806987619188277E-2</v>
      </c>
      <c r="BB89" s="14">
        <f t="shared" si="2"/>
        <v>91333.815810557964</v>
      </c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38"/>
      <c r="CM89" s="138"/>
      <c r="CN89" s="138"/>
      <c r="CO89" s="138"/>
      <c r="CP89" s="14"/>
      <c r="CQ89" s="14"/>
      <c r="CR89" s="14"/>
      <c r="CS89" s="3"/>
      <c r="CT89" s="3"/>
      <c r="CU89" s="3"/>
      <c r="CV89" s="3"/>
      <c r="CW89" s="3"/>
    </row>
    <row r="90" spans="1:101" ht="14.25" customHeight="1" x14ac:dyDescent="0.2">
      <c r="A90" s="328"/>
      <c r="B90" s="52">
        <v>0.20188306737355333</v>
      </c>
      <c r="C90" s="330">
        <v>0.21768080967486603</v>
      </c>
      <c r="D90" s="330">
        <v>1.4406269615361844E-2</v>
      </c>
      <c r="E90" s="330">
        <v>1.1327186310126899E-2</v>
      </c>
      <c r="F90" s="331">
        <v>0.77336670992122614</v>
      </c>
      <c r="G90" s="94">
        <v>0.44635284319966906</v>
      </c>
      <c r="H90" s="330">
        <v>7.8848480380177111E-2</v>
      </c>
      <c r="I90" s="330">
        <v>1.2501287361537088E-2</v>
      </c>
      <c r="J90" s="330">
        <v>0.99999999999999634</v>
      </c>
      <c r="K90" s="330">
        <v>0.75177153881711622</v>
      </c>
      <c r="L90" s="332">
        <v>10544.487200362786</v>
      </c>
      <c r="M90" s="330">
        <v>0</v>
      </c>
      <c r="N90" s="330">
        <v>23295.660711677989</v>
      </c>
      <c r="O90" s="330">
        <v>1262.1732880272825</v>
      </c>
      <c r="P90" s="330">
        <v>42792.488156647807</v>
      </c>
      <c r="Q90" s="333">
        <v>89274.707069909942</v>
      </c>
      <c r="R90" s="330">
        <v>26319.202551812596</v>
      </c>
      <c r="S90" s="330">
        <v>6190.0391892807129</v>
      </c>
      <c r="T90" s="332">
        <v>0.97708307481957579</v>
      </c>
      <c r="U90" s="330">
        <v>0.4871478090742577</v>
      </c>
      <c r="V90" s="330">
        <v>0.83808072361986863</v>
      </c>
      <c r="W90" s="330">
        <v>0.15948988775477563</v>
      </c>
      <c r="X90" s="330">
        <v>0.85847041790109047</v>
      </c>
      <c r="Y90" s="330">
        <v>0</v>
      </c>
      <c r="Z90" s="331">
        <v>0</v>
      </c>
      <c r="AA90" s="235"/>
      <c r="AB90" s="52">
        <v>63589.977269795483</v>
      </c>
      <c r="AC90" s="330">
        <v>4.4432676654369567</v>
      </c>
      <c r="AD90" s="330">
        <v>52314.704658156305</v>
      </c>
      <c r="AE90" s="330">
        <v>4.009644944552976</v>
      </c>
      <c r="AF90" s="330">
        <v>11275.272611639179</v>
      </c>
      <c r="AG90" s="331">
        <v>0.43362272088398068</v>
      </c>
      <c r="AH90" s="235"/>
      <c r="AI90" s="208">
        <f t="shared" si="12"/>
        <v>4157514.3048953139</v>
      </c>
      <c r="AJ90" s="208">
        <f t="shared" si="13"/>
        <v>3756847.9926671712</v>
      </c>
      <c r="AK90" s="208">
        <f t="shared" si="14"/>
        <v>400666.31222814246</v>
      </c>
      <c r="AL90" s="235"/>
      <c r="AM90" s="52">
        <f t="shared" si="4"/>
        <v>1</v>
      </c>
      <c r="AN90" s="52">
        <f t="shared" si="5"/>
        <v>0</v>
      </c>
      <c r="AO90" s="52">
        <f t="shared" si="6"/>
        <v>1</v>
      </c>
      <c r="AP90" s="235"/>
      <c r="AQ90" s="52">
        <v>650000</v>
      </c>
      <c r="AR90" s="52">
        <v>0.64900000000000002</v>
      </c>
      <c r="AS90" s="52">
        <v>0.35099999999999998</v>
      </c>
      <c r="AT90" s="52">
        <v>0.64900000000000002</v>
      </c>
      <c r="AU90" s="235"/>
      <c r="AV90" s="360">
        <f t="shared" si="15"/>
        <v>4157514.3048953139</v>
      </c>
      <c r="AW90" s="235"/>
      <c r="AX90" s="354"/>
      <c r="AY90" s="14"/>
      <c r="AZ90" s="14">
        <f t="shared" si="17"/>
        <v>11275.272611639179</v>
      </c>
      <c r="BA90" s="14">
        <f t="shared" si="16"/>
        <v>0.43362272088398068</v>
      </c>
      <c r="BB90" s="14">
        <f t="shared" si="2"/>
        <v>26002.494953801026</v>
      </c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38"/>
      <c r="CM90" s="138"/>
      <c r="CN90" s="138"/>
      <c r="CO90" s="138"/>
      <c r="CP90" s="14"/>
      <c r="CQ90" s="14"/>
      <c r="CR90" s="14"/>
      <c r="CS90" s="3"/>
      <c r="CT90" s="3"/>
      <c r="CU90" s="3"/>
      <c r="CV90" s="3"/>
      <c r="CW90" s="3"/>
    </row>
    <row r="91" spans="1:101" ht="14.25" customHeight="1" x14ac:dyDescent="0.2">
      <c r="A91" s="328"/>
      <c r="B91" s="52">
        <v>0.13517625457550439</v>
      </c>
      <c r="C91" s="330">
        <v>0.40051800431609541</v>
      </c>
      <c r="D91" s="330">
        <v>1.4312251021430886E-2</v>
      </c>
      <c r="E91" s="330">
        <v>7.3322031976421021E-3</v>
      </c>
      <c r="F91" s="331">
        <v>0.77838366741529441</v>
      </c>
      <c r="G91" s="94">
        <v>0.4637086325370724</v>
      </c>
      <c r="H91" s="330">
        <v>0.11404960497244962</v>
      </c>
      <c r="I91" s="330">
        <v>3.822715938507304E-2</v>
      </c>
      <c r="J91" s="330">
        <v>0.10235721733134813</v>
      </c>
      <c r="K91" s="330">
        <v>0.71355954223214335</v>
      </c>
      <c r="L91" s="332">
        <v>13384.673391648925</v>
      </c>
      <c r="M91" s="330">
        <v>0</v>
      </c>
      <c r="N91" s="330">
        <v>17449.965061538016</v>
      </c>
      <c r="O91" s="330">
        <v>1720.055010553074</v>
      </c>
      <c r="P91" s="330">
        <v>60132.39390929728</v>
      </c>
      <c r="Q91" s="333">
        <v>104840.86908523554</v>
      </c>
      <c r="R91" s="330">
        <v>27042.234316985421</v>
      </c>
      <c r="S91" s="330">
        <v>9905.9925041358401</v>
      </c>
      <c r="T91" s="332">
        <v>0.91488336090787348</v>
      </c>
      <c r="U91" s="330">
        <v>0.49078380042471331</v>
      </c>
      <c r="V91" s="330">
        <v>0.79799249082848989</v>
      </c>
      <c r="W91" s="330">
        <v>0.99905422932523369</v>
      </c>
      <c r="X91" s="330">
        <v>0.99999713238219201</v>
      </c>
      <c r="Y91" s="330">
        <v>0</v>
      </c>
      <c r="Z91" s="331">
        <v>0</v>
      </c>
      <c r="AA91" s="235"/>
      <c r="AB91" s="52">
        <v>98030.103924383453</v>
      </c>
      <c r="AC91" s="330">
        <v>4.7584684836519733</v>
      </c>
      <c r="AD91" s="330">
        <v>80218.152568832578</v>
      </c>
      <c r="AE91" s="330">
        <v>4.4123206141512057</v>
      </c>
      <c r="AF91" s="330">
        <v>17811.951355550875</v>
      </c>
      <c r="AG91" s="331">
        <v>0.34614786950076759</v>
      </c>
      <c r="AH91" s="235"/>
      <c r="AI91" s="208">
        <f t="shared" si="12"/>
        <v>4422514.9555449914</v>
      </c>
      <c r="AJ91" s="208">
        <f t="shared" si="13"/>
        <v>4111486.4308748129</v>
      </c>
      <c r="AK91" s="208">
        <f t="shared" si="14"/>
        <v>311028.5246701783</v>
      </c>
      <c r="AL91" s="235"/>
      <c r="AM91" s="52">
        <f t="shared" si="4"/>
        <v>1</v>
      </c>
      <c r="AN91" s="52">
        <f t="shared" si="5"/>
        <v>0</v>
      </c>
      <c r="AO91" s="52">
        <f t="shared" si="6"/>
        <v>1</v>
      </c>
      <c r="AP91" s="235"/>
      <c r="AQ91" s="52">
        <v>700000</v>
      </c>
      <c r="AR91" s="52">
        <v>0.65200000000000002</v>
      </c>
      <c r="AS91" s="52">
        <v>0.34799999999999998</v>
      </c>
      <c r="AT91" s="52">
        <v>0.65200000000000002</v>
      </c>
      <c r="AU91" s="235"/>
      <c r="AV91" s="360">
        <f t="shared" si="15"/>
        <v>4422514.9555449914</v>
      </c>
      <c r="AW91" s="235"/>
      <c r="AX91" s="354"/>
      <c r="AY91" s="14"/>
      <c r="AZ91" s="14">
        <f t="shared" si="17"/>
        <v>17811.951355550875</v>
      </c>
      <c r="BA91" s="14">
        <f t="shared" si="16"/>
        <v>0.34614786950076759</v>
      </c>
      <c r="BB91" s="14">
        <f t="shared" si="2"/>
        <v>51457.636822206056</v>
      </c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>
        <v>1</v>
      </c>
      <c r="BY91" s="14">
        <v>100000</v>
      </c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38"/>
      <c r="CM91" s="138"/>
      <c r="CN91" s="138"/>
      <c r="CO91" s="138"/>
      <c r="CP91" s="14"/>
      <c r="CQ91" s="14"/>
      <c r="CR91" s="14"/>
      <c r="CS91" s="3"/>
      <c r="CT91" s="3"/>
      <c r="CU91" s="3"/>
      <c r="CV91" s="3"/>
      <c r="CW91" s="3"/>
    </row>
    <row r="92" spans="1:101" ht="14.25" customHeight="1" x14ac:dyDescent="0.2">
      <c r="A92" s="328"/>
      <c r="B92" s="52">
        <v>0.16038052157190186</v>
      </c>
      <c r="C92" s="330">
        <v>0.49557979658984985</v>
      </c>
      <c r="D92" s="330">
        <v>1.3125224730144575E-2</v>
      </c>
      <c r="E92" s="330">
        <v>6.6298042401641919E-3</v>
      </c>
      <c r="F92" s="331">
        <v>0.78737538349265035</v>
      </c>
      <c r="G92" s="94">
        <v>0.45912074502837996</v>
      </c>
      <c r="H92" s="330">
        <v>0.35718149522950715</v>
      </c>
      <c r="I92" s="330">
        <v>1.8454413244476053E-2</v>
      </c>
      <c r="J92" s="330">
        <v>0.99999999934501382</v>
      </c>
      <c r="K92" s="330">
        <v>0.8057644210531294</v>
      </c>
      <c r="L92" s="332">
        <v>12590.292187036826</v>
      </c>
      <c r="M92" s="330">
        <v>0</v>
      </c>
      <c r="N92" s="330">
        <v>19380.906091451892</v>
      </c>
      <c r="O92" s="330">
        <v>1646.7474990570104</v>
      </c>
      <c r="P92" s="330">
        <v>47863.232506914283</v>
      </c>
      <c r="Q92" s="333">
        <v>86483.242019508485</v>
      </c>
      <c r="R92" s="330">
        <v>17496.881464057908</v>
      </c>
      <c r="S92" s="330">
        <v>6552.9749343179374</v>
      </c>
      <c r="T92" s="332">
        <v>0.99536476642771421</v>
      </c>
      <c r="U92" s="330">
        <v>0.81640453921684952</v>
      </c>
      <c r="V92" s="330">
        <v>0.16281150719222573</v>
      </c>
      <c r="W92" s="330">
        <v>0.9491172758216988</v>
      </c>
      <c r="X92" s="330">
        <v>0.85503795446167197</v>
      </c>
      <c r="Y92" s="330">
        <v>0</v>
      </c>
      <c r="Z92" s="331">
        <v>0</v>
      </c>
      <c r="AA92" s="235"/>
      <c r="AB92" s="52">
        <v>69797.472212227105</v>
      </c>
      <c r="AC92" s="330">
        <v>4.1500097283613124</v>
      </c>
      <c r="AD92" s="330">
        <v>61610.933124521682</v>
      </c>
      <c r="AE92" s="330">
        <v>4.3231907721543781</v>
      </c>
      <c r="AF92" s="330">
        <v>8186.5390877054233</v>
      </c>
      <c r="AG92" s="331">
        <v>-0.17318104379306565</v>
      </c>
      <c r="AH92" s="235"/>
      <c r="AI92" s="208">
        <f t="shared" si="12"/>
        <v>3872711.7697310196</v>
      </c>
      <c r="AJ92" s="208">
        <f t="shared" si="13"/>
        <v>4045420.3004221376</v>
      </c>
      <c r="AK92" s="208">
        <f t="shared" si="14"/>
        <v>-172708.5306911178</v>
      </c>
      <c r="AL92" s="235"/>
      <c r="AM92" s="52">
        <f t="shared" si="4"/>
        <v>0</v>
      </c>
      <c r="AN92" s="52">
        <f t="shared" si="5"/>
        <v>1</v>
      </c>
      <c r="AO92" s="52">
        <f t="shared" si="6"/>
        <v>0</v>
      </c>
      <c r="AP92" s="235"/>
      <c r="AQ92" s="52">
        <v>750000</v>
      </c>
      <c r="AR92" s="52">
        <v>0.65300000000000002</v>
      </c>
      <c r="AS92" s="52">
        <v>0.34699999999999998</v>
      </c>
      <c r="AT92" s="52">
        <v>0.65300000000000002</v>
      </c>
      <c r="AU92" s="235"/>
      <c r="AV92" s="360">
        <f t="shared" si="15"/>
        <v>4045420.3004221376</v>
      </c>
      <c r="AW92" s="235"/>
      <c r="AX92" s="354"/>
      <c r="AY92" s="14"/>
      <c r="AZ92" s="14">
        <f t="shared" si="17"/>
        <v>8186.5390877054233</v>
      </c>
      <c r="BA92" s="14">
        <f t="shared" si="16"/>
        <v>-0.17318104379306565</v>
      </c>
      <c r="BB92" s="14">
        <f t="shared" si="2"/>
        <v>-47271.565688722454</v>
      </c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>
        <v>-1</v>
      </c>
      <c r="BY92" s="14">
        <v>-100000</v>
      </c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38"/>
      <c r="CM92" s="138"/>
      <c r="CN92" s="138"/>
      <c r="CO92" s="138"/>
      <c r="CP92" s="14"/>
      <c r="CQ92" s="14"/>
      <c r="CR92" s="14"/>
      <c r="CS92" s="3"/>
      <c r="CT92" s="3"/>
      <c r="CU92" s="3"/>
      <c r="CV92" s="3"/>
      <c r="CW92" s="3"/>
    </row>
    <row r="93" spans="1:101" ht="14.25" customHeight="1" x14ac:dyDescent="0.2">
      <c r="A93" s="328"/>
      <c r="B93" s="52">
        <v>0.19700654175662546</v>
      </c>
      <c r="C93" s="330">
        <v>0.26230049826906859</v>
      </c>
      <c r="D93" s="330">
        <v>8.7961262154054847E-3</v>
      </c>
      <c r="E93" s="330">
        <v>2.1597541600896997E-2</v>
      </c>
      <c r="F93" s="331">
        <v>0.81120941378082156</v>
      </c>
      <c r="G93" s="94">
        <v>0.36299855087390864</v>
      </c>
      <c r="H93" s="330">
        <v>3.9391976061875285E-2</v>
      </c>
      <c r="I93" s="330">
        <v>8.2509249823797971E-3</v>
      </c>
      <c r="J93" s="330">
        <v>0.90132971747908164</v>
      </c>
      <c r="K93" s="330">
        <v>0.7311798491358622</v>
      </c>
      <c r="L93" s="332">
        <v>10774.219537886496</v>
      </c>
      <c r="M93" s="330">
        <v>0</v>
      </c>
      <c r="N93" s="330">
        <v>19092.85396488581</v>
      </c>
      <c r="O93" s="330">
        <v>1012.7785471590959</v>
      </c>
      <c r="P93" s="330">
        <v>32135.168185740364</v>
      </c>
      <c r="Q93" s="333">
        <v>114319.62996799871</v>
      </c>
      <c r="R93" s="330">
        <v>17981.623136028138</v>
      </c>
      <c r="S93" s="330">
        <v>7966.1450876332201</v>
      </c>
      <c r="T93" s="332">
        <v>0.94783021032973847</v>
      </c>
      <c r="U93" s="330">
        <v>0.96772409718900865</v>
      </c>
      <c r="V93" s="330">
        <v>0.99654249163944808</v>
      </c>
      <c r="W93" s="330">
        <v>1.2780531879533364E-2</v>
      </c>
      <c r="X93" s="330">
        <v>0.53017808039982384</v>
      </c>
      <c r="Y93" s="330">
        <v>0</v>
      </c>
      <c r="Z93" s="331">
        <v>0</v>
      </c>
      <c r="AA93" s="235"/>
      <c r="AB93" s="52">
        <v>81450.453780188895</v>
      </c>
      <c r="AC93" s="330">
        <v>2.6332666982975166</v>
      </c>
      <c r="AD93" s="330">
        <v>63623.493116891739</v>
      </c>
      <c r="AE93" s="330">
        <v>2.6924858510635614</v>
      </c>
      <c r="AF93" s="330">
        <v>17826.960663297155</v>
      </c>
      <c r="AG93" s="331">
        <v>-5.9219152766044836E-2</v>
      </c>
      <c r="AH93" s="235"/>
      <c r="AI93" s="208">
        <f t="shared" si="12"/>
        <v>2420152.9096024521</v>
      </c>
      <c r="AJ93" s="208">
        <f t="shared" si="13"/>
        <v>2494238.0653934912</v>
      </c>
      <c r="AK93" s="208">
        <f t="shared" si="14"/>
        <v>-74085.155791039753</v>
      </c>
      <c r="AL93" s="235"/>
      <c r="AM93" s="52">
        <f t="shared" si="4"/>
        <v>0</v>
      </c>
      <c r="AN93" s="52">
        <f t="shared" si="5"/>
        <v>1</v>
      </c>
      <c r="AO93" s="52">
        <f t="shared" si="6"/>
        <v>0</v>
      </c>
      <c r="AP93" s="235"/>
      <c r="AQ93" s="52">
        <v>800000</v>
      </c>
      <c r="AR93" s="52">
        <v>0.65400000000000003</v>
      </c>
      <c r="AS93" s="52">
        <v>0.34599999999999997</v>
      </c>
      <c r="AT93" s="52">
        <v>0.65400000000000003</v>
      </c>
      <c r="AU93" s="235"/>
      <c r="AV93" s="360">
        <f t="shared" si="15"/>
        <v>2494238.0653934912</v>
      </c>
      <c r="AW93" s="235"/>
      <c r="AX93" s="354"/>
      <c r="AY93" s="14"/>
      <c r="AZ93" s="14">
        <f t="shared" si="17"/>
        <v>17826.960663297155</v>
      </c>
      <c r="BA93" s="14">
        <f t="shared" si="16"/>
        <v>-5.9219152766044836E-2</v>
      </c>
      <c r="BB93" s="14">
        <f t="shared" si="2"/>
        <v>-301033.6999201178</v>
      </c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38"/>
      <c r="CM93" s="138"/>
      <c r="CN93" s="138"/>
      <c r="CO93" s="138"/>
      <c r="CP93" s="14"/>
      <c r="CQ93" s="14"/>
      <c r="CR93" s="14"/>
      <c r="CS93" s="3"/>
      <c r="CT93" s="3"/>
      <c r="CU93" s="3"/>
      <c r="CV93" s="3"/>
      <c r="CW93" s="3"/>
    </row>
    <row r="94" spans="1:101" ht="14.25" customHeight="1" x14ac:dyDescent="0.2">
      <c r="A94" s="328"/>
      <c r="B94" s="52">
        <v>0.16658977303080336</v>
      </c>
      <c r="C94" s="330">
        <v>0.14553341809514769</v>
      </c>
      <c r="D94" s="330">
        <v>1.2238746088581868E-2</v>
      </c>
      <c r="E94" s="330">
        <v>1.2660196910981485E-2</v>
      </c>
      <c r="F94" s="331">
        <v>0.76396263802515363</v>
      </c>
      <c r="G94" s="94">
        <v>0.37898113858602439</v>
      </c>
      <c r="H94" s="330">
        <v>0.56923160014134422</v>
      </c>
      <c r="I94" s="330">
        <v>1.3076616414743683E-2</v>
      </c>
      <c r="J94" s="330">
        <v>0.97637104870708813</v>
      </c>
      <c r="K94" s="330">
        <v>0.77361787961038841</v>
      </c>
      <c r="L94" s="332">
        <v>12237.737438079621</v>
      </c>
      <c r="M94" s="330">
        <v>0</v>
      </c>
      <c r="N94" s="330">
        <v>17356.581535096029</v>
      </c>
      <c r="O94" s="330">
        <v>1431.444700398104</v>
      </c>
      <c r="P94" s="330">
        <v>54888.979081859143</v>
      </c>
      <c r="Q94" s="333">
        <v>122292.06230857824</v>
      </c>
      <c r="R94" s="330">
        <v>30736.817005689772</v>
      </c>
      <c r="S94" s="330">
        <v>7501.7646113153796</v>
      </c>
      <c r="T94" s="332">
        <v>0.9809416193401046</v>
      </c>
      <c r="U94" s="330">
        <v>0.53180567415036073</v>
      </c>
      <c r="V94" s="330">
        <v>0.9404922982411561</v>
      </c>
      <c r="W94" s="330">
        <v>0.9970517277507901</v>
      </c>
      <c r="X94" s="330">
        <v>2.8014906234331324E-2</v>
      </c>
      <c r="Y94" s="330">
        <v>0</v>
      </c>
      <c r="Z94" s="331">
        <v>0</v>
      </c>
      <c r="AA94" s="235"/>
      <c r="AB94" s="52">
        <v>74974.011400014264</v>
      </c>
      <c r="AC94" s="330">
        <v>0.65919913149027765</v>
      </c>
      <c r="AD94" s="330">
        <v>70343.064184786694</v>
      </c>
      <c r="AE94" s="330">
        <v>0.33909750503785319</v>
      </c>
      <c r="AF94" s="330">
        <v>4630.9472152275703</v>
      </c>
      <c r="AG94" s="331">
        <v>0.32010162645242446</v>
      </c>
      <c r="AH94" s="235"/>
      <c r="AI94" s="208">
        <f t="shared" si="12"/>
        <v>551265.1635157495</v>
      </c>
      <c r="AJ94" s="208">
        <f t="shared" si="13"/>
        <v>251799.56560117385</v>
      </c>
      <c r="AK94" s="208">
        <f t="shared" si="14"/>
        <v>299465.59791457566</v>
      </c>
      <c r="AL94" s="235"/>
      <c r="AM94" s="52">
        <f t="shared" si="4"/>
        <v>1</v>
      </c>
      <c r="AN94" s="52">
        <f t="shared" si="5"/>
        <v>0</v>
      </c>
      <c r="AO94" s="52">
        <f t="shared" si="6"/>
        <v>1</v>
      </c>
      <c r="AP94" s="235"/>
      <c r="AQ94" s="52">
        <v>850000</v>
      </c>
      <c r="AR94" s="52">
        <v>0.65600000000000003</v>
      </c>
      <c r="AS94" s="52">
        <v>0.34399999999999997</v>
      </c>
      <c r="AT94" s="52">
        <v>0.65600000000000003</v>
      </c>
      <c r="AU94" s="235"/>
      <c r="AV94" s="360">
        <f t="shared" si="15"/>
        <v>551265.1635157495</v>
      </c>
      <c r="AW94" s="235"/>
      <c r="AX94" s="354"/>
      <c r="AY94" s="14"/>
      <c r="AZ94" s="14">
        <f t="shared" si="17"/>
        <v>4630.9472152275703</v>
      </c>
      <c r="BA94" s="14">
        <f t="shared" si="16"/>
        <v>0.32010162645242446</v>
      </c>
      <c r="BB94" s="14">
        <f t="shared" si="2"/>
        <v>14467.115542494286</v>
      </c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38"/>
      <c r="CM94" s="138"/>
      <c r="CN94" s="138"/>
      <c r="CO94" s="138"/>
      <c r="CP94" s="14"/>
      <c r="CQ94" s="14"/>
      <c r="CR94" s="14"/>
      <c r="CS94" s="3"/>
      <c r="CT94" s="3"/>
      <c r="CU94" s="3"/>
      <c r="CV94" s="3"/>
      <c r="CW94" s="3"/>
    </row>
    <row r="95" spans="1:101" ht="14.25" customHeight="1" x14ac:dyDescent="0.2">
      <c r="A95" s="328"/>
      <c r="B95" s="52">
        <v>0.16148702478694232</v>
      </c>
      <c r="C95" s="330">
        <v>0.49338610820602447</v>
      </c>
      <c r="D95" s="330">
        <v>1.5378291311531234E-2</v>
      </c>
      <c r="E95" s="330">
        <v>2.9845401522518133E-2</v>
      </c>
      <c r="F95" s="331">
        <v>0.81182493805971179</v>
      </c>
      <c r="G95" s="94">
        <v>0.3600041960232061</v>
      </c>
      <c r="H95" s="330">
        <v>0.26043859275748732</v>
      </c>
      <c r="I95" s="330">
        <v>5.1486869785286474E-3</v>
      </c>
      <c r="J95" s="330">
        <v>0.99999999997181122</v>
      </c>
      <c r="K95" s="330">
        <v>0.70407379443261353</v>
      </c>
      <c r="L95" s="332">
        <v>14565.943123666002</v>
      </c>
      <c r="M95" s="330">
        <v>0</v>
      </c>
      <c r="N95" s="330">
        <v>16924.924277307655</v>
      </c>
      <c r="O95" s="330">
        <v>1516.8349481533301</v>
      </c>
      <c r="P95" s="330">
        <v>49493.684904795795</v>
      </c>
      <c r="Q95" s="333">
        <v>106052.10591582375</v>
      </c>
      <c r="R95" s="330">
        <v>23950.41907918877</v>
      </c>
      <c r="S95" s="330">
        <v>11874.980204705009</v>
      </c>
      <c r="T95" s="332">
        <v>0.99699765422479003</v>
      </c>
      <c r="U95" s="330">
        <v>0.82903389815203288</v>
      </c>
      <c r="V95" s="330">
        <v>0.79376782963213866</v>
      </c>
      <c r="W95" s="330">
        <v>0.99362569901564779</v>
      </c>
      <c r="X95" s="330">
        <v>0.70920291149132386</v>
      </c>
      <c r="Y95" s="330">
        <v>0</v>
      </c>
      <c r="Z95" s="331">
        <v>0</v>
      </c>
      <c r="AA95" s="235"/>
      <c r="AB95" s="52">
        <v>120440.86120742165</v>
      </c>
      <c r="AC95" s="330">
        <v>3.9579692539076792</v>
      </c>
      <c r="AD95" s="330">
        <v>92844.005920634198</v>
      </c>
      <c r="AE95" s="330">
        <v>3.080795061961191</v>
      </c>
      <c r="AF95" s="330">
        <v>27596.855286787453</v>
      </c>
      <c r="AG95" s="331">
        <v>0.87717419194648816</v>
      </c>
      <c r="AH95" s="235"/>
      <c r="AI95" s="208">
        <f t="shared" si="12"/>
        <v>3639629.9300048733</v>
      </c>
      <c r="AJ95" s="208">
        <f t="shared" si="13"/>
        <v>2833911.3029424972</v>
      </c>
      <c r="AK95" s="208">
        <f t="shared" si="14"/>
        <v>805718.62706237624</v>
      </c>
      <c r="AL95" s="235"/>
      <c r="AM95" s="52">
        <f t="shared" si="4"/>
        <v>1</v>
      </c>
      <c r="AN95" s="52">
        <f t="shared" si="5"/>
        <v>0</v>
      </c>
      <c r="AO95" s="52">
        <f t="shared" si="6"/>
        <v>1</v>
      </c>
      <c r="AP95" s="235"/>
      <c r="AQ95" s="52">
        <v>900000</v>
      </c>
      <c r="AR95" s="52">
        <v>0.65800000000000003</v>
      </c>
      <c r="AS95" s="52">
        <v>0.34200000000000003</v>
      </c>
      <c r="AT95" s="52">
        <v>0.65800000000000003</v>
      </c>
      <c r="AU95" s="235"/>
      <c r="AV95" s="360">
        <f t="shared" si="15"/>
        <v>3639629.9300048733</v>
      </c>
      <c r="AW95" s="235"/>
      <c r="AX95" s="354"/>
      <c r="AY95" s="14"/>
      <c r="AZ95" s="14">
        <f t="shared" si="17"/>
        <v>27596.855286787453</v>
      </c>
      <c r="BA95" s="14">
        <f t="shared" si="16"/>
        <v>0.87717419194648816</v>
      </c>
      <c r="BB95" s="14">
        <f t="shared" si="2"/>
        <v>31461.08896061889</v>
      </c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38"/>
      <c r="CM95" s="138"/>
      <c r="CN95" s="138"/>
      <c r="CO95" s="138"/>
      <c r="CP95" s="14"/>
      <c r="CQ95" s="14"/>
      <c r="CR95" s="14"/>
      <c r="CS95" s="3"/>
      <c r="CT95" s="3"/>
      <c r="CU95" s="3"/>
      <c r="CV95" s="3"/>
      <c r="CW95" s="3"/>
    </row>
    <row r="96" spans="1:101" ht="14.25" customHeight="1" x14ac:dyDescent="0.2">
      <c r="A96" s="328"/>
      <c r="B96" s="52">
        <v>0.12715450986322036</v>
      </c>
      <c r="C96" s="330">
        <v>0.78483671522792697</v>
      </c>
      <c r="D96" s="330">
        <v>9.3503398851144132E-3</v>
      </c>
      <c r="E96" s="330">
        <v>5.0960981784397433E-3</v>
      </c>
      <c r="F96" s="331">
        <v>0.78615218661040531</v>
      </c>
      <c r="G96" s="94">
        <v>0.37795385600255049</v>
      </c>
      <c r="H96" s="330">
        <v>0.46025461495210529</v>
      </c>
      <c r="I96" s="330">
        <v>2.9525174456553338E-2</v>
      </c>
      <c r="J96" s="330">
        <v>1</v>
      </c>
      <c r="K96" s="330">
        <v>0.76238537545823737</v>
      </c>
      <c r="L96" s="332">
        <v>11049.086386983961</v>
      </c>
      <c r="M96" s="330">
        <v>0</v>
      </c>
      <c r="N96" s="330">
        <v>16009.501256128946</v>
      </c>
      <c r="O96" s="330">
        <v>956.63821966228102</v>
      </c>
      <c r="P96" s="330">
        <v>46632.986197128535</v>
      </c>
      <c r="Q96" s="333">
        <v>127066.59061501014</v>
      </c>
      <c r="R96" s="330">
        <v>28874.025544540917</v>
      </c>
      <c r="S96" s="330">
        <v>9996.2476349066201</v>
      </c>
      <c r="T96" s="332">
        <v>0.92082567179377306</v>
      </c>
      <c r="U96" s="330">
        <v>0.99999984925524532</v>
      </c>
      <c r="V96" s="330">
        <v>0.90715885085291648</v>
      </c>
      <c r="W96" s="330">
        <v>0.61440205435489681</v>
      </c>
      <c r="X96" s="330">
        <v>0.981751534851666</v>
      </c>
      <c r="Y96" s="330">
        <v>0</v>
      </c>
      <c r="Z96" s="331">
        <v>0</v>
      </c>
      <c r="AA96" s="235"/>
      <c r="AB96" s="52">
        <v>98535.832625761497</v>
      </c>
      <c r="AC96" s="330">
        <v>4.8801889893690849</v>
      </c>
      <c r="AD96" s="330">
        <v>89388.561112028532</v>
      </c>
      <c r="AE96" s="330">
        <v>4.528880570187324</v>
      </c>
      <c r="AF96" s="330">
        <v>9147.2715137329651</v>
      </c>
      <c r="AG96" s="331">
        <v>0.35130841918176081</v>
      </c>
      <c r="AH96" s="235"/>
      <c r="AI96" s="208">
        <f t="shared" si="12"/>
        <v>4537643.7072748691</v>
      </c>
      <c r="AJ96" s="208">
        <f t="shared" si="13"/>
        <v>4213047.9805659289</v>
      </c>
      <c r="AK96" s="208">
        <f t="shared" si="14"/>
        <v>324595.72670893982</v>
      </c>
      <c r="AL96" s="235"/>
      <c r="AM96" s="52">
        <f t="shared" si="4"/>
        <v>1</v>
      </c>
      <c r="AN96" s="52">
        <f t="shared" si="5"/>
        <v>0</v>
      </c>
      <c r="AO96" s="52">
        <f t="shared" si="6"/>
        <v>1</v>
      </c>
      <c r="AP96" s="235"/>
      <c r="AQ96" s="52">
        <v>950000</v>
      </c>
      <c r="AR96" s="52">
        <v>0.66</v>
      </c>
      <c r="AS96" s="52">
        <v>0.34</v>
      </c>
      <c r="AT96" s="52">
        <v>0.66</v>
      </c>
      <c r="AU96" s="235"/>
      <c r="AV96" s="360">
        <f t="shared" si="15"/>
        <v>4537643.7072748691</v>
      </c>
      <c r="AW96" s="235"/>
      <c r="AX96" s="354"/>
      <c r="AY96" s="14"/>
      <c r="AZ96" s="14">
        <f t="shared" si="17"/>
        <v>9147.2715137329651</v>
      </c>
      <c r="BA96" s="14">
        <f t="shared" si="16"/>
        <v>0.35130841918176081</v>
      </c>
      <c r="BB96" s="14">
        <f t="shared" si="2"/>
        <v>26037.72359067867</v>
      </c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38"/>
      <c r="CM96" s="138"/>
      <c r="CN96" s="138"/>
      <c r="CO96" s="138"/>
      <c r="CP96" s="14"/>
      <c r="CQ96" s="14"/>
      <c r="CR96" s="14"/>
      <c r="CS96" s="3"/>
      <c r="CT96" s="3"/>
      <c r="CU96" s="3"/>
      <c r="CV96" s="3"/>
      <c r="CW96" s="3"/>
    </row>
    <row r="97" spans="1:101" ht="14.25" customHeight="1" x14ac:dyDescent="0.2">
      <c r="A97" s="328"/>
      <c r="B97" s="52">
        <v>0.18467177451063232</v>
      </c>
      <c r="C97" s="330">
        <v>0.53241602650467135</v>
      </c>
      <c r="D97" s="330">
        <v>1.4908893259410805E-2</v>
      </c>
      <c r="E97" s="330">
        <v>1.5466632854523321E-2</v>
      </c>
      <c r="F97" s="331">
        <v>0.75741090870484173</v>
      </c>
      <c r="G97" s="94">
        <v>0.43831879533518048</v>
      </c>
      <c r="H97" s="330">
        <v>0.99998783427478499</v>
      </c>
      <c r="I97" s="330">
        <v>2.4713534691153782E-2</v>
      </c>
      <c r="J97" s="330">
        <v>0.99999999909068937</v>
      </c>
      <c r="K97" s="330">
        <v>0.74263896876506996</v>
      </c>
      <c r="L97" s="332">
        <v>16973.330770695717</v>
      </c>
      <c r="M97" s="330">
        <v>0</v>
      </c>
      <c r="N97" s="330">
        <v>10598.409850285334</v>
      </c>
      <c r="O97" s="330">
        <v>1517.2490051447135</v>
      </c>
      <c r="P97" s="330">
        <v>44638.930708782413</v>
      </c>
      <c r="Q97" s="333">
        <v>98134.032992193548</v>
      </c>
      <c r="R97" s="330">
        <v>20775.126212159488</v>
      </c>
      <c r="S97" s="330">
        <v>11460.071226636232</v>
      </c>
      <c r="T97" s="332">
        <v>0.96313004104224675</v>
      </c>
      <c r="U97" s="330">
        <v>0.95025063304224466</v>
      </c>
      <c r="V97" s="330">
        <v>0.96689826233847964</v>
      </c>
      <c r="W97" s="330">
        <v>0.99846422931473644</v>
      </c>
      <c r="X97" s="330">
        <v>0.99971379926963</v>
      </c>
      <c r="Y97" s="330">
        <v>0</v>
      </c>
      <c r="Z97" s="331">
        <v>0</v>
      </c>
      <c r="AA97" s="235"/>
      <c r="AB97" s="52">
        <v>112715.62471922103</v>
      </c>
      <c r="AC97" s="330">
        <v>4.6369704537881766</v>
      </c>
      <c r="AD97" s="330">
        <v>102657.45431914266</v>
      </c>
      <c r="AE97" s="330">
        <v>4.7168267693401988</v>
      </c>
      <c r="AF97" s="330">
        <v>10058.170400078365</v>
      </c>
      <c r="AG97" s="331">
        <v>-7.9856315552022217E-2</v>
      </c>
      <c r="AH97" s="235"/>
      <c r="AI97" s="208">
        <f t="shared" si="12"/>
        <v>4292406.3063795464</v>
      </c>
      <c r="AJ97" s="208">
        <f t="shared" si="13"/>
        <v>4378327.9765540464</v>
      </c>
      <c r="AK97" s="208">
        <f t="shared" si="14"/>
        <v>-85921.670174499464</v>
      </c>
      <c r="AL97" s="235"/>
      <c r="AM97" s="52">
        <f t="shared" si="4"/>
        <v>0</v>
      </c>
      <c r="AN97" s="52">
        <f t="shared" si="5"/>
        <v>1</v>
      </c>
      <c r="AO97" s="52">
        <f t="shared" si="6"/>
        <v>0</v>
      </c>
      <c r="AP97" s="235"/>
      <c r="AQ97" s="3"/>
      <c r="AR97" s="52"/>
      <c r="AS97" s="52"/>
      <c r="AT97" s="52"/>
      <c r="AU97" s="235"/>
      <c r="AV97" s="360">
        <f t="shared" si="15"/>
        <v>4378327.9765540464</v>
      </c>
      <c r="AW97" s="235"/>
      <c r="AX97" s="354"/>
      <c r="AY97" s="14"/>
      <c r="AZ97" s="14">
        <f t="shared" si="17"/>
        <v>10058.170400078365</v>
      </c>
      <c r="BA97" s="14">
        <f t="shared" si="16"/>
        <v>-7.9856315552022217E-2</v>
      </c>
      <c r="BB97" s="14">
        <f t="shared" si="2"/>
        <v>-125953.34921914838</v>
      </c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38"/>
      <c r="CM97" s="138"/>
      <c r="CN97" s="138"/>
      <c r="CO97" s="138"/>
      <c r="CP97" s="14"/>
      <c r="CQ97" s="14"/>
      <c r="CR97" s="14"/>
      <c r="CS97" s="3"/>
      <c r="CT97" s="3"/>
      <c r="CU97" s="3"/>
      <c r="CV97" s="3"/>
      <c r="CW97" s="3"/>
    </row>
    <row r="98" spans="1:101" ht="14.25" customHeight="1" x14ac:dyDescent="0.2">
      <c r="A98" s="328"/>
      <c r="B98" s="52">
        <v>0.19137553473543012</v>
      </c>
      <c r="C98" s="330">
        <v>0.40238939416622233</v>
      </c>
      <c r="D98" s="330">
        <v>3.0399893348301399E-2</v>
      </c>
      <c r="E98" s="330">
        <v>1.5534741661631268E-2</v>
      </c>
      <c r="F98" s="331">
        <v>0.78203055636066066</v>
      </c>
      <c r="G98" s="94">
        <v>0.39222376866282344</v>
      </c>
      <c r="H98" s="330">
        <v>0.31878564430015599</v>
      </c>
      <c r="I98" s="330">
        <v>2.9384416581966999E-2</v>
      </c>
      <c r="J98" s="330">
        <v>1</v>
      </c>
      <c r="K98" s="330">
        <v>0.77779919935981034</v>
      </c>
      <c r="L98" s="332">
        <v>14786.406784696317</v>
      </c>
      <c r="M98" s="330">
        <v>0</v>
      </c>
      <c r="N98" s="330">
        <v>33471.04284833467</v>
      </c>
      <c r="O98" s="330">
        <v>1480.8983063868163</v>
      </c>
      <c r="P98" s="330">
        <v>34862.143489949638</v>
      </c>
      <c r="Q98" s="333">
        <v>70435.858188985338</v>
      </c>
      <c r="R98" s="330">
        <v>23537.176426523518</v>
      </c>
      <c r="S98" s="330">
        <v>11690.710128996117</v>
      </c>
      <c r="T98" s="332">
        <v>0.96103396808324826</v>
      </c>
      <c r="U98" s="330">
        <v>0.69142009799677451</v>
      </c>
      <c r="V98" s="330">
        <v>0.99972529003635602</v>
      </c>
      <c r="W98" s="330">
        <v>0.98979421615798246</v>
      </c>
      <c r="X98" s="330">
        <v>0.98600495849987446</v>
      </c>
      <c r="Y98" s="330">
        <v>0</v>
      </c>
      <c r="Z98" s="331">
        <v>0</v>
      </c>
      <c r="AA98" s="235"/>
      <c r="AB98" s="52">
        <v>115408.51244855807</v>
      </c>
      <c r="AC98" s="330">
        <v>5.2272107176184877</v>
      </c>
      <c r="AD98" s="330">
        <v>102725.20521762273</v>
      </c>
      <c r="AE98" s="330">
        <v>4.6417974720021293</v>
      </c>
      <c r="AF98" s="330">
        <v>12683.307230935345</v>
      </c>
      <c r="AG98" s="331">
        <v>0.58541324561635832</v>
      </c>
      <c r="AH98" s="235"/>
      <c r="AI98" s="208">
        <f t="shared" si="12"/>
        <v>4850441.6692890059</v>
      </c>
      <c r="AJ98" s="208">
        <f t="shared" si="13"/>
        <v>4306982.3931844002</v>
      </c>
      <c r="AK98" s="208">
        <f t="shared" si="14"/>
        <v>543459.27610460506</v>
      </c>
      <c r="AL98" s="235"/>
      <c r="AM98" s="52">
        <f t="shared" si="4"/>
        <v>1</v>
      </c>
      <c r="AN98" s="52">
        <f t="shared" si="5"/>
        <v>0</v>
      </c>
      <c r="AO98" s="52">
        <f t="shared" si="6"/>
        <v>1</v>
      </c>
      <c r="AP98" s="235"/>
      <c r="AQ98" s="3"/>
      <c r="AR98" s="52"/>
      <c r="AS98" s="52"/>
      <c r="AT98" s="52"/>
      <c r="AU98" s="235"/>
      <c r="AV98" s="360">
        <f t="shared" si="15"/>
        <v>4850441.6692890059</v>
      </c>
      <c r="AW98" s="235"/>
      <c r="AX98" s="354"/>
      <c r="AY98" s="14"/>
      <c r="AZ98" s="14">
        <f t="shared" si="17"/>
        <v>12683.307230935345</v>
      </c>
      <c r="BA98" s="14">
        <f t="shared" si="16"/>
        <v>0.58541324561635832</v>
      </c>
      <c r="BB98" s="14">
        <f t="shared" si="2"/>
        <v>21665.562448252422</v>
      </c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38"/>
      <c r="CM98" s="138"/>
      <c r="CN98" s="138"/>
      <c r="CO98" s="138"/>
      <c r="CP98" s="14"/>
      <c r="CQ98" s="14"/>
      <c r="CR98" s="14"/>
      <c r="CS98" s="3"/>
      <c r="CT98" s="3"/>
      <c r="CU98" s="3"/>
      <c r="CV98" s="3"/>
      <c r="CW98" s="3"/>
    </row>
    <row r="99" spans="1:101" ht="14.25" customHeight="1" x14ac:dyDescent="0.2">
      <c r="A99" s="328"/>
      <c r="B99" s="52">
        <v>0.21265390091221648</v>
      </c>
      <c r="C99" s="330">
        <v>0.24511473781991469</v>
      </c>
      <c r="D99" s="330">
        <v>9.575240062716598E-3</v>
      </c>
      <c r="E99" s="330">
        <v>1.6180893564425314E-2</v>
      </c>
      <c r="F99" s="331">
        <v>0.7603794708512045</v>
      </c>
      <c r="G99" s="94">
        <v>0.38380931194973666</v>
      </c>
      <c r="H99" s="330">
        <v>0.88384976719636965</v>
      </c>
      <c r="I99" s="330">
        <v>6.7380027120570209E-3</v>
      </c>
      <c r="J99" s="330">
        <v>0.99999999999980771</v>
      </c>
      <c r="K99" s="330">
        <v>0.78866085324061153</v>
      </c>
      <c r="L99" s="332">
        <v>8824.6931424784452</v>
      </c>
      <c r="M99" s="330">
        <v>0</v>
      </c>
      <c r="N99" s="330">
        <v>20314.696041774012</v>
      </c>
      <c r="O99" s="330">
        <v>1398.6221872623776</v>
      </c>
      <c r="P99" s="330">
        <v>39329.869274953744</v>
      </c>
      <c r="Q99" s="333">
        <v>75650.357950231555</v>
      </c>
      <c r="R99" s="330">
        <v>23936.611528564285</v>
      </c>
      <c r="S99" s="330">
        <v>7098.1133882492986</v>
      </c>
      <c r="T99" s="332">
        <v>0.99990492320277991</v>
      </c>
      <c r="U99" s="330">
        <v>0.2223219112732491</v>
      </c>
      <c r="V99" s="330">
        <v>0.27017391122006024</v>
      </c>
      <c r="W99" s="330">
        <v>0.96764715331558104</v>
      </c>
      <c r="X99" s="330">
        <v>0.99999991969517654</v>
      </c>
      <c r="Y99" s="330">
        <v>0</v>
      </c>
      <c r="Z99" s="331">
        <v>0</v>
      </c>
      <c r="AA99" s="235"/>
      <c r="AB99" s="52">
        <v>68445.049468961268</v>
      </c>
      <c r="AC99" s="330">
        <v>4.6443378060657654</v>
      </c>
      <c r="AD99" s="330">
        <v>69040.640695959155</v>
      </c>
      <c r="AE99" s="330">
        <v>4.7693314178067592</v>
      </c>
      <c r="AF99" s="330">
        <v>-595.59122699788713</v>
      </c>
      <c r="AG99" s="331">
        <v>-0.12499361174099377</v>
      </c>
      <c r="AH99" s="235"/>
      <c r="AI99" s="208">
        <f t="shared" si="12"/>
        <v>4343675.866293516</v>
      </c>
      <c r="AJ99" s="208">
        <f t="shared" si="13"/>
        <v>4461824.206220462</v>
      </c>
      <c r="AK99" s="208">
        <f t="shared" si="14"/>
        <v>-118148.3399269462</v>
      </c>
      <c r="AL99" s="235"/>
      <c r="AM99" s="52">
        <f t="shared" si="4"/>
        <v>0</v>
      </c>
      <c r="AN99" s="52">
        <f t="shared" si="5"/>
        <v>1</v>
      </c>
      <c r="AO99" s="52">
        <f t="shared" si="6"/>
        <v>0</v>
      </c>
      <c r="AP99" s="235"/>
      <c r="AQ99" s="3"/>
      <c r="AR99" s="3"/>
      <c r="AS99" s="3"/>
      <c r="AT99" s="3"/>
      <c r="AU99" s="235"/>
      <c r="AV99" s="360">
        <f t="shared" si="15"/>
        <v>4461824.206220462</v>
      </c>
      <c r="AW99" s="235"/>
      <c r="AX99" s="354"/>
      <c r="AY99" s="14"/>
      <c r="AZ99" s="14">
        <f t="shared" si="17"/>
        <v>-595.59122699788713</v>
      </c>
      <c r="BA99" s="14">
        <f t="shared" si="16"/>
        <v>-0.12499361174099377</v>
      </c>
      <c r="BB99" s="14">
        <f t="shared" si="2"/>
        <v>4764.9733350536735</v>
      </c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38"/>
      <c r="CM99" s="138"/>
      <c r="CN99" s="138"/>
      <c r="CO99" s="138"/>
      <c r="CP99" s="14"/>
      <c r="CQ99" s="14"/>
      <c r="CR99" s="14"/>
      <c r="CS99" s="3"/>
      <c r="CT99" s="3"/>
      <c r="CU99" s="3"/>
      <c r="CV99" s="3"/>
      <c r="CW99" s="3"/>
    </row>
    <row r="100" spans="1:101" ht="14.25" customHeight="1" x14ac:dyDescent="0.2">
      <c r="A100" s="328"/>
      <c r="B100" s="52">
        <v>0.14224727347812097</v>
      </c>
      <c r="C100" s="330">
        <v>0.467619072904632</v>
      </c>
      <c r="D100" s="330">
        <v>1.37389745994481E-2</v>
      </c>
      <c r="E100" s="330">
        <v>1.4680810106694531E-2</v>
      </c>
      <c r="F100" s="331">
        <v>0.79959448882614237</v>
      </c>
      <c r="G100" s="94">
        <v>0.42699832580700459</v>
      </c>
      <c r="H100" s="330">
        <v>2.0768388903661245E-2</v>
      </c>
      <c r="I100" s="330">
        <v>2.0683952447681064E-2</v>
      </c>
      <c r="J100" s="330">
        <v>0.99999999998219991</v>
      </c>
      <c r="K100" s="330">
        <v>0.6992171660015799</v>
      </c>
      <c r="L100" s="332">
        <v>10295.552527172094</v>
      </c>
      <c r="M100" s="330">
        <v>0</v>
      </c>
      <c r="N100" s="330">
        <v>17732.904630248893</v>
      </c>
      <c r="O100" s="330">
        <v>1423.7829312393619</v>
      </c>
      <c r="P100" s="330">
        <v>41322.054400254507</v>
      </c>
      <c r="Q100" s="333">
        <v>91423.316883702879</v>
      </c>
      <c r="R100" s="330">
        <v>22542.001146772924</v>
      </c>
      <c r="S100" s="330">
        <v>13573.804822930733</v>
      </c>
      <c r="T100" s="332">
        <v>0.59244030763349675</v>
      </c>
      <c r="U100" s="330">
        <v>0.70890751620125025</v>
      </c>
      <c r="V100" s="330">
        <v>0.85126931852231391</v>
      </c>
      <c r="W100" s="330">
        <v>0.99999999999447753</v>
      </c>
      <c r="X100" s="330">
        <v>0.97314738035455761</v>
      </c>
      <c r="Y100" s="330">
        <v>0</v>
      </c>
      <c r="Z100" s="331">
        <v>0</v>
      </c>
      <c r="AA100" s="235"/>
      <c r="AB100" s="52">
        <v>128649.72884585247</v>
      </c>
      <c r="AC100" s="330">
        <v>4.7858260046729004</v>
      </c>
      <c r="AD100" s="330">
        <v>104076.36379104243</v>
      </c>
      <c r="AE100" s="330">
        <v>4.1114835147276585</v>
      </c>
      <c r="AF100" s="330">
        <v>24573.365054810041</v>
      </c>
      <c r="AG100" s="331">
        <v>0.67434248994524193</v>
      </c>
      <c r="AH100" s="235"/>
      <c r="AI100" s="208">
        <f t="shared" si="12"/>
        <v>4417884.975593403</v>
      </c>
      <c r="AJ100" s="208">
        <f t="shared" si="13"/>
        <v>3801832.975200233</v>
      </c>
      <c r="AK100" s="208">
        <f t="shared" si="14"/>
        <v>616052.00039316982</v>
      </c>
      <c r="AL100" s="235"/>
      <c r="AM100" s="52">
        <f t="shared" si="4"/>
        <v>1</v>
      </c>
      <c r="AN100" s="52">
        <f t="shared" si="5"/>
        <v>0</v>
      </c>
      <c r="AO100" s="52">
        <f t="shared" si="6"/>
        <v>1</v>
      </c>
      <c r="AP100" s="235"/>
      <c r="AQ100" s="3"/>
      <c r="AR100" s="3"/>
      <c r="AS100" s="3"/>
      <c r="AT100" s="3"/>
      <c r="AU100" s="235"/>
      <c r="AV100" s="360">
        <f t="shared" si="15"/>
        <v>4417884.975593403</v>
      </c>
      <c r="AW100" s="235"/>
      <c r="AX100" s="354"/>
      <c r="AY100" s="14"/>
      <c r="AZ100" s="14">
        <f t="shared" si="17"/>
        <v>24573.365054810041</v>
      </c>
      <c r="BA100" s="14">
        <f t="shared" si="16"/>
        <v>0.67434248994524193</v>
      </c>
      <c r="BB100" s="14">
        <f t="shared" si="2"/>
        <v>36440.48153751286</v>
      </c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4"/>
      <c r="CQ100" s="14"/>
      <c r="CR100" s="14"/>
      <c r="CS100" s="3"/>
      <c r="CT100" s="3"/>
      <c r="CU100" s="3"/>
      <c r="CV100" s="3"/>
      <c r="CW100" s="3"/>
    </row>
    <row r="101" spans="1:101" ht="14.25" customHeight="1" x14ac:dyDescent="0.2">
      <c r="A101" s="328"/>
      <c r="B101" s="52">
        <v>0.15347420667092426</v>
      </c>
      <c r="C101" s="330">
        <v>0.14870690280517954</v>
      </c>
      <c r="D101" s="330">
        <v>1.0749025858141879E-2</v>
      </c>
      <c r="E101" s="330">
        <v>2.4125438014284351E-2</v>
      </c>
      <c r="F101" s="331">
        <v>0.78449937253650392</v>
      </c>
      <c r="G101" s="94">
        <v>0.44456287837569097</v>
      </c>
      <c r="H101" s="330">
        <v>0.26954298502866458</v>
      </c>
      <c r="I101" s="330">
        <v>1.0972631572672973E-2</v>
      </c>
      <c r="J101" s="330">
        <v>0.99999999999997868</v>
      </c>
      <c r="K101" s="330">
        <v>0.73177574474700813</v>
      </c>
      <c r="L101" s="332">
        <v>11824.112465693719</v>
      </c>
      <c r="M101" s="330">
        <v>0</v>
      </c>
      <c r="N101" s="330">
        <v>14912.683888573138</v>
      </c>
      <c r="O101" s="330">
        <v>1371.5988457306723</v>
      </c>
      <c r="P101" s="330">
        <v>38638.806599826275</v>
      </c>
      <c r="Q101" s="333">
        <v>101693.62538873477</v>
      </c>
      <c r="R101" s="330">
        <v>26153.036173176239</v>
      </c>
      <c r="S101" s="330">
        <v>9279.4625465847239</v>
      </c>
      <c r="T101" s="332">
        <v>0.80726984154993087</v>
      </c>
      <c r="U101" s="330">
        <v>0.93709654660946873</v>
      </c>
      <c r="V101" s="330">
        <v>0.69533580958402841</v>
      </c>
      <c r="W101" s="330">
        <v>0.98787834313993705</v>
      </c>
      <c r="X101" s="330">
        <v>0.91407835458780407</v>
      </c>
      <c r="Y101" s="330">
        <v>0</v>
      </c>
      <c r="Z101" s="331">
        <v>0</v>
      </c>
      <c r="AA101" s="235"/>
      <c r="AB101" s="52">
        <v>90921.888403446923</v>
      </c>
      <c r="AC101" s="330">
        <v>4.5900119789124449</v>
      </c>
      <c r="AD101" s="330">
        <v>77355.794435400632</v>
      </c>
      <c r="AE101" s="330">
        <v>4.07415463425549</v>
      </c>
      <c r="AF101" s="330">
        <v>13566.093968046291</v>
      </c>
      <c r="AG101" s="331">
        <v>0.51585734465695499</v>
      </c>
      <c r="AH101" s="235"/>
      <c r="AI101" s="208">
        <f t="shared" si="12"/>
        <v>4269589.4915633751</v>
      </c>
      <c r="AJ101" s="208">
        <f t="shared" si="13"/>
        <v>3793091.1081073149</v>
      </c>
      <c r="AK101" s="208">
        <f t="shared" si="14"/>
        <v>476498.38345606095</v>
      </c>
      <c r="AL101" s="235"/>
      <c r="AM101" s="52">
        <f t="shared" si="4"/>
        <v>1</v>
      </c>
      <c r="AN101" s="52">
        <f t="shared" si="5"/>
        <v>0</v>
      </c>
      <c r="AO101" s="52">
        <f t="shared" si="6"/>
        <v>1</v>
      </c>
      <c r="AP101" s="235"/>
      <c r="AQ101" s="3"/>
      <c r="AR101" s="3"/>
      <c r="AS101" s="3"/>
      <c r="AT101" s="3"/>
      <c r="AU101" s="235"/>
      <c r="AV101" s="360">
        <f t="shared" si="15"/>
        <v>4269589.4915633751</v>
      </c>
      <c r="AW101" s="235"/>
      <c r="AX101" s="354"/>
      <c r="AY101" s="14"/>
      <c r="AZ101" s="14">
        <f t="shared" si="17"/>
        <v>13566.093968046291</v>
      </c>
      <c r="BA101" s="14">
        <f t="shared" si="16"/>
        <v>0.51585734465695499</v>
      </c>
      <c r="BB101" s="14">
        <f t="shared" si="2"/>
        <v>26298.15027072599</v>
      </c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4"/>
      <c r="CQ101" s="14"/>
      <c r="CR101" s="14"/>
      <c r="CS101" s="3"/>
      <c r="CT101" s="3"/>
      <c r="CU101" s="3"/>
      <c r="CV101" s="3"/>
      <c r="CW101" s="3"/>
    </row>
    <row r="102" spans="1:101" ht="14.25" customHeight="1" x14ac:dyDescent="0.2">
      <c r="A102" s="328"/>
      <c r="B102" s="52">
        <v>0.15288312520046615</v>
      </c>
      <c r="C102" s="330">
        <v>4.2443749024585024E-2</v>
      </c>
      <c r="D102" s="330">
        <v>2.2235173340986014E-2</v>
      </c>
      <c r="E102" s="330">
        <v>1.2594237002588942E-2</v>
      </c>
      <c r="F102" s="331">
        <v>0.75277196940034807</v>
      </c>
      <c r="G102" s="94">
        <v>0.38886190390033576</v>
      </c>
      <c r="H102" s="330">
        <v>0.32207223638526922</v>
      </c>
      <c r="I102" s="330">
        <v>1.3601476540972624E-2</v>
      </c>
      <c r="J102" s="330">
        <v>0.9526259003594939</v>
      </c>
      <c r="K102" s="330">
        <v>0.75373956788862084</v>
      </c>
      <c r="L102" s="332">
        <v>10271.920936981302</v>
      </c>
      <c r="M102" s="330">
        <v>0</v>
      </c>
      <c r="N102" s="330">
        <v>13593.53909789594</v>
      </c>
      <c r="O102" s="330">
        <v>1072.3080064023848</v>
      </c>
      <c r="P102" s="330">
        <v>57677.875540843423</v>
      </c>
      <c r="Q102" s="333">
        <v>74372.327065907972</v>
      </c>
      <c r="R102" s="330">
        <v>26474.283148263941</v>
      </c>
      <c r="S102" s="330">
        <v>9547.2619743315972</v>
      </c>
      <c r="T102" s="332">
        <v>0.59430591711122938</v>
      </c>
      <c r="U102" s="330">
        <v>0.93254437174101434</v>
      </c>
      <c r="V102" s="330">
        <v>0.64643853832503984</v>
      </c>
      <c r="W102" s="330">
        <v>0.53256919284609827</v>
      </c>
      <c r="X102" s="330">
        <v>0.60394226462738121</v>
      </c>
      <c r="Y102" s="330">
        <v>0</v>
      </c>
      <c r="Z102" s="331">
        <v>0</v>
      </c>
      <c r="AA102" s="235"/>
      <c r="AB102" s="52">
        <v>87987.926125929749</v>
      </c>
      <c r="AC102" s="330">
        <v>2.9357570434635791</v>
      </c>
      <c r="AD102" s="330">
        <v>81669.512903169598</v>
      </c>
      <c r="AE102" s="330">
        <v>2.8700972618231275</v>
      </c>
      <c r="AF102" s="330">
        <v>6318.4132227601513</v>
      </c>
      <c r="AG102" s="331">
        <v>6.5659781640451609E-2</v>
      </c>
      <c r="AH102" s="235"/>
      <c r="AI102" s="208">
        <f t="shared" si="12"/>
        <v>2700981.2651644703</v>
      </c>
      <c r="AJ102" s="208">
        <f t="shared" si="13"/>
        <v>2644922.8858288014</v>
      </c>
      <c r="AK102" s="208">
        <f t="shared" si="14"/>
        <v>56058.379335668877</v>
      </c>
      <c r="AL102" s="235"/>
      <c r="AM102" s="52">
        <f t="shared" si="4"/>
        <v>1</v>
      </c>
      <c r="AN102" s="52">
        <f t="shared" si="5"/>
        <v>0</v>
      </c>
      <c r="AO102" s="52">
        <f t="shared" si="6"/>
        <v>1</v>
      </c>
      <c r="AP102" s="235"/>
      <c r="AQ102" s="3"/>
      <c r="AR102" s="3"/>
      <c r="AS102" s="3"/>
      <c r="AT102" s="3"/>
      <c r="AU102" s="235"/>
      <c r="AV102" s="360">
        <f t="shared" si="15"/>
        <v>2700981.2651644703</v>
      </c>
      <c r="AW102" s="235"/>
      <c r="AX102" s="354"/>
      <c r="AY102" s="14"/>
      <c r="AZ102" s="14">
        <f t="shared" si="17"/>
        <v>6318.4132227601513</v>
      </c>
      <c r="BA102" s="14">
        <f t="shared" si="16"/>
        <v>6.5659781640451609E-2</v>
      </c>
      <c r="BB102" s="14">
        <f t="shared" si="2"/>
        <v>96229.580192016816</v>
      </c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4"/>
      <c r="CQ102" s="14"/>
      <c r="CR102" s="14"/>
      <c r="CS102" s="3"/>
      <c r="CT102" s="3"/>
      <c r="CU102" s="3"/>
      <c r="CV102" s="3"/>
      <c r="CW102" s="3"/>
    </row>
    <row r="103" spans="1:101" ht="14.25" customHeight="1" x14ac:dyDescent="0.2">
      <c r="A103" s="328"/>
      <c r="B103" s="52">
        <v>0.15743004493591536</v>
      </c>
      <c r="C103" s="330">
        <v>0.11850723932559171</v>
      </c>
      <c r="D103" s="330">
        <v>1.0811334429689599E-2</v>
      </c>
      <c r="E103" s="330">
        <v>2.0270157028305258E-2</v>
      </c>
      <c r="F103" s="331">
        <v>0.78405815323529737</v>
      </c>
      <c r="G103" s="94">
        <v>0.45182745102835964</v>
      </c>
      <c r="H103" s="330">
        <v>0.28941726974438503</v>
      </c>
      <c r="I103" s="330">
        <v>8.9918930368404135E-3</v>
      </c>
      <c r="J103" s="330">
        <v>0.97269397481458741</v>
      </c>
      <c r="K103" s="330">
        <v>0.78200941367679566</v>
      </c>
      <c r="L103" s="332">
        <v>13344.139670564833</v>
      </c>
      <c r="M103" s="330">
        <v>0</v>
      </c>
      <c r="N103" s="330">
        <v>18081.246379495358</v>
      </c>
      <c r="O103" s="330">
        <v>1248.7444174284462</v>
      </c>
      <c r="P103" s="330">
        <v>43032.471955775691</v>
      </c>
      <c r="Q103" s="333">
        <v>61079.34909199812</v>
      </c>
      <c r="R103" s="330">
        <v>32665.515028397891</v>
      </c>
      <c r="S103" s="330">
        <v>9801.9525326438634</v>
      </c>
      <c r="T103" s="332">
        <v>2.7310979575049098E-2</v>
      </c>
      <c r="U103" s="330">
        <v>0.78142541311939395</v>
      </c>
      <c r="V103" s="330">
        <v>0.28368703118867522</v>
      </c>
      <c r="W103" s="330">
        <v>0.96476625455096232</v>
      </c>
      <c r="X103" s="330">
        <v>0.97525009954225794</v>
      </c>
      <c r="Y103" s="330">
        <v>0</v>
      </c>
      <c r="Z103" s="331">
        <v>0</v>
      </c>
      <c r="AA103" s="235"/>
      <c r="AB103" s="52">
        <v>96728.964569356423</v>
      </c>
      <c r="AC103" s="330">
        <v>4.6216153886381193</v>
      </c>
      <c r="AD103" s="330">
        <v>87559.999250201523</v>
      </c>
      <c r="AE103" s="330">
        <v>4.7590087374679566</v>
      </c>
      <c r="AF103" s="330">
        <v>9168.9653191549005</v>
      </c>
      <c r="AG103" s="331">
        <v>-0.13739334882983734</v>
      </c>
      <c r="AH103" s="235"/>
      <c r="AI103" s="208">
        <f t="shared" si="12"/>
        <v>4293805.6546368571</v>
      </c>
      <c r="AJ103" s="208">
        <f t="shared" si="13"/>
        <v>4433498.3013443574</v>
      </c>
      <c r="AK103" s="208">
        <f t="shared" si="14"/>
        <v>-139692.64670750039</v>
      </c>
      <c r="AL103" s="235"/>
      <c r="AM103" s="52">
        <f t="shared" si="4"/>
        <v>0</v>
      </c>
      <c r="AN103" s="52">
        <f t="shared" si="5"/>
        <v>1</v>
      </c>
      <c r="AO103" s="52">
        <f t="shared" si="6"/>
        <v>0</v>
      </c>
      <c r="AP103" s="235"/>
      <c r="AQ103" s="3"/>
      <c r="AR103" s="3"/>
      <c r="AS103" s="3"/>
      <c r="AT103" s="3"/>
      <c r="AU103" s="235"/>
      <c r="AV103" s="360">
        <f t="shared" si="15"/>
        <v>4433498.3013443574</v>
      </c>
      <c r="AW103" s="235"/>
      <c r="AX103" s="354"/>
      <c r="AY103" s="14"/>
      <c r="AZ103" s="14">
        <f t="shared" si="17"/>
        <v>9168.9653191549005</v>
      </c>
      <c r="BA103" s="14">
        <f t="shared" si="16"/>
        <v>-0.13739334882983734</v>
      </c>
      <c r="BB103" s="14">
        <f t="shared" si="2"/>
        <v>-66735.146913921795</v>
      </c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4"/>
      <c r="CQ103" s="14"/>
      <c r="CR103" s="14"/>
      <c r="CS103" s="3"/>
      <c r="CT103" s="3"/>
      <c r="CU103" s="3"/>
      <c r="CV103" s="3"/>
      <c r="CW103" s="3"/>
    </row>
    <row r="104" spans="1:101" ht="14.25" customHeight="1" x14ac:dyDescent="0.2">
      <c r="A104" s="328"/>
      <c r="B104" s="52">
        <v>0.16984589127995831</v>
      </c>
      <c r="C104" s="330">
        <v>0.71683448427239127</v>
      </c>
      <c r="D104" s="330">
        <v>4.3690249169759457E-3</v>
      </c>
      <c r="E104" s="330">
        <v>1.3071589129876805E-2</v>
      </c>
      <c r="F104" s="331">
        <v>0.79458876410479284</v>
      </c>
      <c r="G104" s="94">
        <v>0.36070268415921686</v>
      </c>
      <c r="H104" s="330">
        <v>0.60642422496404258</v>
      </c>
      <c r="I104" s="330">
        <v>1.9209529960576011E-2</v>
      </c>
      <c r="J104" s="330">
        <v>0.99991630463958925</v>
      </c>
      <c r="K104" s="330">
        <v>0.67405313032913672</v>
      </c>
      <c r="L104" s="332">
        <v>18283.523005785421</v>
      </c>
      <c r="M104" s="330">
        <v>0</v>
      </c>
      <c r="N104" s="330">
        <v>17988.257049173895</v>
      </c>
      <c r="O104" s="330">
        <v>1529.5907353165921</v>
      </c>
      <c r="P104" s="330">
        <v>43056.121954174727</v>
      </c>
      <c r="Q104" s="333">
        <v>79483.417226734324</v>
      </c>
      <c r="R104" s="330">
        <v>25896.024803534481</v>
      </c>
      <c r="S104" s="330">
        <v>11357.597599019489</v>
      </c>
      <c r="T104" s="332">
        <v>0.67424130251462044</v>
      </c>
      <c r="U104" s="330">
        <v>0.65539096950323439</v>
      </c>
      <c r="V104" s="330">
        <v>0.99986711542582429</v>
      </c>
      <c r="W104" s="330">
        <v>0.99565994460483143</v>
      </c>
      <c r="X104" s="330">
        <v>3.6460331269161251E-3</v>
      </c>
      <c r="Y104" s="330">
        <v>0</v>
      </c>
      <c r="Z104" s="331">
        <v>0</v>
      </c>
      <c r="AA104" s="235"/>
      <c r="AB104" s="52">
        <v>118601.04679292729</v>
      </c>
      <c r="AC104" s="330">
        <v>5.6811716135524562E-2</v>
      </c>
      <c r="AD104" s="330">
        <v>89363.950872551504</v>
      </c>
      <c r="AE104" s="330">
        <v>0.19769479298544385</v>
      </c>
      <c r="AF104" s="330">
        <v>29237.095920375781</v>
      </c>
      <c r="AG104" s="331">
        <v>-0.1408830768499193</v>
      </c>
      <c r="AH104" s="235"/>
      <c r="AI104" s="208">
        <f t="shared" si="12"/>
        <v>-64629.916464178954</v>
      </c>
      <c r="AJ104" s="208">
        <f t="shared" si="13"/>
        <v>98446.102463620162</v>
      </c>
      <c r="AK104" s="208">
        <f t="shared" si="14"/>
        <v>-163076.0189277991</v>
      </c>
      <c r="AL104" s="235"/>
      <c r="AM104" s="52">
        <f t="shared" si="4"/>
        <v>0</v>
      </c>
      <c r="AN104" s="52">
        <f t="shared" si="5"/>
        <v>1</v>
      </c>
      <c r="AO104" s="52">
        <f t="shared" si="6"/>
        <v>0</v>
      </c>
      <c r="AP104" s="235"/>
      <c r="AQ104" s="3"/>
      <c r="AR104" s="3"/>
      <c r="AS104" s="3"/>
      <c r="AT104" s="3"/>
      <c r="AU104" s="235"/>
      <c r="AV104" s="360">
        <f t="shared" si="15"/>
        <v>98446.102463620162</v>
      </c>
      <c r="AW104" s="235"/>
      <c r="AX104" s="354"/>
      <c r="AY104" s="14"/>
      <c r="AZ104" s="14">
        <f t="shared" si="17"/>
        <v>29237.095920375781</v>
      </c>
      <c r="BA104" s="14">
        <f t="shared" si="16"/>
        <v>-0.1408830768499193</v>
      </c>
      <c r="BB104" s="14">
        <f t="shared" si="2"/>
        <v>-207527.38067696829</v>
      </c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4"/>
      <c r="CQ104" s="14"/>
      <c r="CR104" s="14"/>
      <c r="CS104" s="3"/>
      <c r="CT104" s="3"/>
      <c r="CU104" s="3"/>
      <c r="CV104" s="3"/>
      <c r="CW104" s="3"/>
    </row>
    <row r="105" spans="1:101" ht="14.25" customHeight="1" x14ac:dyDescent="0.2">
      <c r="A105" s="328"/>
      <c r="B105" s="52">
        <v>0.15677458466951302</v>
      </c>
      <c r="C105" s="330">
        <v>0.53093108606262196</v>
      </c>
      <c r="D105" s="330">
        <v>1.7158119587797116E-2</v>
      </c>
      <c r="E105" s="330">
        <v>1.87873493771199E-2</v>
      </c>
      <c r="F105" s="331">
        <v>0.78442360186558602</v>
      </c>
      <c r="G105" s="94">
        <v>0.37694053086842028</v>
      </c>
      <c r="H105" s="330">
        <v>0.21925128125947291</v>
      </c>
      <c r="I105" s="330">
        <v>7.2732164771569094E-3</v>
      </c>
      <c r="J105" s="330">
        <v>4.5338858760707146E-2</v>
      </c>
      <c r="K105" s="330">
        <v>0.78943001625640907</v>
      </c>
      <c r="L105" s="332">
        <v>10685.868717949643</v>
      </c>
      <c r="M105" s="330">
        <v>0</v>
      </c>
      <c r="N105" s="330">
        <v>16888.312468191805</v>
      </c>
      <c r="O105" s="330">
        <v>1444.303669679218</v>
      </c>
      <c r="P105" s="330">
        <v>46639.665835716551</v>
      </c>
      <c r="Q105" s="333">
        <v>99937.040462333593</v>
      </c>
      <c r="R105" s="330">
        <v>24714.663801232353</v>
      </c>
      <c r="S105" s="330">
        <v>8320.3198235882701</v>
      </c>
      <c r="T105" s="332">
        <v>0.78555238920694603</v>
      </c>
      <c r="U105" s="330">
        <v>0.84845584242913541</v>
      </c>
      <c r="V105" s="330">
        <v>0.85246371588831016</v>
      </c>
      <c r="W105" s="330">
        <v>0.20882850267267211</v>
      </c>
      <c r="X105" s="330">
        <v>0.99962996849425523</v>
      </c>
      <c r="Y105" s="330">
        <v>0</v>
      </c>
      <c r="Z105" s="331">
        <v>0</v>
      </c>
      <c r="AA105" s="235"/>
      <c r="AB105" s="52">
        <v>83280.544696133991</v>
      </c>
      <c r="AC105" s="330">
        <v>5.0252081535376814</v>
      </c>
      <c r="AD105" s="330">
        <v>73376.007793684767</v>
      </c>
      <c r="AE105" s="330">
        <v>5.032574145365956</v>
      </c>
      <c r="AF105" s="330">
        <v>9904.5369024492247</v>
      </c>
      <c r="AG105" s="331">
        <v>-7.3659918282746872E-3</v>
      </c>
      <c r="AH105" s="235"/>
      <c r="AI105" s="208">
        <f t="shared" si="12"/>
        <v>4690667.2011646638</v>
      </c>
      <c r="AJ105" s="208">
        <f t="shared" si="13"/>
        <v>4707569.4303039741</v>
      </c>
      <c r="AK105" s="208">
        <f t="shared" si="14"/>
        <v>-16902.229139310177</v>
      </c>
      <c r="AL105" s="235"/>
      <c r="AM105" s="52">
        <f t="shared" si="4"/>
        <v>0</v>
      </c>
      <c r="AN105" s="52">
        <f t="shared" si="5"/>
        <v>1</v>
      </c>
      <c r="AO105" s="52">
        <f t="shared" si="6"/>
        <v>0</v>
      </c>
      <c r="AP105" s="235"/>
      <c r="AQ105" s="3"/>
      <c r="AR105" s="3"/>
      <c r="AS105" s="3"/>
      <c r="AT105" s="3"/>
      <c r="AU105" s="235"/>
      <c r="AV105" s="360">
        <f t="shared" si="15"/>
        <v>4707569.4303039741</v>
      </c>
      <c r="AW105" s="235"/>
      <c r="AX105" s="354"/>
      <c r="AY105" s="14"/>
      <c r="AZ105" s="14">
        <f t="shared" si="17"/>
        <v>9904.5369024492247</v>
      </c>
      <c r="BA105" s="14">
        <f t="shared" si="16"/>
        <v>-7.3659918282746872E-3</v>
      </c>
      <c r="BB105" s="14">
        <f t="shared" si="2"/>
        <v>-1344630.4494162239</v>
      </c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4"/>
      <c r="CQ105" s="14"/>
      <c r="CR105" s="14"/>
      <c r="CS105" s="3"/>
      <c r="CT105" s="3"/>
      <c r="CU105" s="3"/>
      <c r="CV105" s="3"/>
      <c r="CW105" s="3"/>
    </row>
    <row r="106" spans="1:101" ht="14.25" customHeight="1" x14ac:dyDescent="0.2">
      <c r="A106" s="328"/>
      <c r="B106" s="52">
        <v>0.14797426375583164</v>
      </c>
      <c r="C106" s="330">
        <v>0.56454570653923764</v>
      </c>
      <c r="D106" s="330">
        <v>2.5153771478807152E-2</v>
      </c>
      <c r="E106" s="330">
        <v>1.8874154419242339E-2</v>
      </c>
      <c r="F106" s="331">
        <v>0.81660006528389917</v>
      </c>
      <c r="G106" s="94">
        <v>0.40345102697004875</v>
      </c>
      <c r="H106" s="330">
        <v>0.34398625507504599</v>
      </c>
      <c r="I106" s="330">
        <v>2.0467287411213175E-2</v>
      </c>
      <c r="J106" s="330">
        <v>6.4104525453307012E-2</v>
      </c>
      <c r="K106" s="330">
        <v>0.75734475486008401</v>
      </c>
      <c r="L106" s="332">
        <v>14761.032903536063</v>
      </c>
      <c r="M106" s="330">
        <v>0</v>
      </c>
      <c r="N106" s="330">
        <v>19198.645838335586</v>
      </c>
      <c r="O106" s="330">
        <v>1218.7058641664855</v>
      </c>
      <c r="P106" s="330">
        <v>44358.091736651513</v>
      </c>
      <c r="Q106" s="333">
        <v>138777.42569068022</v>
      </c>
      <c r="R106" s="330">
        <v>24636.802351109891</v>
      </c>
      <c r="S106" s="330">
        <v>9457.4946371465885</v>
      </c>
      <c r="T106" s="332">
        <v>0.22922643320392752</v>
      </c>
      <c r="U106" s="330">
        <v>0.77882118877980544</v>
      </c>
      <c r="V106" s="330">
        <v>0.38996330736031803</v>
      </c>
      <c r="W106" s="330">
        <v>0.97076105711602256</v>
      </c>
      <c r="X106" s="330">
        <v>0.99999994123287583</v>
      </c>
      <c r="Y106" s="330">
        <v>0</v>
      </c>
      <c r="Z106" s="331">
        <v>0</v>
      </c>
      <c r="AA106" s="235"/>
      <c r="AB106" s="52">
        <v>100397.69465551052</v>
      </c>
      <c r="AC106" s="330">
        <v>4.970551591517185</v>
      </c>
      <c r="AD106" s="330">
        <v>81998.643449925003</v>
      </c>
      <c r="AE106" s="330">
        <v>4.8241094678026766</v>
      </c>
      <c r="AF106" s="330">
        <v>18399.051205585522</v>
      </c>
      <c r="AG106" s="331">
        <v>0.14644212371450838</v>
      </c>
      <c r="AH106" s="235"/>
      <c r="AI106" s="208">
        <f t="shared" si="12"/>
        <v>4621626.3172858153</v>
      </c>
      <c r="AJ106" s="208">
        <f t="shared" si="13"/>
        <v>4500905.3509626174</v>
      </c>
      <c r="AK106" s="208">
        <f t="shared" si="14"/>
        <v>120720.96632319743</v>
      </c>
      <c r="AL106" s="235"/>
      <c r="AM106" s="52">
        <f t="shared" si="4"/>
        <v>1</v>
      </c>
      <c r="AN106" s="52">
        <f t="shared" si="5"/>
        <v>0</v>
      </c>
      <c r="AO106" s="52">
        <f t="shared" si="6"/>
        <v>1</v>
      </c>
      <c r="AP106" s="235"/>
      <c r="AQ106" s="3"/>
      <c r="AR106" s="3"/>
      <c r="AS106" s="3"/>
      <c r="AT106" s="3"/>
      <c r="AU106" s="235"/>
      <c r="AV106" s="360">
        <f t="shared" si="15"/>
        <v>4621626.3172858153</v>
      </c>
      <c r="AW106" s="235"/>
      <c r="AX106" s="354"/>
      <c r="AY106" s="14"/>
      <c r="AZ106" s="14">
        <f t="shared" si="17"/>
        <v>18399.051205585522</v>
      </c>
      <c r="BA106" s="14">
        <f t="shared" si="16"/>
        <v>0.14644212371450838</v>
      </c>
      <c r="BB106" s="14">
        <f t="shared" si="2"/>
        <v>125640.42871609</v>
      </c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4"/>
      <c r="CQ106" s="14"/>
      <c r="CR106" s="14"/>
      <c r="CS106" s="3"/>
      <c r="CT106" s="3"/>
      <c r="CU106" s="3"/>
      <c r="CV106" s="3"/>
      <c r="CW106" s="3"/>
    </row>
    <row r="107" spans="1:101" ht="14.25" customHeight="1" x14ac:dyDescent="0.2">
      <c r="A107" s="328"/>
      <c r="B107" s="52">
        <v>0.17175007087344518</v>
      </c>
      <c r="C107" s="330">
        <v>0.29609348605147667</v>
      </c>
      <c r="D107" s="330">
        <v>7.6281114098194743E-3</v>
      </c>
      <c r="E107" s="330">
        <v>1.2497474619960225E-2</v>
      </c>
      <c r="F107" s="331">
        <v>0.78223379891535993</v>
      </c>
      <c r="G107" s="94">
        <v>0.40321905026049576</v>
      </c>
      <c r="H107" s="330">
        <v>0.42901548225615954</v>
      </c>
      <c r="I107" s="330">
        <v>9.3286364114628477E-3</v>
      </c>
      <c r="J107" s="330">
        <v>0.61907485708073362</v>
      </c>
      <c r="K107" s="330">
        <v>0.73936138859744638</v>
      </c>
      <c r="L107" s="332">
        <v>12543.558981877517</v>
      </c>
      <c r="M107" s="330">
        <v>0</v>
      </c>
      <c r="N107" s="330">
        <v>21904.958289192167</v>
      </c>
      <c r="O107" s="330">
        <v>1418.8216515164927</v>
      </c>
      <c r="P107" s="330">
        <v>42818.451438603246</v>
      </c>
      <c r="Q107" s="333">
        <v>93098.537967431563</v>
      </c>
      <c r="R107" s="330">
        <v>21784.442306676312</v>
      </c>
      <c r="S107" s="330">
        <v>9118.5952575569463</v>
      </c>
      <c r="T107" s="332">
        <v>0.95419147534275539</v>
      </c>
      <c r="U107" s="330">
        <v>0.99351607393456298</v>
      </c>
      <c r="V107" s="330">
        <v>0.85244451986357317</v>
      </c>
      <c r="W107" s="330">
        <v>0.96328841008405408</v>
      </c>
      <c r="X107" s="330">
        <v>0.99992616643844223</v>
      </c>
      <c r="Y107" s="330">
        <v>0</v>
      </c>
      <c r="Z107" s="331">
        <v>0</v>
      </c>
      <c r="AA107" s="235"/>
      <c r="AB107" s="52">
        <v>90562.614408115871</v>
      </c>
      <c r="AC107" s="330">
        <v>4.844465548613929</v>
      </c>
      <c r="AD107" s="330">
        <v>77179.828117879078</v>
      </c>
      <c r="AE107" s="330">
        <v>4.719252625528493</v>
      </c>
      <c r="AF107" s="330">
        <v>13382.786290236792</v>
      </c>
      <c r="AG107" s="331">
        <v>0.12521292308543597</v>
      </c>
      <c r="AH107" s="235"/>
      <c r="AI107" s="208">
        <f t="shared" si="12"/>
        <v>4511679.6567751169</v>
      </c>
      <c r="AJ107" s="208">
        <f t="shared" si="13"/>
        <v>4406110.1661341889</v>
      </c>
      <c r="AK107" s="208">
        <f t="shared" si="14"/>
        <v>105569.49064092738</v>
      </c>
      <c r="AL107" s="235"/>
      <c r="AM107" s="52">
        <f t="shared" si="4"/>
        <v>1</v>
      </c>
      <c r="AN107" s="52">
        <f t="shared" si="5"/>
        <v>0</v>
      </c>
      <c r="AO107" s="52">
        <f t="shared" si="6"/>
        <v>1</v>
      </c>
      <c r="AP107" s="235"/>
      <c r="AQ107" s="3"/>
      <c r="AR107" s="3"/>
      <c r="AS107" s="3"/>
      <c r="AT107" s="3"/>
      <c r="AU107" s="235"/>
      <c r="AV107" s="360">
        <f t="shared" si="15"/>
        <v>4511679.6567751169</v>
      </c>
      <c r="AW107" s="235"/>
      <c r="AX107" s="354"/>
      <c r="AY107" s="14"/>
      <c r="AZ107" s="14">
        <f t="shared" si="17"/>
        <v>13382.786290236792</v>
      </c>
      <c r="BA107" s="14">
        <f t="shared" si="16"/>
        <v>0.12521292308543597</v>
      </c>
      <c r="BB107" s="14">
        <f t="shared" si="2"/>
        <v>106880.23217144588</v>
      </c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4"/>
      <c r="CQ107" s="14"/>
      <c r="CR107" s="14"/>
      <c r="CS107" s="3"/>
      <c r="CT107" s="3"/>
      <c r="CU107" s="3"/>
      <c r="CV107" s="3"/>
      <c r="CW107" s="3"/>
    </row>
    <row r="108" spans="1:101" ht="14.25" customHeight="1" x14ac:dyDescent="0.2">
      <c r="A108" s="328"/>
      <c r="B108" s="52">
        <v>0.15406615013682021</v>
      </c>
      <c r="C108" s="330">
        <v>0.65263979870943034</v>
      </c>
      <c r="D108" s="330">
        <v>5.1014299688661897E-3</v>
      </c>
      <c r="E108" s="330">
        <v>1.3000949679667051E-2</v>
      </c>
      <c r="F108" s="331">
        <v>0.76218269071758815</v>
      </c>
      <c r="G108" s="94">
        <v>0.43756205432300499</v>
      </c>
      <c r="H108" s="330">
        <v>0.97040261168751096</v>
      </c>
      <c r="I108" s="330">
        <v>9.0385087465526086E-3</v>
      </c>
      <c r="J108" s="330">
        <v>0.99999731664138203</v>
      </c>
      <c r="K108" s="330">
        <v>0.73677131448126965</v>
      </c>
      <c r="L108" s="332">
        <v>9035.6881027342988</v>
      </c>
      <c r="M108" s="330">
        <v>0</v>
      </c>
      <c r="N108" s="330">
        <v>16990.918391078758</v>
      </c>
      <c r="O108" s="330">
        <v>1568.5065995276645</v>
      </c>
      <c r="P108" s="330">
        <v>31771.28287837993</v>
      </c>
      <c r="Q108" s="333">
        <v>81527.145690736565</v>
      </c>
      <c r="R108" s="330">
        <v>25661.523383386928</v>
      </c>
      <c r="S108" s="330">
        <v>6465.8316830077711</v>
      </c>
      <c r="T108" s="332">
        <v>0.96330291175609117</v>
      </c>
      <c r="U108" s="330">
        <v>0.21386209547587837</v>
      </c>
      <c r="V108" s="330">
        <v>0.80130289500728757</v>
      </c>
      <c r="W108" s="330">
        <v>0.96909611114004068</v>
      </c>
      <c r="X108" s="330">
        <v>0.97447356793332507</v>
      </c>
      <c r="Y108" s="330">
        <v>0</v>
      </c>
      <c r="Z108" s="331">
        <v>0</v>
      </c>
      <c r="AA108" s="235"/>
      <c r="AB108" s="52">
        <v>64807.239167132582</v>
      </c>
      <c r="AC108" s="330">
        <v>4.6501389470317473</v>
      </c>
      <c r="AD108" s="330">
        <v>63187.387186931206</v>
      </c>
      <c r="AE108" s="330">
        <v>4.3845709988584058</v>
      </c>
      <c r="AF108" s="330">
        <v>1619.8519802013761</v>
      </c>
      <c r="AG108" s="331">
        <v>0.26556794817334151</v>
      </c>
      <c r="AH108" s="235"/>
      <c r="AI108" s="208">
        <f t="shared" si="12"/>
        <v>4352824.7605130272</v>
      </c>
      <c r="AJ108" s="208">
        <f t="shared" si="13"/>
        <v>4102155.0617285548</v>
      </c>
      <c r="AK108" s="208">
        <f t="shared" si="14"/>
        <v>250669.69878447306</v>
      </c>
      <c r="AL108" s="235"/>
      <c r="AM108" s="52">
        <f t="shared" si="4"/>
        <v>1</v>
      </c>
      <c r="AN108" s="52">
        <f t="shared" si="5"/>
        <v>0</v>
      </c>
      <c r="AO108" s="52">
        <f t="shared" si="6"/>
        <v>1</v>
      </c>
      <c r="AP108" s="235"/>
      <c r="AQ108" s="3"/>
      <c r="AR108" s="3"/>
      <c r="AS108" s="3"/>
      <c r="AT108" s="3"/>
      <c r="AU108" s="235"/>
      <c r="AV108" s="360">
        <f t="shared" si="15"/>
        <v>4352824.7605130272</v>
      </c>
      <c r="AW108" s="235"/>
      <c r="AX108" s="354"/>
      <c r="AY108" s="14"/>
      <c r="AZ108" s="14">
        <f t="shared" si="17"/>
        <v>1619.8519802013761</v>
      </c>
      <c r="BA108" s="14">
        <f t="shared" si="16"/>
        <v>0.26556794817334151</v>
      </c>
      <c r="BB108" s="14">
        <f t="shared" si="2"/>
        <v>6099.5763658348797</v>
      </c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4"/>
      <c r="CQ108" s="14"/>
      <c r="CR108" s="14"/>
      <c r="CS108" s="3"/>
      <c r="CT108" s="3"/>
      <c r="CU108" s="3"/>
      <c r="CV108" s="3"/>
      <c r="CW108" s="3"/>
    </row>
    <row r="109" spans="1:101" ht="14.25" customHeight="1" x14ac:dyDescent="0.2">
      <c r="A109" s="328"/>
      <c r="B109" s="52">
        <v>0.15663658806862155</v>
      </c>
      <c r="C109" s="330">
        <v>0.14372246274642222</v>
      </c>
      <c r="D109" s="330">
        <v>1.5412552435940863E-2</v>
      </c>
      <c r="E109" s="330">
        <v>2.3099656350478392E-2</v>
      </c>
      <c r="F109" s="331">
        <v>0.7704503166828075</v>
      </c>
      <c r="G109" s="94">
        <v>0.41169812347152679</v>
      </c>
      <c r="H109" s="330">
        <v>0.19929342526236896</v>
      </c>
      <c r="I109" s="330">
        <v>8.6575617312816856E-3</v>
      </c>
      <c r="J109" s="330">
        <v>0.96983302745571198</v>
      </c>
      <c r="K109" s="330">
        <v>0.74572204463681147</v>
      </c>
      <c r="L109" s="332">
        <v>18473.184042672325</v>
      </c>
      <c r="M109" s="330">
        <v>0</v>
      </c>
      <c r="N109" s="330">
        <v>20994.479118835694</v>
      </c>
      <c r="O109" s="330">
        <v>1090.2280594540039</v>
      </c>
      <c r="P109" s="330">
        <v>54422.3198762416</v>
      </c>
      <c r="Q109" s="333">
        <v>80770.205716413286</v>
      </c>
      <c r="R109" s="330">
        <v>20726.539366389716</v>
      </c>
      <c r="S109" s="330">
        <v>6884.5296420776431</v>
      </c>
      <c r="T109" s="332">
        <v>0.91611108275087327</v>
      </c>
      <c r="U109" s="330">
        <v>0.46811701312517734</v>
      </c>
      <c r="V109" s="330">
        <v>0.63855838429518641</v>
      </c>
      <c r="W109" s="330">
        <v>0.98863289747106475</v>
      </c>
      <c r="X109" s="330">
        <v>0.51053970858895259</v>
      </c>
      <c r="Y109" s="330">
        <v>0</v>
      </c>
      <c r="Z109" s="331">
        <v>0</v>
      </c>
      <c r="AA109" s="235"/>
      <c r="AB109" s="52">
        <v>76230.220880030029</v>
      </c>
      <c r="AC109" s="330">
        <v>2.714421420070722</v>
      </c>
      <c r="AD109" s="330">
        <v>57787.470961817118</v>
      </c>
      <c r="AE109" s="330">
        <v>2.3123159328552547</v>
      </c>
      <c r="AF109" s="330">
        <v>18442.74991821291</v>
      </c>
      <c r="AG109" s="331">
        <v>0.40210548721546724</v>
      </c>
      <c r="AH109" s="235"/>
      <c r="AI109" s="208">
        <f t="shared" si="12"/>
        <v>2502470.1281871558</v>
      </c>
      <c r="AJ109" s="208">
        <f t="shared" si="13"/>
        <v>2138912.6652506748</v>
      </c>
      <c r="AK109" s="208">
        <f t="shared" si="14"/>
        <v>363557.462936481</v>
      </c>
      <c r="AL109" s="235"/>
      <c r="AM109" s="52">
        <f t="shared" si="4"/>
        <v>1</v>
      </c>
      <c r="AN109" s="52">
        <f t="shared" si="5"/>
        <v>0</v>
      </c>
      <c r="AO109" s="52">
        <f t="shared" si="6"/>
        <v>1</v>
      </c>
      <c r="AP109" s="235"/>
      <c r="AQ109" s="3"/>
      <c r="AR109" s="3"/>
      <c r="AS109" s="3"/>
      <c r="AT109" s="3"/>
      <c r="AU109" s="235"/>
      <c r="AV109" s="360">
        <f t="shared" si="15"/>
        <v>2502470.1281871558</v>
      </c>
      <c r="AW109" s="235"/>
      <c r="AX109" s="354"/>
      <c r="AY109" s="14"/>
      <c r="AZ109" s="14">
        <f t="shared" si="17"/>
        <v>18442.74991821291</v>
      </c>
      <c r="BA109" s="14">
        <f t="shared" si="16"/>
        <v>0.40210548721546724</v>
      </c>
      <c r="BB109" s="14">
        <f t="shared" si="2"/>
        <v>45865.451988548484</v>
      </c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339"/>
      <c r="BW109" s="339"/>
      <c r="BX109" s="339"/>
      <c r="BY109" s="339"/>
      <c r="BZ109" s="339"/>
      <c r="CA109" s="339"/>
      <c r="CB109" s="339"/>
      <c r="CC109" s="339"/>
      <c r="CD109" s="339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3"/>
      <c r="CT109" s="3"/>
      <c r="CU109" s="3"/>
      <c r="CV109" s="3"/>
      <c r="CW109" s="3"/>
    </row>
    <row r="110" spans="1:101" ht="14.25" customHeight="1" x14ac:dyDescent="0.2">
      <c r="A110" s="328"/>
      <c r="B110" s="52">
        <v>0.15764207690413878</v>
      </c>
      <c r="C110" s="330">
        <v>0.25945760835561887</v>
      </c>
      <c r="D110" s="330">
        <v>1.9360090968789656E-2</v>
      </c>
      <c r="E110" s="330">
        <v>1.5669212394375243E-2</v>
      </c>
      <c r="F110" s="331">
        <v>0.75139579992384165</v>
      </c>
      <c r="G110" s="94">
        <v>0.40233473641049566</v>
      </c>
      <c r="H110" s="330">
        <v>0.77824863936434641</v>
      </c>
      <c r="I110" s="330">
        <v>3.382685407339725E-2</v>
      </c>
      <c r="J110" s="330">
        <v>0.88965782851639907</v>
      </c>
      <c r="K110" s="330">
        <v>0.80595209007064184</v>
      </c>
      <c r="L110" s="332">
        <v>12097.346217298265</v>
      </c>
      <c r="M110" s="330">
        <v>0</v>
      </c>
      <c r="N110" s="330">
        <v>16334.735317612069</v>
      </c>
      <c r="O110" s="330">
        <v>1902.7392742443426</v>
      </c>
      <c r="P110" s="330">
        <v>47759.804168105933</v>
      </c>
      <c r="Q110" s="333">
        <v>84353.905320563019</v>
      </c>
      <c r="R110" s="330">
        <v>26409.717405149018</v>
      </c>
      <c r="S110" s="330">
        <v>7767.1043540548244</v>
      </c>
      <c r="T110" s="332">
        <v>0.12239689107884723</v>
      </c>
      <c r="U110" s="330">
        <v>0.90371203811100564</v>
      </c>
      <c r="V110" s="330">
        <v>0.96117863471209264</v>
      </c>
      <c r="W110" s="330">
        <v>0.41613475188106053</v>
      </c>
      <c r="X110" s="330">
        <v>0.92268692534277919</v>
      </c>
      <c r="Y110" s="330">
        <v>0</v>
      </c>
      <c r="Z110" s="331">
        <v>0</v>
      </c>
      <c r="AA110" s="235"/>
      <c r="AB110" s="52">
        <v>76367.289257110155</v>
      </c>
      <c r="AC110" s="330">
        <v>4.2146961028120806</v>
      </c>
      <c r="AD110" s="330">
        <v>77949.060772077704</v>
      </c>
      <c r="AE110" s="330">
        <v>4.792399272222525</v>
      </c>
      <c r="AF110" s="330">
        <v>-1581.7715149675496</v>
      </c>
      <c r="AG110" s="331">
        <v>-0.57770316941044442</v>
      </c>
      <c r="AH110" s="235"/>
      <c r="AI110" s="208">
        <f t="shared" si="12"/>
        <v>3927594.0084143663</v>
      </c>
      <c r="AJ110" s="208">
        <f t="shared" si="13"/>
        <v>4474830.2478393205</v>
      </c>
      <c r="AK110" s="208">
        <f t="shared" si="14"/>
        <v>-547236.23942495463</v>
      </c>
      <c r="AL110" s="235"/>
      <c r="AM110" s="52">
        <f t="shared" si="4"/>
        <v>0</v>
      </c>
      <c r="AN110" s="52">
        <f t="shared" si="5"/>
        <v>1</v>
      </c>
      <c r="AO110" s="52">
        <f t="shared" si="6"/>
        <v>0</v>
      </c>
      <c r="AP110" s="235"/>
      <c r="AQ110" s="3"/>
      <c r="AR110" s="3"/>
      <c r="AS110" s="3"/>
      <c r="AT110" s="3"/>
      <c r="AU110" s="235"/>
      <c r="AV110" s="360">
        <f t="shared" si="15"/>
        <v>4474830.2478393205</v>
      </c>
      <c r="AW110" s="235"/>
      <c r="AX110" s="354"/>
      <c r="AY110" s="14"/>
      <c r="AZ110" s="14">
        <f t="shared" si="17"/>
        <v>-1581.7715149675496</v>
      </c>
      <c r="BA110" s="14">
        <f t="shared" si="16"/>
        <v>-0.57770316941044442</v>
      </c>
      <c r="BB110" s="14">
        <f t="shared" si="2"/>
        <v>2738.0350303111086</v>
      </c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339"/>
      <c r="BW110" s="339"/>
      <c r="BX110" s="339"/>
      <c r="BY110" s="339"/>
      <c r="BZ110" s="339"/>
      <c r="CA110" s="339"/>
      <c r="CB110" s="339"/>
      <c r="CC110" s="339"/>
      <c r="CD110" s="339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3"/>
      <c r="CT110" s="3"/>
      <c r="CU110" s="3"/>
      <c r="CV110" s="3"/>
      <c r="CW110" s="3"/>
    </row>
    <row r="111" spans="1:101" ht="14.25" customHeight="1" x14ac:dyDescent="0.2">
      <c r="A111" s="328"/>
      <c r="B111" s="52">
        <v>0.13856964313646189</v>
      </c>
      <c r="C111" s="330">
        <v>3.500194274671517E-2</v>
      </c>
      <c r="D111" s="330">
        <v>8.7419617863756932E-3</v>
      </c>
      <c r="E111" s="330">
        <v>7.8652352564633175E-3</v>
      </c>
      <c r="F111" s="331">
        <v>0.79789897688606226</v>
      </c>
      <c r="G111" s="94">
        <v>0.37569013830293724</v>
      </c>
      <c r="H111" s="330">
        <v>0.72581529061773253</v>
      </c>
      <c r="I111" s="330">
        <v>1.6796650128594326E-2</v>
      </c>
      <c r="J111" s="330">
        <v>1</v>
      </c>
      <c r="K111" s="330">
        <v>0.72322284449266061</v>
      </c>
      <c r="L111" s="332">
        <v>12786.031346411159</v>
      </c>
      <c r="M111" s="330">
        <v>0</v>
      </c>
      <c r="N111" s="330">
        <v>20001.029497761552</v>
      </c>
      <c r="O111" s="330">
        <v>1435.7489773500902</v>
      </c>
      <c r="P111" s="330">
        <v>56299.209864965851</v>
      </c>
      <c r="Q111" s="333">
        <v>93018.005703440882</v>
      </c>
      <c r="R111" s="330">
        <v>17752.530830202137</v>
      </c>
      <c r="S111" s="330">
        <v>9563.550460402068</v>
      </c>
      <c r="T111" s="332">
        <v>0.99221197868990629</v>
      </c>
      <c r="U111" s="330">
        <v>0.99625234367822824</v>
      </c>
      <c r="V111" s="330">
        <v>0.11172503577612536</v>
      </c>
      <c r="W111" s="330">
        <v>0.98414048711639135</v>
      </c>
      <c r="X111" s="330">
        <v>0.97851356682583468</v>
      </c>
      <c r="Y111" s="330">
        <v>0</v>
      </c>
      <c r="Z111" s="331">
        <v>0</v>
      </c>
      <c r="AA111" s="235"/>
      <c r="AB111" s="52">
        <v>95071.804467098074</v>
      </c>
      <c r="AC111" s="330">
        <v>4.7774967291740023</v>
      </c>
      <c r="AD111" s="330">
        <v>80594.653022640763</v>
      </c>
      <c r="AE111" s="330">
        <v>4.4118528901750391</v>
      </c>
      <c r="AF111" s="330">
        <v>14477.151444457311</v>
      </c>
      <c r="AG111" s="331">
        <v>0.36564383899896313</v>
      </c>
      <c r="AH111" s="235"/>
      <c r="AI111" s="208">
        <f t="shared" si="12"/>
        <v>4443550.0882482044</v>
      </c>
      <c r="AJ111" s="208">
        <f t="shared" si="13"/>
        <v>4110665.5926436465</v>
      </c>
      <c r="AK111" s="208">
        <f t="shared" si="14"/>
        <v>332884.49560455768</v>
      </c>
      <c r="AL111" s="235"/>
      <c r="AM111" s="52">
        <f t="shared" si="4"/>
        <v>1</v>
      </c>
      <c r="AN111" s="52">
        <f t="shared" si="5"/>
        <v>0</v>
      </c>
      <c r="AO111" s="52">
        <f t="shared" si="6"/>
        <v>1</v>
      </c>
      <c r="AP111" s="235"/>
      <c r="AQ111" s="3"/>
      <c r="AR111" s="3"/>
      <c r="AS111" s="3"/>
      <c r="AT111" s="3"/>
      <c r="AU111" s="235"/>
      <c r="AV111" s="360">
        <f t="shared" si="15"/>
        <v>4443550.0882482044</v>
      </c>
      <c r="AW111" s="235"/>
      <c r="AX111" s="354"/>
      <c r="AY111" s="14"/>
      <c r="AZ111" s="14">
        <f t="shared" si="17"/>
        <v>14477.151444457311</v>
      </c>
      <c r="BA111" s="14">
        <f t="shared" si="16"/>
        <v>0.36564383899896313</v>
      </c>
      <c r="BB111" s="14">
        <f t="shared" si="2"/>
        <v>39593.587804164708</v>
      </c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339"/>
      <c r="BW111" s="339"/>
      <c r="BX111" s="339"/>
      <c r="BY111" s="339"/>
      <c r="BZ111" s="339"/>
      <c r="CA111" s="339"/>
      <c r="CB111" s="339"/>
      <c r="CC111" s="339"/>
      <c r="CD111" s="339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3"/>
      <c r="CT111" s="3"/>
      <c r="CU111" s="3"/>
      <c r="CV111" s="3"/>
      <c r="CW111" s="3"/>
    </row>
    <row r="112" spans="1:101" ht="14.25" customHeight="1" x14ac:dyDescent="0.2">
      <c r="A112" s="328"/>
      <c r="B112" s="52">
        <v>0.16220991629456849</v>
      </c>
      <c r="C112" s="330">
        <v>0.13973641473981371</v>
      </c>
      <c r="D112" s="330">
        <v>1.014505029972913E-2</v>
      </c>
      <c r="E112" s="330">
        <v>9.1024609211856934E-3</v>
      </c>
      <c r="F112" s="331">
        <v>0.77810804384721377</v>
      </c>
      <c r="G112" s="94">
        <v>0.45905532847296537</v>
      </c>
      <c r="H112" s="330">
        <v>3.9065963374981513E-2</v>
      </c>
      <c r="I112" s="330">
        <v>9.424376402455293E-3</v>
      </c>
      <c r="J112" s="330">
        <v>0.89832339681794005</v>
      </c>
      <c r="K112" s="330">
        <v>0.79103959986317363</v>
      </c>
      <c r="L112" s="332">
        <v>13099.868350193039</v>
      </c>
      <c r="M112" s="330">
        <v>0</v>
      </c>
      <c r="N112" s="330">
        <v>20685.51319708749</v>
      </c>
      <c r="O112" s="330">
        <v>1276.7008329913672</v>
      </c>
      <c r="P112" s="330">
        <v>36624.249053292238</v>
      </c>
      <c r="Q112" s="333">
        <v>102677.52304120964</v>
      </c>
      <c r="R112" s="330">
        <v>24408.173158750426</v>
      </c>
      <c r="S112" s="330">
        <v>9293.2526916874449</v>
      </c>
      <c r="T112" s="332">
        <v>0.9939355504345706</v>
      </c>
      <c r="U112" s="330">
        <v>0.88421690448700097</v>
      </c>
      <c r="V112" s="330">
        <v>0.99993220011579309</v>
      </c>
      <c r="W112" s="330">
        <v>5.784923048304981E-2</v>
      </c>
      <c r="X112" s="330">
        <v>0.9970250125813207</v>
      </c>
      <c r="Y112" s="330">
        <v>0</v>
      </c>
      <c r="Z112" s="331">
        <v>0</v>
      </c>
      <c r="AA112" s="235"/>
      <c r="AB112" s="52">
        <v>91629.233575529346</v>
      </c>
      <c r="AC112" s="330">
        <v>4.7517738812744055</v>
      </c>
      <c r="AD112" s="330">
        <v>80590.206228287134</v>
      </c>
      <c r="AE112" s="330">
        <v>4.8450726133440432</v>
      </c>
      <c r="AF112" s="330">
        <v>11039.027347242212</v>
      </c>
      <c r="AG112" s="331">
        <v>-9.329873206963768E-2</v>
      </c>
      <c r="AH112" s="235"/>
      <c r="AI112" s="208">
        <f t="shared" si="12"/>
        <v>4422555.9536351562</v>
      </c>
      <c r="AJ112" s="208">
        <f t="shared" si="13"/>
        <v>4522228.7764485544</v>
      </c>
      <c r="AK112" s="208">
        <f t="shared" si="14"/>
        <v>-99672.822813398001</v>
      </c>
      <c r="AL112" s="235"/>
      <c r="AM112" s="52">
        <f t="shared" si="4"/>
        <v>0</v>
      </c>
      <c r="AN112" s="52">
        <f t="shared" si="5"/>
        <v>1</v>
      </c>
      <c r="AO112" s="52">
        <f t="shared" si="6"/>
        <v>0</v>
      </c>
      <c r="AP112" s="235"/>
      <c r="AQ112" s="3"/>
      <c r="AR112" s="3"/>
      <c r="AS112" s="3"/>
      <c r="AT112" s="3"/>
      <c r="AU112" s="235"/>
      <c r="AV112" s="360">
        <f t="shared" si="15"/>
        <v>4522228.7764485544</v>
      </c>
      <c r="AW112" s="235"/>
      <c r="AX112" s="354"/>
      <c r="AY112" s="14"/>
      <c r="AZ112" s="14">
        <f t="shared" si="17"/>
        <v>11039.027347242212</v>
      </c>
      <c r="BA112" s="14">
        <f t="shared" si="16"/>
        <v>-9.329873206963768E-2</v>
      </c>
      <c r="BB112" s="14">
        <f t="shared" si="2"/>
        <v>-118319.1572100116</v>
      </c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339"/>
      <c r="BW112" s="339"/>
      <c r="BX112" s="339"/>
      <c r="BY112" s="339"/>
      <c r="BZ112" s="339"/>
      <c r="CA112" s="339"/>
      <c r="CB112" s="339"/>
      <c r="CC112" s="339"/>
      <c r="CD112" s="339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3"/>
      <c r="CT112" s="3"/>
      <c r="CU112" s="3"/>
      <c r="CV112" s="3"/>
      <c r="CW112" s="3"/>
    </row>
    <row r="113" spans="1:101" ht="14.25" customHeight="1" x14ac:dyDescent="0.2">
      <c r="A113" s="328"/>
      <c r="B113" s="52">
        <v>0.19524866775206706</v>
      </c>
      <c r="C113" s="330">
        <v>0.16533082538420713</v>
      </c>
      <c r="D113" s="330">
        <v>8.4723080638186652E-3</v>
      </c>
      <c r="E113" s="330">
        <v>1.4597180110289654E-2</v>
      </c>
      <c r="F113" s="331">
        <v>0.75248395636249732</v>
      </c>
      <c r="G113" s="94">
        <v>0.4173518421052983</v>
      </c>
      <c r="H113" s="330">
        <v>0.86780767210925969</v>
      </c>
      <c r="I113" s="330">
        <v>1.759503092006387E-2</v>
      </c>
      <c r="J113" s="330">
        <v>0.99692278305234738</v>
      </c>
      <c r="K113" s="330">
        <v>0.75758595828647413</v>
      </c>
      <c r="L113" s="332">
        <v>13838.244993275071</v>
      </c>
      <c r="M113" s="330">
        <v>0</v>
      </c>
      <c r="N113" s="330">
        <v>16875.415453538226</v>
      </c>
      <c r="O113" s="330">
        <v>1210.4117715346076</v>
      </c>
      <c r="P113" s="330">
        <v>58694.589774045227</v>
      </c>
      <c r="Q113" s="333">
        <v>94328.088413785328</v>
      </c>
      <c r="R113" s="330">
        <v>24318.771866526356</v>
      </c>
      <c r="S113" s="330">
        <v>10687.070616423103</v>
      </c>
      <c r="T113" s="332">
        <v>0.99960642492753049</v>
      </c>
      <c r="U113" s="330">
        <v>0.58121072095877091</v>
      </c>
      <c r="V113" s="330">
        <v>0.98226321092875557</v>
      </c>
      <c r="W113" s="330">
        <v>0.55484098980576946</v>
      </c>
      <c r="X113" s="330">
        <v>0.96815899118834581</v>
      </c>
      <c r="Y113" s="330">
        <v>0</v>
      </c>
      <c r="Z113" s="331">
        <v>0</v>
      </c>
      <c r="AA113" s="235"/>
      <c r="AB113" s="52">
        <v>101316.40774530261</v>
      </c>
      <c r="AC113" s="330">
        <v>4.8967261409055522</v>
      </c>
      <c r="AD113" s="330">
        <v>97317.496057950222</v>
      </c>
      <c r="AE113" s="330">
        <v>4.6675459760019438</v>
      </c>
      <c r="AF113" s="330">
        <v>3998.911687352389</v>
      </c>
      <c r="AG113" s="331">
        <v>0.22918016490360849</v>
      </c>
      <c r="AH113" s="235"/>
      <c r="AI113" s="208">
        <f t="shared" si="12"/>
        <v>4550573.4261149717</v>
      </c>
      <c r="AJ113" s="208">
        <f t="shared" si="13"/>
        <v>4336851.1811438967</v>
      </c>
      <c r="AK113" s="208">
        <f t="shared" si="14"/>
        <v>213722.24497107568</v>
      </c>
      <c r="AL113" s="235"/>
      <c r="AM113" s="52">
        <f t="shared" si="4"/>
        <v>1</v>
      </c>
      <c r="AN113" s="52">
        <f t="shared" si="5"/>
        <v>0</v>
      </c>
      <c r="AO113" s="52">
        <f t="shared" si="6"/>
        <v>1</v>
      </c>
      <c r="AP113" s="235"/>
      <c r="AQ113" s="3"/>
      <c r="AR113" s="3"/>
      <c r="AS113" s="3"/>
      <c r="AT113" s="3"/>
      <c r="AU113" s="235"/>
      <c r="AV113" s="360">
        <f t="shared" si="15"/>
        <v>4550573.4261149717</v>
      </c>
      <c r="AW113" s="235"/>
      <c r="AX113" s="354"/>
      <c r="AY113" s="14"/>
      <c r="AZ113" s="14">
        <f t="shared" si="17"/>
        <v>3998.911687352389</v>
      </c>
      <c r="BA113" s="14">
        <f t="shared" si="16"/>
        <v>0.22918016490360849</v>
      </c>
      <c r="BB113" s="14">
        <f t="shared" si="2"/>
        <v>17448.768697039301</v>
      </c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339"/>
      <c r="BW113" s="339"/>
      <c r="BX113" s="339"/>
      <c r="BY113" s="339"/>
      <c r="BZ113" s="339"/>
      <c r="CA113" s="339"/>
      <c r="CB113" s="339"/>
      <c r="CC113" s="339"/>
      <c r="CD113" s="339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3"/>
      <c r="CT113" s="3"/>
      <c r="CU113" s="3"/>
      <c r="CV113" s="3"/>
      <c r="CW113" s="3"/>
    </row>
    <row r="114" spans="1:101" ht="14.25" customHeight="1" x14ac:dyDescent="0.2">
      <c r="A114" s="328"/>
      <c r="B114" s="52">
        <v>0.17243329020636788</v>
      </c>
      <c r="C114" s="330">
        <v>0.44511381435697794</v>
      </c>
      <c r="D114" s="330">
        <v>1.7056001884050986E-2</v>
      </c>
      <c r="E114" s="330">
        <v>1.1187423651279328E-2</v>
      </c>
      <c r="F114" s="331">
        <v>0.81738326038532994</v>
      </c>
      <c r="G114" s="94">
        <v>0.34791177524287353</v>
      </c>
      <c r="H114" s="330">
        <v>0.19934154790735434</v>
      </c>
      <c r="I114" s="330">
        <v>1.1985677655439326E-2</v>
      </c>
      <c r="J114" s="330">
        <v>0.31687560424459471</v>
      </c>
      <c r="K114" s="330">
        <v>0.72633987951495871</v>
      </c>
      <c r="L114" s="332">
        <v>13733.921008440664</v>
      </c>
      <c r="M114" s="330">
        <v>0</v>
      </c>
      <c r="N114" s="330">
        <v>21806.515322430307</v>
      </c>
      <c r="O114" s="330">
        <v>793.96522972666367</v>
      </c>
      <c r="P114" s="330">
        <v>40942.309644843539</v>
      </c>
      <c r="Q114" s="333">
        <v>113925.02826397482</v>
      </c>
      <c r="R114" s="330">
        <v>25698.78871623649</v>
      </c>
      <c r="S114" s="330">
        <v>9208.0453940320549</v>
      </c>
      <c r="T114" s="332">
        <v>0.99950678722749642</v>
      </c>
      <c r="U114" s="330">
        <v>0.59070067385106739</v>
      </c>
      <c r="V114" s="330">
        <v>0.85291533649556561</v>
      </c>
      <c r="W114" s="330">
        <v>0.78617782259172786</v>
      </c>
      <c r="X114" s="330">
        <v>0.98969689408726458</v>
      </c>
      <c r="Y114" s="330">
        <v>0</v>
      </c>
      <c r="Z114" s="331">
        <v>0</v>
      </c>
      <c r="AA114" s="235"/>
      <c r="AB114" s="52">
        <v>96949.02785872409</v>
      </c>
      <c r="AC114" s="330">
        <v>4.921643633382951</v>
      </c>
      <c r="AD114" s="330">
        <v>74415.144201371397</v>
      </c>
      <c r="AE114" s="330">
        <v>4.4704796730961887</v>
      </c>
      <c r="AF114" s="330">
        <v>22533.883657352693</v>
      </c>
      <c r="AG114" s="331">
        <v>0.45116396028676231</v>
      </c>
      <c r="AH114" s="235"/>
      <c r="AI114" s="208">
        <f t="shared" si="12"/>
        <v>4578612.4238550793</v>
      </c>
      <c r="AJ114" s="208">
        <f t="shared" si="13"/>
        <v>4172540.5452400078</v>
      </c>
      <c r="AK114" s="208">
        <f t="shared" si="14"/>
        <v>406071.87861507147</v>
      </c>
      <c r="AL114" s="235"/>
      <c r="AM114" s="52">
        <f t="shared" si="4"/>
        <v>1</v>
      </c>
      <c r="AN114" s="52">
        <f t="shared" si="5"/>
        <v>0</v>
      </c>
      <c r="AO114" s="52">
        <f t="shared" si="6"/>
        <v>1</v>
      </c>
      <c r="AP114" s="235"/>
      <c r="AQ114" s="3"/>
      <c r="AR114" s="3"/>
      <c r="AS114" s="3"/>
      <c r="AT114" s="3"/>
      <c r="AU114" s="235"/>
      <c r="AV114" s="360">
        <f t="shared" si="15"/>
        <v>4578612.4238550793</v>
      </c>
      <c r="AW114" s="235"/>
      <c r="AX114" s="354"/>
      <c r="AY114" s="14"/>
      <c r="AZ114" s="14">
        <f t="shared" si="17"/>
        <v>22533.883657352693</v>
      </c>
      <c r="BA114" s="14">
        <f t="shared" si="16"/>
        <v>0.45116396028676231</v>
      </c>
      <c r="BB114" s="14">
        <f t="shared" si="2"/>
        <v>49946.107492783849</v>
      </c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339"/>
      <c r="BW114" s="339"/>
      <c r="BX114" s="339"/>
      <c r="BY114" s="339"/>
      <c r="BZ114" s="339"/>
      <c r="CA114" s="339"/>
      <c r="CB114" s="339"/>
      <c r="CC114" s="339"/>
      <c r="CD114" s="339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3"/>
      <c r="CT114" s="3"/>
      <c r="CU114" s="3"/>
      <c r="CV114" s="3"/>
      <c r="CW114" s="3"/>
    </row>
    <row r="115" spans="1:101" ht="14.25" customHeight="1" x14ac:dyDescent="0.2">
      <c r="A115" s="328"/>
      <c r="B115" s="52">
        <v>0.17121267375460703</v>
      </c>
      <c r="C115" s="330">
        <v>0.34229033472194736</v>
      </c>
      <c r="D115" s="330">
        <v>2.4713770023498838E-2</v>
      </c>
      <c r="E115" s="330">
        <v>1.0558696338442813E-2</v>
      </c>
      <c r="F115" s="331">
        <v>0.80034075220014589</v>
      </c>
      <c r="G115" s="94">
        <v>0.39289678702143388</v>
      </c>
      <c r="H115" s="330">
        <v>0.29613254292660462</v>
      </c>
      <c r="I115" s="330">
        <v>7.7426106549660844E-3</v>
      </c>
      <c r="J115" s="330">
        <v>1</v>
      </c>
      <c r="K115" s="330">
        <v>0.75585869058091004</v>
      </c>
      <c r="L115" s="332">
        <v>12142.646954966996</v>
      </c>
      <c r="M115" s="330">
        <v>0</v>
      </c>
      <c r="N115" s="330">
        <v>27572.18865860048</v>
      </c>
      <c r="O115" s="330">
        <v>1589.7217297519737</v>
      </c>
      <c r="P115" s="330">
        <v>31704.929495634013</v>
      </c>
      <c r="Q115" s="333">
        <v>72507.442214632276</v>
      </c>
      <c r="R115" s="330">
        <v>15083.846625027109</v>
      </c>
      <c r="S115" s="330">
        <v>8760.4192916187676</v>
      </c>
      <c r="T115" s="332">
        <v>0.97436553638521539</v>
      </c>
      <c r="U115" s="330">
        <v>0.93287712877993623</v>
      </c>
      <c r="V115" s="330">
        <v>0.84594319651538175</v>
      </c>
      <c r="W115" s="330">
        <v>0.89703613310727037</v>
      </c>
      <c r="X115" s="330">
        <v>0.47920763530246724</v>
      </c>
      <c r="Y115" s="330">
        <v>0</v>
      </c>
      <c r="Z115" s="331">
        <v>0</v>
      </c>
      <c r="AA115" s="235"/>
      <c r="AB115" s="52">
        <v>88848.360260736838</v>
      </c>
      <c r="AC115" s="330">
        <v>2.7382141265287587</v>
      </c>
      <c r="AD115" s="330">
        <v>73840.947841090179</v>
      </c>
      <c r="AE115" s="330">
        <v>2.238739779144717</v>
      </c>
      <c r="AF115" s="330">
        <v>15007.412419646658</v>
      </c>
      <c r="AG115" s="331">
        <v>0.49947434738404173</v>
      </c>
      <c r="AH115" s="235"/>
      <c r="AI115" s="208">
        <f t="shared" si="12"/>
        <v>2512455.0599415842</v>
      </c>
      <c r="AJ115" s="208">
        <f t="shared" si="13"/>
        <v>2052961.8423463912</v>
      </c>
      <c r="AK115" s="208">
        <f t="shared" si="14"/>
        <v>459493.21759519295</v>
      </c>
      <c r="AL115" s="235"/>
      <c r="AM115" s="52">
        <f t="shared" si="4"/>
        <v>1</v>
      </c>
      <c r="AN115" s="52">
        <f t="shared" si="5"/>
        <v>0</v>
      </c>
      <c r="AO115" s="52">
        <f t="shared" si="6"/>
        <v>1</v>
      </c>
      <c r="AP115" s="235"/>
      <c r="AQ115" s="3"/>
      <c r="AR115" s="3"/>
      <c r="AS115" s="3"/>
      <c r="AT115" s="3"/>
      <c r="AU115" s="235"/>
      <c r="AV115" s="360">
        <f t="shared" si="15"/>
        <v>2512455.0599415842</v>
      </c>
      <c r="AW115" s="235"/>
      <c r="AX115" s="354"/>
      <c r="AY115" s="14"/>
      <c r="AZ115" s="14">
        <f t="shared" si="17"/>
        <v>15007.412419646658</v>
      </c>
      <c r="BA115" s="14">
        <f t="shared" si="16"/>
        <v>0.49947434738404173</v>
      </c>
      <c r="BB115" s="14">
        <f t="shared" si="2"/>
        <v>30046.412790260041</v>
      </c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3"/>
      <c r="CT115" s="3"/>
      <c r="CU115" s="3"/>
      <c r="CV115" s="3"/>
      <c r="CW115" s="3"/>
    </row>
    <row r="116" spans="1:101" ht="14.25" customHeight="1" x14ac:dyDescent="0.2">
      <c r="A116" s="328"/>
      <c r="B116" s="52">
        <v>0.14265531389267552</v>
      </c>
      <c r="C116" s="330">
        <v>0.19680289113876551</v>
      </c>
      <c r="D116" s="330">
        <v>1.520070950526109E-2</v>
      </c>
      <c r="E116" s="330">
        <v>4.7281237109864146E-3</v>
      </c>
      <c r="F116" s="331">
        <v>0.79130182450150377</v>
      </c>
      <c r="G116" s="94">
        <v>0.43362875738490425</v>
      </c>
      <c r="H116" s="330">
        <v>0.31472821927813538</v>
      </c>
      <c r="I116" s="330">
        <v>4.4546590726246338E-2</v>
      </c>
      <c r="J116" s="330">
        <v>0.99999998429063963</v>
      </c>
      <c r="K116" s="330">
        <v>0.74408844862514345</v>
      </c>
      <c r="L116" s="332">
        <v>16345.835018438449</v>
      </c>
      <c r="M116" s="330">
        <v>0</v>
      </c>
      <c r="N116" s="330">
        <v>17480.85522823784</v>
      </c>
      <c r="O116" s="330">
        <v>1154.4239813048773</v>
      </c>
      <c r="P116" s="330">
        <v>47407.855693966034</v>
      </c>
      <c r="Q116" s="333">
        <v>94479.164395120213</v>
      </c>
      <c r="R116" s="330">
        <v>25948.319003972694</v>
      </c>
      <c r="S116" s="330">
        <v>11342.246973750127</v>
      </c>
      <c r="T116" s="332">
        <v>0.9821565440083726</v>
      </c>
      <c r="U116" s="330">
        <v>0.99432981385082253</v>
      </c>
      <c r="V116" s="330">
        <v>0.89955394666221578</v>
      </c>
      <c r="W116" s="330">
        <v>0.98702133378450441</v>
      </c>
      <c r="X116" s="330">
        <v>0.13133856532789268</v>
      </c>
      <c r="Y116" s="330">
        <v>0</v>
      </c>
      <c r="Z116" s="331">
        <v>0</v>
      </c>
      <c r="AA116" s="235"/>
      <c r="AB116" s="52">
        <v>113758.86881140149</v>
      </c>
      <c r="AC116" s="330">
        <v>0.8708943847251378</v>
      </c>
      <c r="AD116" s="330">
        <v>97628.91851346445</v>
      </c>
      <c r="AE116" s="330">
        <v>0.65429728039754331</v>
      </c>
      <c r="AF116" s="330">
        <v>16129.950297937045</v>
      </c>
      <c r="AG116" s="331">
        <v>0.21659710432759449</v>
      </c>
      <c r="AH116" s="235"/>
      <c r="AI116" s="208">
        <f t="shared" si="12"/>
        <v>713590.7966774794</v>
      </c>
      <c r="AJ116" s="208">
        <f t="shared" si="13"/>
        <v>523953.49786420172</v>
      </c>
      <c r="AK116" s="208">
        <f t="shared" si="14"/>
        <v>189637.29881327774</v>
      </c>
      <c r="AL116" s="235"/>
      <c r="AM116" s="52">
        <f t="shared" si="4"/>
        <v>1</v>
      </c>
      <c r="AN116" s="52">
        <f t="shared" si="5"/>
        <v>0</v>
      </c>
      <c r="AO116" s="52">
        <f t="shared" si="6"/>
        <v>1</v>
      </c>
      <c r="AP116" s="235"/>
      <c r="AQ116" s="3"/>
      <c r="AR116" s="3"/>
      <c r="AS116" s="3"/>
      <c r="AT116" s="3"/>
      <c r="AU116" s="235"/>
      <c r="AV116" s="360">
        <f t="shared" si="15"/>
        <v>713590.7966774794</v>
      </c>
      <c r="AW116" s="235"/>
      <c r="AX116" s="354"/>
      <c r="AY116" s="14"/>
      <c r="AZ116" s="14">
        <f t="shared" si="17"/>
        <v>16129.950297937045</v>
      </c>
      <c r="BA116" s="14">
        <f t="shared" si="16"/>
        <v>0.21659710432759449</v>
      </c>
      <c r="BB116" s="14">
        <f t="shared" si="2"/>
        <v>74469.833509598247</v>
      </c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3"/>
      <c r="CT116" s="3"/>
      <c r="CU116" s="3"/>
      <c r="CV116" s="3"/>
      <c r="CW116" s="3"/>
    </row>
    <row r="117" spans="1:101" ht="14.25" customHeight="1" x14ac:dyDescent="0.2">
      <c r="A117" s="328"/>
      <c r="B117" s="52">
        <v>0.15790048030798701</v>
      </c>
      <c r="C117" s="330">
        <v>0.19580534144072639</v>
      </c>
      <c r="D117" s="330">
        <v>1.0344215781103941E-2</v>
      </c>
      <c r="E117" s="330">
        <v>1.6045219390429799E-2</v>
      </c>
      <c r="F117" s="331">
        <v>0.80777416382632405</v>
      </c>
      <c r="G117" s="94">
        <v>0.33100672175447315</v>
      </c>
      <c r="H117" s="330">
        <v>0.26843860301986727</v>
      </c>
      <c r="I117" s="330">
        <v>2.5702122411017214E-2</v>
      </c>
      <c r="J117" s="330">
        <v>0.94001715958966836</v>
      </c>
      <c r="K117" s="330">
        <v>0.72603454150601365</v>
      </c>
      <c r="L117" s="332">
        <v>9840.6557015149738</v>
      </c>
      <c r="M117" s="330">
        <v>0</v>
      </c>
      <c r="N117" s="330">
        <v>17095.578989647805</v>
      </c>
      <c r="O117" s="330">
        <v>1464.6624236595976</v>
      </c>
      <c r="P117" s="330">
        <v>33377.023680996965</v>
      </c>
      <c r="Q117" s="333">
        <v>129720.65252171518</v>
      </c>
      <c r="R117" s="330">
        <v>23874.67350541933</v>
      </c>
      <c r="S117" s="330">
        <v>8818.2064108609284</v>
      </c>
      <c r="T117" s="332">
        <v>0.75881450292757202</v>
      </c>
      <c r="U117" s="330">
        <v>0.99723455359632651</v>
      </c>
      <c r="V117" s="330">
        <v>0.82419166540429356</v>
      </c>
      <c r="W117" s="330">
        <v>0.86347885869649799</v>
      </c>
      <c r="X117" s="330">
        <v>0.73405113426489965</v>
      </c>
      <c r="Y117" s="330">
        <v>0</v>
      </c>
      <c r="Z117" s="331">
        <v>0</v>
      </c>
      <c r="AA117" s="235"/>
      <c r="AB117" s="52">
        <v>87463.121522285175</v>
      </c>
      <c r="AC117" s="330">
        <v>3.6590910315241514</v>
      </c>
      <c r="AD117" s="330">
        <v>72803.497808198415</v>
      </c>
      <c r="AE117" s="330">
        <v>3.3710444790973799</v>
      </c>
      <c r="AF117" s="330">
        <v>14659.62371408676</v>
      </c>
      <c r="AG117" s="331">
        <v>0.28804655242677146</v>
      </c>
      <c r="AH117" s="235"/>
      <c r="AI117" s="208">
        <f t="shared" si="12"/>
        <v>3388673.3584256587</v>
      </c>
      <c r="AJ117" s="208">
        <f t="shared" si="13"/>
        <v>3129688.7573343124</v>
      </c>
      <c r="AK117" s="208">
        <f t="shared" si="14"/>
        <v>258984.60109134612</v>
      </c>
      <c r="AL117" s="235"/>
      <c r="AM117" s="52">
        <f t="shared" si="4"/>
        <v>1</v>
      </c>
      <c r="AN117" s="52">
        <f t="shared" si="5"/>
        <v>0</v>
      </c>
      <c r="AO117" s="52">
        <f t="shared" si="6"/>
        <v>1</v>
      </c>
      <c r="AP117" s="235"/>
      <c r="AQ117" s="3"/>
      <c r="AR117" s="3"/>
      <c r="AS117" s="3"/>
      <c r="AT117" s="3"/>
      <c r="AU117" s="235"/>
      <c r="AV117" s="360">
        <f t="shared" si="15"/>
        <v>3388673.3584256587</v>
      </c>
      <c r="AW117" s="235"/>
      <c r="AX117" s="354"/>
      <c r="AY117" s="14"/>
      <c r="AZ117" s="14">
        <f t="shared" si="17"/>
        <v>14659.62371408676</v>
      </c>
      <c r="BA117" s="14">
        <f t="shared" si="16"/>
        <v>0.28804655242677146</v>
      </c>
      <c r="BB117" s="14">
        <f t="shared" si="2"/>
        <v>50893.244826506292</v>
      </c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3"/>
      <c r="CT117" s="3"/>
      <c r="CU117" s="3"/>
      <c r="CV117" s="3"/>
      <c r="CW117" s="3"/>
    </row>
    <row r="118" spans="1:101" ht="14.25" customHeight="1" x14ac:dyDescent="0.2">
      <c r="A118" s="328"/>
      <c r="B118" s="52">
        <v>0.1520055990121876</v>
      </c>
      <c r="C118" s="330">
        <v>0.24458506379117806</v>
      </c>
      <c r="D118" s="330">
        <v>9.002548944634271E-3</v>
      </c>
      <c r="E118" s="330">
        <v>2.3543476590302093E-2</v>
      </c>
      <c r="F118" s="331">
        <v>0.81021035111791262</v>
      </c>
      <c r="G118" s="94">
        <v>0.41217061412739397</v>
      </c>
      <c r="H118" s="330">
        <v>0.85751138608686839</v>
      </c>
      <c r="I118" s="330">
        <v>6.5933666405272699E-3</v>
      </c>
      <c r="J118" s="330">
        <v>0.99999998856580974</v>
      </c>
      <c r="K118" s="330">
        <v>0.77980140509875451</v>
      </c>
      <c r="L118" s="332">
        <v>9706.1697993769958</v>
      </c>
      <c r="M118" s="330">
        <v>0</v>
      </c>
      <c r="N118" s="330">
        <v>16614.03903420626</v>
      </c>
      <c r="O118" s="330">
        <v>1138.0026633696848</v>
      </c>
      <c r="P118" s="330">
        <v>45256.082987682552</v>
      </c>
      <c r="Q118" s="333">
        <v>106658.4494086788</v>
      </c>
      <c r="R118" s="330">
        <v>25026.351642324105</v>
      </c>
      <c r="S118" s="330">
        <v>10579.416959660895</v>
      </c>
      <c r="T118" s="332">
        <v>0.9147559492174524</v>
      </c>
      <c r="U118" s="330">
        <v>0.89392531084306825</v>
      </c>
      <c r="V118" s="330">
        <v>0.99925374648151488</v>
      </c>
      <c r="W118" s="330">
        <v>0.99999770226655826</v>
      </c>
      <c r="X118" s="330">
        <v>0.92485335803534796</v>
      </c>
      <c r="Y118" s="330">
        <v>0</v>
      </c>
      <c r="Z118" s="331">
        <v>0</v>
      </c>
      <c r="AA118" s="235"/>
      <c r="AB118" s="52">
        <v>102940.857544183</v>
      </c>
      <c r="AC118" s="330">
        <v>4.9295223249279552</v>
      </c>
      <c r="AD118" s="330">
        <v>98261.681968600955</v>
      </c>
      <c r="AE118" s="330">
        <v>4.5536955468581306</v>
      </c>
      <c r="AF118" s="330">
        <v>4679.1755755820486</v>
      </c>
      <c r="AG118" s="331">
        <v>0.37582677806982456</v>
      </c>
      <c r="AH118" s="235"/>
      <c r="AI118" s="208">
        <f t="shared" si="12"/>
        <v>4580105.3511373745</v>
      </c>
      <c r="AJ118" s="208">
        <f t="shared" si="13"/>
        <v>4227749.0875466224</v>
      </c>
      <c r="AK118" s="208">
        <f t="shared" si="14"/>
        <v>352356.26359075133</v>
      </c>
      <c r="AL118" s="235"/>
      <c r="AM118" s="52">
        <f t="shared" si="4"/>
        <v>1</v>
      </c>
      <c r="AN118" s="52">
        <f t="shared" si="5"/>
        <v>0</v>
      </c>
      <c r="AO118" s="52">
        <f t="shared" si="6"/>
        <v>1</v>
      </c>
      <c r="AP118" s="235"/>
      <c r="AQ118" s="3"/>
      <c r="AR118" s="3"/>
      <c r="AS118" s="3"/>
      <c r="AT118" s="3"/>
      <c r="AU118" s="235"/>
      <c r="AV118" s="360">
        <f t="shared" si="15"/>
        <v>4580105.3511373745</v>
      </c>
      <c r="AW118" s="235"/>
      <c r="AX118" s="354"/>
      <c r="AY118" s="14"/>
      <c r="AZ118" s="14">
        <f t="shared" si="17"/>
        <v>4679.1755755820486</v>
      </c>
      <c r="BA118" s="14">
        <f t="shared" si="16"/>
        <v>0.37582677806982456</v>
      </c>
      <c r="BB118" s="14">
        <f t="shared" si="2"/>
        <v>12450.351727499066</v>
      </c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3"/>
      <c r="CT118" s="3"/>
      <c r="CU118" s="3"/>
      <c r="CV118" s="3"/>
      <c r="CW118" s="3"/>
    </row>
    <row r="119" spans="1:101" ht="14.25" customHeight="1" x14ac:dyDescent="0.2">
      <c r="A119" s="328"/>
      <c r="B119" s="52">
        <v>0.15067735251818826</v>
      </c>
      <c r="C119" s="330">
        <v>0.46815607679710403</v>
      </c>
      <c r="D119" s="330">
        <v>1.9969775906782727E-2</v>
      </c>
      <c r="E119" s="330">
        <v>1.1155607357661355E-2</v>
      </c>
      <c r="F119" s="331">
        <v>0.80856888366506163</v>
      </c>
      <c r="G119" s="94">
        <v>0.4675292186519544</v>
      </c>
      <c r="H119" s="330">
        <v>0.99822273628750835</v>
      </c>
      <c r="I119" s="330">
        <v>8.585887422599605E-3</v>
      </c>
      <c r="J119" s="330">
        <v>0.9695736338229578</v>
      </c>
      <c r="K119" s="330">
        <v>0.74379232469889678</v>
      </c>
      <c r="L119" s="332">
        <v>9921.495247036115</v>
      </c>
      <c r="M119" s="330">
        <v>0</v>
      </c>
      <c r="N119" s="330">
        <v>19415.812177767224</v>
      </c>
      <c r="O119" s="330">
        <v>1220.9541312380575</v>
      </c>
      <c r="P119" s="330">
        <v>45462.786313122684</v>
      </c>
      <c r="Q119" s="333">
        <v>92463.167471872715</v>
      </c>
      <c r="R119" s="330">
        <v>28367.397658434842</v>
      </c>
      <c r="S119" s="330">
        <v>9355.7558523422558</v>
      </c>
      <c r="T119" s="332">
        <v>0.93946417051881925</v>
      </c>
      <c r="U119" s="330">
        <v>0.57578627789550885</v>
      </c>
      <c r="V119" s="330">
        <v>0.43282660341687579</v>
      </c>
      <c r="W119" s="330">
        <v>0.91937905920815621</v>
      </c>
      <c r="X119" s="330">
        <v>0.80101223897779394</v>
      </c>
      <c r="Y119" s="330">
        <v>0</v>
      </c>
      <c r="Z119" s="331">
        <v>0</v>
      </c>
      <c r="AA119" s="235"/>
      <c r="AB119" s="52">
        <v>93566.244418265152</v>
      </c>
      <c r="AC119" s="330">
        <v>4.1607437932606564</v>
      </c>
      <c r="AD119" s="330">
        <v>89049.000370547627</v>
      </c>
      <c r="AE119" s="330">
        <v>3.7604232976116401</v>
      </c>
      <c r="AF119" s="330">
        <v>4517.244047717526</v>
      </c>
      <c r="AG119" s="331">
        <v>0.40032049564901628</v>
      </c>
      <c r="AH119" s="235"/>
      <c r="AI119" s="208">
        <f t="shared" si="12"/>
        <v>3859140.3591793585</v>
      </c>
      <c r="AJ119" s="208">
        <f t="shared" si="13"/>
        <v>3483353.1323605105</v>
      </c>
      <c r="AK119" s="208">
        <f t="shared" si="14"/>
        <v>375787.22681884794</v>
      </c>
      <c r="AL119" s="235"/>
      <c r="AM119" s="52">
        <f t="shared" si="4"/>
        <v>1</v>
      </c>
      <c r="AN119" s="52">
        <f t="shared" si="5"/>
        <v>0</v>
      </c>
      <c r="AO119" s="52">
        <f t="shared" si="6"/>
        <v>1</v>
      </c>
      <c r="AP119" s="235"/>
      <c r="AQ119" s="3"/>
      <c r="AR119" s="3"/>
      <c r="AS119" s="3"/>
      <c r="AT119" s="3"/>
      <c r="AU119" s="235"/>
      <c r="AV119" s="360">
        <f t="shared" si="15"/>
        <v>3859140.3591793585</v>
      </c>
      <c r="AW119" s="235"/>
      <c r="AX119" s="354"/>
      <c r="AY119" s="14"/>
      <c r="AZ119" s="14">
        <f t="shared" si="17"/>
        <v>4517.244047717526</v>
      </c>
      <c r="BA119" s="14">
        <f t="shared" si="16"/>
        <v>0.40032049564901628</v>
      </c>
      <c r="BB119" s="14">
        <f t="shared" si="2"/>
        <v>11284.068881844238</v>
      </c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3"/>
      <c r="CT119" s="3"/>
      <c r="CU119" s="3"/>
      <c r="CV119" s="3"/>
      <c r="CW119" s="3"/>
    </row>
    <row r="120" spans="1:101" ht="14.25" customHeight="1" x14ac:dyDescent="0.2">
      <c r="A120" s="328"/>
      <c r="B120" s="52">
        <v>0.15547481633924989</v>
      </c>
      <c r="C120" s="330">
        <v>0.52988623130077395</v>
      </c>
      <c r="D120" s="330">
        <v>1.7653696821806175E-2</v>
      </c>
      <c r="E120" s="330">
        <v>3.2803047822464682E-2</v>
      </c>
      <c r="F120" s="331">
        <v>0.79555809135424438</v>
      </c>
      <c r="G120" s="94">
        <v>0.36550202570000012</v>
      </c>
      <c r="H120" s="330">
        <v>0.71918129492633032</v>
      </c>
      <c r="I120" s="330">
        <v>1.6097642631798692E-2</v>
      </c>
      <c r="J120" s="330">
        <v>1.7132250813567539E-3</v>
      </c>
      <c r="K120" s="330">
        <v>0.71268320202893876</v>
      </c>
      <c r="L120" s="332">
        <v>12566.056615608473</v>
      </c>
      <c r="M120" s="330">
        <v>0</v>
      </c>
      <c r="N120" s="330">
        <v>15174.864669209321</v>
      </c>
      <c r="O120" s="330">
        <v>808.62875666640321</v>
      </c>
      <c r="P120" s="330">
        <v>43622.661376007185</v>
      </c>
      <c r="Q120" s="333">
        <v>99783.62685937577</v>
      </c>
      <c r="R120" s="330">
        <v>21085.496668666823</v>
      </c>
      <c r="S120" s="330">
        <v>10013.111699227708</v>
      </c>
      <c r="T120" s="332">
        <v>0.99944400533837219</v>
      </c>
      <c r="U120" s="330">
        <v>0.61224130228680684</v>
      </c>
      <c r="V120" s="330">
        <v>0.88370133693953035</v>
      </c>
      <c r="W120" s="330">
        <v>0.29018830051560823</v>
      </c>
      <c r="X120" s="330">
        <v>0.99394254661471493</v>
      </c>
      <c r="Y120" s="330">
        <v>0</v>
      </c>
      <c r="Z120" s="331">
        <v>0</v>
      </c>
      <c r="AA120" s="235"/>
      <c r="AB120" s="52">
        <v>100193.17273654182</v>
      </c>
      <c r="AC120" s="330">
        <v>5.1675571397615441</v>
      </c>
      <c r="AD120" s="330">
        <v>82982.303969014974</v>
      </c>
      <c r="AE120" s="330">
        <v>4.2939497462277032</v>
      </c>
      <c r="AF120" s="330">
        <v>17210.868767526845</v>
      </c>
      <c r="AG120" s="331">
        <v>0.87360739353384087</v>
      </c>
      <c r="AH120" s="235"/>
      <c r="AI120" s="208">
        <f t="shared" si="12"/>
        <v>4808986.1100369254</v>
      </c>
      <c r="AJ120" s="208">
        <f t="shared" si="13"/>
        <v>3996269.954947303</v>
      </c>
      <c r="AK120" s="208">
        <f t="shared" si="14"/>
        <v>812716.15508962201</v>
      </c>
      <c r="AL120" s="235"/>
      <c r="AM120" s="52">
        <f t="shared" si="4"/>
        <v>1</v>
      </c>
      <c r="AN120" s="52">
        <f t="shared" si="5"/>
        <v>0</v>
      </c>
      <c r="AO120" s="52">
        <f t="shared" si="6"/>
        <v>1</v>
      </c>
      <c r="AP120" s="235"/>
      <c r="AQ120" s="3"/>
      <c r="AR120" s="3"/>
      <c r="AS120" s="3"/>
      <c r="AT120" s="3"/>
      <c r="AU120" s="235"/>
      <c r="AV120" s="360">
        <f t="shared" si="15"/>
        <v>4808986.1100369254</v>
      </c>
      <c r="AW120" s="235"/>
      <c r="AX120" s="354"/>
      <c r="AY120" s="14"/>
      <c r="AZ120" s="14">
        <f t="shared" si="17"/>
        <v>17210.868767526845</v>
      </c>
      <c r="BA120" s="14">
        <f t="shared" si="16"/>
        <v>0.87360739353384087</v>
      </c>
      <c r="BB120" s="14">
        <f t="shared" si="2"/>
        <v>19700.919308737681</v>
      </c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3"/>
      <c r="CT120" s="3"/>
      <c r="CU120" s="3"/>
      <c r="CV120" s="3"/>
      <c r="CW120" s="3"/>
    </row>
    <row r="121" spans="1:101" ht="14.25" customHeight="1" x14ac:dyDescent="0.2">
      <c r="A121" s="328"/>
      <c r="B121" s="52">
        <v>0.15313065069178541</v>
      </c>
      <c r="C121" s="330">
        <v>0.51005758976538074</v>
      </c>
      <c r="D121" s="330">
        <v>1.936046968209193E-2</v>
      </c>
      <c r="E121" s="330">
        <v>1.3135689103110517E-2</v>
      </c>
      <c r="F121" s="331">
        <v>0.7733751534619433</v>
      </c>
      <c r="G121" s="94">
        <v>0.38934118780952359</v>
      </c>
      <c r="H121" s="330">
        <v>0.98889895043908127</v>
      </c>
      <c r="I121" s="330">
        <v>2.5480829700382457E-2</v>
      </c>
      <c r="J121" s="330">
        <v>0.99999992527883408</v>
      </c>
      <c r="K121" s="330">
        <v>0.77281598347689084</v>
      </c>
      <c r="L121" s="332">
        <v>10306.392755911387</v>
      </c>
      <c r="M121" s="330">
        <v>0</v>
      </c>
      <c r="N121" s="330">
        <v>16965.227247458202</v>
      </c>
      <c r="O121" s="330">
        <v>1208.5961370660739</v>
      </c>
      <c r="P121" s="330">
        <v>42385.855672081198</v>
      </c>
      <c r="Q121" s="333">
        <v>107913.15411027151</v>
      </c>
      <c r="R121" s="330">
        <v>29431.679658758298</v>
      </c>
      <c r="S121" s="330">
        <v>6615.845314817102</v>
      </c>
      <c r="T121" s="332">
        <v>0.37584184488453048</v>
      </c>
      <c r="U121" s="330">
        <v>0.1219486035781967</v>
      </c>
      <c r="V121" s="330">
        <v>0.84439128254485918</v>
      </c>
      <c r="W121" s="330">
        <v>0.99961665182828108</v>
      </c>
      <c r="X121" s="330">
        <v>0.3168668892065572</v>
      </c>
      <c r="Y121" s="330">
        <v>0</v>
      </c>
      <c r="Z121" s="331">
        <v>0</v>
      </c>
      <c r="AA121" s="235"/>
      <c r="AB121" s="52">
        <v>68019.150784901329</v>
      </c>
      <c r="AC121" s="330">
        <v>1.5110774328740719</v>
      </c>
      <c r="AD121" s="330">
        <v>68188.857184439054</v>
      </c>
      <c r="AE121" s="330">
        <v>1.4865164055937856</v>
      </c>
      <c r="AF121" s="330">
        <v>-169.70639953772479</v>
      </c>
      <c r="AG121" s="331">
        <v>2.4561027280286307E-2</v>
      </c>
      <c r="AH121" s="235"/>
      <c r="AI121" s="208">
        <f t="shared" si="12"/>
        <v>1367504.4104454669</v>
      </c>
      <c r="AJ121" s="208">
        <f t="shared" si="13"/>
        <v>1344001.7281296575</v>
      </c>
      <c r="AK121" s="208">
        <f t="shared" si="14"/>
        <v>23502.682315809718</v>
      </c>
      <c r="AL121" s="235"/>
      <c r="AM121" s="52">
        <f t="shared" si="4"/>
        <v>1</v>
      </c>
      <c r="AN121" s="52">
        <f t="shared" si="5"/>
        <v>0</v>
      </c>
      <c r="AO121" s="52">
        <f t="shared" si="6"/>
        <v>1</v>
      </c>
      <c r="AP121" s="235"/>
      <c r="AQ121" s="3"/>
      <c r="AR121" s="3"/>
      <c r="AS121" s="3"/>
      <c r="AT121" s="3"/>
      <c r="AU121" s="235"/>
      <c r="AV121" s="360">
        <f t="shared" si="15"/>
        <v>1367504.4104454669</v>
      </c>
      <c r="AW121" s="235"/>
      <c r="AX121" s="354"/>
      <c r="AY121" s="14"/>
      <c r="AZ121" s="14">
        <f t="shared" si="17"/>
        <v>-169.70639953772479</v>
      </c>
      <c r="BA121" s="14">
        <f t="shared" si="16"/>
        <v>2.4561027280286307E-2</v>
      </c>
      <c r="BB121" s="14">
        <f t="shared" si="2"/>
        <v>-6909.5806784082743</v>
      </c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3"/>
      <c r="CT121" s="3"/>
      <c r="CU121" s="3"/>
      <c r="CV121" s="3"/>
      <c r="CW121" s="3"/>
    </row>
    <row r="122" spans="1:101" ht="14.25" customHeight="1" x14ac:dyDescent="0.2">
      <c r="A122" s="328"/>
      <c r="B122" s="52">
        <v>0.16208072166426846</v>
      </c>
      <c r="C122" s="330">
        <v>0.22711768633057283</v>
      </c>
      <c r="D122" s="330">
        <v>1.9811874420766928E-2</v>
      </c>
      <c r="E122" s="330">
        <v>1.3598451432885926E-2</v>
      </c>
      <c r="F122" s="331">
        <v>0.75883803035081088</v>
      </c>
      <c r="G122" s="94">
        <v>0.35280345857251666</v>
      </c>
      <c r="H122" s="330">
        <v>0.11952960409153227</v>
      </c>
      <c r="I122" s="330">
        <v>1.4923703424388809E-2</v>
      </c>
      <c r="J122" s="330">
        <v>0.99967197869434343</v>
      </c>
      <c r="K122" s="330">
        <v>0.77184839810830574</v>
      </c>
      <c r="L122" s="332">
        <v>8534.331016989785</v>
      </c>
      <c r="M122" s="330">
        <v>0</v>
      </c>
      <c r="N122" s="330">
        <v>14938.399263093874</v>
      </c>
      <c r="O122" s="330">
        <v>1299.5103877043562</v>
      </c>
      <c r="P122" s="330">
        <v>45107.984153658719</v>
      </c>
      <c r="Q122" s="333">
        <v>52419.371520846245</v>
      </c>
      <c r="R122" s="330">
        <v>23706.585363143666</v>
      </c>
      <c r="S122" s="330">
        <v>7419.2050176946268</v>
      </c>
      <c r="T122" s="332">
        <v>0.90342805368518997</v>
      </c>
      <c r="U122" s="330">
        <v>0.96190558836564966</v>
      </c>
      <c r="V122" s="330">
        <v>0.97397440690289683</v>
      </c>
      <c r="W122" s="330">
        <v>0.97118501507396915</v>
      </c>
      <c r="X122" s="330">
        <v>0.74308635081688323</v>
      </c>
      <c r="Y122" s="330">
        <v>0</v>
      </c>
      <c r="Z122" s="331">
        <v>0</v>
      </c>
      <c r="AA122" s="235"/>
      <c r="AB122" s="52">
        <v>70205.139162125008</v>
      </c>
      <c r="AC122" s="330">
        <v>3.4075544203695451</v>
      </c>
      <c r="AD122" s="330">
        <v>63516.073938975314</v>
      </c>
      <c r="AE122" s="330">
        <v>3.8060974051322116</v>
      </c>
      <c r="AF122" s="330">
        <v>6689.0652231496933</v>
      </c>
      <c r="AG122" s="331">
        <v>-0.39854298476266647</v>
      </c>
      <c r="AH122" s="235"/>
      <c r="AI122" s="208">
        <f t="shared" si="12"/>
        <v>3166971.5601889431</v>
      </c>
      <c r="AJ122" s="208">
        <f t="shared" si="13"/>
        <v>3552276.460936626</v>
      </c>
      <c r="AK122" s="208">
        <f t="shared" si="14"/>
        <v>-385304.9007476829</v>
      </c>
      <c r="AL122" s="235"/>
      <c r="AM122" s="52">
        <f t="shared" si="4"/>
        <v>0</v>
      </c>
      <c r="AN122" s="52">
        <f t="shared" si="5"/>
        <v>1</v>
      </c>
      <c r="AO122" s="52">
        <f t="shared" si="6"/>
        <v>0</v>
      </c>
      <c r="AP122" s="235"/>
      <c r="AQ122" s="3"/>
      <c r="AR122" s="3"/>
      <c r="AS122" s="3"/>
      <c r="AT122" s="3"/>
      <c r="AU122" s="235"/>
      <c r="AV122" s="360">
        <f t="shared" si="15"/>
        <v>3552276.460936626</v>
      </c>
      <c r="AW122" s="235"/>
      <c r="AX122" s="354"/>
      <c r="AY122" s="14"/>
      <c r="AZ122" s="14">
        <f t="shared" si="17"/>
        <v>6689.0652231496933</v>
      </c>
      <c r="BA122" s="14">
        <f t="shared" si="16"/>
        <v>-0.39854298476266647</v>
      </c>
      <c r="BB122" s="14">
        <f t="shared" si="2"/>
        <v>-16783.798683931298</v>
      </c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3"/>
      <c r="CT122" s="3"/>
      <c r="CU122" s="3"/>
      <c r="CV122" s="3"/>
      <c r="CW122" s="3"/>
    </row>
    <row r="123" spans="1:101" ht="14.25" customHeight="1" x14ac:dyDescent="0.2">
      <c r="A123" s="328"/>
      <c r="B123" s="52">
        <v>0.14979301408382006</v>
      </c>
      <c r="C123" s="330">
        <v>7.1864693509228417E-2</v>
      </c>
      <c r="D123" s="330">
        <v>2.0754635286267975E-2</v>
      </c>
      <c r="E123" s="330">
        <v>1.82552483880003E-2</v>
      </c>
      <c r="F123" s="331">
        <v>0.77948874966998605</v>
      </c>
      <c r="G123" s="94">
        <v>0.40428917902457429</v>
      </c>
      <c r="H123" s="330">
        <v>0.1525949072960377</v>
      </c>
      <c r="I123" s="330">
        <v>4.679624637953772E-2</v>
      </c>
      <c r="J123" s="330">
        <v>0.9998359314131986</v>
      </c>
      <c r="K123" s="330">
        <v>0.73567623877690069</v>
      </c>
      <c r="L123" s="332">
        <v>10180.46555288564</v>
      </c>
      <c r="M123" s="330">
        <v>0</v>
      </c>
      <c r="N123" s="330">
        <v>17893.250041463416</v>
      </c>
      <c r="O123" s="330">
        <v>1147.5963884658884</v>
      </c>
      <c r="P123" s="330">
        <v>41553.466394766991</v>
      </c>
      <c r="Q123" s="333">
        <v>104576.98854835928</v>
      </c>
      <c r="R123" s="330">
        <v>23617.883141244187</v>
      </c>
      <c r="S123" s="330">
        <v>10729.304270766752</v>
      </c>
      <c r="T123" s="332">
        <v>0.83593173739407078</v>
      </c>
      <c r="U123" s="330">
        <v>0.4164656132941929</v>
      </c>
      <c r="V123" s="330">
        <v>0.41823025499613509</v>
      </c>
      <c r="W123" s="330">
        <v>0.99933408537376422</v>
      </c>
      <c r="X123" s="330">
        <v>0.95379246926746541</v>
      </c>
      <c r="Y123" s="330">
        <v>0</v>
      </c>
      <c r="Z123" s="331">
        <v>0</v>
      </c>
      <c r="AA123" s="235"/>
      <c r="AB123" s="52">
        <v>100684.38195019428</v>
      </c>
      <c r="AC123" s="330">
        <v>4.5645870867130611</v>
      </c>
      <c r="AD123" s="330">
        <v>89692.714579759777</v>
      </c>
      <c r="AE123" s="330">
        <v>4.2992808776587044</v>
      </c>
      <c r="AF123" s="330">
        <v>10991.667370434501</v>
      </c>
      <c r="AG123" s="331">
        <v>0.26530620905435676</v>
      </c>
      <c r="AH123" s="235"/>
      <c r="AI123" s="208">
        <f t="shared" si="12"/>
        <v>4235673.3504272141</v>
      </c>
      <c r="AJ123" s="208">
        <f t="shared" si="13"/>
        <v>3994624.1191960094</v>
      </c>
      <c r="AK123" s="208">
        <f t="shared" si="14"/>
        <v>241049.23123120441</v>
      </c>
      <c r="AL123" s="235"/>
      <c r="AM123" s="52">
        <f t="shared" si="4"/>
        <v>1</v>
      </c>
      <c r="AN123" s="52">
        <f t="shared" si="5"/>
        <v>0</v>
      </c>
      <c r="AO123" s="52">
        <f t="shared" si="6"/>
        <v>1</v>
      </c>
      <c r="AP123" s="235"/>
      <c r="AQ123" s="3"/>
      <c r="AR123" s="3"/>
      <c r="AS123" s="3"/>
      <c r="AT123" s="3"/>
      <c r="AU123" s="235"/>
      <c r="AV123" s="360">
        <f t="shared" si="15"/>
        <v>4235673.3504272141</v>
      </c>
      <c r="AW123" s="235"/>
      <c r="AX123" s="354"/>
      <c r="AY123" s="14"/>
      <c r="AZ123" s="14">
        <f t="shared" si="17"/>
        <v>10991.667370434501</v>
      </c>
      <c r="BA123" s="14">
        <f t="shared" si="16"/>
        <v>0.26530620905435676</v>
      </c>
      <c r="BB123" s="14">
        <f t="shared" si="2"/>
        <v>41430.117333524198</v>
      </c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3"/>
      <c r="CT123" s="3"/>
      <c r="CU123" s="3"/>
      <c r="CV123" s="3"/>
      <c r="CW123" s="3"/>
    </row>
    <row r="124" spans="1:101" ht="14.25" customHeight="1" x14ac:dyDescent="0.2">
      <c r="A124" s="328"/>
      <c r="B124" s="52">
        <v>0.12255263770540334</v>
      </c>
      <c r="C124" s="330">
        <v>0.15202640793006375</v>
      </c>
      <c r="D124" s="330">
        <v>2.0613074096865414E-2</v>
      </c>
      <c r="E124" s="330">
        <v>5.473833379955678E-3</v>
      </c>
      <c r="F124" s="331">
        <v>0.80144090808555546</v>
      </c>
      <c r="G124" s="94">
        <v>0.3627785212700817</v>
      </c>
      <c r="H124" s="330">
        <v>0.33049744709132906</v>
      </c>
      <c r="I124" s="330">
        <v>2.4575693879198224E-2</v>
      </c>
      <c r="J124" s="330">
        <v>0.99984816755374728</v>
      </c>
      <c r="K124" s="330">
        <v>0.73695225556315835</v>
      </c>
      <c r="L124" s="332">
        <v>16572.865755342758</v>
      </c>
      <c r="M124" s="330">
        <v>0</v>
      </c>
      <c r="N124" s="330">
        <v>16356.413612138154</v>
      </c>
      <c r="O124" s="330">
        <v>1193.9310610043442</v>
      </c>
      <c r="P124" s="330">
        <v>41845.412806166336</v>
      </c>
      <c r="Q124" s="333">
        <v>89302.273193543049</v>
      </c>
      <c r="R124" s="330">
        <v>33860.778616872631</v>
      </c>
      <c r="S124" s="330">
        <v>8910.5820065636508</v>
      </c>
      <c r="T124" s="332">
        <v>0.99771692667804934</v>
      </c>
      <c r="U124" s="330">
        <v>0.75876893432605874</v>
      </c>
      <c r="V124" s="330">
        <v>0.35631227915900182</v>
      </c>
      <c r="W124" s="330">
        <v>6.613405323438945E-2</v>
      </c>
      <c r="X124" s="330">
        <v>0.13519200100048626</v>
      </c>
      <c r="Y124" s="330">
        <v>0</v>
      </c>
      <c r="Z124" s="331">
        <v>0</v>
      </c>
      <c r="AA124" s="235"/>
      <c r="AB124" s="52">
        <v>94211.447223401032</v>
      </c>
      <c r="AC124" s="330">
        <v>0.88159970686614497</v>
      </c>
      <c r="AD124" s="330">
        <v>76222.564072933295</v>
      </c>
      <c r="AE124" s="330">
        <v>0.82733326722717926</v>
      </c>
      <c r="AF124" s="330">
        <v>17988.883150467736</v>
      </c>
      <c r="AG124" s="331">
        <v>5.4266439638965713E-2</v>
      </c>
      <c r="AH124" s="235"/>
      <c r="AI124" s="208">
        <f t="shared" si="12"/>
        <v>743308.27429943671</v>
      </c>
      <c r="AJ124" s="208">
        <f t="shared" si="13"/>
        <v>709744.03979288705</v>
      </c>
      <c r="AK124" s="208">
        <f t="shared" si="14"/>
        <v>33564.234506549692</v>
      </c>
      <c r="AL124" s="235"/>
      <c r="AM124" s="52">
        <f t="shared" si="4"/>
        <v>1</v>
      </c>
      <c r="AN124" s="52">
        <f t="shared" si="5"/>
        <v>0</v>
      </c>
      <c r="AO124" s="52">
        <f t="shared" si="6"/>
        <v>1</v>
      </c>
      <c r="AP124" s="235"/>
      <c r="AQ124" s="3"/>
      <c r="AR124" s="3"/>
      <c r="AS124" s="3"/>
      <c r="AT124" s="3"/>
      <c r="AU124" s="235"/>
      <c r="AV124" s="360">
        <f t="shared" si="15"/>
        <v>743308.27429943671</v>
      </c>
      <c r="AW124" s="235"/>
      <c r="AX124" s="354"/>
      <c r="AY124" s="14"/>
      <c r="AZ124" s="14">
        <f t="shared" si="17"/>
        <v>17988.883150467736</v>
      </c>
      <c r="BA124" s="14">
        <f t="shared" si="16"/>
        <v>5.4266439638965713E-2</v>
      </c>
      <c r="BB124" s="14">
        <f t="shared" si="2"/>
        <v>331491.86256086937</v>
      </c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3"/>
      <c r="CT124" s="3"/>
      <c r="CU124" s="3"/>
      <c r="CV124" s="3"/>
      <c r="CW124" s="3"/>
    </row>
    <row r="125" spans="1:101" ht="14.25" customHeight="1" x14ac:dyDescent="0.2">
      <c r="A125" s="328"/>
      <c r="B125" s="52">
        <v>0.17905923262154377</v>
      </c>
      <c r="C125" s="330">
        <v>0.57093389953927576</v>
      </c>
      <c r="D125" s="330">
        <v>3.1699435454036529E-2</v>
      </c>
      <c r="E125" s="330">
        <v>2.0228123255984554E-2</v>
      </c>
      <c r="F125" s="331">
        <v>0.76034108636596387</v>
      </c>
      <c r="G125" s="94">
        <v>0.41003130905587704</v>
      </c>
      <c r="H125" s="330">
        <v>0.4109648308662549</v>
      </c>
      <c r="I125" s="330">
        <v>2.4231764567021141E-2</v>
      </c>
      <c r="J125" s="330">
        <v>0.98205571287242599</v>
      </c>
      <c r="K125" s="330">
        <v>0.70752461297802094</v>
      </c>
      <c r="L125" s="332">
        <v>14349.281935458339</v>
      </c>
      <c r="M125" s="330">
        <v>0</v>
      </c>
      <c r="N125" s="330">
        <v>14436.986524345653</v>
      </c>
      <c r="O125" s="330">
        <v>1247.8740316477481</v>
      </c>
      <c r="P125" s="330">
        <v>40453.516278326919</v>
      </c>
      <c r="Q125" s="333">
        <v>80980.079114880049</v>
      </c>
      <c r="R125" s="330">
        <v>20327.264536677947</v>
      </c>
      <c r="S125" s="330">
        <v>9492.9151936940398</v>
      </c>
      <c r="T125" s="332">
        <v>4.4738764148858412E-2</v>
      </c>
      <c r="U125" s="330">
        <v>0.6348942379495125</v>
      </c>
      <c r="V125" s="330">
        <v>0.42541510185978848</v>
      </c>
      <c r="W125" s="330">
        <v>0.99999965881794406</v>
      </c>
      <c r="X125" s="330">
        <v>0.88434930330237538</v>
      </c>
      <c r="Y125" s="330">
        <v>0</v>
      </c>
      <c r="Z125" s="331">
        <v>0</v>
      </c>
      <c r="AA125" s="235"/>
      <c r="AB125" s="52">
        <v>94573.207737397359</v>
      </c>
      <c r="AC125" s="330">
        <v>4.0723884057617212</v>
      </c>
      <c r="AD125" s="330">
        <v>77385.491009241523</v>
      </c>
      <c r="AE125" s="330">
        <v>3.9370671061408715</v>
      </c>
      <c r="AF125" s="330">
        <v>17187.716728155836</v>
      </c>
      <c r="AG125" s="331">
        <v>0.13532129962084971</v>
      </c>
      <c r="AH125" s="235"/>
      <c r="AI125" s="208">
        <f t="shared" si="12"/>
        <v>3774195.7777362377</v>
      </c>
      <c r="AJ125" s="208">
        <f t="shared" si="13"/>
        <v>3662828.2598245866</v>
      </c>
      <c r="AK125" s="208">
        <f t="shared" si="14"/>
        <v>111367.51791165139</v>
      </c>
      <c r="AL125" s="235"/>
      <c r="AM125" s="52">
        <f t="shared" si="4"/>
        <v>1</v>
      </c>
      <c r="AN125" s="52">
        <f t="shared" si="5"/>
        <v>0</v>
      </c>
      <c r="AO125" s="52">
        <f t="shared" si="6"/>
        <v>1</v>
      </c>
      <c r="AP125" s="235"/>
      <c r="AQ125" s="3"/>
      <c r="AR125" s="3"/>
      <c r="AS125" s="3"/>
      <c r="AT125" s="3"/>
      <c r="AU125" s="235"/>
      <c r="AV125" s="360">
        <f t="shared" si="15"/>
        <v>3774195.7777362377</v>
      </c>
      <c r="AW125" s="235"/>
      <c r="AX125" s="354"/>
      <c r="AY125" s="14"/>
      <c r="AZ125" s="14">
        <f t="shared" si="17"/>
        <v>17187.716728155836</v>
      </c>
      <c r="BA125" s="14">
        <f t="shared" si="16"/>
        <v>0.13532129962084971</v>
      </c>
      <c r="BB125" s="14">
        <f t="shared" si="2"/>
        <v>127014.12694315883</v>
      </c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3"/>
      <c r="CT125" s="3"/>
      <c r="CU125" s="3"/>
      <c r="CV125" s="3"/>
      <c r="CW125" s="3"/>
    </row>
    <row r="126" spans="1:101" ht="14.25" customHeight="1" x14ac:dyDescent="0.2">
      <c r="A126" s="328"/>
      <c r="B126" s="52">
        <v>0.13192410702188503</v>
      </c>
      <c r="C126" s="330">
        <v>5.9634577392616052E-2</v>
      </c>
      <c r="D126" s="330">
        <v>2.0933316207211505E-2</v>
      </c>
      <c r="E126" s="330">
        <v>1.9144821498551567E-2</v>
      </c>
      <c r="F126" s="331">
        <v>0.81085725322907709</v>
      </c>
      <c r="G126" s="94">
        <v>0.46193401072275353</v>
      </c>
      <c r="H126" s="330">
        <v>0.88371373788594931</v>
      </c>
      <c r="I126" s="330">
        <v>2.0406837529423294E-2</v>
      </c>
      <c r="J126" s="330">
        <v>0.99226547526770648</v>
      </c>
      <c r="K126" s="330">
        <v>0.77524180122898723</v>
      </c>
      <c r="L126" s="332">
        <v>13546.817366414021</v>
      </c>
      <c r="M126" s="330">
        <v>0</v>
      </c>
      <c r="N126" s="330">
        <v>15288.683114177285</v>
      </c>
      <c r="O126" s="330">
        <v>1281.4591596744133</v>
      </c>
      <c r="P126" s="330">
        <v>55849.55417804778</v>
      </c>
      <c r="Q126" s="333">
        <v>131362.48799991159</v>
      </c>
      <c r="R126" s="330">
        <v>24854.003875444585</v>
      </c>
      <c r="S126" s="330">
        <v>13354.479288509247</v>
      </c>
      <c r="T126" s="332">
        <v>0.72129179082611306</v>
      </c>
      <c r="U126" s="330">
        <v>0.99304410713494451</v>
      </c>
      <c r="V126" s="330">
        <v>0.89360804258856819</v>
      </c>
      <c r="W126" s="330">
        <v>0.90450455253183826</v>
      </c>
      <c r="X126" s="330">
        <v>0.95168026828471985</v>
      </c>
      <c r="Y126" s="330">
        <v>0</v>
      </c>
      <c r="Z126" s="331">
        <v>0</v>
      </c>
      <c r="AA126" s="235"/>
      <c r="AB126" s="52">
        <v>130481.89569134574</v>
      </c>
      <c r="AC126" s="330">
        <v>5.0387453944450797</v>
      </c>
      <c r="AD126" s="330">
        <v>123548.33058559756</v>
      </c>
      <c r="AE126" s="330">
        <v>4.6332069692876212</v>
      </c>
      <c r="AF126" s="330">
        <v>6933.5651057481737</v>
      </c>
      <c r="AG126" s="331">
        <v>0.40553842515745853</v>
      </c>
      <c r="AH126" s="235"/>
      <c r="AI126" s="208">
        <f t="shared" si="12"/>
        <v>4656326.2290314799</v>
      </c>
      <c r="AJ126" s="208">
        <f t="shared" si="13"/>
        <v>4277998.2902376419</v>
      </c>
      <c r="AK126" s="208">
        <f t="shared" si="14"/>
        <v>378327.93879383738</v>
      </c>
      <c r="AL126" s="235"/>
      <c r="AM126" s="52">
        <f t="shared" si="4"/>
        <v>1</v>
      </c>
      <c r="AN126" s="52">
        <f t="shared" si="5"/>
        <v>0</v>
      </c>
      <c r="AO126" s="52">
        <f t="shared" si="6"/>
        <v>1</v>
      </c>
      <c r="AP126" s="235"/>
      <c r="AQ126" s="3"/>
      <c r="AR126" s="3"/>
      <c r="AS126" s="3"/>
      <c r="AT126" s="3"/>
      <c r="AU126" s="235"/>
      <c r="AV126" s="360">
        <f t="shared" si="15"/>
        <v>4656326.2290314799</v>
      </c>
      <c r="AW126" s="235"/>
      <c r="AX126" s="354"/>
      <c r="AY126" s="14"/>
      <c r="AZ126" s="14">
        <f t="shared" si="17"/>
        <v>6933.5651057481737</v>
      </c>
      <c r="BA126" s="14">
        <f t="shared" si="16"/>
        <v>0.40553842515745853</v>
      </c>
      <c r="BB126" s="14">
        <f t="shared" si="2"/>
        <v>17097.184078317798</v>
      </c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3"/>
      <c r="CT126" s="3"/>
      <c r="CU126" s="3"/>
      <c r="CV126" s="3"/>
      <c r="CW126" s="3"/>
    </row>
    <row r="127" spans="1:101" ht="14.25" customHeight="1" x14ac:dyDescent="0.2">
      <c r="A127" s="328"/>
      <c r="B127" s="52">
        <v>0.12400572661449338</v>
      </c>
      <c r="C127" s="330">
        <v>5.1085056721877124E-2</v>
      </c>
      <c r="D127" s="330">
        <v>1.6235564277239378E-2</v>
      </c>
      <c r="E127" s="330">
        <v>1.7096688574732455E-2</v>
      </c>
      <c r="F127" s="331">
        <v>0.78724919007059468</v>
      </c>
      <c r="G127" s="94">
        <v>0.4042131520393597</v>
      </c>
      <c r="H127" s="330">
        <v>0.41276061449437212</v>
      </c>
      <c r="I127" s="330">
        <v>2.3823270204664571E-2</v>
      </c>
      <c r="J127" s="330">
        <v>2.0482786018664809E-2</v>
      </c>
      <c r="K127" s="330">
        <v>0.80243119641927507</v>
      </c>
      <c r="L127" s="332">
        <v>8459.9692794110197</v>
      </c>
      <c r="M127" s="330">
        <v>0</v>
      </c>
      <c r="N127" s="330">
        <v>19338.98072411133</v>
      </c>
      <c r="O127" s="330">
        <v>1854.4227012724102</v>
      </c>
      <c r="P127" s="330">
        <v>62204.975906906446</v>
      </c>
      <c r="Q127" s="333">
        <v>91175.409111977715</v>
      </c>
      <c r="R127" s="330">
        <v>25491.538702457285</v>
      </c>
      <c r="S127" s="330">
        <v>8807.5973330575471</v>
      </c>
      <c r="T127" s="332">
        <v>0.71072736042846463</v>
      </c>
      <c r="U127" s="330">
        <v>0.95495306634164678</v>
      </c>
      <c r="V127" s="330">
        <v>0.9777864344740157</v>
      </c>
      <c r="W127" s="330">
        <v>0.10899631811088127</v>
      </c>
      <c r="X127" s="330">
        <v>0.19882366382147001</v>
      </c>
      <c r="Y127" s="330">
        <v>0</v>
      </c>
      <c r="Z127" s="331">
        <v>0</v>
      </c>
      <c r="AA127" s="235"/>
      <c r="AB127" s="52">
        <v>83445.714613646021</v>
      </c>
      <c r="AC127" s="330">
        <v>0.95404459263312991</v>
      </c>
      <c r="AD127" s="330">
        <v>81650.844146721443</v>
      </c>
      <c r="AE127" s="330">
        <v>1.1987162800877629</v>
      </c>
      <c r="AF127" s="330">
        <v>1794.8704669245781</v>
      </c>
      <c r="AG127" s="331">
        <v>-0.24467168745463297</v>
      </c>
      <c r="AH127" s="235"/>
      <c r="AI127" s="208">
        <f t="shared" si="12"/>
        <v>822896.64838782733</v>
      </c>
      <c r="AJ127" s="208">
        <f t="shared" si="13"/>
        <v>1057129.6219366533</v>
      </c>
      <c r="AK127" s="208">
        <f t="shared" si="14"/>
        <v>-234232.97354882589</v>
      </c>
      <c r="AL127" s="235"/>
      <c r="AM127" s="52">
        <f t="shared" si="4"/>
        <v>0</v>
      </c>
      <c r="AN127" s="52">
        <f t="shared" si="5"/>
        <v>1</v>
      </c>
      <c r="AO127" s="52">
        <f t="shared" si="6"/>
        <v>0</v>
      </c>
      <c r="AP127" s="235"/>
      <c r="AQ127" s="3"/>
      <c r="AR127" s="3"/>
      <c r="AS127" s="3"/>
      <c r="AT127" s="3"/>
      <c r="AU127" s="235"/>
      <c r="AV127" s="360">
        <f t="shared" si="15"/>
        <v>1057129.6219366533</v>
      </c>
      <c r="AW127" s="235"/>
      <c r="AX127" s="354"/>
      <c r="AY127" s="14"/>
      <c r="AZ127" s="14">
        <f t="shared" si="17"/>
        <v>1794.8704669245781</v>
      </c>
      <c r="BA127" s="14">
        <f t="shared" si="16"/>
        <v>-0.24467168745463297</v>
      </c>
      <c r="BB127" s="14">
        <f t="shared" si="2"/>
        <v>-7335.8322967277654</v>
      </c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3"/>
      <c r="CT127" s="3"/>
      <c r="CU127" s="3"/>
      <c r="CV127" s="3"/>
      <c r="CW127" s="3"/>
    </row>
    <row r="128" spans="1:101" ht="14.25" customHeight="1" x14ac:dyDescent="0.2">
      <c r="A128" s="328"/>
      <c r="B128" s="52">
        <v>0.15302760276119415</v>
      </c>
      <c r="C128" s="330">
        <v>0.25279785722596693</v>
      </c>
      <c r="D128" s="330">
        <v>1.7425330452476406E-2</v>
      </c>
      <c r="E128" s="330">
        <v>1.7164121968306523E-2</v>
      </c>
      <c r="F128" s="331">
        <v>0.80547294554044679</v>
      </c>
      <c r="G128" s="94">
        <v>0.38511409656320755</v>
      </c>
      <c r="H128" s="330">
        <v>0.31509927924378689</v>
      </c>
      <c r="I128" s="330">
        <v>1.6909426878275013E-2</v>
      </c>
      <c r="J128" s="330">
        <v>0.9999999757391691</v>
      </c>
      <c r="K128" s="330">
        <v>0.71017401105006983</v>
      </c>
      <c r="L128" s="332">
        <v>6748.5983594165027</v>
      </c>
      <c r="M128" s="330">
        <v>0</v>
      </c>
      <c r="N128" s="330">
        <v>14619.608480348719</v>
      </c>
      <c r="O128" s="330">
        <v>1451.3056292479944</v>
      </c>
      <c r="P128" s="330">
        <v>43299.99591158687</v>
      </c>
      <c r="Q128" s="333">
        <v>91187.396391846502</v>
      </c>
      <c r="R128" s="330">
        <v>20408.165972530085</v>
      </c>
      <c r="S128" s="330">
        <v>7121.5540079529383</v>
      </c>
      <c r="T128" s="332">
        <v>0.77325135619206387</v>
      </c>
      <c r="U128" s="330">
        <v>0.81802894055036535</v>
      </c>
      <c r="V128" s="330">
        <v>0.83697155832110304</v>
      </c>
      <c r="W128" s="330">
        <v>0.86499305258444203</v>
      </c>
      <c r="X128" s="330">
        <v>0.96326046809791788</v>
      </c>
      <c r="Y128" s="330">
        <v>0</v>
      </c>
      <c r="Z128" s="331">
        <v>0</v>
      </c>
      <c r="AA128" s="235"/>
      <c r="AB128" s="52">
        <v>69562.680000740249</v>
      </c>
      <c r="AC128" s="330">
        <v>5.0873042122822909</v>
      </c>
      <c r="AD128" s="330">
        <v>58271.805107347027</v>
      </c>
      <c r="AE128" s="330">
        <v>4.2264452063816176</v>
      </c>
      <c r="AF128" s="330">
        <v>11290.874893393222</v>
      </c>
      <c r="AG128" s="331">
        <v>0.86085900590067332</v>
      </c>
      <c r="AH128" s="235"/>
      <c r="AI128" s="208">
        <f t="shared" si="12"/>
        <v>4763376.3216674365</v>
      </c>
      <c r="AJ128" s="208">
        <f t="shared" si="13"/>
        <v>3956851.1409551897</v>
      </c>
      <c r="AK128" s="208">
        <f t="shared" si="14"/>
        <v>806525.18071224645</v>
      </c>
      <c r="AL128" s="235"/>
      <c r="AM128" s="52">
        <f t="shared" si="4"/>
        <v>1</v>
      </c>
      <c r="AN128" s="52">
        <f t="shared" si="5"/>
        <v>0</v>
      </c>
      <c r="AO128" s="52">
        <f t="shared" si="6"/>
        <v>1</v>
      </c>
      <c r="AP128" s="235"/>
      <c r="AQ128" s="3"/>
      <c r="AR128" s="3"/>
      <c r="AS128" s="3"/>
      <c r="AT128" s="3"/>
      <c r="AU128" s="235"/>
      <c r="AV128" s="360">
        <f t="shared" si="15"/>
        <v>4763376.3216674365</v>
      </c>
      <c r="AW128" s="235"/>
      <c r="AX128" s="354"/>
      <c r="AY128" s="14"/>
      <c r="AZ128" s="14">
        <f t="shared" si="17"/>
        <v>11290.874893393222</v>
      </c>
      <c r="BA128" s="14">
        <f t="shared" si="16"/>
        <v>0.86085900590067332</v>
      </c>
      <c r="BB128" s="14">
        <f t="shared" si="2"/>
        <v>13115.823631978095</v>
      </c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3"/>
      <c r="CT128" s="3"/>
      <c r="CU128" s="3"/>
      <c r="CV128" s="3"/>
      <c r="CW128" s="3"/>
    </row>
    <row r="129" spans="1:101" ht="14.25" customHeight="1" x14ac:dyDescent="0.2">
      <c r="A129" s="328"/>
      <c r="B129" s="52">
        <v>0.16782010369178801</v>
      </c>
      <c r="C129" s="330">
        <v>0.74896086242688409</v>
      </c>
      <c r="D129" s="330">
        <v>1.2578574827607039E-2</v>
      </c>
      <c r="E129" s="330">
        <v>8.4536108986034749E-3</v>
      </c>
      <c r="F129" s="331">
        <v>0.72364618712522177</v>
      </c>
      <c r="G129" s="94">
        <v>0.34955422169330896</v>
      </c>
      <c r="H129" s="330">
        <v>0.27758603448324487</v>
      </c>
      <c r="I129" s="330">
        <v>2.8139220248009078E-2</v>
      </c>
      <c r="J129" s="330">
        <v>0.99999999849459575</v>
      </c>
      <c r="K129" s="330">
        <v>0.71913314318104971</v>
      </c>
      <c r="L129" s="332">
        <v>10901.383900418496</v>
      </c>
      <c r="M129" s="330">
        <v>0</v>
      </c>
      <c r="N129" s="330">
        <v>18412.685259469075</v>
      </c>
      <c r="O129" s="330">
        <v>1271.4351402307143</v>
      </c>
      <c r="P129" s="330">
        <v>31124.829043120313</v>
      </c>
      <c r="Q129" s="333">
        <v>88121.613222924047</v>
      </c>
      <c r="R129" s="330">
        <v>21014.430822785631</v>
      </c>
      <c r="S129" s="330">
        <v>7167.6228127615968</v>
      </c>
      <c r="T129" s="332">
        <v>0.68075765858869297</v>
      </c>
      <c r="U129" s="330">
        <v>0.73203289410733552</v>
      </c>
      <c r="V129" s="330">
        <v>0.85270859780245323</v>
      </c>
      <c r="W129" s="330">
        <v>0.88129163866703364</v>
      </c>
      <c r="X129" s="330">
        <v>7.6513688554304168E-2</v>
      </c>
      <c r="Y129" s="330">
        <v>0</v>
      </c>
      <c r="Z129" s="331">
        <v>0</v>
      </c>
      <c r="AA129" s="235"/>
      <c r="AB129" s="52">
        <v>69603.974136085802</v>
      </c>
      <c r="AC129" s="330">
        <v>0.33844772440319959</v>
      </c>
      <c r="AD129" s="330">
        <v>59248.833592933064</v>
      </c>
      <c r="AE129" s="330">
        <v>0.50909543294458559</v>
      </c>
      <c r="AF129" s="330">
        <v>10355.140543152738</v>
      </c>
      <c r="AG129" s="331">
        <v>-0.170647708541386</v>
      </c>
      <c r="AH129" s="235"/>
      <c r="AI129" s="208">
        <f t="shared" si="12"/>
        <v>251921.36404695382</v>
      </c>
      <c r="AJ129" s="208">
        <f t="shared" si="13"/>
        <v>424391.82770442322</v>
      </c>
      <c r="AK129" s="208">
        <f t="shared" si="14"/>
        <v>-172470.46365746943</v>
      </c>
      <c r="AL129" s="235"/>
      <c r="AM129" s="52">
        <f t="shared" si="4"/>
        <v>0</v>
      </c>
      <c r="AN129" s="52">
        <f t="shared" si="5"/>
        <v>1</v>
      </c>
      <c r="AO129" s="52">
        <f t="shared" si="6"/>
        <v>0</v>
      </c>
      <c r="AP129" s="235"/>
      <c r="AQ129" s="3"/>
      <c r="AR129" s="3"/>
      <c r="AS129" s="3"/>
      <c r="AT129" s="3"/>
      <c r="AU129" s="235"/>
      <c r="AV129" s="360">
        <f t="shared" si="15"/>
        <v>424391.82770442322</v>
      </c>
      <c r="AW129" s="235"/>
      <c r="AX129" s="354"/>
      <c r="AY129" s="14"/>
      <c r="AZ129" s="14">
        <f t="shared" si="17"/>
        <v>10355.140543152738</v>
      </c>
      <c r="BA129" s="14">
        <f t="shared" si="16"/>
        <v>-0.170647708541386</v>
      </c>
      <c r="BB129" s="14">
        <f t="shared" si="2"/>
        <v>-60681.392276892941</v>
      </c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3"/>
      <c r="CT129" s="3"/>
      <c r="CU129" s="3"/>
      <c r="CV129" s="3"/>
      <c r="CW129" s="3"/>
    </row>
    <row r="130" spans="1:101" ht="14.25" customHeight="1" x14ac:dyDescent="0.2">
      <c r="A130" s="328"/>
      <c r="B130" s="52">
        <v>0.1441268181826425</v>
      </c>
      <c r="C130" s="330">
        <v>0.62309837730377482</v>
      </c>
      <c r="D130" s="330">
        <v>1.0932774424066509E-2</v>
      </c>
      <c r="E130" s="330">
        <v>1.4112282075055766E-2</v>
      </c>
      <c r="F130" s="331">
        <v>0.7848126688254049</v>
      </c>
      <c r="G130" s="94">
        <v>0.41796591294993479</v>
      </c>
      <c r="H130" s="330">
        <v>2.4967977048216891E-2</v>
      </c>
      <c r="I130" s="330">
        <v>1.7853275090634502E-2</v>
      </c>
      <c r="J130" s="330">
        <v>1.3097861722136041E-2</v>
      </c>
      <c r="K130" s="330">
        <v>0.72097256392461229</v>
      </c>
      <c r="L130" s="332">
        <v>12043.931867618307</v>
      </c>
      <c r="M130" s="330">
        <v>0</v>
      </c>
      <c r="N130" s="330">
        <v>10297.190541471857</v>
      </c>
      <c r="O130" s="330">
        <v>1324.2825380009299</v>
      </c>
      <c r="P130" s="330">
        <v>39658.248950130983</v>
      </c>
      <c r="Q130" s="333">
        <v>110273.76449352919</v>
      </c>
      <c r="R130" s="330">
        <v>20124.153407055011</v>
      </c>
      <c r="S130" s="330">
        <v>9155.9594151392175</v>
      </c>
      <c r="T130" s="332">
        <v>0.95018505016691213</v>
      </c>
      <c r="U130" s="330">
        <v>0.97465571557375608</v>
      </c>
      <c r="V130" s="330">
        <v>0.97529520889442167</v>
      </c>
      <c r="W130" s="330">
        <v>0.99997477356437736</v>
      </c>
      <c r="X130" s="330">
        <v>0.99893104668738453</v>
      </c>
      <c r="Y130" s="330">
        <v>0</v>
      </c>
      <c r="Z130" s="331">
        <v>0</v>
      </c>
      <c r="AA130" s="235"/>
      <c r="AB130" s="52">
        <v>91328.467195787176</v>
      </c>
      <c r="AC130" s="330">
        <v>4.753220428658671</v>
      </c>
      <c r="AD130" s="330">
        <v>72520.043651193264</v>
      </c>
      <c r="AE130" s="330">
        <v>4.6735973784821043</v>
      </c>
      <c r="AF130" s="330">
        <v>18808.423544593912</v>
      </c>
      <c r="AG130" s="331">
        <v>7.9623050176566679E-2</v>
      </c>
      <c r="AH130" s="235"/>
      <c r="AI130" s="208">
        <f t="shared" si="12"/>
        <v>4424230.9400299499</v>
      </c>
      <c r="AJ130" s="208">
        <f t="shared" si="13"/>
        <v>4367397.4659068054</v>
      </c>
      <c r="AK130" s="208">
        <f t="shared" si="14"/>
        <v>56833.474123144435</v>
      </c>
      <c r="AL130" s="235"/>
      <c r="AM130" s="52">
        <f t="shared" si="4"/>
        <v>1</v>
      </c>
      <c r="AN130" s="52">
        <f t="shared" si="5"/>
        <v>0</v>
      </c>
      <c r="AO130" s="52">
        <f t="shared" si="6"/>
        <v>1</v>
      </c>
      <c r="AP130" s="235"/>
      <c r="AQ130" s="3"/>
      <c r="AR130" s="3"/>
      <c r="AS130" s="3"/>
      <c r="AT130" s="3"/>
      <c r="AU130" s="235"/>
      <c r="AV130" s="360">
        <f t="shared" si="15"/>
        <v>4424230.9400299499</v>
      </c>
      <c r="AW130" s="235"/>
      <c r="AX130" s="354"/>
      <c r="AY130" s="14"/>
      <c r="AZ130" s="14">
        <f t="shared" si="17"/>
        <v>18808.423544593912</v>
      </c>
      <c r="BA130" s="14">
        <f t="shared" si="16"/>
        <v>7.9623050176566679E-2</v>
      </c>
      <c r="BB130" s="14">
        <f t="shared" si="2"/>
        <v>236218.32500620896</v>
      </c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3"/>
      <c r="CT130" s="3"/>
      <c r="CU130" s="3"/>
      <c r="CV130" s="3"/>
      <c r="CW130" s="3"/>
    </row>
    <row r="131" spans="1:101" ht="14.25" customHeight="1" x14ac:dyDescent="0.2">
      <c r="A131" s="328"/>
      <c r="B131" s="52">
        <v>0.15924171151431843</v>
      </c>
      <c r="C131" s="330">
        <v>6.9811106027710748E-3</v>
      </c>
      <c r="D131" s="330">
        <v>5.9749765785960321E-3</v>
      </c>
      <c r="E131" s="330">
        <v>1.0705335228265089E-2</v>
      </c>
      <c r="F131" s="331">
        <v>0.80373108653688508</v>
      </c>
      <c r="G131" s="94">
        <v>0.44993458009789955</v>
      </c>
      <c r="H131" s="330">
        <v>0.80470544871416083</v>
      </c>
      <c r="I131" s="330">
        <v>2.3551708560433093E-2</v>
      </c>
      <c r="J131" s="330">
        <v>0.99999995172548961</v>
      </c>
      <c r="K131" s="330">
        <v>0.75674874462711617</v>
      </c>
      <c r="L131" s="332">
        <v>14096.479385444696</v>
      </c>
      <c r="M131" s="330">
        <v>0</v>
      </c>
      <c r="N131" s="330">
        <v>15963.726372578722</v>
      </c>
      <c r="O131" s="330">
        <v>806.85864430226582</v>
      </c>
      <c r="P131" s="330">
        <v>39039.350852339921</v>
      </c>
      <c r="Q131" s="333">
        <v>124836.32784930906</v>
      </c>
      <c r="R131" s="330">
        <v>25240.072187770547</v>
      </c>
      <c r="S131" s="330">
        <v>10208.101872271443</v>
      </c>
      <c r="T131" s="332">
        <v>0.80689199006025658</v>
      </c>
      <c r="U131" s="330">
        <v>0.84415470363171941</v>
      </c>
      <c r="V131" s="330">
        <v>0.91780098656910436</v>
      </c>
      <c r="W131" s="330">
        <v>0.49150623621480871</v>
      </c>
      <c r="X131" s="330">
        <v>0.53417288225754544</v>
      </c>
      <c r="Y131" s="330">
        <v>0</v>
      </c>
      <c r="Z131" s="331">
        <v>0</v>
      </c>
      <c r="AA131" s="235"/>
      <c r="AB131" s="52">
        <v>102417.48701781232</v>
      </c>
      <c r="AC131" s="330">
        <v>2.81357508727646</v>
      </c>
      <c r="AD131" s="330">
        <v>94092.344814998476</v>
      </c>
      <c r="AE131" s="330">
        <v>2.472240311897798</v>
      </c>
      <c r="AF131" s="330">
        <v>8325.1422028138477</v>
      </c>
      <c r="AG131" s="331">
        <v>0.34133477537866197</v>
      </c>
      <c r="AH131" s="235"/>
      <c r="AI131" s="208">
        <f t="shared" si="12"/>
        <v>2570478.8458948247</v>
      </c>
      <c r="AJ131" s="208">
        <f t="shared" si="13"/>
        <v>2254535.9514879095</v>
      </c>
      <c r="AK131" s="208">
        <f t="shared" si="14"/>
        <v>315942.89440691506</v>
      </c>
      <c r="AL131" s="235"/>
      <c r="AM131" s="52">
        <f t="shared" si="4"/>
        <v>1</v>
      </c>
      <c r="AN131" s="52">
        <f t="shared" si="5"/>
        <v>0</v>
      </c>
      <c r="AO131" s="52">
        <f t="shared" si="6"/>
        <v>1</v>
      </c>
      <c r="AP131" s="235"/>
      <c r="AQ131" s="3"/>
      <c r="AR131" s="3"/>
      <c r="AS131" s="3"/>
      <c r="AT131" s="3"/>
      <c r="AU131" s="235"/>
      <c r="AV131" s="360">
        <f t="shared" si="15"/>
        <v>2570478.8458948247</v>
      </c>
      <c r="AW131" s="235"/>
      <c r="AX131" s="354"/>
      <c r="AY131" s="14"/>
      <c r="AZ131" s="14">
        <f t="shared" si="17"/>
        <v>8325.1422028138477</v>
      </c>
      <c r="BA131" s="14">
        <f t="shared" si="16"/>
        <v>0.34133477537866197</v>
      </c>
      <c r="BB131" s="14">
        <f t="shared" si="2"/>
        <v>24389.962006005091</v>
      </c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3"/>
      <c r="CT131" s="3"/>
      <c r="CU131" s="3"/>
      <c r="CV131" s="3"/>
      <c r="CW131" s="3"/>
    </row>
    <row r="132" spans="1:101" ht="14.25" customHeight="1" x14ac:dyDescent="0.2">
      <c r="A132" s="328"/>
      <c r="B132" s="52">
        <v>0.16182739839953664</v>
      </c>
      <c r="C132" s="330">
        <v>0.12788303690182606</v>
      </c>
      <c r="D132" s="330">
        <v>1.8682117332119774E-2</v>
      </c>
      <c r="E132" s="330">
        <v>1.5303008266661755E-2</v>
      </c>
      <c r="F132" s="331">
        <v>0.76640678768160098</v>
      </c>
      <c r="G132" s="94">
        <v>0.43350466120261189</v>
      </c>
      <c r="H132" s="330">
        <v>4.1085452664134117E-2</v>
      </c>
      <c r="I132" s="330">
        <v>1.6189583847397437E-2</v>
      </c>
      <c r="J132" s="330">
        <v>0.9999999999325051</v>
      </c>
      <c r="K132" s="330">
        <v>0.78811131313213467</v>
      </c>
      <c r="L132" s="332">
        <v>14790.690456134735</v>
      </c>
      <c r="M132" s="330">
        <v>0</v>
      </c>
      <c r="N132" s="330">
        <v>15871.123893978078</v>
      </c>
      <c r="O132" s="330">
        <v>1251.3084712500097</v>
      </c>
      <c r="P132" s="330">
        <v>42586.852241317618</v>
      </c>
      <c r="Q132" s="333">
        <v>86242.606788509336</v>
      </c>
      <c r="R132" s="330">
        <v>15144.607238808365</v>
      </c>
      <c r="S132" s="330">
        <v>7008.7330378332745</v>
      </c>
      <c r="T132" s="332">
        <v>0.87940926370412997</v>
      </c>
      <c r="U132" s="330">
        <v>0.24201591671704131</v>
      </c>
      <c r="V132" s="330">
        <v>0.78444105879237702</v>
      </c>
      <c r="W132" s="330">
        <v>0.99998548943015086</v>
      </c>
      <c r="X132" s="330">
        <v>0.96236350827947592</v>
      </c>
      <c r="Y132" s="330">
        <v>0</v>
      </c>
      <c r="Z132" s="331">
        <v>0</v>
      </c>
      <c r="AA132" s="235"/>
      <c r="AB132" s="52">
        <v>73213.287954329775</v>
      </c>
      <c r="AC132" s="330">
        <v>4.488018538262609</v>
      </c>
      <c r="AD132" s="330">
        <v>61112.648804883014</v>
      </c>
      <c r="AE132" s="330">
        <v>4.6939720428829048</v>
      </c>
      <c r="AF132" s="330">
        <v>12100.639149446761</v>
      </c>
      <c r="AG132" s="331">
        <v>-0.20595350462029582</v>
      </c>
      <c r="AH132" s="235"/>
      <c r="AI132" s="208">
        <f t="shared" si="12"/>
        <v>4190404.3233951484</v>
      </c>
      <c r="AJ132" s="208">
        <f t="shared" si="13"/>
        <v>4398160.7919338765</v>
      </c>
      <c r="AK132" s="208">
        <f t="shared" si="14"/>
        <v>-207756.46853872782</v>
      </c>
      <c r="AL132" s="235"/>
      <c r="AM132" s="52">
        <f t="shared" si="4"/>
        <v>0</v>
      </c>
      <c r="AN132" s="52">
        <f t="shared" si="5"/>
        <v>1</v>
      </c>
      <c r="AO132" s="52">
        <f t="shared" si="6"/>
        <v>0</v>
      </c>
      <c r="AP132" s="235"/>
      <c r="AQ132" s="3"/>
      <c r="AR132" s="3"/>
      <c r="AS132" s="3"/>
      <c r="AT132" s="3"/>
      <c r="AU132" s="235"/>
      <c r="AV132" s="360">
        <f t="shared" si="15"/>
        <v>4398160.7919338765</v>
      </c>
      <c r="AW132" s="235"/>
      <c r="AX132" s="354"/>
      <c r="AY132" s="14"/>
      <c r="AZ132" s="14">
        <f t="shared" si="17"/>
        <v>12100.639149446761</v>
      </c>
      <c r="BA132" s="14">
        <f t="shared" si="16"/>
        <v>-0.20595350462029582</v>
      </c>
      <c r="BB132" s="14">
        <f t="shared" si="2"/>
        <v>-58754.227910595582</v>
      </c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3"/>
      <c r="CT132" s="3"/>
      <c r="CU132" s="3"/>
      <c r="CV132" s="3"/>
      <c r="CW132" s="3"/>
    </row>
    <row r="133" spans="1:101" ht="14.25" customHeight="1" x14ac:dyDescent="0.2">
      <c r="A133" s="328"/>
      <c r="B133" s="52">
        <v>0.16229772774000373</v>
      </c>
      <c r="C133" s="330">
        <v>0.38782670391978191</v>
      </c>
      <c r="D133" s="330">
        <v>1.1556878865425555E-2</v>
      </c>
      <c r="E133" s="330">
        <v>5.5911098045896479E-3</v>
      </c>
      <c r="F133" s="331">
        <v>0.80436495490922022</v>
      </c>
      <c r="G133" s="94">
        <v>0.42111036656435163</v>
      </c>
      <c r="H133" s="330">
        <v>0.45194980832167625</v>
      </c>
      <c r="I133" s="330">
        <v>1.3626472346479275E-2</v>
      </c>
      <c r="J133" s="330">
        <v>0.47866449753701845</v>
      </c>
      <c r="K133" s="330">
        <v>0.75948591310561908</v>
      </c>
      <c r="L133" s="332">
        <v>14980.308042669119</v>
      </c>
      <c r="M133" s="330">
        <v>0</v>
      </c>
      <c r="N133" s="330">
        <v>21114.991256018064</v>
      </c>
      <c r="O133" s="330">
        <v>1269.4000207560698</v>
      </c>
      <c r="P133" s="330">
        <v>47159.202539405422</v>
      </c>
      <c r="Q133" s="333">
        <v>77169.715597825052</v>
      </c>
      <c r="R133" s="330">
        <v>21021.09240716531</v>
      </c>
      <c r="S133" s="330">
        <v>9588.3891557762254</v>
      </c>
      <c r="T133" s="332">
        <v>0.96254185492206834</v>
      </c>
      <c r="U133" s="330">
        <v>0.12005993307904946</v>
      </c>
      <c r="V133" s="330">
        <v>0.85354840264775567</v>
      </c>
      <c r="W133" s="330">
        <v>3.1697353769027679E-2</v>
      </c>
      <c r="X133" s="330">
        <v>0.99998284980295993</v>
      </c>
      <c r="Y133" s="330">
        <v>0</v>
      </c>
      <c r="Z133" s="331">
        <v>0</v>
      </c>
      <c r="AA133" s="235"/>
      <c r="AB133" s="52">
        <v>99420.237683496161</v>
      </c>
      <c r="AC133" s="330">
        <v>5.3804182359000023</v>
      </c>
      <c r="AD133" s="330">
        <v>83305.391552329456</v>
      </c>
      <c r="AE133" s="330">
        <v>4.6108496384256998</v>
      </c>
      <c r="AF133" s="330">
        <v>16114.846131166705</v>
      </c>
      <c r="AG133" s="331">
        <v>0.76956859747430251</v>
      </c>
      <c r="AH133" s="235"/>
      <c r="AI133" s="208">
        <f t="shared" si="12"/>
        <v>5011977.0864215055</v>
      </c>
      <c r="AJ133" s="208">
        <f t="shared" si="13"/>
        <v>4297001.7649520859</v>
      </c>
      <c r="AK133" s="208">
        <f t="shared" si="14"/>
        <v>714975.32146942068</v>
      </c>
      <c r="AL133" s="235"/>
      <c r="AM133" s="52">
        <f t="shared" si="4"/>
        <v>1</v>
      </c>
      <c r="AN133" s="52">
        <f t="shared" si="5"/>
        <v>0</v>
      </c>
      <c r="AO133" s="52">
        <f t="shared" si="6"/>
        <v>1</v>
      </c>
      <c r="AP133" s="235"/>
      <c r="AQ133" s="3"/>
      <c r="AR133" s="3"/>
      <c r="AS133" s="3"/>
      <c r="AT133" s="3"/>
      <c r="AU133" s="235"/>
      <c r="AV133" s="360">
        <f t="shared" si="15"/>
        <v>5011977.0864215055</v>
      </c>
      <c r="AW133" s="235"/>
      <c r="AX133" s="354"/>
      <c r="AY133" s="14"/>
      <c r="AZ133" s="14">
        <f t="shared" si="17"/>
        <v>16114.846131166705</v>
      </c>
      <c r="BA133" s="14">
        <f t="shared" si="16"/>
        <v>0.76956859747430251</v>
      </c>
      <c r="BB133" s="14">
        <f t="shared" si="2"/>
        <v>20940.103564588098</v>
      </c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3"/>
      <c r="CT133" s="3"/>
      <c r="CU133" s="3"/>
      <c r="CV133" s="3"/>
      <c r="CW133" s="3"/>
    </row>
    <row r="134" spans="1:101" ht="14.25" customHeight="1" x14ac:dyDescent="0.2">
      <c r="A134" s="328"/>
      <c r="B134" s="52">
        <v>0.15594849367992925</v>
      </c>
      <c r="C134" s="330">
        <v>0.30665376575357772</v>
      </c>
      <c r="D134" s="330">
        <v>1.1306467199567728E-2</v>
      </c>
      <c r="E134" s="330">
        <v>1.1187760754152523E-2</v>
      </c>
      <c r="F134" s="331">
        <v>0.81215482947783146</v>
      </c>
      <c r="G134" s="94">
        <v>0.35808954521182601</v>
      </c>
      <c r="H134" s="330">
        <v>0.10536156019336869</v>
      </c>
      <c r="I134" s="330">
        <v>3.9782035649853165E-2</v>
      </c>
      <c r="J134" s="330">
        <v>0.99999673611468332</v>
      </c>
      <c r="K134" s="330">
        <v>0.75627975568304739</v>
      </c>
      <c r="L134" s="332">
        <v>8953.3905572775566</v>
      </c>
      <c r="M134" s="330">
        <v>0</v>
      </c>
      <c r="N134" s="330">
        <v>18738.979621053619</v>
      </c>
      <c r="O134" s="330">
        <v>1123.0696043069436</v>
      </c>
      <c r="P134" s="330">
        <v>37040.850843436587</v>
      </c>
      <c r="Q134" s="333">
        <v>99810.644979096673</v>
      </c>
      <c r="R134" s="330">
        <v>30634.66559296694</v>
      </c>
      <c r="S134" s="330">
        <v>8962.6287632878521</v>
      </c>
      <c r="T134" s="332">
        <v>0.72246957982404325</v>
      </c>
      <c r="U134" s="330">
        <v>0.85859626834933234</v>
      </c>
      <c r="V134" s="330">
        <v>0.97148532752344319</v>
      </c>
      <c r="W134" s="330">
        <v>0.2098867298522841</v>
      </c>
      <c r="X134" s="330">
        <v>0.95160040306225135</v>
      </c>
      <c r="Y134" s="330">
        <v>0</v>
      </c>
      <c r="Z134" s="331">
        <v>0</v>
      </c>
      <c r="AA134" s="235"/>
      <c r="AB134" s="52">
        <v>88883.723248126043</v>
      </c>
      <c r="AC134" s="330">
        <v>4.7991822514196016</v>
      </c>
      <c r="AD134" s="330">
        <v>76601.301318643862</v>
      </c>
      <c r="AE134" s="330">
        <v>4.4576646076245634</v>
      </c>
      <c r="AF134" s="330">
        <v>12282.421929482181</v>
      </c>
      <c r="AG134" s="331">
        <v>0.34151764379503824</v>
      </c>
      <c r="AH134" s="235"/>
      <c r="AI134" s="208">
        <f t="shared" si="12"/>
        <v>4470339.4156004954</v>
      </c>
      <c r="AJ134" s="208">
        <f t="shared" si="13"/>
        <v>4158180.0759246913</v>
      </c>
      <c r="AK134" s="208">
        <f t="shared" si="14"/>
        <v>312159.33967580413</v>
      </c>
      <c r="AL134" s="235"/>
      <c r="AM134" s="52">
        <f t="shared" si="4"/>
        <v>1</v>
      </c>
      <c r="AN134" s="52">
        <f t="shared" si="5"/>
        <v>0</v>
      </c>
      <c r="AO134" s="52">
        <f t="shared" si="6"/>
        <v>1</v>
      </c>
      <c r="AP134" s="235"/>
      <c r="AQ134" s="3"/>
      <c r="AR134" s="3"/>
      <c r="AS134" s="3"/>
      <c r="AT134" s="3"/>
      <c r="AU134" s="235"/>
      <c r="AV134" s="360">
        <f t="shared" si="15"/>
        <v>4470339.4156004954</v>
      </c>
      <c r="AW134" s="235"/>
      <c r="AX134" s="354"/>
      <c r="AY134" s="14"/>
      <c r="AZ134" s="14">
        <f t="shared" si="17"/>
        <v>12282.421929482181</v>
      </c>
      <c r="BA134" s="14">
        <f t="shared" si="16"/>
        <v>0.34151764379503824</v>
      </c>
      <c r="BB134" s="14">
        <f t="shared" si="2"/>
        <v>35964.23831283363</v>
      </c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3"/>
      <c r="CT134" s="3"/>
      <c r="CU134" s="3"/>
      <c r="CV134" s="3"/>
      <c r="CW134" s="3"/>
    </row>
    <row r="135" spans="1:101" ht="14.25" customHeight="1" x14ac:dyDescent="0.2">
      <c r="A135" s="328"/>
      <c r="B135" s="52">
        <v>0.14393355278706021</v>
      </c>
      <c r="C135" s="330">
        <v>0.67151084171804321</v>
      </c>
      <c r="D135" s="330">
        <v>6.6788815907741867E-3</v>
      </c>
      <c r="E135" s="330">
        <v>5.1607545141831466E-3</v>
      </c>
      <c r="F135" s="331">
        <v>0.79824339536484934</v>
      </c>
      <c r="G135" s="94">
        <v>0.40669225266048659</v>
      </c>
      <c r="H135" s="330">
        <v>0.27215115767891701</v>
      </c>
      <c r="I135" s="330">
        <v>1.1011910634849362E-2</v>
      </c>
      <c r="J135" s="330">
        <v>0.97902753323264224</v>
      </c>
      <c r="K135" s="330">
        <v>0.75008709624712566</v>
      </c>
      <c r="L135" s="332">
        <v>15169.986932076979</v>
      </c>
      <c r="M135" s="330">
        <v>0</v>
      </c>
      <c r="N135" s="330">
        <v>13541.082441466231</v>
      </c>
      <c r="O135" s="330">
        <v>1104.8142692967376</v>
      </c>
      <c r="P135" s="330">
        <v>44124.553464841963</v>
      </c>
      <c r="Q135" s="333">
        <v>84362.998243213136</v>
      </c>
      <c r="R135" s="330">
        <v>35694.741882124188</v>
      </c>
      <c r="S135" s="330">
        <v>8164.5094097831925</v>
      </c>
      <c r="T135" s="332">
        <v>0.68931229304214092</v>
      </c>
      <c r="U135" s="330">
        <v>0.90497883338331508</v>
      </c>
      <c r="V135" s="330">
        <v>0.95835801763629269</v>
      </c>
      <c r="W135" s="330">
        <v>0.99998643264608678</v>
      </c>
      <c r="X135" s="330">
        <v>0.48607468394685421</v>
      </c>
      <c r="Y135" s="330">
        <v>0</v>
      </c>
      <c r="Z135" s="331">
        <v>0</v>
      </c>
      <c r="AA135" s="235"/>
      <c r="AB135" s="52">
        <v>88798.679710078257</v>
      </c>
      <c r="AC135" s="330">
        <v>2.4415928619181075</v>
      </c>
      <c r="AD135" s="330">
        <v>70813.630296466217</v>
      </c>
      <c r="AE135" s="330">
        <v>2.2109972780306593</v>
      </c>
      <c r="AF135" s="330">
        <v>17985.04941361204</v>
      </c>
      <c r="AG135" s="331">
        <v>0.23059558388744827</v>
      </c>
      <c r="AH135" s="235"/>
      <c r="AI135" s="208">
        <f t="shared" si="12"/>
        <v>2230714.5391121241</v>
      </c>
      <c r="AJ135" s="208">
        <f t="shared" si="13"/>
        <v>2029633.7838326602</v>
      </c>
      <c r="AK135" s="208">
        <f t="shared" si="14"/>
        <v>201080.75527946383</v>
      </c>
      <c r="AL135" s="235"/>
      <c r="AM135" s="52">
        <f t="shared" si="4"/>
        <v>1</v>
      </c>
      <c r="AN135" s="52">
        <f t="shared" si="5"/>
        <v>0</v>
      </c>
      <c r="AO135" s="52">
        <f t="shared" si="6"/>
        <v>1</v>
      </c>
      <c r="AP135" s="235"/>
      <c r="AQ135" s="3"/>
      <c r="AR135" s="3"/>
      <c r="AS135" s="3"/>
      <c r="AT135" s="3"/>
      <c r="AU135" s="235"/>
      <c r="AV135" s="360">
        <f t="shared" si="15"/>
        <v>2230714.5391121241</v>
      </c>
      <c r="AW135" s="235"/>
      <c r="AX135" s="354"/>
      <c r="AY135" s="14"/>
      <c r="AZ135" s="14">
        <f t="shared" si="17"/>
        <v>17985.04941361204</v>
      </c>
      <c r="BA135" s="14">
        <f t="shared" si="16"/>
        <v>0.23059558388744827</v>
      </c>
      <c r="BB135" s="14">
        <f t="shared" si="2"/>
        <v>77993.902183271595</v>
      </c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3"/>
      <c r="CT135" s="3"/>
      <c r="CU135" s="3"/>
      <c r="CV135" s="3"/>
      <c r="CW135" s="3"/>
    </row>
    <row r="136" spans="1:101" ht="14.25" customHeight="1" x14ac:dyDescent="0.2">
      <c r="A136" s="328"/>
      <c r="B136" s="52">
        <v>0.12686888938357471</v>
      </c>
      <c r="C136" s="330">
        <v>0.19227294540659626</v>
      </c>
      <c r="D136" s="330">
        <v>1.8895893206013925E-2</v>
      </c>
      <c r="E136" s="330">
        <v>1.1617063468475569E-2</v>
      </c>
      <c r="F136" s="331">
        <v>0.75142503803734473</v>
      </c>
      <c r="G136" s="94">
        <v>0.38715336365919606</v>
      </c>
      <c r="H136" s="330">
        <v>0.27708470923415363</v>
      </c>
      <c r="I136" s="330">
        <v>3.1903450344727968E-2</v>
      </c>
      <c r="J136" s="330">
        <v>0.9955308023667897</v>
      </c>
      <c r="K136" s="330">
        <v>0.76665645633188939</v>
      </c>
      <c r="L136" s="332">
        <v>11679.434610095928</v>
      </c>
      <c r="M136" s="330">
        <v>0</v>
      </c>
      <c r="N136" s="330">
        <v>18120.507821425053</v>
      </c>
      <c r="O136" s="330">
        <v>1606.9605155777954</v>
      </c>
      <c r="P136" s="330">
        <v>31828.471875453641</v>
      </c>
      <c r="Q136" s="333">
        <v>96558.189022867009</v>
      </c>
      <c r="R136" s="330">
        <v>22308.762424974295</v>
      </c>
      <c r="S136" s="330">
        <v>7578.5105088201408</v>
      </c>
      <c r="T136" s="332">
        <v>0.91662967629261494</v>
      </c>
      <c r="U136" s="330">
        <v>0.97602531684067162</v>
      </c>
      <c r="V136" s="330">
        <v>0.98905710245430933</v>
      </c>
      <c r="W136" s="330">
        <v>0.99993151253499735</v>
      </c>
      <c r="X136" s="330">
        <v>0.68273303326785506</v>
      </c>
      <c r="Y136" s="330">
        <v>0</v>
      </c>
      <c r="Z136" s="331">
        <v>0</v>
      </c>
      <c r="AA136" s="235"/>
      <c r="AB136" s="52">
        <v>73771.321243411076</v>
      </c>
      <c r="AC136" s="330">
        <v>3.2268602762684138</v>
      </c>
      <c r="AD136" s="330">
        <v>67148.434214491383</v>
      </c>
      <c r="AE136" s="330">
        <v>3.1905568670808639</v>
      </c>
      <c r="AF136" s="330">
        <v>6622.887028919693</v>
      </c>
      <c r="AG136" s="331">
        <v>3.6303409187549818E-2</v>
      </c>
      <c r="AH136" s="235"/>
      <c r="AI136" s="208">
        <f t="shared" si="12"/>
        <v>2991745.9412115822</v>
      </c>
      <c r="AJ136" s="208">
        <f t="shared" si="13"/>
        <v>2963880.5895123295</v>
      </c>
      <c r="AK136" s="208">
        <f t="shared" si="14"/>
        <v>27865.351699252635</v>
      </c>
      <c r="AL136" s="235"/>
      <c r="AM136" s="52">
        <f t="shared" si="4"/>
        <v>1</v>
      </c>
      <c r="AN136" s="52">
        <f t="shared" si="5"/>
        <v>0</v>
      </c>
      <c r="AO136" s="52">
        <f t="shared" si="6"/>
        <v>1</v>
      </c>
      <c r="AP136" s="235"/>
      <c r="AQ136" s="3"/>
      <c r="AR136" s="3"/>
      <c r="AS136" s="3"/>
      <c r="AT136" s="3"/>
      <c r="AU136" s="235"/>
      <c r="AV136" s="360">
        <f t="shared" si="15"/>
        <v>2991745.9412115822</v>
      </c>
      <c r="AW136" s="235"/>
      <c r="AX136" s="354"/>
      <c r="AY136" s="14"/>
      <c r="AZ136" s="14">
        <f t="shared" si="17"/>
        <v>6622.887028919693</v>
      </c>
      <c r="BA136" s="14">
        <f t="shared" si="16"/>
        <v>3.6303409187549818E-2</v>
      </c>
      <c r="BB136" s="14">
        <f t="shared" si="2"/>
        <v>182431.54505695842</v>
      </c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3"/>
      <c r="CT136" s="3"/>
      <c r="CU136" s="3"/>
      <c r="CV136" s="3"/>
      <c r="CW136" s="3"/>
    </row>
    <row r="137" spans="1:101" ht="14.25" customHeight="1" x14ac:dyDescent="0.2">
      <c r="A137" s="328"/>
      <c r="B137" s="52">
        <v>0.1561879404794865</v>
      </c>
      <c r="C137" s="330">
        <v>7.2780984007606497E-3</v>
      </c>
      <c r="D137" s="330">
        <v>1.6006356132306054E-2</v>
      </c>
      <c r="E137" s="330">
        <v>2.4140287670263216E-2</v>
      </c>
      <c r="F137" s="331">
        <v>0.80875824241986027</v>
      </c>
      <c r="G137" s="94">
        <v>0.38960918125840016</v>
      </c>
      <c r="H137" s="330">
        <v>0.13417347762338211</v>
      </c>
      <c r="I137" s="330">
        <v>2.327727120936196E-2</v>
      </c>
      <c r="J137" s="330">
        <v>0.95341975260686151</v>
      </c>
      <c r="K137" s="330">
        <v>0.8301211511306219</v>
      </c>
      <c r="L137" s="332">
        <v>9586.8253661046856</v>
      </c>
      <c r="M137" s="330">
        <v>0</v>
      </c>
      <c r="N137" s="330">
        <v>14676.565167856363</v>
      </c>
      <c r="O137" s="330">
        <v>1475.0413982118116</v>
      </c>
      <c r="P137" s="330">
        <v>43861.877826681259</v>
      </c>
      <c r="Q137" s="333">
        <v>120002.21694969627</v>
      </c>
      <c r="R137" s="330">
        <v>24279.893765364755</v>
      </c>
      <c r="S137" s="330">
        <v>10866.167470260993</v>
      </c>
      <c r="T137" s="332">
        <v>0.79926809368585383</v>
      </c>
      <c r="U137" s="330">
        <v>0.95146665939924058</v>
      </c>
      <c r="V137" s="330">
        <v>0.92692693359074763</v>
      </c>
      <c r="W137" s="330">
        <v>0.49503570731556784</v>
      </c>
      <c r="X137" s="330">
        <v>0.93974932385123555</v>
      </c>
      <c r="Y137" s="330">
        <v>0</v>
      </c>
      <c r="Z137" s="331">
        <v>0</v>
      </c>
      <c r="AA137" s="235"/>
      <c r="AB137" s="52">
        <v>104455.50803294744</v>
      </c>
      <c r="AC137" s="330">
        <v>4.6891623090772692</v>
      </c>
      <c r="AD137" s="330">
        <v>100208.6806710908</v>
      </c>
      <c r="AE137" s="330">
        <v>4.9678978339428976</v>
      </c>
      <c r="AF137" s="330">
        <v>4246.8273618566454</v>
      </c>
      <c r="AG137" s="331">
        <v>-0.27873552486562847</v>
      </c>
      <c r="AH137" s="235"/>
      <c r="AI137" s="208">
        <f t="shared" si="12"/>
        <v>4350248.6855904581</v>
      </c>
      <c r="AJ137" s="208">
        <f t="shared" si="13"/>
        <v>4619294.2615746614</v>
      </c>
      <c r="AK137" s="208">
        <f t="shared" si="14"/>
        <v>-269045.57598420366</v>
      </c>
      <c r="AL137" s="235"/>
      <c r="AM137" s="52">
        <f t="shared" si="4"/>
        <v>0</v>
      </c>
      <c r="AN137" s="52">
        <f t="shared" si="5"/>
        <v>1</v>
      </c>
      <c r="AO137" s="52">
        <f t="shared" si="6"/>
        <v>0</v>
      </c>
      <c r="AP137" s="235"/>
      <c r="AQ137" s="3"/>
      <c r="AR137" s="3"/>
      <c r="AS137" s="3"/>
      <c r="AT137" s="3"/>
      <c r="AU137" s="235"/>
      <c r="AV137" s="360">
        <f t="shared" si="15"/>
        <v>4619294.2615746614</v>
      </c>
      <c r="AW137" s="235"/>
      <c r="AX137" s="354"/>
      <c r="AY137" s="14"/>
      <c r="AZ137" s="14">
        <f t="shared" si="17"/>
        <v>4246.8273618566454</v>
      </c>
      <c r="BA137" s="14">
        <f t="shared" si="16"/>
        <v>-0.27873552486562847</v>
      </c>
      <c r="BB137" s="14">
        <f t="shared" si="2"/>
        <v>-15236.04629838244</v>
      </c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3"/>
      <c r="CT137" s="3"/>
      <c r="CU137" s="3"/>
      <c r="CV137" s="3"/>
      <c r="CW137" s="3"/>
    </row>
    <row r="138" spans="1:101" ht="14.25" customHeight="1" x14ac:dyDescent="0.2">
      <c r="A138" s="328"/>
      <c r="B138" s="52">
        <v>0.15219021272386618</v>
      </c>
      <c r="C138" s="330">
        <v>0.11052867873476413</v>
      </c>
      <c r="D138" s="330">
        <v>1.8209565648544035E-2</v>
      </c>
      <c r="E138" s="330">
        <v>7.1419452104433045E-3</v>
      </c>
      <c r="F138" s="331">
        <v>0.77823575615254825</v>
      </c>
      <c r="G138" s="94">
        <v>0.41069403838605811</v>
      </c>
      <c r="H138" s="330">
        <v>0.60848505495543082</v>
      </c>
      <c r="I138" s="330">
        <v>9.0777104913638117E-3</v>
      </c>
      <c r="J138" s="330">
        <v>1</v>
      </c>
      <c r="K138" s="330">
        <v>0.70962554016082724</v>
      </c>
      <c r="L138" s="332">
        <v>5509.8530959192685</v>
      </c>
      <c r="M138" s="330">
        <v>0</v>
      </c>
      <c r="N138" s="330">
        <v>14443.436202291527</v>
      </c>
      <c r="O138" s="330">
        <v>1046.5277399818178</v>
      </c>
      <c r="P138" s="330">
        <v>30258.040258898178</v>
      </c>
      <c r="Q138" s="333">
        <v>84804.852544681606</v>
      </c>
      <c r="R138" s="330">
        <v>22259.42918605516</v>
      </c>
      <c r="S138" s="330">
        <v>10603.466670160193</v>
      </c>
      <c r="T138" s="332">
        <v>0.99995801302414211</v>
      </c>
      <c r="U138" s="330">
        <v>0.90417337420036059</v>
      </c>
      <c r="V138" s="330">
        <v>0.97090904564342073</v>
      </c>
      <c r="W138" s="330">
        <v>0.81965730996423847</v>
      </c>
      <c r="X138" s="330">
        <v>0.99339997510505085</v>
      </c>
      <c r="Y138" s="330">
        <v>0</v>
      </c>
      <c r="Z138" s="331">
        <v>0</v>
      </c>
      <c r="AA138" s="235"/>
      <c r="AB138" s="52">
        <v>94833.551927046807</v>
      </c>
      <c r="AC138" s="330">
        <v>4.8866225563807033</v>
      </c>
      <c r="AD138" s="330">
        <v>87181.007759217886</v>
      </c>
      <c r="AE138" s="330">
        <v>4.5414214728132301</v>
      </c>
      <c r="AF138" s="330">
        <v>7652.5441678289208</v>
      </c>
      <c r="AG138" s="331">
        <v>0.34520108356747325</v>
      </c>
      <c r="AH138" s="235"/>
      <c r="AI138" s="208">
        <f t="shared" si="12"/>
        <v>4547457.8766346211</v>
      </c>
      <c r="AJ138" s="208">
        <f t="shared" si="13"/>
        <v>4227169.3914133506</v>
      </c>
      <c r="AK138" s="208">
        <f t="shared" si="14"/>
        <v>320288.48522127065</v>
      </c>
      <c r="AL138" s="235"/>
      <c r="AM138" s="52">
        <f t="shared" si="4"/>
        <v>1</v>
      </c>
      <c r="AN138" s="52">
        <f t="shared" si="5"/>
        <v>0</v>
      </c>
      <c r="AO138" s="52">
        <f t="shared" si="6"/>
        <v>1</v>
      </c>
      <c r="AP138" s="235"/>
      <c r="AQ138" s="3"/>
      <c r="AR138" s="3"/>
      <c r="AS138" s="3"/>
      <c r="AT138" s="3"/>
      <c r="AU138" s="235"/>
      <c r="AV138" s="360">
        <f t="shared" si="15"/>
        <v>4547457.8766346211</v>
      </c>
      <c r="AW138" s="235"/>
      <c r="AX138" s="354"/>
      <c r="AY138" s="14"/>
      <c r="AZ138" s="14">
        <f t="shared" si="17"/>
        <v>7652.5441678289208</v>
      </c>
      <c r="BA138" s="14">
        <f t="shared" si="16"/>
        <v>0.34520108356747325</v>
      </c>
      <c r="BB138" s="14">
        <f t="shared" si="2"/>
        <v>22168.366590115726</v>
      </c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3"/>
      <c r="CT138" s="3"/>
      <c r="CU138" s="3"/>
      <c r="CV138" s="3"/>
      <c r="CW138" s="3"/>
    </row>
    <row r="139" spans="1:101" ht="14.25" customHeight="1" x14ac:dyDescent="0.2">
      <c r="A139" s="328"/>
      <c r="B139" s="52">
        <v>0.15389528174808498</v>
      </c>
      <c r="C139" s="330">
        <v>4.5537223834188116E-2</v>
      </c>
      <c r="D139" s="330">
        <v>1.470420400392336E-2</v>
      </c>
      <c r="E139" s="330">
        <v>1.1392606476913928E-2</v>
      </c>
      <c r="F139" s="331">
        <v>0.75235574847701425</v>
      </c>
      <c r="G139" s="94">
        <v>0.38039732306030882</v>
      </c>
      <c r="H139" s="330">
        <v>0.14372055176597054</v>
      </c>
      <c r="I139" s="330">
        <v>3.7599178255400934E-2</v>
      </c>
      <c r="J139" s="330">
        <v>0.99999050535067946</v>
      </c>
      <c r="K139" s="330">
        <v>0.78950822832442391</v>
      </c>
      <c r="L139" s="332">
        <v>13672.544113151616</v>
      </c>
      <c r="M139" s="330">
        <v>0</v>
      </c>
      <c r="N139" s="330">
        <v>22371.600868578531</v>
      </c>
      <c r="O139" s="330">
        <v>1352.3052865619532</v>
      </c>
      <c r="P139" s="330">
        <v>39894.491950817675</v>
      </c>
      <c r="Q139" s="333">
        <v>89391.26596067287</v>
      </c>
      <c r="R139" s="330">
        <v>19440.836953382735</v>
      </c>
      <c r="S139" s="330">
        <v>10582.882070371661</v>
      </c>
      <c r="T139" s="332">
        <v>0.29923181355331546</v>
      </c>
      <c r="U139" s="330">
        <v>0.99778819376950056</v>
      </c>
      <c r="V139" s="330">
        <v>0.73407587612336334</v>
      </c>
      <c r="W139" s="330">
        <v>0.99244406855500733</v>
      </c>
      <c r="X139" s="330">
        <v>0.97687862575718865</v>
      </c>
      <c r="Y139" s="330">
        <v>0</v>
      </c>
      <c r="Z139" s="331">
        <v>0</v>
      </c>
      <c r="AA139" s="235"/>
      <c r="AB139" s="52">
        <v>99663.840021952201</v>
      </c>
      <c r="AC139" s="330">
        <v>4.4426232266666368</v>
      </c>
      <c r="AD139" s="330">
        <v>93381.412662257848</v>
      </c>
      <c r="AE139" s="330">
        <v>4.7595318647480465</v>
      </c>
      <c r="AF139" s="330">
        <v>6282.4273596943531</v>
      </c>
      <c r="AG139" s="331">
        <v>-0.31690863808140968</v>
      </c>
      <c r="AH139" s="235"/>
      <c r="AI139" s="208">
        <f t="shared" si="12"/>
        <v>4120828.2253113529</v>
      </c>
      <c r="AJ139" s="208">
        <f t="shared" si="13"/>
        <v>4428173.8588483864</v>
      </c>
      <c r="AK139" s="208">
        <f t="shared" si="14"/>
        <v>-307345.63353703357</v>
      </c>
      <c r="AL139" s="235"/>
      <c r="AM139" s="52">
        <f t="shared" si="4"/>
        <v>0</v>
      </c>
      <c r="AN139" s="52">
        <f t="shared" si="5"/>
        <v>1</v>
      </c>
      <c r="AO139" s="52">
        <f t="shared" si="6"/>
        <v>0</v>
      </c>
      <c r="AP139" s="235"/>
      <c r="AQ139" s="3"/>
      <c r="AR139" s="3"/>
      <c r="AS139" s="3"/>
      <c r="AT139" s="3"/>
      <c r="AU139" s="235"/>
      <c r="AV139" s="360">
        <f t="shared" si="15"/>
        <v>4428173.8588483864</v>
      </c>
      <c r="AW139" s="235"/>
      <c r="AX139" s="354"/>
      <c r="AY139" s="14"/>
      <c r="AZ139" s="14">
        <f t="shared" si="17"/>
        <v>6282.4273596943531</v>
      </c>
      <c r="BA139" s="14">
        <f t="shared" si="16"/>
        <v>-0.31690863808140968</v>
      </c>
      <c r="BB139" s="14">
        <f t="shared" si="2"/>
        <v>-19824.096300210284</v>
      </c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3"/>
      <c r="CT139" s="3"/>
      <c r="CU139" s="3"/>
      <c r="CV139" s="3"/>
      <c r="CW139" s="3"/>
    </row>
    <row r="140" spans="1:101" ht="14.25" customHeight="1" x14ac:dyDescent="0.2">
      <c r="A140" s="328"/>
      <c r="B140" s="52">
        <v>0.14592565148618625</v>
      </c>
      <c r="C140" s="330">
        <v>0.10079119294470419</v>
      </c>
      <c r="D140" s="330">
        <v>2.9550906251287756E-2</v>
      </c>
      <c r="E140" s="330">
        <v>1.908548997123849E-2</v>
      </c>
      <c r="F140" s="331">
        <v>0.78246713490249065</v>
      </c>
      <c r="G140" s="94">
        <v>0.34304356677846415</v>
      </c>
      <c r="H140" s="330">
        <v>0.86985256827761104</v>
      </c>
      <c r="I140" s="330">
        <v>1.7377288079480468E-2</v>
      </c>
      <c r="J140" s="330">
        <v>3.3750609960666732E-3</v>
      </c>
      <c r="K140" s="330">
        <v>0.79951044247197456</v>
      </c>
      <c r="L140" s="332">
        <v>17109.549513362774</v>
      </c>
      <c r="M140" s="330">
        <v>0</v>
      </c>
      <c r="N140" s="330">
        <v>16359.558313244384</v>
      </c>
      <c r="O140" s="330">
        <v>1277.2440530173633</v>
      </c>
      <c r="P140" s="330">
        <v>45716.168573957664</v>
      </c>
      <c r="Q140" s="333">
        <v>89544.444731270865</v>
      </c>
      <c r="R140" s="330">
        <v>28093.3050650269</v>
      </c>
      <c r="S140" s="330">
        <v>7067.019308852573</v>
      </c>
      <c r="T140" s="332">
        <v>0.99910754839915239</v>
      </c>
      <c r="U140" s="330">
        <v>0.99874690460571824</v>
      </c>
      <c r="V140" s="330">
        <v>0.5956522626648858</v>
      </c>
      <c r="W140" s="330">
        <v>0.95594466492978603</v>
      </c>
      <c r="X140" s="330">
        <v>0.10687824363814222</v>
      </c>
      <c r="Y140" s="330">
        <v>0</v>
      </c>
      <c r="Z140" s="331">
        <v>0</v>
      </c>
      <c r="AA140" s="235"/>
      <c r="AB140" s="52">
        <v>77440.97535295425</v>
      </c>
      <c r="AC140" s="330">
        <v>0.62195933607638476</v>
      </c>
      <c r="AD140" s="330">
        <v>69860.48987980948</v>
      </c>
      <c r="AE140" s="330">
        <v>0.81386280038731673</v>
      </c>
      <c r="AF140" s="330">
        <v>7580.4854731447704</v>
      </c>
      <c r="AG140" s="331">
        <v>-0.19190346431093197</v>
      </c>
      <c r="AH140" s="235"/>
      <c r="AI140" s="208">
        <f t="shared" si="12"/>
        <v>513420.39391961123</v>
      </c>
      <c r="AJ140" s="208">
        <f t="shared" si="13"/>
        <v>703309.17048814148</v>
      </c>
      <c r="AK140" s="208">
        <f t="shared" si="14"/>
        <v>-189888.77656853016</v>
      </c>
      <c r="AL140" s="235"/>
      <c r="AM140" s="52">
        <f t="shared" si="4"/>
        <v>0</v>
      </c>
      <c r="AN140" s="52">
        <f t="shared" si="5"/>
        <v>1</v>
      </c>
      <c r="AO140" s="52">
        <f t="shared" si="6"/>
        <v>0</v>
      </c>
      <c r="AP140" s="235"/>
      <c r="AQ140" s="3"/>
      <c r="AR140" s="3"/>
      <c r="AS140" s="3"/>
      <c r="AT140" s="3"/>
      <c r="AU140" s="235"/>
      <c r="AV140" s="360">
        <f t="shared" si="15"/>
        <v>703309.17048814148</v>
      </c>
      <c r="AW140" s="235"/>
      <c r="AX140" s="354"/>
      <c r="AY140" s="14"/>
      <c r="AZ140" s="14">
        <f t="shared" si="17"/>
        <v>7580.4854731447704</v>
      </c>
      <c r="BA140" s="14">
        <f t="shared" si="16"/>
        <v>-0.19190346431093197</v>
      </c>
      <c r="BB140" s="14">
        <f t="shared" si="2"/>
        <v>-39501.556161917295</v>
      </c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3"/>
      <c r="CT140" s="3"/>
      <c r="CU140" s="3"/>
      <c r="CV140" s="3"/>
      <c r="CW140" s="3"/>
    </row>
    <row r="141" spans="1:101" ht="14.25" customHeight="1" x14ac:dyDescent="0.2">
      <c r="A141" s="328"/>
      <c r="B141" s="52">
        <v>0.13625662160638943</v>
      </c>
      <c r="C141" s="330">
        <v>9.4322647082999408E-2</v>
      </c>
      <c r="D141" s="330">
        <v>1.5493280898919659E-2</v>
      </c>
      <c r="E141" s="330">
        <v>1.2455132467275315E-2</v>
      </c>
      <c r="F141" s="331">
        <v>0.78380344653500644</v>
      </c>
      <c r="G141" s="94">
        <v>0.44085153195754634</v>
      </c>
      <c r="H141" s="330">
        <v>6.4026483622355315E-2</v>
      </c>
      <c r="I141" s="330">
        <v>7.4587246830287203E-3</v>
      </c>
      <c r="J141" s="330">
        <v>1</v>
      </c>
      <c r="K141" s="330">
        <v>0.68841793870805157</v>
      </c>
      <c r="L141" s="332">
        <v>10443.363371664644</v>
      </c>
      <c r="M141" s="330">
        <v>0</v>
      </c>
      <c r="N141" s="330">
        <v>24814.724302353945</v>
      </c>
      <c r="O141" s="330">
        <v>1231.9517640386</v>
      </c>
      <c r="P141" s="330">
        <v>52993.508268274745</v>
      </c>
      <c r="Q141" s="333">
        <v>92186.308394882217</v>
      </c>
      <c r="R141" s="330">
        <v>24700.060101019175</v>
      </c>
      <c r="S141" s="330">
        <v>10865.073126370529</v>
      </c>
      <c r="T141" s="332">
        <v>0.37473318612273349</v>
      </c>
      <c r="U141" s="330">
        <v>0.99928477027983897</v>
      </c>
      <c r="V141" s="330">
        <v>0.84344173583818882</v>
      </c>
      <c r="W141" s="330">
        <v>0.95560274116560584</v>
      </c>
      <c r="X141" s="330">
        <v>0.99974987878946053</v>
      </c>
      <c r="Y141" s="330">
        <v>0</v>
      </c>
      <c r="Z141" s="331">
        <v>0</v>
      </c>
      <c r="AA141" s="235"/>
      <c r="AB141" s="52">
        <v>102513.37205702104</v>
      </c>
      <c r="AC141" s="330">
        <v>4.8374901679031437</v>
      </c>
      <c r="AD141" s="330">
        <v>82068.242228073912</v>
      </c>
      <c r="AE141" s="330">
        <v>4.2135202136158361</v>
      </c>
      <c r="AF141" s="330">
        <v>20445.129828947131</v>
      </c>
      <c r="AG141" s="331">
        <v>0.62396995428730762</v>
      </c>
      <c r="AH141" s="235"/>
      <c r="AI141" s="208">
        <f t="shared" si="12"/>
        <v>4493102.2874509655</v>
      </c>
      <c r="AJ141" s="208">
        <f t="shared" si="13"/>
        <v>3920775.9607069702</v>
      </c>
      <c r="AK141" s="208">
        <f t="shared" si="14"/>
        <v>572326.32674399507</v>
      </c>
      <c r="AL141" s="235"/>
      <c r="AM141" s="52">
        <f t="shared" si="4"/>
        <v>1</v>
      </c>
      <c r="AN141" s="52">
        <f t="shared" si="5"/>
        <v>0</v>
      </c>
      <c r="AO141" s="52">
        <f t="shared" si="6"/>
        <v>1</v>
      </c>
      <c r="AP141" s="235"/>
      <c r="AQ141" s="3"/>
      <c r="AR141" s="3"/>
      <c r="AS141" s="3"/>
      <c r="AT141" s="3"/>
      <c r="AU141" s="235"/>
      <c r="AV141" s="360">
        <f t="shared" si="15"/>
        <v>4493102.2874509655</v>
      </c>
      <c r="AW141" s="235"/>
      <c r="AX141" s="354"/>
      <c r="AY141" s="14"/>
      <c r="AZ141" s="14">
        <f t="shared" si="17"/>
        <v>20445.129828947131</v>
      </c>
      <c r="BA141" s="14">
        <f t="shared" si="16"/>
        <v>0.62396995428730762</v>
      </c>
      <c r="BB141" s="14">
        <f t="shared" si="2"/>
        <v>32766.208835006099</v>
      </c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3"/>
      <c r="CT141" s="3"/>
      <c r="CU141" s="3"/>
      <c r="CV141" s="3"/>
      <c r="CW141" s="3"/>
    </row>
    <row r="142" spans="1:101" ht="14.25" customHeight="1" x14ac:dyDescent="0.2">
      <c r="A142" s="328"/>
      <c r="B142" s="52">
        <v>0.16774427106325429</v>
      </c>
      <c r="C142" s="330">
        <v>0.14133105115666256</v>
      </c>
      <c r="D142" s="330">
        <v>1.383056737702601E-2</v>
      </c>
      <c r="E142" s="330">
        <v>2.3879011604249656E-2</v>
      </c>
      <c r="F142" s="331">
        <v>0.7814187724500915</v>
      </c>
      <c r="G142" s="94">
        <v>0.36926694892197026</v>
      </c>
      <c r="H142" s="330">
        <v>0.92326772574385663</v>
      </c>
      <c r="I142" s="330">
        <v>2.0441334839560565E-2</v>
      </c>
      <c r="J142" s="330">
        <v>0.9999999931958794</v>
      </c>
      <c r="K142" s="330">
        <v>0.76085497183063056</v>
      </c>
      <c r="L142" s="332">
        <v>12244.277883579964</v>
      </c>
      <c r="M142" s="330">
        <v>0</v>
      </c>
      <c r="N142" s="330">
        <v>15160.708247729739</v>
      </c>
      <c r="O142" s="330">
        <v>833.40865833610042</v>
      </c>
      <c r="P142" s="330">
        <v>47899.816128019454</v>
      </c>
      <c r="Q142" s="333">
        <v>141753.84341737285</v>
      </c>
      <c r="R142" s="330">
        <v>19989.433528381938</v>
      </c>
      <c r="S142" s="330">
        <v>7078.7992443979028</v>
      </c>
      <c r="T142" s="332">
        <v>0.96042537197607625</v>
      </c>
      <c r="U142" s="330">
        <v>0.89710058508285073</v>
      </c>
      <c r="V142" s="330">
        <v>0.98789120360707416</v>
      </c>
      <c r="W142" s="330">
        <v>0.68598789972061058</v>
      </c>
      <c r="X142" s="330">
        <v>0.69304453119238218</v>
      </c>
      <c r="Y142" s="330">
        <v>0</v>
      </c>
      <c r="Z142" s="331">
        <v>0</v>
      </c>
      <c r="AA142" s="235"/>
      <c r="AB142" s="52">
        <v>72550.215378904773</v>
      </c>
      <c r="AC142" s="330">
        <v>3.7446039934469075</v>
      </c>
      <c r="AD142" s="330">
        <v>66348.574984136925</v>
      </c>
      <c r="AE142" s="330">
        <v>3.2805643589111133</v>
      </c>
      <c r="AF142" s="330">
        <v>6201.6403947678482</v>
      </c>
      <c r="AG142" s="331">
        <v>0.46403963453579422</v>
      </c>
      <c r="AH142" s="235"/>
      <c r="AI142" s="208">
        <f t="shared" ref="AI142:AI205" si="18">AC142*cRatio-AB142</f>
        <v>3484823.5783956572</v>
      </c>
      <c r="AJ142" s="208">
        <f t="shared" ref="AJ142:AJ205" si="19">AE142*cRatio-AD142</f>
        <v>3050187.5659814207</v>
      </c>
      <c r="AK142" s="208">
        <f t="shared" ref="AK142:AK205" si="20">AG142*cRatio-AF142</f>
        <v>434636.01241423667</v>
      </c>
      <c r="AL142" s="235"/>
      <c r="AM142" s="52">
        <f t="shared" si="4"/>
        <v>1</v>
      </c>
      <c r="AN142" s="52">
        <f t="shared" si="5"/>
        <v>0</v>
      </c>
      <c r="AO142" s="52">
        <f t="shared" si="6"/>
        <v>1</v>
      </c>
      <c r="AP142" s="235"/>
      <c r="AQ142" s="3"/>
      <c r="AR142" s="3"/>
      <c r="AS142" s="3"/>
      <c r="AT142" s="3"/>
      <c r="AU142" s="235"/>
      <c r="AV142" s="360">
        <f t="shared" si="15"/>
        <v>3484823.5783956572</v>
      </c>
      <c r="AW142" s="235"/>
      <c r="AX142" s="354"/>
      <c r="AY142" s="14"/>
      <c r="AZ142" s="14">
        <f t="shared" si="17"/>
        <v>6201.6403947678482</v>
      </c>
      <c r="BA142" s="14">
        <f t="shared" si="16"/>
        <v>0.46403963453579422</v>
      </c>
      <c r="BB142" s="14">
        <f t="shared" si="2"/>
        <v>13364.462716577451</v>
      </c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3"/>
      <c r="CT142" s="3"/>
      <c r="CU142" s="3"/>
      <c r="CV142" s="3"/>
      <c r="CW142" s="3"/>
    </row>
    <row r="143" spans="1:101" ht="14.25" customHeight="1" x14ac:dyDescent="0.2">
      <c r="A143" s="328"/>
      <c r="B143" s="52">
        <v>0.13744628467441633</v>
      </c>
      <c r="C143" s="330">
        <v>0.29917643108943365</v>
      </c>
      <c r="D143" s="330">
        <v>2.7253136719383231E-2</v>
      </c>
      <c r="E143" s="330">
        <v>5.6352188331128235E-3</v>
      </c>
      <c r="F143" s="331">
        <v>0.78138796878266514</v>
      </c>
      <c r="G143" s="94">
        <v>0.41184882810407897</v>
      </c>
      <c r="H143" s="330">
        <v>0.63973757746312154</v>
      </c>
      <c r="I143" s="330">
        <v>1.7090816274671017E-2</v>
      </c>
      <c r="J143" s="330">
        <v>0.21707485941584001</v>
      </c>
      <c r="K143" s="330">
        <v>0.74974077334254186</v>
      </c>
      <c r="L143" s="332">
        <v>6780.5944788320294</v>
      </c>
      <c r="M143" s="330">
        <v>0</v>
      </c>
      <c r="N143" s="330">
        <v>23990.486595923499</v>
      </c>
      <c r="O143" s="330">
        <v>1388.6263811356102</v>
      </c>
      <c r="P143" s="330">
        <v>36995.577155753563</v>
      </c>
      <c r="Q143" s="333">
        <v>68730.610781019815</v>
      </c>
      <c r="R143" s="330">
        <v>19536.523273928411</v>
      </c>
      <c r="S143" s="330">
        <v>10507.480934573612</v>
      </c>
      <c r="T143" s="332">
        <v>0.93549726025817359</v>
      </c>
      <c r="U143" s="330">
        <v>0.88468992915230837</v>
      </c>
      <c r="V143" s="330">
        <v>8.4316392315463853E-2</v>
      </c>
      <c r="W143" s="330">
        <v>0.96476493183807444</v>
      </c>
      <c r="X143" s="330">
        <v>0.49592049897963197</v>
      </c>
      <c r="Y143" s="330">
        <v>0</v>
      </c>
      <c r="Z143" s="331">
        <v>0</v>
      </c>
      <c r="AA143" s="235"/>
      <c r="AB143" s="52">
        <v>96141.459799136486</v>
      </c>
      <c r="AC143" s="330">
        <v>2.3442420628467393</v>
      </c>
      <c r="AD143" s="330">
        <v>90788.854152096566</v>
      </c>
      <c r="AE143" s="330">
        <v>2.3282313924249243</v>
      </c>
      <c r="AF143" s="330">
        <v>5352.6056470399199</v>
      </c>
      <c r="AG143" s="331">
        <v>1.6010670421815032E-2</v>
      </c>
      <c r="AH143" s="235"/>
      <c r="AI143" s="208">
        <f t="shared" si="18"/>
        <v>2130888.4999052659</v>
      </c>
      <c r="AJ143" s="208">
        <f t="shared" si="19"/>
        <v>2121030.9686515816</v>
      </c>
      <c r="AK143" s="208">
        <f t="shared" si="20"/>
        <v>9857.5312536843612</v>
      </c>
      <c r="AL143" s="235"/>
      <c r="AM143" s="52">
        <f t="shared" si="4"/>
        <v>1</v>
      </c>
      <c r="AN143" s="52">
        <f t="shared" si="5"/>
        <v>0</v>
      </c>
      <c r="AO143" s="52">
        <f t="shared" si="6"/>
        <v>1</v>
      </c>
      <c r="AP143" s="235"/>
      <c r="AQ143" s="3"/>
      <c r="AR143" s="3"/>
      <c r="AS143" s="3"/>
      <c r="AT143" s="3"/>
      <c r="AU143" s="235"/>
      <c r="AV143" s="360">
        <f t="shared" ref="AV143:AV206" si="21">MAX(AI143:AJ143)</f>
        <v>2130888.4999052659</v>
      </c>
      <c r="AW143" s="235"/>
      <c r="AX143" s="354"/>
      <c r="AY143" s="14"/>
      <c r="AZ143" s="14">
        <f t="shared" si="17"/>
        <v>5352.6056470399199</v>
      </c>
      <c r="BA143" s="14">
        <f t="shared" ref="BA143:BA206" si="22">AG143</f>
        <v>1.6010670421815032E-2</v>
      </c>
      <c r="BB143" s="14">
        <f t="shared" si="2"/>
        <v>334314.89787878148</v>
      </c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3"/>
      <c r="CT143" s="3"/>
      <c r="CU143" s="3"/>
      <c r="CV143" s="3"/>
      <c r="CW143" s="3"/>
    </row>
    <row r="144" spans="1:101" ht="14.25" customHeight="1" x14ac:dyDescent="0.2">
      <c r="A144" s="328"/>
      <c r="B144" s="52">
        <v>0.18794997902316724</v>
      </c>
      <c r="C144" s="330">
        <v>0.24312179214627294</v>
      </c>
      <c r="D144" s="330">
        <v>2.3224061370951787E-2</v>
      </c>
      <c r="E144" s="330">
        <v>2.2953948353373277E-2</v>
      </c>
      <c r="F144" s="331">
        <v>0.80215465455620882</v>
      </c>
      <c r="G144" s="94">
        <v>0.35777931350939862</v>
      </c>
      <c r="H144" s="330">
        <v>0.49127427040163563</v>
      </c>
      <c r="I144" s="330">
        <v>3.7781807149932845E-2</v>
      </c>
      <c r="J144" s="330">
        <v>0.99984573939290844</v>
      </c>
      <c r="K144" s="330">
        <v>0.74070362590919847</v>
      </c>
      <c r="L144" s="332">
        <v>11709.68274370272</v>
      </c>
      <c r="M144" s="330">
        <v>0</v>
      </c>
      <c r="N144" s="330">
        <v>23865.395725081322</v>
      </c>
      <c r="O144" s="330">
        <v>1523.995236801173</v>
      </c>
      <c r="P144" s="330">
        <v>32216.666123664079</v>
      </c>
      <c r="Q144" s="333">
        <v>87048.744391684173</v>
      </c>
      <c r="R144" s="330">
        <v>24115.924075396499</v>
      </c>
      <c r="S144" s="330">
        <v>10054.058035188878</v>
      </c>
      <c r="T144" s="332">
        <v>0.64163060627568258</v>
      </c>
      <c r="U144" s="330">
        <v>0.11389490732108749</v>
      </c>
      <c r="V144" s="330">
        <v>0.69990242300872207</v>
      </c>
      <c r="W144" s="330">
        <v>0.257572741551856</v>
      </c>
      <c r="X144" s="330">
        <v>0.99680180498261839</v>
      </c>
      <c r="Y144" s="330">
        <v>0</v>
      </c>
      <c r="Z144" s="331">
        <v>0</v>
      </c>
      <c r="AA144" s="235"/>
      <c r="AB144" s="52">
        <v>100030.08038539505</v>
      </c>
      <c r="AC144" s="330">
        <v>5.1160713805901628</v>
      </c>
      <c r="AD144" s="330">
        <v>86554.130356676324</v>
      </c>
      <c r="AE144" s="330">
        <v>4.4675700578497297</v>
      </c>
      <c r="AF144" s="330">
        <v>13475.950028718726</v>
      </c>
      <c r="AG144" s="331">
        <v>0.64850132274043304</v>
      </c>
      <c r="AH144" s="235"/>
      <c r="AI144" s="208">
        <f t="shared" si="18"/>
        <v>4760237.7311752597</v>
      </c>
      <c r="AJ144" s="208">
        <f t="shared" si="19"/>
        <v>4157637.4246005672</v>
      </c>
      <c r="AK144" s="208">
        <f t="shared" si="20"/>
        <v>602600.30657469272</v>
      </c>
      <c r="AL144" s="235"/>
      <c r="AM144" s="52">
        <f t="shared" si="4"/>
        <v>1</v>
      </c>
      <c r="AN144" s="52">
        <f t="shared" si="5"/>
        <v>0</v>
      </c>
      <c r="AO144" s="52">
        <f t="shared" si="6"/>
        <v>1</v>
      </c>
      <c r="AP144" s="235"/>
      <c r="AQ144" s="3"/>
      <c r="AR144" s="3"/>
      <c r="AS144" s="3"/>
      <c r="AT144" s="3"/>
      <c r="AU144" s="235"/>
      <c r="AV144" s="360">
        <f t="shared" si="21"/>
        <v>4760237.7311752597</v>
      </c>
      <c r="AW144" s="235"/>
      <c r="AX144" s="354"/>
      <c r="AY144" s="14"/>
      <c r="AZ144" s="14">
        <f t="shared" ref="AZ144:AZ207" si="23">AF144</f>
        <v>13475.950028718726</v>
      </c>
      <c r="BA144" s="14">
        <f t="shared" si="22"/>
        <v>0.64850132274043304</v>
      </c>
      <c r="BB144" s="14">
        <f t="shared" si="2"/>
        <v>20780.142701594094</v>
      </c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3"/>
      <c r="CT144" s="3"/>
      <c r="CU144" s="3"/>
      <c r="CV144" s="3"/>
      <c r="CW144" s="3"/>
    </row>
    <row r="145" spans="1:101" ht="14.25" customHeight="1" x14ac:dyDescent="0.2">
      <c r="A145" s="328"/>
      <c r="B145" s="52">
        <v>0.167275452165913</v>
      </c>
      <c r="C145" s="330">
        <v>0.18433726792400751</v>
      </c>
      <c r="D145" s="330">
        <v>1.1746024074191928E-2</v>
      </c>
      <c r="E145" s="330">
        <v>1.8557558701405852E-2</v>
      </c>
      <c r="F145" s="331">
        <v>0.755869278708723</v>
      </c>
      <c r="G145" s="94">
        <v>0.45404814607527755</v>
      </c>
      <c r="H145" s="330">
        <v>0.10836528657045816</v>
      </c>
      <c r="I145" s="330">
        <v>5.4235697061432633E-3</v>
      </c>
      <c r="J145" s="330">
        <v>0.3153640941841227</v>
      </c>
      <c r="K145" s="330">
        <v>0.78905926939279325</v>
      </c>
      <c r="L145" s="332">
        <v>10864.53069768446</v>
      </c>
      <c r="M145" s="330">
        <v>0</v>
      </c>
      <c r="N145" s="330">
        <v>26442.243168891076</v>
      </c>
      <c r="O145" s="330">
        <v>1091.0185260920516</v>
      </c>
      <c r="P145" s="330">
        <v>34106.221933309906</v>
      </c>
      <c r="Q145" s="333">
        <v>87862.720562126764</v>
      </c>
      <c r="R145" s="330">
        <v>23426.386947657757</v>
      </c>
      <c r="S145" s="330">
        <v>10948.513149349394</v>
      </c>
      <c r="T145" s="332">
        <v>0.9986669614445145</v>
      </c>
      <c r="U145" s="330">
        <v>4.421243093387027E-2</v>
      </c>
      <c r="V145" s="330">
        <v>0.58199112052282509</v>
      </c>
      <c r="W145" s="330">
        <v>0.99978625114850406</v>
      </c>
      <c r="X145" s="330">
        <v>0.9706672624699404</v>
      </c>
      <c r="Y145" s="330">
        <v>0</v>
      </c>
      <c r="Z145" s="331">
        <v>0</v>
      </c>
      <c r="AA145" s="235"/>
      <c r="AB145" s="52">
        <v>100752.08620207093</v>
      </c>
      <c r="AC145" s="330">
        <v>4.7548462550036756</v>
      </c>
      <c r="AD145" s="330">
        <v>94623.180765921599</v>
      </c>
      <c r="AE145" s="330">
        <v>4.6301031045441068</v>
      </c>
      <c r="AF145" s="330">
        <v>6128.9054361493327</v>
      </c>
      <c r="AG145" s="331">
        <v>0.12474315045956885</v>
      </c>
      <c r="AH145" s="235"/>
      <c r="AI145" s="208">
        <f t="shared" si="18"/>
        <v>4416351.8560514208</v>
      </c>
      <c r="AJ145" s="208">
        <f t="shared" si="19"/>
        <v>4303974.7685509799</v>
      </c>
      <c r="AK145" s="208">
        <f t="shared" si="20"/>
        <v>112377.08750044108</v>
      </c>
      <c r="AL145" s="235"/>
      <c r="AM145" s="52">
        <f t="shared" si="4"/>
        <v>1</v>
      </c>
      <c r="AN145" s="52">
        <f t="shared" si="5"/>
        <v>0</v>
      </c>
      <c r="AO145" s="52">
        <f t="shared" si="6"/>
        <v>1</v>
      </c>
      <c r="AP145" s="235"/>
      <c r="AQ145" s="3"/>
      <c r="AR145" s="3"/>
      <c r="AS145" s="3"/>
      <c r="AT145" s="3"/>
      <c r="AU145" s="235"/>
      <c r="AV145" s="360">
        <f t="shared" si="21"/>
        <v>4416351.8560514208</v>
      </c>
      <c r="AW145" s="235"/>
      <c r="AX145" s="354"/>
      <c r="AY145" s="14"/>
      <c r="AZ145" s="14">
        <f t="shared" si="23"/>
        <v>6128.9054361493327</v>
      </c>
      <c r="BA145" s="14">
        <f t="shared" si="22"/>
        <v>0.12474315045956885</v>
      </c>
      <c r="BB145" s="14">
        <f t="shared" si="2"/>
        <v>49132.200153432903</v>
      </c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3"/>
      <c r="CT145" s="3"/>
      <c r="CU145" s="3"/>
      <c r="CV145" s="3"/>
      <c r="CW145" s="3"/>
    </row>
    <row r="146" spans="1:101" ht="14.25" customHeight="1" x14ac:dyDescent="0.2">
      <c r="A146" s="328"/>
      <c r="B146" s="52">
        <v>0.16818598772676197</v>
      </c>
      <c r="C146" s="330">
        <v>0.43890652592075352</v>
      </c>
      <c r="D146" s="330">
        <v>1.5630483419688868E-2</v>
      </c>
      <c r="E146" s="330">
        <v>1.9657726199964753E-2</v>
      </c>
      <c r="F146" s="331">
        <v>0.80963965905524926</v>
      </c>
      <c r="G146" s="94">
        <v>0.38729789908210072</v>
      </c>
      <c r="H146" s="330">
        <v>0.36511455884438898</v>
      </c>
      <c r="I146" s="330">
        <v>1.988699141566963E-2</v>
      </c>
      <c r="J146" s="330">
        <v>1</v>
      </c>
      <c r="K146" s="330">
        <v>0.73895259341837094</v>
      </c>
      <c r="L146" s="332">
        <v>15895.061612503519</v>
      </c>
      <c r="M146" s="330">
        <v>0</v>
      </c>
      <c r="N146" s="330">
        <v>14976.09140159838</v>
      </c>
      <c r="O146" s="330">
        <v>1258.5082085848824</v>
      </c>
      <c r="P146" s="330">
        <v>60386.726083508926</v>
      </c>
      <c r="Q146" s="333">
        <v>108691.27393170928</v>
      </c>
      <c r="R146" s="330">
        <v>35668.362405</v>
      </c>
      <c r="S146" s="330">
        <v>7353.7210163668824</v>
      </c>
      <c r="T146" s="332">
        <v>0.99993772682550119</v>
      </c>
      <c r="U146" s="330">
        <v>0.62865660565903636</v>
      </c>
      <c r="V146" s="330">
        <v>0.73573472880761859</v>
      </c>
      <c r="W146" s="330">
        <v>0.98524285336804907</v>
      </c>
      <c r="X146" s="330">
        <v>0.98818112745819686</v>
      </c>
      <c r="Y146" s="330">
        <v>0</v>
      </c>
      <c r="Z146" s="331">
        <v>0</v>
      </c>
      <c r="AA146" s="235"/>
      <c r="AB146" s="52">
        <v>82921.60830332803</v>
      </c>
      <c r="AC146" s="330">
        <v>5.2849459011769877</v>
      </c>
      <c r="AD146" s="330">
        <v>65283.165394762997</v>
      </c>
      <c r="AE146" s="330">
        <v>4.5134362752832375</v>
      </c>
      <c r="AF146" s="330">
        <v>17638.442908565034</v>
      </c>
      <c r="AG146" s="331">
        <v>0.77150962589375016</v>
      </c>
      <c r="AH146" s="235"/>
      <c r="AI146" s="208">
        <f t="shared" si="18"/>
        <v>4937776.9978148099</v>
      </c>
      <c r="AJ146" s="208">
        <f t="shared" si="19"/>
        <v>4222481.296124313</v>
      </c>
      <c r="AK146" s="208">
        <f t="shared" si="20"/>
        <v>715295.70169049758</v>
      </c>
      <c r="AL146" s="235"/>
      <c r="AM146" s="52">
        <f t="shared" si="4"/>
        <v>1</v>
      </c>
      <c r="AN146" s="52">
        <f t="shared" si="5"/>
        <v>0</v>
      </c>
      <c r="AO146" s="52">
        <f t="shared" si="6"/>
        <v>1</v>
      </c>
      <c r="AP146" s="235"/>
      <c r="AQ146" s="3"/>
      <c r="AR146" s="3"/>
      <c r="AS146" s="3"/>
      <c r="AT146" s="3"/>
      <c r="AU146" s="235"/>
      <c r="AV146" s="360">
        <f t="shared" si="21"/>
        <v>4937776.9978148099</v>
      </c>
      <c r="AW146" s="235"/>
      <c r="AX146" s="354"/>
      <c r="AY146" s="14"/>
      <c r="AZ146" s="14">
        <f t="shared" si="23"/>
        <v>17638.442908565034</v>
      </c>
      <c r="BA146" s="14">
        <f t="shared" si="22"/>
        <v>0.77150962589375016</v>
      </c>
      <c r="BB146" s="14">
        <f t="shared" si="2"/>
        <v>22862.246064826344</v>
      </c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3"/>
      <c r="CT146" s="3"/>
      <c r="CU146" s="3"/>
      <c r="CV146" s="3"/>
      <c r="CW146" s="3"/>
    </row>
    <row r="147" spans="1:101" ht="14.25" customHeight="1" x14ac:dyDescent="0.2">
      <c r="A147" s="328"/>
      <c r="B147" s="52">
        <v>0.18299957926475907</v>
      </c>
      <c r="C147" s="330">
        <v>0.1871633860832754</v>
      </c>
      <c r="D147" s="330">
        <v>8.6679202398625733E-3</v>
      </c>
      <c r="E147" s="330">
        <v>2.1858763030656481E-2</v>
      </c>
      <c r="F147" s="331">
        <v>0.78016776075074901</v>
      </c>
      <c r="G147" s="94">
        <v>0.30385704508980427</v>
      </c>
      <c r="H147" s="330">
        <v>0.48134767571666026</v>
      </c>
      <c r="I147" s="330">
        <v>1.4659236423351882E-2</v>
      </c>
      <c r="J147" s="330">
        <v>0.99999999512498872</v>
      </c>
      <c r="K147" s="330">
        <v>0.80728801215135171</v>
      </c>
      <c r="L147" s="332">
        <v>13234.228316645644</v>
      </c>
      <c r="M147" s="330">
        <v>0</v>
      </c>
      <c r="N147" s="330">
        <v>18312.371972416397</v>
      </c>
      <c r="O147" s="330">
        <v>1046.2187395553447</v>
      </c>
      <c r="P147" s="330">
        <v>25846.980858128587</v>
      </c>
      <c r="Q147" s="333">
        <v>64646.529133184835</v>
      </c>
      <c r="R147" s="330">
        <v>25418.832484277413</v>
      </c>
      <c r="S147" s="330">
        <v>7969.4763851562939</v>
      </c>
      <c r="T147" s="332">
        <v>0.82183764366355649</v>
      </c>
      <c r="U147" s="330">
        <v>0.99651991062923706</v>
      </c>
      <c r="V147" s="330">
        <v>0.57778468262549532</v>
      </c>
      <c r="W147" s="330">
        <v>0.37828564762678746</v>
      </c>
      <c r="X147" s="330">
        <v>0.32553902645459948</v>
      </c>
      <c r="Y147" s="330">
        <v>0</v>
      </c>
      <c r="Z147" s="331">
        <v>0</v>
      </c>
      <c r="AA147" s="235"/>
      <c r="AB147" s="52">
        <v>81122.113681501723</v>
      </c>
      <c r="AC147" s="330">
        <v>1.5803245826298782</v>
      </c>
      <c r="AD147" s="330">
        <v>73528.151518541563</v>
      </c>
      <c r="AE147" s="330">
        <v>1.6633693918516546</v>
      </c>
      <c r="AF147" s="330">
        <v>7593.9621629601606</v>
      </c>
      <c r="AG147" s="331">
        <v>-8.3044809221776372E-2</v>
      </c>
      <c r="AH147" s="235"/>
      <c r="AI147" s="208">
        <f t="shared" si="18"/>
        <v>1420186.2398168826</v>
      </c>
      <c r="AJ147" s="208">
        <f t="shared" si="19"/>
        <v>1506672.7707405302</v>
      </c>
      <c r="AK147" s="208">
        <f t="shared" si="20"/>
        <v>-86486.530923647719</v>
      </c>
      <c r="AL147" s="235"/>
      <c r="AM147" s="52">
        <f t="shared" si="4"/>
        <v>0</v>
      </c>
      <c r="AN147" s="52">
        <f t="shared" si="5"/>
        <v>1</v>
      </c>
      <c r="AO147" s="52">
        <f t="shared" si="6"/>
        <v>0</v>
      </c>
      <c r="AP147" s="235"/>
      <c r="AQ147" s="3"/>
      <c r="AR147" s="3"/>
      <c r="AS147" s="3"/>
      <c r="AT147" s="3"/>
      <c r="AU147" s="235"/>
      <c r="AV147" s="360">
        <f t="shared" si="21"/>
        <v>1506672.7707405302</v>
      </c>
      <c r="AW147" s="235"/>
      <c r="AX147" s="354"/>
      <c r="AY147" s="14"/>
      <c r="AZ147" s="14">
        <f t="shared" si="23"/>
        <v>7593.9621629601606</v>
      </c>
      <c r="BA147" s="14">
        <f t="shared" si="22"/>
        <v>-8.3044809221776372E-2</v>
      </c>
      <c r="BB147" s="14">
        <f t="shared" si="2"/>
        <v>-91444.152068313007</v>
      </c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3"/>
      <c r="CT147" s="3"/>
      <c r="CU147" s="3"/>
      <c r="CV147" s="3"/>
      <c r="CW147" s="3"/>
    </row>
    <row r="148" spans="1:101" ht="14.25" customHeight="1" x14ac:dyDescent="0.2">
      <c r="A148" s="328"/>
      <c r="B148" s="52">
        <v>0.14870642476228604</v>
      </c>
      <c r="C148" s="330">
        <v>0.10645493232906279</v>
      </c>
      <c r="D148" s="330">
        <v>7.8838718174996485E-3</v>
      </c>
      <c r="E148" s="330">
        <v>7.9278693970462367E-3</v>
      </c>
      <c r="F148" s="331">
        <v>0.77683423164469556</v>
      </c>
      <c r="G148" s="94">
        <v>0.35007005001962965</v>
      </c>
      <c r="H148" s="330">
        <v>0.73862431320020161</v>
      </c>
      <c r="I148" s="330">
        <v>1.0535309919901712E-2</v>
      </c>
      <c r="J148" s="330">
        <v>0.95865906343968654</v>
      </c>
      <c r="K148" s="330">
        <v>0.7685668945402615</v>
      </c>
      <c r="L148" s="332">
        <v>11445.080833071406</v>
      </c>
      <c r="M148" s="330">
        <v>0</v>
      </c>
      <c r="N148" s="330">
        <v>17443.771005617531</v>
      </c>
      <c r="O148" s="330">
        <v>1348.4887512529724</v>
      </c>
      <c r="P148" s="330">
        <v>48448.304340116156</v>
      </c>
      <c r="Q148" s="333">
        <v>69545.277446759239</v>
      </c>
      <c r="R148" s="330">
        <v>25201.407731962106</v>
      </c>
      <c r="S148" s="330">
        <v>8003.4606569646721</v>
      </c>
      <c r="T148" s="332">
        <v>0.89893817274953103</v>
      </c>
      <c r="U148" s="330">
        <v>0.97214505862354561</v>
      </c>
      <c r="V148" s="330">
        <v>0.83491614144472015</v>
      </c>
      <c r="W148" s="330">
        <v>0.49770094437543783</v>
      </c>
      <c r="X148" s="330">
        <v>0.77917994878555208</v>
      </c>
      <c r="Y148" s="330">
        <v>0</v>
      </c>
      <c r="Z148" s="331">
        <v>0</v>
      </c>
      <c r="AA148" s="235"/>
      <c r="AB148" s="52">
        <v>78846.659352214672</v>
      </c>
      <c r="AC148" s="330">
        <v>3.8939454123242099</v>
      </c>
      <c r="AD148" s="330">
        <v>73428.997312850202</v>
      </c>
      <c r="AE148" s="330">
        <v>3.9150259253793696</v>
      </c>
      <c r="AF148" s="330">
        <v>5417.6620393644698</v>
      </c>
      <c r="AG148" s="331">
        <v>-2.1080513055159678E-2</v>
      </c>
      <c r="AH148" s="235"/>
      <c r="AI148" s="208">
        <f t="shared" si="18"/>
        <v>3620401.4823557846</v>
      </c>
      <c r="AJ148" s="208">
        <f t="shared" si="19"/>
        <v>3645845.6317975507</v>
      </c>
      <c r="AK148" s="208">
        <f t="shared" si="20"/>
        <v>-25444.149441766163</v>
      </c>
      <c r="AL148" s="235"/>
      <c r="AM148" s="52">
        <f t="shared" si="4"/>
        <v>0</v>
      </c>
      <c r="AN148" s="52">
        <f t="shared" si="5"/>
        <v>1</v>
      </c>
      <c r="AO148" s="52">
        <f t="shared" si="6"/>
        <v>0</v>
      </c>
      <c r="AP148" s="235"/>
      <c r="AQ148" s="3"/>
      <c r="AR148" s="3"/>
      <c r="AS148" s="3"/>
      <c r="AT148" s="3"/>
      <c r="AU148" s="235"/>
      <c r="AV148" s="360">
        <f t="shared" si="21"/>
        <v>3645845.6317975507</v>
      </c>
      <c r="AW148" s="235"/>
      <c r="AX148" s="354"/>
      <c r="AY148" s="14"/>
      <c r="AZ148" s="14">
        <f t="shared" si="23"/>
        <v>5417.6620393644698</v>
      </c>
      <c r="BA148" s="14">
        <f t="shared" si="22"/>
        <v>-2.1080513055159678E-2</v>
      </c>
      <c r="BB148" s="14">
        <f t="shared" si="2"/>
        <v>-256998.58562211037</v>
      </c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3"/>
      <c r="CT148" s="3"/>
      <c r="CU148" s="3"/>
      <c r="CV148" s="3"/>
      <c r="CW148" s="3"/>
    </row>
    <row r="149" spans="1:101" ht="14.25" customHeight="1" x14ac:dyDescent="0.2">
      <c r="A149" s="328"/>
      <c r="B149" s="52">
        <v>0.21411531206916901</v>
      </c>
      <c r="C149" s="330">
        <v>3.1180372351905745E-2</v>
      </c>
      <c r="D149" s="330">
        <v>7.9551931991753561E-3</v>
      </c>
      <c r="E149" s="330">
        <v>1.0425042107877869E-2</v>
      </c>
      <c r="F149" s="331">
        <v>0.78838097330800194</v>
      </c>
      <c r="G149" s="94">
        <v>0.36733635878639304</v>
      </c>
      <c r="H149" s="330">
        <v>9.92153768705238E-2</v>
      </c>
      <c r="I149" s="330">
        <v>1.293312345325562E-2</v>
      </c>
      <c r="J149" s="330">
        <v>0.99949366862479638</v>
      </c>
      <c r="K149" s="330">
        <v>0.72086304834701653</v>
      </c>
      <c r="L149" s="332">
        <v>10940.249167018643</v>
      </c>
      <c r="M149" s="330">
        <v>0</v>
      </c>
      <c r="N149" s="330">
        <v>16133.015478927869</v>
      </c>
      <c r="O149" s="330">
        <v>1432.9711753581948</v>
      </c>
      <c r="P149" s="330">
        <v>36903.727006399327</v>
      </c>
      <c r="Q149" s="333">
        <v>92079.877699713266</v>
      </c>
      <c r="R149" s="330">
        <v>24361.282138001032</v>
      </c>
      <c r="S149" s="330">
        <v>6573.429977426099</v>
      </c>
      <c r="T149" s="332">
        <v>0.98481024514845894</v>
      </c>
      <c r="U149" s="330">
        <v>0.99999834333000748</v>
      </c>
      <c r="V149" s="330">
        <v>0.93557589396143404</v>
      </c>
      <c r="W149" s="330">
        <v>0.9635158033263781</v>
      </c>
      <c r="X149" s="330">
        <v>0.99419931282357377</v>
      </c>
      <c r="Y149" s="330">
        <v>0</v>
      </c>
      <c r="Z149" s="331">
        <v>0</v>
      </c>
      <c r="AA149" s="235"/>
      <c r="AB149" s="52">
        <v>67180.675141238578</v>
      </c>
      <c r="AC149" s="330">
        <v>5.1738280667838401</v>
      </c>
      <c r="AD149" s="330">
        <v>52946.057157277428</v>
      </c>
      <c r="AE149" s="330">
        <v>4.7158278035869294</v>
      </c>
      <c r="AF149" s="330">
        <v>14234.61798396115</v>
      </c>
      <c r="AG149" s="331">
        <v>0.45800026319691067</v>
      </c>
      <c r="AH149" s="235"/>
      <c r="AI149" s="208">
        <f t="shared" si="18"/>
        <v>4847955.9883034099</v>
      </c>
      <c r="AJ149" s="208">
        <f t="shared" si="19"/>
        <v>4427090.3562503057</v>
      </c>
      <c r="AK149" s="208">
        <f t="shared" si="20"/>
        <v>420865.632053104</v>
      </c>
      <c r="AL149" s="235"/>
      <c r="AM149" s="52">
        <f t="shared" si="4"/>
        <v>1</v>
      </c>
      <c r="AN149" s="52">
        <f t="shared" si="5"/>
        <v>0</v>
      </c>
      <c r="AO149" s="52">
        <f t="shared" si="6"/>
        <v>1</v>
      </c>
      <c r="AP149" s="235"/>
      <c r="AQ149" s="3"/>
      <c r="AR149" s="3"/>
      <c r="AS149" s="3"/>
      <c r="AT149" s="3"/>
      <c r="AU149" s="235"/>
      <c r="AV149" s="360">
        <f t="shared" si="21"/>
        <v>4847955.9883034099</v>
      </c>
      <c r="AW149" s="235"/>
      <c r="AX149" s="354"/>
      <c r="AY149" s="14"/>
      <c r="AZ149" s="14">
        <f t="shared" si="23"/>
        <v>14234.61798396115</v>
      </c>
      <c r="BA149" s="14">
        <f t="shared" si="22"/>
        <v>0.45800026319691067</v>
      </c>
      <c r="BB149" s="14">
        <f t="shared" si="2"/>
        <v>31079.934069472751</v>
      </c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3"/>
      <c r="CT149" s="3"/>
      <c r="CU149" s="3"/>
      <c r="CV149" s="3"/>
      <c r="CW149" s="3"/>
    </row>
    <row r="150" spans="1:101" ht="14.25" customHeight="1" x14ac:dyDescent="0.2">
      <c r="A150" s="328"/>
      <c r="B150" s="52">
        <v>0.22294180749064596</v>
      </c>
      <c r="C150" s="330">
        <v>0.25273189580890054</v>
      </c>
      <c r="D150" s="330">
        <v>6.4470451445428128E-3</v>
      </c>
      <c r="E150" s="330">
        <v>1.3723100215258244E-2</v>
      </c>
      <c r="F150" s="331">
        <v>0.77197805727369373</v>
      </c>
      <c r="G150" s="94">
        <v>0.38936558137557531</v>
      </c>
      <c r="H150" s="330">
        <v>0.47913030901638254</v>
      </c>
      <c r="I150" s="330">
        <v>1.3713935498055623E-2</v>
      </c>
      <c r="J150" s="330">
        <v>0.99995284219156622</v>
      </c>
      <c r="K150" s="330">
        <v>0.76110052899715575</v>
      </c>
      <c r="L150" s="332">
        <v>17312.358999864555</v>
      </c>
      <c r="M150" s="330">
        <v>0</v>
      </c>
      <c r="N150" s="330">
        <v>20302.09644423498</v>
      </c>
      <c r="O150" s="330">
        <v>1684.6710625337344</v>
      </c>
      <c r="P150" s="330">
        <v>37679.149353946894</v>
      </c>
      <c r="Q150" s="333">
        <v>102002.87878223787</v>
      </c>
      <c r="R150" s="330">
        <v>24591.47467355632</v>
      </c>
      <c r="S150" s="330">
        <v>6580.8545860978411</v>
      </c>
      <c r="T150" s="332">
        <v>0.84289811795423353</v>
      </c>
      <c r="U150" s="330">
        <v>0.98758108871855366</v>
      </c>
      <c r="V150" s="330">
        <v>0.37197911758357616</v>
      </c>
      <c r="W150" s="330">
        <v>0.6557367376283052</v>
      </c>
      <c r="X150" s="330">
        <v>0.3865274245966927</v>
      </c>
      <c r="Y150" s="330">
        <v>0</v>
      </c>
      <c r="Z150" s="331">
        <v>0</v>
      </c>
      <c r="AA150" s="235"/>
      <c r="AB150" s="52">
        <v>73738.90069198994</v>
      </c>
      <c r="AC150" s="330">
        <v>1.9395877286120007</v>
      </c>
      <c r="AD150" s="330">
        <v>59817.621568049246</v>
      </c>
      <c r="AE150" s="330">
        <v>1.7827863369398802</v>
      </c>
      <c r="AF150" s="330">
        <v>13921.279123940694</v>
      </c>
      <c r="AG150" s="331">
        <v>0.15680139167212048</v>
      </c>
      <c r="AH150" s="235"/>
      <c r="AI150" s="208">
        <f t="shared" si="18"/>
        <v>1768869.4414894106</v>
      </c>
      <c r="AJ150" s="208">
        <f t="shared" si="19"/>
        <v>1633829.3985248369</v>
      </c>
      <c r="AK150" s="208">
        <f t="shared" si="20"/>
        <v>135040.04296457377</v>
      </c>
      <c r="AL150" s="235"/>
      <c r="AM150" s="52">
        <f t="shared" si="4"/>
        <v>1</v>
      </c>
      <c r="AN150" s="52">
        <f t="shared" si="5"/>
        <v>0</v>
      </c>
      <c r="AO150" s="52">
        <f t="shared" si="6"/>
        <v>1</v>
      </c>
      <c r="AP150" s="235"/>
      <c r="AQ150" s="3"/>
      <c r="AR150" s="3"/>
      <c r="AS150" s="3"/>
      <c r="AT150" s="3"/>
      <c r="AU150" s="235"/>
      <c r="AV150" s="360">
        <f t="shared" si="21"/>
        <v>1768869.4414894106</v>
      </c>
      <c r="AW150" s="235"/>
      <c r="AX150" s="354"/>
      <c r="AY150" s="14"/>
      <c r="AZ150" s="14">
        <f t="shared" si="23"/>
        <v>13921.279123940694</v>
      </c>
      <c r="BA150" s="14">
        <f t="shared" si="22"/>
        <v>0.15680139167212048</v>
      </c>
      <c r="BB150" s="14">
        <f t="shared" si="2"/>
        <v>88782.879893379912</v>
      </c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3"/>
      <c r="CT150" s="3"/>
      <c r="CU150" s="3"/>
      <c r="CV150" s="3"/>
      <c r="CW150" s="3"/>
    </row>
    <row r="151" spans="1:101" ht="14.25" customHeight="1" x14ac:dyDescent="0.2">
      <c r="A151" s="328"/>
      <c r="B151" s="52">
        <v>0.13897953670767843</v>
      </c>
      <c r="C151" s="330">
        <v>0.10293720149356171</v>
      </c>
      <c r="D151" s="330">
        <v>1.9662011960282055E-2</v>
      </c>
      <c r="E151" s="330">
        <v>2.8325335724985301E-2</v>
      </c>
      <c r="F151" s="331">
        <v>0.76689727073531577</v>
      </c>
      <c r="G151" s="94">
        <v>0.42103063021602283</v>
      </c>
      <c r="H151" s="330">
        <v>0.47061853719540969</v>
      </c>
      <c r="I151" s="330">
        <v>1.1678281959824462E-2</v>
      </c>
      <c r="J151" s="330">
        <v>0.96260785400564863</v>
      </c>
      <c r="K151" s="330">
        <v>0.77809979493222203</v>
      </c>
      <c r="L151" s="332">
        <v>14569.834090157732</v>
      </c>
      <c r="M151" s="330">
        <v>0</v>
      </c>
      <c r="N151" s="330">
        <v>16266.607141993296</v>
      </c>
      <c r="O151" s="330">
        <v>1293.9817041061028</v>
      </c>
      <c r="P151" s="330">
        <v>43325.670008573128</v>
      </c>
      <c r="Q151" s="333">
        <v>76409.893908410522</v>
      </c>
      <c r="R151" s="330">
        <v>22490.214968274639</v>
      </c>
      <c r="S151" s="330">
        <v>10355.760321545838</v>
      </c>
      <c r="T151" s="332">
        <v>0.99494177442614284</v>
      </c>
      <c r="U151" s="330">
        <v>0.70909958619034408</v>
      </c>
      <c r="V151" s="330">
        <v>0.53384571000971137</v>
      </c>
      <c r="W151" s="330">
        <v>0.26820607318875006</v>
      </c>
      <c r="X151" s="330">
        <v>0.64460749331875766</v>
      </c>
      <c r="Y151" s="330">
        <v>0</v>
      </c>
      <c r="Z151" s="331">
        <v>0</v>
      </c>
      <c r="AA151" s="235"/>
      <c r="AB151" s="52">
        <v>100510.17032287079</v>
      </c>
      <c r="AC151" s="330">
        <v>3.1464802570146508</v>
      </c>
      <c r="AD151" s="330">
        <v>92088.497298814022</v>
      </c>
      <c r="AE151" s="330">
        <v>3.137039745412237</v>
      </c>
      <c r="AF151" s="330">
        <v>8421.6730240567704</v>
      </c>
      <c r="AG151" s="331">
        <v>9.4405116024138813E-3</v>
      </c>
      <c r="AH151" s="235"/>
      <c r="AI151" s="208">
        <f t="shared" si="18"/>
        <v>2888646.0738410475</v>
      </c>
      <c r="AJ151" s="208">
        <f t="shared" si="19"/>
        <v>2888099.2608428113</v>
      </c>
      <c r="AK151" s="208">
        <f t="shared" si="20"/>
        <v>546.81299823641712</v>
      </c>
      <c r="AL151" s="235"/>
      <c r="AM151" s="52">
        <f t="shared" si="4"/>
        <v>1</v>
      </c>
      <c r="AN151" s="52">
        <f t="shared" si="5"/>
        <v>0</v>
      </c>
      <c r="AO151" s="52">
        <f t="shared" si="6"/>
        <v>1</v>
      </c>
      <c r="AP151" s="235"/>
      <c r="AQ151" s="3"/>
      <c r="AR151" s="3"/>
      <c r="AS151" s="3"/>
      <c r="AT151" s="3"/>
      <c r="AU151" s="235"/>
      <c r="AV151" s="360">
        <f t="shared" si="21"/>
        <v>2888646.0738410475</v>
      </c>
      <c r="AW151" s="235"/>
      <c r="AX151" s="354"/>
      <c r="AY151" s="14"/>
      <c r="AZ151" s="14">
        <f t="shared" si="23"/>
        <v>8421.6730240567704</v>
      </c>
      <c r="BA151" s="14">
        <f t="shared" si="22"/>
        <v>9.4405116024138813E-3</v>
      </c>
      <c r="BB151" s="14">
        <f t="shared" si="2"/>
        <v>892078.0333455021</v>
      </c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3"/>
      <c r="CT151" s="3"/>
      <c r="CU151" s="3"/>
      <c r="CV151" s="3"/>
      <c r="CW151" s="3"/>
    </row>
    <row r="152" spans="1:101" ht="14.25" customHeight="1" x14ac:dyDescent="0.2">
      <c r="A152" s="328"/>
      <c r="B152" s="52">
        <v>0.15220936855570957</v>
      </c>
      <c r="C152" s="330">
        <v>0.21285075189440414</v>
      </c>
      <c r="D152" s="330">
        <v>1.1072430308012693E-2</v>
      </c>
      <c r="E152" s="330">
        <v>1.3826554040129412E-2</v>
      </c>
      <c r="F152" s="331">
        <v>0.799473951168167</v>
      </c>
      <c r="G152" s="94">
        <v>0.31816030880444124</v>
      </c>
      <c r="H152" s="330">
        <v>0.16927287317446643</v>
      </c>
      <c r="I152" s="330">
        <v>6.2947806587648342E-3</v>
      </c>
      <c r="J152" s="330">
        <v>0.81729100072793359</v>
      </c>
      <c r="K152" s="330">
        <v>0.78152060359402831</v>
      </c>
      <c r="L152" s="332">
        <v>9814.2309006955875</v>
      </c>
      <c r="M152" s="330">
        <v>0</v>
      </c>
      <c r="N152" s="330">
        <v>19600.274777334074</v>
      </c>
      <c r="O152" s="330">
        <v>996.94365258564483</v>
      </c>
      <c r="P152" s="330">
        <v>46902.859848974913</v>
      </c>
      <c r="Q152" s="333">
        <v>99568.151363651021</v>
      </c>
      <c r="R152" s="330">
        <v>25673.82144595536</v>
      </c>
      <c r="S152" s="330">
        <v>10413.560609705817</v>
      </c>
      <c r="T152" s="332">
        <v>0.80253397624621736</v>
      </c>
      <c r="U152" s="330">
        <v>0.77353457182553798</v>
      </c>
      <c r="V152" s="330">
        <v>0.96392009537278778</v>
      </c>
      <c r="W152" s="330">
        <v>0.84134632987593827</v>
      </c>
      <c r="X152" s="330">
        <v>0.77851312179788257</v>
      </c>
      <c r="Y152" s="330">
        <v>0</v>
      </c>
      <c r="Z152" s="331">
        <v>0</v>
      </c>
      <c r="AA152" s="235"/>
      <c r="AB152" s="52">
        <v>100308.58273944107</v>
      </c>
      <c r="AC152" s="330">
        <v>3.9393638924521084</v>
      </c>
      <c r="AD152" s="330">
        <v>89345.563145476146</v>
      </c>
      <c r="AE152" s="330">
        <v>3.9411072048533908</v>
      </c>
      <c r="AF152" s="330">
        <v>10963.019593964927</v>
      </c>
      <c r="AG152" s="331">
        <v>-1.7433124012824486E-3</v>
      </c>
      <c r="AH152" s="235"/>
      <c r="AI152" s="208">
        <f t="shared" si="18"/>
        <v>3642087.1150900619</v>
      </c>
      <c r="AJ152" s="208">
        <f t="shared" si="19"/>
        <v>3654706.2814652454</v>
      </c>
      <c r="AK152" s="208">
        <f t="shared" si="20"/>
        <v>-12619.166375183253</v>
      </c>
      <c r="AL152" s="235"/>
      <c r="AM152" s="52">
        <f t="shared" si="4"/>
        <v>0</v>
      </c>
      <c r="AN152" s="52">
        <f t="shared" si="5"/>
        <v>1</v>
      </c>
      <c r="AO152" s="52">
        <f t="shared" si="6"/>
        <v>0</v>
      </c>
      <c r="AP152" s="235"/>
      <c r="AQ152" s="3"/>
      <c r="AR152" s="3"/>
      <c r="AS152" s="3"/>
      <c r="AT152" s="3"/>
      <c r="AU152" s="235"/>
      <c r="AV152" s="360">
        <f t="shared" si="21"/>
        <v>3654706.2814652454</v>
      </c>
      <c r="AW152" s="235"/>
      <c r="AX152" s="354"/>
      <c r="AY152" s="14"/>
      <c r="AZ152" s="14">
        <f t="shared" si="23"/>
        <v>10963.019593964927</v>
      </c>
      <c r="BA152" s="14">
        <f t="shared" si="22"/>
        <v>-1.7433124012824486E-3</v>
      </c>
      <c r="BB152" s="14">
        <f t="shared" si="2"/>
        <v>-6288614.4708774528</v>
      </c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3"/>
      <c r="CT152" s="3"/>
      <c r="CU152" s="3"/>
      <c r="CV152" s="3"/>
      <c r="CW152" s="3"/>
    </row>
    <row r="153" spans="1:101" ht="14.25" customHeight="1" x14ac:dyDescent="0.2">
      <c r="A153" s="328"/>
      <c r="B153" s="52">
        <v>0.14504432618802759</v>
      </c>
      <c r="C153" s="330">
        <v>0.40825653340457291</v>
      </c>
      <c r="D153" s="330">
        <v>1.8750264266451766E-2</v>
      </c>
      <c r="E153" s="330">
        <v>1.0118352877315162E-2</v>
      </c>
      <c r="F153" s="331">
        <v>0.77713277540722026</v>
      </c>
      <c r="G153" s="94">
        <v>0.38102784605854134</v>
      </c>
      <c r="H153" s="330">
        <v>0.91994029813444644</v>
      </c>
      <c r="I153" s="330">
        <v>1.2764766357615826E-2</v>
      </c>
      <c r="J153" s="330">
        <v>0.99997122557412199</v>
      </c>
      <c r="K153" s="330">
        <v>0.753340085101464</v>
      </c>
      <c r="L153" s="332">
        <v>12401.717814853682</v>
      </c>
      <c r="M153" s="330">
        <v>0</v>
      </c>
      <c r="N153" s="330">
        <v>17108.217484974532</v>
      </c>
      <c r="O153" s="330">
        <v>1382.5028071632578</v>
      </c>
      <c r="P153" s="330">
        <v>52301.798254043235</v>
      </c>
      <c r="Q153" s="333">
        <v>91470.929948685487</v>
      </c>
      <c r="R153" s="330">
        <v>22180.507576831707</v>
      </c>
      <c r="S153" s="330">
        <v>10020.121721820418</v>
      </c>
      <c r="T153" s="332">
        <v>0.61793533198096884</v>
      </c>
      <c r="U153" s="330">
        <v>0.99951408770126293</v>
      </c>
      <c r="V153" s="330">
        <v>0.98384545922806876</v>
      </c>
      <c r="W153" s="330">
        <v>0.9713173444363794</v>
      </c>
      <c r="X153" s="330">
        <v>0.99987097327405516</v>
      </c>
      <c r="Y153" s="330">
        <v>0</v>
      </c>
      <c r="Z153" s="331">
        <v>0</v>
      </c>
      <c r="AA153" s="235"/>
      <c r="AB153" s="52">
        <v>97730.065795670002</v>
      </c>
      <c r="AC153" s="330">
        <v>4.8712978815430361</v>
      </c>
      <c r="AD153" s="330">
        <v>90034.154956367332</v>
      </c>
      <c r="AE153" s="330">
        <v>4.6333389066784809</v>
      </c>
      <c r="AF153" s="330">
        <v>7695.910839302669</v>
      </c>
      <c r="AG153" s="331">
        <v>0.23795897486455519</v>
      </c>
      <c r="AH153" s="235"/>
      <c r="AI153" s="208">
        <f t="shared" si="18"/>
        <v>4530002.9216702143</v>
      </c>
      <c r="AJ153" s="208">
        <f t="shared" si="19"/>
        <v>4311637.80638819</v>
      </c>
      <c r="AK153" s="208">
        <f t="shared" si="20"/>
        <v>218365.11528202475</v>
      </c>
      <c r="AL153" s="235"/>
      <c r="AM153" s="52">
        <f t="shared" si="4"/>
        <v>1</v>
      </c>
      <c r="AN153" s="52">
        <f t="shared" si="5"/>
        <v>0</v>
      </c>
      <c r="AO153" s="52">
        <f t="shared" si="6"/>
        <v>1</v>
      </c>
      <c r="AP153" s="235"/>
      <c r="AQ153" s="3"/>
      <c r="AR153" s="3"/>
      <c r="AS153" s="3"/>
      <c r="AT153" s="3"/>
      <c r="AU153" s="235"/>
      <c r="AV153" s="360">
        <f t="shared" si="21"/>
        <v>4530002.9216702143</v>
      </c>
      <c r="AW153" s="235"/>
      <c r="AX153" s="354"/>
      <c r="AY153" s="14"/>
      <c r="AZ153" s="14">
        <f t="shared" si="23"/>
        <v>7695.910839302669</v>
      </c>
      <c r="BA153" s="14">
        <f t="shared" si="22"/>
        <v>0.23795897486455519</v>
      </c>
      <c r="BB153" s="14">
        <f t="shared" si="2"/>
        <v>32341.334650996603</v>
      </c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3"/>
      <c r="CT153" s="3"/>
      <c r="CU153" s="3"/>
      <c r="CV153" s="3"/>
      <c r="CW153" s="3"/>
    </row>
    <row r="154" spans="1:101" ht="14.25" customHeight="1" x14ac:dyDescent="0.2">
      <c r="A154" s="328"/>
      <c r="B154" s="52">
        <v>0.12880835321070058</v>
      </c>
      <c r="C154" s="330">
        <v>0.27942361770718027</v>
      </c>
      <c r="D154" s="330">
        <v>9.4025252903842862E-3</v>
      </c>
      <c r="E154" s="330">
        <v>1.8216669180755485E-2</v>
      </c>
      <c r="F154" s="331">
        <v>0.80813386923162911</v>
      </c>
      <c r="G154" s="94">
        <v>0.40369506395736243</v>
      </c>
      <c r="H154" s="330">
        <v>0.49208715241883394</v>
      </c>
      <c r="I154" s="330">
        <v>4.442085881335367E-2</v>
      </c>
      <c r="J154" s="330">
        <v>0.9991575952926226</v>
      </c>
      <c r="K154" s="330">
        <v>0.77830619749386853</v>
      </c>
      <c r="L154" s="332">
        <v>12560.47151186372</v>
      </c>
      <c r="M154" s="330">
        <v>0</v>
      </c>
      <c r="N154" s="330">
        <v>18980.595947993355</v>
      </c>
      <c r="O154" s="330">
        <v>1337.4413218595032</v>
      </c>
      <c r="P154" s="330">
        <v>28186.675975460275</v>
      </c>
      <c r="Q154" s="333">
        <v>86296.189119213261</v>
      </c>
      <c r="R154" s="330">
        <v>35241.252980378653</v>
      </c>
      <c r="S154" s="330">
        <v>7650.2704003772551</v>
      </c>
      <c r="T154" s="332">
        <v>0.77880310472650949</v>
      </c>
      <c r="U154" s="330">
        <v>0.86851142583173102</v>
      </c>
      <c r="V154" s="330">
        <v>0.96246435344744175</v>
      </c>
      <c r="W154" s="330">
        <v>0.92591361159990115</v>
      </c>
      <c r="X154" s="330">
        <v>0.26549911133155463</v>
      </c>
      <c r="Y154" s="330">
        <v>0</v>
      </c>
      <c r="Z154" s="331">
        <v>0</v>
      </c>
      <c r="AA154" s="235"/>
      <c r="AB154" s="52">
        <v>80451.929272735375</v>
      </c>
      <c r="AC154" s="330">
        <v>1.632743460941644</v>
      </c>
      <c r="AD154" s="330">
        <v>73695.392087211614</v>
      </c>
      <c r="AE154" s="330">
        <v>1.6319792388854766</v>
      </c>
      <c r="AF154" s="330">
        <v>6756.5371855237609</v>
      </c>
      <c r="AG154" s="331">
        <v>7.6422205616744066E-4</v>
      </c>
      <c r="AH154" s="235"/>
      <c r="AI154" s="208">
        <f t="shared" si="18"/>
        <v>1470654.3586218264</v>
      </c>
      <c r="AJ154" s="208">
        <f t="shared" si="19"/>
        <v>1476684.8848539912</v>
      </c>
      <c r="AK154" s="208">
        <f t="shared" si="20"/>
        <v>-6030.5262321646924</v>
      </c>
      <c r="AL154" s="235"/>
      <c r="AM154" s="52">
        <f t="shared" si="4"/>
        <v>0</v>
      </c>
      <c r="AN154" s="52">
        <f t="shared" si="5"/>
        <v>1</v>
      </c>
      <c r="AO154" s="52">
        <f t="shared" si="6"/>
        <v>0</v>
      </c>
      <c r="AP154" s="235"/>
      <c r="AQ154" s="3"/>
      <c r="AR154" s="3"/>
      <c r="AS154" s="3"/>
      <c r="AT154" s="3"/>
      <c r="AU154" s="235"/>
      <c r="AV154" s="360">
        <f t="shared" si="21"/>
        <v>1476684.8848539912</v>
      </c>
      <c r="AW154" s="235"/>
      <c r="AX154" s="354"/>
      <c r="AY154" s="14"/>
      <c r="AZ154" s="14">
        <f t="shared" si="23"/>
        <v>6756.5371855237609</v>
      </c>
      <c r="BA154" s="14">
        <f t="shared" si="22"/>
        <v>7.6422205616744066E-4</v>
      </c>
      <c r="BB154" s="14">
        <f t="shared" si="2"/>
        <v>8841065.4089305773</v>
      </c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3"/>
      <c r="CT154" s="3"/>
      <c r="CU154" s="3"/>
      <c r="CV154" s="3"/>
      <c r="CW154" s="3"/>
    </row>
    <row r="155" spans="1:101" ht="14.25" customHeight="1" x14ac:dyDescent="0.2">
      <c r="A155" s="328"/>
      <c r="B155" s="52">
        <v>0.13900957838139449</v>
      </c>
      <c r="C155" s="330">
        <v>0.37588497647131014</v>
      </c>
      <c r="D155" s="330">
        <v>2.7475647307008244E-2</v>
      </c>
      <c r="E155" s="330">
        <v>1.2635287664594515E-2</v>
      </c>
      <c r="F155" s="331">
        <v>0.76189616131883053</v>
      </c>
      <c r="G155" s="94">
        <v>0.42103106012827007</v>
      </c>
      <c r="H155" s="330">
        <v>0.46767910831465009</v>
      </c>
      <c r="I155" s="330">
        <v>3.6823200410862178E-2</v>
      </c>
      <c r="J155" s="330">
        <v>0.99999999989360455</v>
      </c>
      <c r="K155" s="330">
        <v>0.77038487261349298</v>
      </c>
      <c r="L155" s="332">
        <v>11603.480578213172</v>
      </c>
      <c r="M155" s="330">
        <v>0</v>
      </c>
      <c r="N155" s="330">
        <v>18859.381433647024</v>
      </c>
      <c r="O155" s="330">
        <v>1470.8310133276223</v>
      </c>
      <c r="P155" s="330">
        <v>60391.151752088153</v>
      </c>
      <c r="Q155" s="333">
        <v>87771.159650680245</v>
      </c>
      <c r="R155" s="330">
        <v>16604.07947784066</v>
      </c>
      <c r="S155" s="330">
        <v>7818.0059556325887</v>
      </c>
      <c r="T155" s="332">
        <v>0.63871496254254079</v>
      </c>
      <c r="U155" s="330">
        <v>0.94545475794639366</v>
      </c>
      <c r="V155" s="330">
        <v>0.22330555704181576</v>
      </c>
      <c r="W155" s="330">
        <v>0.99798200937125048</v>
      </c>
      <c r="X155" s="330">
        <v>0.99878676962181068</v>
      </c>
      <c r="Y155" s="330">
        <v>0</v>
      </c>
      <c r="Z155" s="331">
        <v>0</v>
      </c>
      <c r="AA155" s="235"/>
      <c r="AB155" s="52">
        <v>76935.258621562636</v>
      </c>
      <c r="AC155" s="330">
        <v>4.6025008913531922</v>
      </c>
      <c r="AD155" s="330">
        <v>71087.406851086125</v>
      </c>
      <c r="AE155" s="330">
        <v>4.8233854319538416</v>
      </c>
      <c r="AF155" s="330">
        <v>5847.8517704765109</v>
      </c>
      <c r="AG155" s="331">
        <v>-0.22088454060064944</v>
      </c>
      <c r="AH155" s="235"/>
      <c r="AI155" s="208">
        <f t="shared" si="18"/>
        <v>4295440.58816397</v>
      </c>
      <c r="AJ155" s="208">
        <f t="shared" si="19"/>
        <v>4511128.7535050632</v>
      </c>
      <c r="AK155" s="208">
        <f t="shared" si="20"/>
        <v>-215688.1653410935</v>
      </c>
      <c r="AL155" s="235"/>
      <c r="AM155" s="52">
        <f t="shared" si="4"/>
        <v>0</v>
      </c>
      <c r="AN155" s="52">
        <f t="shared" si="5"/>
        <v>1</v>
      </c>
      <c r="AO155" s="52">
        <f t="shared" si="6"/>
        <v>0</v>
      </c>
      <c r="AP155" s="235"/>
      <c r="AQ155" s="3"/>
      <c r="AR155" s="3"/>
      <c r="AS155" s="3"/>
      <c r="AT155" s="3"/>
      <c r="AU155" s="235"/>
      <c r="AV155" s="360">
        <f t="shared" si="21"/>
        <v>4511128.7535050632</v>
      </c>
      <c r="AW155" s="235"/>
      <c r="AX155" s="354"/>
      <c r="AY155" s="14"/>
      <c r="AZ155" s="14">
        <f t="shared" si="23"/>
        <v>5847.8517704765109</v>
      </c>
      <c r="BA155" s="14">
        <f t="shared" si="22"/>
        <v>-0.22088454060064944</v>
      </c>
      <c r="BB155" s="14">
        <f t="shared" si="2"/>
        <v>-26474.699200652511</v>
      </c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3"/>
      <c r="CT155" s="3"/>
      <c r="CU155" s="3"/>
      <c r="CV155" s="3"/>
      <c r="CW155" s="3"/>
    </row>
    <row r="156" spans="1:101" ht="14.25" customHeight="1" x14ac:dyDescent="0.2">
      <c r="A156" s="328"/>
      <c r="B156" s="52">
        <v>0.1407172755688724</v>
      </c>
      <c r="C156" s="330">
        <v>0.96326249924615204</v>
      </c>
      <c r="D156" s="330">
        <v>5.4117147220277967E-3</v>
      </c>
      <c r="E156" s="330">
        <v>2.8737031130086632E-2</v>
      </c>
      <c r="F156" s="331">
        <v>0.74926956013688062</v>
      </c>
      <c r="G156" s="94">
        <v>0.41032575900268609</v>
      </c>
      <c r="H156" s="330">
        <v>0.98227533979762027</v>
      </c>
      <c r="I156" s="330">
        <v>5.7016967240851261E-3</v>
      </c>
      <c r="J156" s="330">
        <v>0.55230711986398295</v>
      </c>
      <c r="K156" s="330">
        <v>0.77608296148560407</v>
      </c>
      <c r="L156" s="332">
        <v>12423.048547870676</v>
      </c>
      <c r="M156" s="330">
        <v>0</v>
      </c>
      <c r="N156" s="330">
        <v>20517.553508717072</v>
      </c>
      <c r="O156" s="330">
        <v>1449.2476037967674</v>
      </c>
      <c r="P156" s="330">
        <v>41382.738656160458</v>
      </c>
      <c r="Q156" s="333">
        <v>144623.76047123913</v>
      </c>
      <c r="R156" s="330">
        <v>30553.777559251885</v>
      </c>
      <c r="S156" s="330">
        <v>7985.5233514530437</v>
      </c>
      <c r="T156" s="332">
        <v>0.83965595746914634</v>
      </c>
      <c r="U156" s="330">
        <v>0.71106507654212969</v>
      </c>
      <c r="V156" s="330">
        <v>0.91174717412966055</v>
      </c>
      <c r="W156" s="330">
        <v>0.9999268776266016</v>
      </c>
      <c r="X156" s="330">
        <v>0.58495568962955746</v>
      </c>
      <c r="Y156" s="330">
        <v>0</v>
      </c>
      <c r="Z156" s="331">
        <v>0</v>
      </c>
      <c r="AA156" s="235"/>
      <c r="AB156" s="52">
        <v>81088.243741421262</v>
      </c>
      <c r="AC156" s="330">
        <v>2.8729472276906804</v>
      </c>
      <c r="AD156" s="330">
        <v>79832.471673716558</v>
      </c>
      <c r="AE156" s="330">
        <v>2.7639087108331268</v>
      </c>
      <c r="AF156" s="330">
        <v>1255.7720677047037</v>
      </c>
      <c r="AG156" s="331">
        <v>0.10903851685755361</v>
      </c>
      <c r="AH156" s="235"/>
      <c r="AI156" s="208">
        <f t="shared" si="18"/>
        <v>2648211.6225647256</v>
      </c>
      <c r="AJ156" s="208">
        <f t="shared" si="19"/>
        <v>2545880.803617754</v>
      </c>
      <c r="AK156" s="208">
        <f t="shared" si="20"/>
        <v>102330.81894697122</v>
      </c>
      <c r="AL156" s="235"/>
      <c r="AM156" s="52">
        <f t="shared" si="4"/>
        <v>1</v>
      </c>
      <c r="AN156" s="52">
        <f t="shared" si="5"/>
        <v>0</v>
      </c>
      <c r="AO156" s="52">
        <f t="shared" si="6"/>
        <v>1</v>
      </c>
      <c r="AP156" s="235"/>
      <c r="AQ156" s="3"/>
      <c r="AR156" s="3"/>
      <c r="AS156" s="3"/>
      <c r="AT156" s="3"/>
      <c r="AU156" s="235"/>
      <c r="AV156" s="360">
        <f t="shared" si="21"/>
        <v>2648211.6225647256</v>
      </c>
      <c r="AW156" s="235"/>
      <c r="AX156" s="354"/>
      <c r="AY156" s="14"/>
      <c r="AZ156" s="14">
        <f t="shared" si="23"/>
        <v>1255.7720677047037</v>
      </c>
      <c r="BA156" s="14">
        <f t="shared" si="22"/>
        <v>0.10903851685755361</v>
      </c>
      <c r="BB156" s="14">
        <f t="shared" si="2"/>
        <v>11516.775024968714</v>
      </c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3"/>
      <c r="CT156" s="3"/>
      <c r="CU156" s="3"/>
      <c r="CV156" s="3"/>
      <c r="CW156" s="3"/>
    </row>
    <row r="157" spans="1:101" ht="14.25" customHeight="1" x14ac:dyDescent="0.2">
      <c r="A157" s="328"/>
      <c r="B157" s="52">
        <v>0.13890927727173993</v>
      </c>
      <c r="C157" s="330">
        <v>0.5027690775356668</v>
      </c>
      <c r="D157" s="330">
        <v>1.4303816501192834E-2</v>
      </c>
      <c r="E157" s="330">
        <v>7.0974592626007237E-3</v>
      </c>
      <c r="F157" s="331">
        <v>0.76547414877030906</v>
      </c>
      <c r="G157" s="94">
        <v>0.43880596045864129</v>
      </c>
      <c r="H157" s="330">
        <v>0.21093451103962949</v>
      </c>
      <c r="I157" s="330">
        <v>1.4110667096949551E-2</v>
      </c>
      <c r="J157" s="330">
        <v>0.97350419605449179</v>
      </c>
      <c r="K157" s="330">
        <v>0.7770943796025821</v>
      </c>
      <c r="L157" s="332">
        <v>11822.150955857982</v>
      </c>
      <c r="M157" s="330">
        <v>0</v>
      </c>
      <c r="N157" s="330">
        <v>16348.79193500821</v>
      </c>
      <c r="O157" s="330">
        <v>910.54061536081383</v>
      </c>
      <c r="P157" s="330">
        <v>32554.162243036903</v>
      </c>
      <c r="Q157" s="333">
        <v>104517.42119675782</v>
      </c>
      <c r="R157" s="330">
        <v>28448.064214688395</v>
      </c>
      <c r="S157" s="330">
        <v>5149.1988459959366</v>
      </c>
      <c r="T157" s="332">
        <v>0.31517557248642053</v>
      </c>
      <c r="U157" s="330">
        <v>0.99275587105739072</v>
      </c>
      <c r="V157" s="330">
        <v>0.98452424468011546</v>
      </c>
      <c r="W157" s="330">
        <v>0.9926820628911277</v>
      </c>
      <c r="X157" s="330">
        <v>0.41413750625775114</v>
      </c>
      <c r="Y157" s="330">
        <v>0</v>
      </c>
      <c r="Z157" s="331">
        <v>0</v>
      </c>
      <c r="AA157" s="235"/>
      <c r="AB157" s="52">
        <v>56441.776385827397</v>
      </c>
      <c r="AC157" s="330">
        <v>1.9335144660569665</v>
      </c>
      <c r="AD157" s="330">
        <v>46966.115383957804</v>
      </c>
      <c r="AE157" s="330">
        <v>2.1077726738140896</v>
      </c>
      <c r="AF157" s="330">
        <v>9475.6610018695937</v>
      </c>
      <c r="AG157" s="331">
        <v>-0.17425820775712308</v>
      </c>
      <c r="AH157" s="235"/>
      <c r="AI157" s="208">
        <f t="shared" si="18"/>
        <v>1780396.9663682908</v>
      </c>
      <c r="AJ157" s="208">
        <f t="shared" si="19"/>
        <v>1955417.9247394274</v>
      </c>
      <c r="AK157" s="208">
        <f t="shared" si="20"/>
        <v>-175020.95837113651</v>
      </c>
      <c r="AL157" s="235"/>
      <c r="AM157" s="52">
        <f t="shared" si="4"/>
        <v>0</v>
      </c>
      <c r="AN157" s="52">
        <f t="shared" si="5"/>
        <v>1</v>
      </c>
      <c r="AO157" s="52">
        <f t="shared" si="6"/>
        <v>0</v>
      </c>
      <c r="AP157" s="235"/>
      <c r="AQ157" s="3"/>
      <c r="AR157" s="3"/>
      <c r="AS157" s="3"/>
      <c r="AT157" s="3"/>
      <c r="AU157" s="235"/>
      <c r="AV157" s="360">
        <f t="shared" si="21"/>
        <v>1955417.9247394274</v>
      </c>
      <c r="AW157" s="235"/>
      <c r="AX157" s="354"/>
      <c r="AY157" s="14"/>
      <c r="AZ157" s="14">
        <f t="shared" si="23"/>
        <v>9475.6610018695937</v>
      </c>
      <c r="BA157" s="14">
        <f t="shared" si="22"/>
        <v>-0.17425820775712308</v>
      </c>
      <c r="BB157" s="14">
        <f t="shared" si="2"/>
        <v>-54377.128766735295</v>
      </c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3"/>
      <c r="CT157" s="3"/>
      <c r="CU157" s="3"/>
      <c r="CV157" s="3"/>
      <c r="CW157" s="3"/>
    </row>
    <row r="158" spans="1:101" ht="14.25" customHeight="1" x14ac:dyDescent="0.2">
      <c r="A158" s="328"/>
      <c r="B158" s="52">
        <v>0.16673004710338413</v>
      </c>
      <c r="C158" s="330">
        <v>0.36388278338261693</v>
      </c>
      <c r="D158" s="330">
        <v>4.1679256893193961E-2</v>
      </c>
      <c r="E158" s="330">
        <v>1.5584856282630954E-2</v>
      </c>
      <c r="F158" s="331">
        <v>0.80134763455246305</v>
      </c>
      <c r="G158" s="94">
        <v>0.36682511242462806</v>
      </c>
      <c r="H158" s="330">
        <v>0.3036816734110116</v>
      </c>
      <c r="I158" s="330">
        <v>1.759521865861613E-2</v>
      </c>
      <c r="J158" s="330">
        <v>0.98460957146599892</v>
      </c>
      <c r="K158" s="330">
        <v>0.78162706146271754</v>
      </c>
      <c r="L158" s="332">
        <v>10166.848498741922</v>
      </c>
      <c r="M158" s="330">
        <v>0</v>
      </c>
      <c r="N158" s="330">
        <v>12261.384700236424</v>
      </c>
      <c r="O158" s="330">
        <v>1217.325895636726</v>
      </c>
      <c r="P158" s="330">
        <v>35586.26689900388</v>
      </c>
      <c r="Q158" s="333">
        <v>124622.9868451166</v>
      </c>
      <c r="R158" s="330">
        <v>31660.87637593714</v>
      </c>
      <c r="S158" s="330">
        <v>11055.059114061414</v>
      </c>
      <c r="T158" s="332">
        <v>0.30882446041149408</v>
      </c>
      <c r="U158" s="330">
        <v>0.69755164220208576</v>
      </c>
      <c r="V158" s="330">
        <v>0.97689555852358034</v>
      </c>
      <c r="W158" s="330">
        <v>0.94455965867736191</v>
      </c>
      <c r="X158" s="330">
        <v>0.55638996035524046</v>
      </c>
      <c r="Y158" s="330">
        <v>0</v>
      </c>
      <c r="Z158" s="331">
        <v>0</v>
      </c>
      <c r="AA158" s="235"/>
      <c r="AB158" s="52">
        <v>108229.2876102532</v>
      </c>
      <c r="AC158" s="330">
        <v>2.8230058361044694</v>
      </c>
      <c r="AD158" s="330">
        <v>97822.098611868976</v>
      </c>
      <c r="AE158" s="330">
        <v>2.8687986161690349</v>
      </c>
      <c r="AF158" s="330">
        <v>10407.188998384227</v>
      </c>
      <c r="AG158" s="331">
        <v>-4.5792780064565441E-2</v>
      </c>
      <c r="AH158" s="235"/>
      <c r="AI158" s="208">
        <f t="shared" si="18"/>
        <v>2573626.2566889925</v>
      </c>
      <c r="AJ158" s="208">
        <f t="shared" si="19"/>
        <v>2627536.5867487141</v>
      </c>
      <c r="AK158" s="208">
        <f t="shared" si="20"/>
        <v>-53910.330059721397</v>
      </c>
      <c r="AL158" s="235"/>
      <c r="AM158" s="52">
        <f t="shared" si="4"/>
        <v>0</v>
      </c>
      <c r="AN158" s="52">
        <f t="shared" si="5"/>
        <v>1</v>
      </c>
      <c r="AO158" s="52">
        <f t="shared" si="6"/>
        <v>0</v>
      </c>
      <c r="AP158" s="235"/>
      <c r="AQ158" s="3"/>
      <c r="AR158" s="3"/>
      <c r="AS158" s="3"/>
      <c r="AT158" s="3"/>
      <c r="AU158" s="235"/>
      <c r="AV158" s="360">
        <f t="shared" si="21"/>
        <v>2627536.5867487141</v>
      </c>
      <c r="AW158" s="235"/>
      <c r="AX158" s="354"/>
      <c r="AY158" s="14"/>
      <c r="AZ158" s="14">
        <f t="shared" si="23"/>
        <v>10407.188998384227</v>
      </c>
      <c r="BA158" s="14">
        <f t="shared" si="22"/>
        <v>-4.5792780064565441E-2</v>
      </c>
      <c r="BB158" s="14">
        <f t="shared" si="2"/>
        <v>-227267.02732855771</v>
      </c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3"/>
      <c r="CT158" s="3"/>
      <c r="CU158" s="3"/>
      <c r="CV158" s="3"/>
      <c r="CW158" s="3"/>
    </row>
    <row r="159" spans="1:101" ht="14.25" customHeight="1" x14ac:dyDescent="0.2">
      <c r="A159" s="328"/>
      <c r="B159" s="52">
        <v>0.16294297285983583</v>
      </c>
      <c r="C159" s="330">
        <v>0.16409077792685214</v>
      </c>
      <c r="D159" s="330">
        <v>1.3283041567337785E-2</v>
      </c>
      <c r="E159" s="330">
        <v>1.6289909894193655E-2</v>
      </c>
      <c r="F159" s="331">
        <v>0.83183018919832397</v>
      </c>
      <c r="G159" s="94">
        <v>0.35698614796785905</v>
      </c>
      <c r="H159" s="330">
        <v>8.0407014950280242E-2</v>
      </c>
      <c r="I159" s="330">
        <v>1.0737549462386772E-2</v>
      </c>
      <c r="J159" s="330">
        <v>0.98182564737842826</v>
      </c>
      <c r="K159" s="330">
        <v>0.81374950459798157</v>
      </c>
      <c r="L159" s="332">
        <v>11109.51150582956</v>
      </c>
      <c r="M159" s="330">
        <v>0</v>
      </c>
      <c r="N159" s="330">
        <v>25013.271599750369</v>
      </c>
      <c r="O159" s="330">
        <v>1461.4833001011666</v>
      </c>
      <c r="P159" s="330">
        <v>37000.697490059683</v>
      </c>
      <c r="Q159" s="333">
        <v>101823.31824129139</v>
      </c>
      <c r="R159" s="330">
        <v>16772.553490465994</v>
      </c>
      <c r="S159" s="330">
        <v>7542.2839419193751</v>
      </c>
      <c r="T159" s="332">
        <v>0.83712633735110442</v>
      </c>
      <c r="U159" s="330">
        <v>0.89331917233852209</v>
      </c>
      <c r="V159" s="330">
        <v>0.99599227279469471</v>
      </c>
      <c r="W159" s="330">
        <v>0.76598014554852834</v>
      </c>
      <c r="X159" s="330">
        <v>0.9602890339918716</v>
      </c>
      <c r="Y159" s="330">
        <v>0</v>
      </c>
      <c r="Z159" s="331">
        <v>0</v>
      </c>
      <c r="AA159" s="235"/>
      <c r="AB159" s="52">
        <v>79345.34199392084</v>
      </c>
      <c r="AC159" s="330">
        <v>5.0512592066237207</v>
      </c>
      <c r="AD159" s="330">
        <v>67495.497743328524</v>
      </c>
      <c r="AE159" s="330">
        <v>5.0745211393551246</v>
      </c>
      <c r="AF159" s="330">
        <v>11849.844250592316</v>
      </c>
      <c r="AG159" s="331">
        <v>-2.3261932731403867E-2</v>
      </c>
      <c r="AH159" s="235"/>
      <c r="AI159" s="208">
        <f t="shared" si="18"/>
        <v>4719350.9042986138</v>
      </c>
      <c r="AJ159" s="208">
        <f t="shared" si="19"/>
        <v>4753299.5846440401</v>
      </c>
      <c r="AK159" s="208">
        <f t="shared" si="20"/>
        <v>-33948.680345425993</v>
      </c>
      <c r="AL159" s="235"/>
      <c r="AM159" s="52">
        <f t="shared" si="4"/>
        <v>0</v>
      </c>
      <c r="AN159" s="52">
        <f t="shared" si="5"/>
        <v>1</v>
      </c>
      <c r="AO159" s="52">
        <f t="shared" si="6"/>
        <v>0</v>
      </c>
      <c r="AP159" s="235"/>
      <c r="AQ159" s="3"/>
      <c r="AR159" s="3"/>
      <c r="AS159" s="3"/>
      <c r="AT159" s="3"/>
      <c r="AU159" s="235"/>
      <c r="AV159" s="360">
        <f t="shared" si="21"/>
        <v>4753299.5846440401</v>
      </c>
      <c r="AW159" s="235"/>
      <c r="AX159" s="354"/>
      <c r="AY159" s="14"/>
      <c r="AZ159" s="14">
        <f t="shared" si="23"/>
        <v>11849.844250592316</v>
      </c>
      <c r="BA159" s="14">
        <f t="shared" si="22"/>
        <v>-2.3261932731403867E-2</v>
      </c>
      <c r="BB159" s="14">
        <f t="shared" si="2"/>
        <v>-509409.27340035228</v>
      </c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3"/>
      <c r="CT159" s="3"/>
      <c r="CU159" s="3"/>
      <c r="CV159" s="3"/>
      <c r="CW159" s="3"/>
    </row>
    <row r="160" spans="1:101" ht="14.25" customHeight="1" x14ac:dyDescent="0.2">
      <c r="A160" s="328"/>
      <c r="B160" s="52">
        <v>0.1558523084753676</v>
      </c>
      <c r="C160" s="330">
        <v>7.2030579292007818E-2</v>
      </c>
      <c r="D160" s="330">
        <v>1.3158543724770166E-2</v>
      </c>
      <c r="E160" s="330">
        <v>1.212118953127907E-2</v>
      </c>
      <c r="F160" s="331">
        <v>0.74715241759497819</v>
      </c>
      <c r="G160" s="94">
        <v>0.33457019975384256</v>
      </c>
      <c r="H160" s="330">
        <v>0.9127952278709569</v>
      </c>
      <c r="I160" s="330">
        <v>1.1096299924419196E-2</v>
      </c>
      <c r="J160" s="330">
        <v>0.85528038123854522</v>
      </c>
      <c r="K160" s="330">
        <v>0.76606381811677748</v>
      </c>
      <c r="L160" s="332">
        <v>15416.459802652937</v>
      </c>
      <c r="M160" s="330">
        <v>0</v>
      </c>
      <c r="N160" s="330">
        <v>20636.086697016181</v>
      </c>
      <c r="O160" s="330">
        <v>1164.5575218849094</v>
      </c>
      <c r="P160" s="330">
        <v>61693.311052570731</v>
      </c>
      <c r="Q160" s="333">
        <v>89258.486143810034</v>
      </c>
      <c r="R160" s="330">
        <v>31852.629321800956</v>
      </c>
      <c r="S160" s="330">
        <v>8029.3138485596401</v>
      </c>
      <c r="T160" s="332">
        <v>0.98428394330766023</v>
      </c>
      <c r="U160" s="330">
        <v>0.99973739150192853</v>
      </c>
      <c r="V160" s="330">
        <v>0.96774897530920689</v>
      </c>
      <c r="W160" s="330">
        <v>0.90677082705130618</v>
      </c>
      <c r="X160" s="330">
        <v>0.6734259974081489</v>
      </c>
      <c r="Y160" s="330">
        <v>0</v>
      </c>
      <c r="Z160" s="331">
        <v>0</v>
      </c>
      <c r="AA160" s="235"/>
      <c r="AB160" s="52">
        <v>80518.595116069686</v>
      </c>
      <c r="AC160" s="330">
        <v>3.1110310023405683</v>
      </c>
      <c r="AD160" s="330">
        <v>76618.041032074761</v>
      </c>
      <c r="AE160" s="330">
        <v>3.3424122544635364</v>
      </c>
      <c r="AF160" s="330">
        <v>3900.5540839949244</v>
      </c>
      <c r="AG160" s="331">
        <v>-0.23138125212296812</v>
      </c>
      <c r="AH160" s="235"/>
      <c r="AI160" s="208">
        <f t="shared" si="18"/>
        <v>2874960.8571074703</v>
      </c>
      <c r="AJ160" s="208">
        <f t="shared" si="19"/>
        <v>3098673.6007082844</v>
      </c>
      <c r="AK160" s="208">
        <f t="shared" si="20"/>
        <v>-223712.74360081466</v>
      </c>
      <c r="AL160" s="235"/>
      <c r="AM160" s="52">
        <f t="shared" si="4"/>
        <v>0</v>
      </c>
      <c r="AN160" s="52">
        <f t="shared" si="5"/>
        <v>1</v>
      </c>
      <c r="AO160" s="52">
        <f t="shared" si="6"/>
        <v>0</v>
      </c>
      <c r="AP160" s="235"/>
      <c r="AQ160" s="3"/>
      <c r="AR160" s="3"/>
      <c r="AS160" s="3"/>
      <c r="AT160" s="3"/>
      <c r="AU160" s="235"/>
      <c r="AV160" s="360">
        <f t="shared" si="21"/>
        <v>3098673.6007082844</v>
      </c>
      <c r="AW160" s="235"/>
      <c r="AX160" s="354"/>
      <c r="AY160" s="14"/>
      <c r="AZ160" s="14">
        <f t="shared" si="23"/>
        <v>3900.5540839949244</v>
      </c>
      <c r="BA160" s="14">
        <f t="shared" si="22"/>
        <v>-0.23138125212296812</v>
      </c>
      <c r="BB160" s="14">
        <f t="shared" si="2"/>
        <v>-16857.692869264818</v>
      </c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3"/>
      <c r="CT160" s="3"/>
      <c r="CU160" s="3"/>
      <c r="CV160" s="3"/>
      <c r="CW160" s="3"/>
    </row>
    <row r="161" spans="1:101" ht="14.25" customHeight="1" x14ac:dyDescent="0.2">
      <c r="A161" s="328"/>
      <c r="B161" s="52">
        <v>0.13737561506066306</v>
      </c>
      <c r="C161" s="330">
        <v>3.7300607505051441E-4</v>
      </c>
      <c r="D161" s="330">
        <v>1.9032976059520812E-2</v>
      </c>
      <c r="E161" s="330">
        <v>1.4004920790632935E-2</v>
      </c>
      <c r="F161" s="331">
        <v>0.78419637565301359</v>
      </c>
      <c r="G161" s="94">
        <v>0.34129892124148525</v>
      </c>
      <c r="H161" s="330">
        <v>0.87503302357393442</v>
      </c>
      <c r="I161" s="330">
        <v>1.241415697286264E-2</v>
      </c>
      <c r="J161" s="330">
        <v>1</v>
      </c>
      <c r="K161" s="330">
        <v>0.76770395836258531</v>
      </c>
      <c r="L161" s="332">
        <v>14153.613399704989</v>
      </c>
      <c r="M161" s="330">
        <v>0</v>
      </c>
      <c r="N161" s="330">
        <v>19924.9333557762</v>
      </c>
      <c r="O161" s="330">
        <v>1128.3104054240071</v>
      </c>
      <c r="P161" s="330">
        <v>50842.24674464298</v>
      </c>
      <c r="Q161" s="333">
        <v>103247.23855691124</v>
      </c>
      <c r="R161" s="330">
        <v>18796.659607482005</v>
      </c>
      <c r="S161" s="330">
        <v>10093.833027027888</v>
      </c>
      <c r="T161" s="332">
        <v>0.99924313586860047</v>
      </c>
      <c r="U161" s="330">
        <v>0.99999773500065037</v>
      </c>
      <c r="V161" s="330">
        <v>0.19832560793577159</v>
      </c>
      <c r="W161" s="330">
        <v>0.49840376040592554</v>
      </c>
      <c r="X161" s="330">
        <v>0.94542926587007492</v>
      </c>
      <c r="Y161" s="330">
        <v>0</v>
      </c>
      <c r="Z161" s="331">
        <v>0</v>
      </c>
      <c r="AA161" s="235"/>
      <c r="AB161" s="52">
        <v>99525.695881674008</v>
      </c>
      <c r="AC161" s="330">
        <v>4.5421887473070166</v>
      </c>
      <c r="AD161" s="330">
        <v>89823.424958794203</v>
      </c>
      <c r="AE161" s="330">
        <v>4.6525067747776214</v>
      </c>
      <c r="AF161" s="330">
        <v>9702.2709228798049</v>
      </c>
      <c r="AG161" s="331">
        <v>-0.11031802747060482</v>
      </c>
      <c r="AH161" s="235"/>
      <c r="AI161" s="208">
        <f t="shared" si="18"/>
        <v>4215553.6140599921</v>
      </c>
      <c r="AJ161" s="208">
        <f t="shared" si="19"/>
        <v>4330058.0110799456</v>
      </c>
      <c r="AK161" s="208">
        <f t="shared" si="20"/>
        <v>-114504.39701995438</v>
      </c>
      <c r="AL161" s="235"/>
      <c r="AM161" s="52">
        <f t="shared" si="4"/>
        <v>0</v>
      </c>
      <c r="AN161" s="52">
        <f t="shared" si="5"/>
        <v>1</v>
      </c>
      <c r="AO161" s="52">
        <f t="shared" si="6"/>
        <v>0</v>
      </c>
      <c r="AP161" s="235"/>
      <c r="AQ161" s="3"/>
      <c r="AR161" s="3"/>
      <c r="AS161" s="3"/>
      <c r="AT161" s="3"/>
      <c r="AU161" s="235"/>
      <c r="AV161" s="360">
        <f t="shared" si="21"/>
        <v>4330058.0110799456</v>
      </c>
      <c r="AW161" s="235"/>
      <c r="AX161" s="354"/>
      <c r="AY161" s="14"/>
      <c r="AZ161" s="14">
        <f t="shared" si="23"/>
        <v>9702.2709228798049</v>
      </c>
      <c r="BA161" s="14">
        <f t="shared" si="22"/>
        <v>-0.11031802747060482</v>
      </c>
      <c r="BB161" s="14">
        <f t="shared" si="2"/>
        <v>-87948.190747564426</v>
      </c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3"/>
      <c r="CT161" s="3"/>
      <c r="CU161" s="3"/>
      <c r="CV161" s="3"/>
      <c r="CW161" s="3"/>
    </row>
    <row r="162" spans="1:101" ht="14.25" customHeight="1" x14ac:dyDescent="0.2">
      <c r="A162" s="328"/>
      <c r="B162" s="52">
        <v>0.18543194135196961</v>
      </c>
      <c r="C162" s="330">
        <v>0.49734917088120112</v>
      </c>
      <c r="D162" s="330">
        <v>3.2864048550643732E-2</v>
      </c>
      <c r="E162" s="330">
        <v>1.0116533209227084E-2</v>
      </c>
      <c r="F162" s="331">
        <v>0.80388696876851706</v>
      </c>
      <c r="G162" s="94">
        <v>0.35328793003740949</v>
      </c>
      <c r="H162" s="330">
        <v>0.61634081912845673</v>
      </c>
      <c r="I162" s="330">
        <v>4.4348316959834074E-3</v>
      </c>
      <c r="J162" s="330">
        <v>0.99998147908035551</v>
      </c>
      <c r="K162" s="330">
        <v>0.73623268650052287</v>
      </c>
      <c r="L162" s="332">
        <v>18312.25629770663</v>
      </c>
      <c r="M162" s="330">
        <v>0</v>
      </c>
      <c r="N162" s="330">
        <v>23453.955697724694</v>
      </c>
      <c r="O162" s="330">
        <v>1114.2845332511115</v>
      </c>
      <c r="P162" s="330">
        <v>34304.244276825033</v>
      </c>
      <c r="Q162" s="333">
        <v>85223.462722046257</v>
      </c>
      <c r="R162" s="330">
        <v>24414.583971816068</v>
      </c>
      <c r="S162" s="330">
        <v>8041.0170979175864</v>
      </c>
      <c r="T162" s="332">
        <v>0.77244891430129492</v>
      </c>
      <c r="U162" s="330">
        <v>0.23386702113250477</v>
      </c>
      <c r="V162" s="330">
        <v>0.97036640292871901</v>
      </c>
      <c r="W162" s="330">
        <v>0.99999992157374629</v>
      </c>
      <c r="X162" s="330">
        <v>0.91969125629713999</v>
      </c>
      <c r="Y162" s="330">
        <v>0</v>
      </c>
      <c r="Z162" s="331">
        <v>0</v>
      </c>
      <c r="AA162" s="235"/>
      <c r="AB162" s="52">
        <v>90660.835441169256</v>
      </c>
      <c r="AC162" s="330">
        <v>4.7748598124487476</v>
      </c>
      <c r="AD162" s="330">
        <v>69458.831033856201</v>
      </c>
      <c r="AE162" s="330">
        <v>4.1770707955683566</v>
      </c>
      <c r="AF162" s="330">
        <v>21202.004407313056</v>
      </c>
      <c r="AG162" s="331">
        <v>0.59778901688039099</v>
      </c>
      <c r="AH162" s="235"/>
      <c r="AI162" s="208">
        <f t="shared" si="18"/>
        <v>4445455.9863851406</v>
      </c>
      <c r="AJ162" s="208">
        <f t="shared" si="19"/>
        <v>3898758.4247560827</v>
      </c>
      <c r="AK162" s="208">
        <f t="shared" si="20"/>
        <v>546697.56162905833</v>
      </c>
      <c r="AL162" s="235"/>
      <c r="AM162" s="52">
        <f t="shared" si="4"/>
        <v>1</v>
      </c>
      <c r="AN162" s="52">
        <f t="shared" si="5"/>
        <v>0</v>
      </c>
      <c r="AO162" s="52">
        <f t="shared" si="6"/>
        <v>1</v>
      </c>
      <c r="AP162" s="235"/>
      <c r="AQ162" s="3"/>
      <c r="AR162" s="3"/>
      <c r="AS162" s="3"/>
      <c r="AT162" s="3"/>
      <c r="AU162" s="235"/>
      <c r="AV162" s="360">
        <f t="shared" si="21"/>
        <v>4445455.9863851406</v>
      </c>
      <c r="AW162" s="235"/>
      <c r="AX162" s="354"/>
      <c r="AY162" s="14"/>
      <c r="AZ162" s="14">
        <f t="shared" si="23"/>
        <v>21202.004407313056</v>
      </c>
      <c r="BA162" s="14">
        <f t="shared" si="22"/>
        <v>0.59778901688039099</v>
      </c>
      <c r="BB162" s="14">
        <f t="shared" si="2"/>
        <v>35467.370273808949</v>
      </c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3"/>
      <c r="CT162" s="3"/>
      <c r="CU162" s="3"/>
      <c r="CV162" s="3"/>
      <c r="CW162" s="3"/>
    </row>
    <row r="163" spans="1:101" ht="14.25" customHeight="1" x14ac:dyDescent="0.2">
      <c r="A163" s="328"/>
      <c r="B163" s="52">
        <v>0.14436740721931818</v>
      </c>
      <c r="C163" s="330">
        <v>0.15790917794966236</v>
      </c>
      <c r="D163" s="330">
        <v>1.21535798889929E-2</v>
      </c>
      <c r="E163" s="330">
        <v>1.219611622781535E-2</v>
      </c>
      <c r="F163" s="331">
        <v>0.74436344158096535</v>
      </c>
      <c r="G163" s="94">
        <v>0.41243331906472569</v>
      </c>
      <c r="H163" s="330">
        <v>0.93272828650575001</v>
      </c>
      <c r="I163" s="330">
        <v>1.6164742449278405E-3</v>
      </c>
      <c r="J163" s="330">
        <v>7.9136927774144078E-2</v>
      </c>
      <c r="K163" s="330">
        <v>0.80870891716916837</v>
      </c>
      <c r="L163" s="332">
        <v>12682.395824190042</v>
      </c>
      <c r="M163" s="330">
        <v>0</v>
      </c>
      <c r="N163" s="330">
        <v>13871.235517538582</v>
      </c>
      <c r="O163" s="330">
        <v>1406.5539201070658</v>
      </c>
      <c r="P163" s="330">
        <v>52653.653593102004</v>
      </c>
      <c r="Q163" s="333">
        <v>62166.597374794175</v>
      </c>
      <c r="R163" s="330">
        <v>20480.728579092665</v>
      </c>
      <c r="S163" s="330">
        <v>12886.568634424044</v>
      </c>
      <c r="T163" s="332">
        <v>0.32168121381056042</v>
      </c>
      <c r="U163" s="330">
        <v>0.99473458514803514</v>
      </c>
      <c r="V163" s="330">
        <v>0.45907837890584041</v>
      </c>
      <c r="W163" s="330">
        <v>0.45083478503818619</v>
      </c>
      <c r="X163" s="330">
        <v>0.98844344120016492</v>
      </c>
      <c r="Y163" s="330">
        <v>0</v>
      </c>
      <c r="Z163" s="331">
        <v>0</v>
      </c>
      <c r="AA163" s="235"/>
      <c r="AB163" s="52">
        <v>116399.94281109657</v>
      </c>
      <c r="AC163" s="330">
        <v>4.5220288242708309</v>
      </c>
      <c r="AD163" s="330">
        <v>120328.52467374888</v>
      </c>
      <c r="AE163" s="330">
        <v>4.9563571546166409</v>
      </c>
      <c r="AF163" s="330">
        <v>-3928.5818626523105</v>
      </c>
      <c r="AG163" s="331">
        <v>-0.43432833034581009</v>
      </c>
      <c r="AH163" s="235"/>
      <c r="AI163" s="208">
        <f t="shared" si="18"/>
        <v>4179527.4402461932</v>
      </c>
      <c r="AJ163" s="208">
        <f t="shared" si="19"/>
        <v>4588210.7722120602</v>
      </c>
      <c r="AK163" s="208">
        <f t="shared" si="20"/>
        <v>-408683.33196586726</v>
      </c>
      <c r="AL163" s="235"/>
      <c r="AM163" s="52">
        <f t="shared" si="4"/>
        <v>0</v>
      </c>
      <c r="AN163" s="52">
        <f t="shared" si="5"/>
        <v>1</v>
      </c>
      <c r="AO163" s="52">
        <f t="shared" si="6"/>
        <v>0</v>
      </c>
      <c r="AP163" s="235"/>
      <c r="AQ163" s="3"/>
      <c r="AR163" s="3"/>
      <c r="AS163" s="3"/>
      <c r="AT163" s="3"/>
      <c r="AU163" s="235"/>
      <c r="AV163" s="360">
        <f t="shared" si="21"/>
        <v>4588210.7722120602</v>
      </c>
      <c r="AW163" s="235"/>
      <c r="AX163" s="354"/>
      <c r="AY163" s="14"/>
      <c r="AZ163" s="14">
        <f t="shared" si="23"/>
        <v>-3928.5818626523105</v>
      </c>
      <c r="BA163" s="14">
        <f t="shared" si="22"/>
        <v>-0.43432833034581009</v>
      </c>
      <c r="BB163" s="14">
        <f t="shared" si="2"/>
        <v>9045.1890612900916</v>
      </c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3"/>
      <c r="CT163" s="3"/>
      <c r="CU163" s="3"/>
      <c r="CV163" s="3"/>
      <c r="CW163" s="3"/>
    </row>
    <row r="164" spans="1:101" ht="14.25" customHeight="1" x14ac:dyDescent="0.2">
      <c r="A164" s="328"/>
      <c r="B164" s="52">
        <v>0.16214017614627318</v>
      </c>
      <c r="C164" s="330">
        <v>0.34846008948521034</v>
      </c>
      <c r="D164" s="330">
        <v>9.5893318813788132E-3</v>
      </c>
      <c r="E164" s="330">
        <v>2.5911457730538268E-2</v>
      </c>
      <c r="F164" s="331">
        <v>0.80193735135565758</v>
      </c>
      <c r="G164" s="94">
        <v>0.37291123706201823</v>
      </c>
      <c r="H164" s="330">
        <v>0.37133075648086039</v>
      </c>
      <c r="I164" s="330">
        <v>2.3544875347987215E-2</v>
      </c>
      <c r="J164" s="330">
        <v>0.99776367829392887</v>
      </c>
      <c r="K164" s="330">
        <v>0.76547414913644274</v>
      </c>
      <c r="L164" s="332">
        <v>13194.131509430823</v>
      </c>
      <c r="M164" s="330">
        <v>0</v>
      </c>
      <c r="N164" s="330">
        <v>20540.929392028582</v>
      </c>
      <c r="O164" s="330">
        <v>1548.4828626412877</v>
      </c>
      <c r="P164" s="330">
        <v>44576.196476979523</v>
      </c>
      <c r="Q164" s="333">
        <v>71418.355034803259</v>
      </c>
      <c r="R164" s="330">
        <v>28350.170465598203</v>
      </c>
      <c r="S164" s="330">
        <v>11090.598806686759</v>
      </c>
      <c r="T164" s="332">
        <v>0.98531290627418089</v>
      </c>
      <c r="U164" s="330">
        <v>0.97695144805449152</v>
      </c>
      <c r="V164" s="330">
        <v>0.88053943496795872</v>
      </c>
      <c r="W164" s="330">
        <v>0.93833345489095754</v>
      </c>
      <c r="X164" s="330">
        <v>0.98906998236535482</v>
      </c>
      <c r="Y164" s="330">
        <v>0</v>
      </c>
      <c r="Z164" s="331">
        <v>0</v>
      </c>
      <c r="AA164" s="235"/>
      <c r="AB164" s="52">
        <v>110603.83565058703</v>
      </c>
      <c r="AC164" s="330">
        <v>4.9036504507176044</v>
      </c>
      <c r="AD164" s="330">
        <v>96798.525277712237</v>
      </c>
      <c r="AE164" s="330">
        <v>4.7379517745713358</v>
      </c>
      <c r="AF164" s="330">
        <v>13805.310372874796</v>
      </c>
      <c r="AG164" s="331">
        <v>0.16569867614626865</v>
      </c>
      <c r="AH164" s="235"/>
      <c r="AI164" s="208">
        <f t="shared" si="18"/>
        <v>4547864.0925311372</v>
      </c>
      <c r="AJ164" s="208">
        <f t="shared" si="19"/>
        <v>4404255.6605650568</v>
      </c>
      <c r="AK164" s="208">
        <f t="shared" si="20"/>
        <v>143608.43196608045</v>
      </c>
      <c r="AL164" s="235"/>
      <c r="AM164" s="52">
        <f t="shared" si="4"/>
        <v>1</v>
      </c>
      <c r="AN164" s="52">
        <f t="shared" si="5"/>
        <v>0</v>
      </c>
      <c r="AO164" s="52">
        <f t="shared" si="6"/>
        <v>1</v>
      </c>
      <c r="AP164" s="235"/>
      <c r="AQ164" s="3"/>
      <c r="AR164" s="3"/>
      <c r="AS164" s="3"/>
      <c r="AT164" s="3"/>
      <c r="AU164" s="235"/>
      <c r="AV164" s="360">
        <f t="shared" si="21"/>
        <v>4547864.0925311372</v>
      </c>
      <c r="AW164" s="235"/>
      <c r="AX164" s="354"/>
      <c r="AY164" s="14"/>
      <c r="AZ164" s="14">
        <f t="shared" si="23"/>
        <v>13805.310372874796</v>
      </c>
      <c r="BA164" s="14">
        <f t="shared" si="22"/>
        <v>0.16569867614626865</v>
      </c>
      <c r="BB164" s="14">
        <f t="shared" si="2"/>
        <v>83315.755405844713</v>
      </c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3"/>
      <c r="CT164" s="3"/>
      <c r="CU164" s="3"/>
      <c r="CV164" s="3"/>
      <c r="CW164" s="3"/>
    </row>
    <row r="165" spans="1:101" ht="14.25" customHeight="1" x14ac:dyDescent="0.2">
      <c r="A165" s="328"/>
      <c r="B165" s="52">
        <v>0.17566924205610701</v>
      </c>
      <c r="C165" s="330">
        <v>0.31370837536292706</v>
      </c>
      <c r="D165" s="330">
        <v>2.0165139812841293E-2</v>
      </c>
      <c r="E165" s="330">
        <v>6.8178635971608975E-3</v>
      </c>
      <c r="F165" s="331">
        <v>0.77417142315673959</v>
      </c>
      <c r="G165" s="94">
        <v>0.38046924381841579</v>
      </c>
      <c r="H165" s="330">
        <v>0.97875213277482132</v>
      </c>
      <c r="I165" s="330">
        <v>2.6945633293562032E-2</v>
      </c>
      <c r="J165" s="330">
        <v>0.99999326747896244</v>
      </c>
      <c r="K165" s="330">
        <v>0.74544848003901631</v>
      </c>
      <c r="L165" s="332">
        <v>11442.573703932021</v>
      </c>
      <c r="M165" s="330">
        <v>0</v>
      </c>
      <c r="N165" s="330">
        <v>20384.7611167865</v>
      </c>
      <c r="O165" s="330">
        <v>1313.483341903476</v>
      </c>
      <c r="P165" s="330">
        <v>28542.357888338138</v>
      </c>
      <c r="Q165" s="333">
        <v>64116.60785915258</v>
      </c>
      <c r="R165" s="330">
        <v>22491.660852626319</v>
      </c>
      <c r="S165" s="330">
        <v>8651.2116470708388</v>
      </c>
      <c r="T165" s="332">
        <v>0.99340867786025289</v>
      </c>
      <c r="U165" s="330">
        <v>0.62382701339670588</v>
      </c>
      <c r="V165" s="330">
        <v>0.97053699809055716</v>
      </c>
      <c r="W165" s="330">
        <v>0.3281437304975382</v>
      </c>
      <c r="X165" s="330">
        <v>0.99999982800236231</v>
      </c>
      <c r="Y165" s="330">
        <v>0</v>
      </c>
      <c r="Z165" s="331">
        <v>0</v>
      </c>
      <c r="AA165" s="235"/>
      <c r="AB165" s="52">
        <v>85013.756318802902</v>
      </c>
      <c r="AC165" s="330">
        <v>4.680808169676566</v>
      </c>
      <c r="AD165" s="330">
        <v>79086.929679208552</v>
      </c>
      <c r="AE165" s="330">
        <v>4.6748845274865465</v>
      </c>
      <c r="AF165" s="330">
        <v>5926.8266395943501</v>
      </c>
      <c r="AG165" s="331">
        <v>5.9236421900195069E-3</v>
      </c>
      <c r="AH165" s="235"/>
      <c r="AI165" s="208">
        <f t="shared" si="18"/>
        <v>4361754.0048739351</v>
      </c>
      <c r="AJ165" s="208">
        <f t="shared" si="19"/>
        <v>4362053.3714330103</v>
      </c>
      <c r="AK165" s="208">
        <f t="shared" si="20"/>
        <v>-299.36655907581826</v>
      </c>
      <c r="AL165" s="235"/>
      <c r="AM165" s="52">
        <f t="shared" si="4"/>
        <v>0</v>
      </c>
      <c r="AN165" s="52">
        <f t="shared" si="5"/>
        <v>1</v>
      </c>
      <c r="AO165" s="52">
        <f t="shared" si="6"/>
        <v>0</v>
      </c>
      <c r="AP165" s="235"/>
      <c r="AQ165" s="3"/>
      <c r="AR165" s="3"/>
      <c r="AS165" s="3"/>
      <c r="AT165" s="3"/>
      <c r="AU165" s="235"/>
      <c r="AV165" s="360">
        <f t="shared" si="21"/>
        <v>4362053.3714330103</v>
      </c>
      <c r="AW165" s="235"/>
      <c r="AX165" s="354"/>
      <c r="AY165" s="14"/>
      <c r="AZ165" s="14">
        <f t="shared" si="23"/>
        <v>5926.8266395943501</v>
      </c>
      <c r="BA165" s="14">
        <f t="shared" si="22"/>
        <v>5.9236421900195069E-3</v>
      </c>
      <c r="BB165" s="14">
        <f t="shared" si="2"/>
        <v>1000537.5830397401</v>
      </c>
      <c r="BC165" s="14"/>
      <c r="BD165" s="14"/>
      <c r="BE165" s="14"/>
      <c r="BF165" s="14"/>
      <c r="BG165" s="14"/>
      <c r="BH165" s="14"/>
      <c r="BI165" s="14"/>
      <c r="BJ165" s="14"/>
      <c r="BK165" s="14"/>
      <c r="BL165" s="14"/>
      <c r="BM165" s="14"/>
      <c r="BN165" s="14"/>
      <c r="BO165" s="14"/>
      <c r="BP165" s="14"/>
      <c r="BQ165" s="14"/>
      <c r="BR165" s="14"/>
      <c r="BS165" s="14"/>
      <c r="BT165" s="14"/>
      <c r="BU165" s="14"/>
      <c r="BV165" s="14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3"/>
      <c r="CT165" s="3"/>
      <c r="CU165" s="3"/>
      <c r="CV165" s="3"/>
      <c r="CW165" s="3"/>
    </row>
    <row r="166" spans="1:101" ht="14.25" customHeight="1" x14ac:dyDescent="0.2">
      <c r="A166" s="328"/>
      <c r="B166" s="52">
        <v>0.14684043411131231</v>
      </c>
      <c r="C166" s="330">
        <v>0.43446425348133233</v>
      </c>
      <c r="D166" s="330">
        <v>9.9433166142257612E-3</v>
      </c>
      <c r="E166" s="330">
        <v>9.6680258841986711E-3</v>
      </c>
      <c r="F166" s="331">
        <v>0.82748176373507021</v>
      </c>
      <c r="G166" s="94">
        <v>0.4474665699659125</v>
      </c>
      <c r="H166" s="330">
        <v>4.9966887443294909E-2</v>
      </c>
      <c r="I166" s="330">
        <v>2.6572983730298594E-2</v>
      </c>
      <c r="J166" s="330">
        <v>0.99999999999713551</v>
      </c>
      <c r="K166" s="330">
        <v>0.73691120058061921</v>
      </c>
      <c r="L166" s="332">
        <v>8199.6936170588979</v>
      </c>
      <c r="M166" s="330">
        <v>0</v>
      </c>
      <c r="N166" s="330">
        <v>22941.539492333213</v>
      </c>
      <c r="O166" s="330">
        <v>1160.4150627512963</v>
      </c>
      <c r="P166" s="330">
        <v>33344.133893945749</v>
      </c>
      <c r="Q166" s="333">
        <v>93220.797841545238</v>
      </c>
      <c r="R166" s="330">
        <v>22622.031592099436</v>
      </c>
      <c r="S166" s="330">
        <v>10266.000535048719</v>
      </c>
      <c r="T166" s="332">
        <v>0.99318211345318796</v>
      </c>
      <c r="U166" s="330">
        <v>0.2998359987969671</v>
      </c>
      <c r="V166" s="330">
        <v>0.93311498297049089</v>
      </c>
      <c r="W166" s="330">
        <v>0.92831948670908282</v>
      </c>
      <c r="X166" s="330">
        <v>0.36052300387671515</v>
      </c>
      <c r="Y166" s="330">
        <v>0</v>
      </c>
      <c r="Z166" s="331">
        <v>0</v>
      </c>
      <c r="AA166" s="235"/>
      <c r="AB166" s="52">
        <v>101111.2493200935</v>
      </c>
      <c r="AC166" s="330">
        <v>1.8085550334362228</v>
      </c>
      <c r="AD166" s="330">
        <v>84089.344967169396</v>
      </c>
      <c r="AE166" s="330">
        <v>1.6674619600966796</v>
      </c>
      <c r="AF166" s="330">
        <v>17021.904352924103</v>
      </c>
      <c r="AG166" s="331">
        <v>0.14109307333954324</v>
      </c>
      <c r="AH166" s="235"/>
      <c r="AI166" s="208">
        <f t="shared" si="18"/>
        <v>1617016.0324443181</v>
      </c>
      <c r="AJ166" s="208">
        <f t="shared" si="19"/>
        <v>1499999.5171246761</v>
      </c>
      <c r="AK166" s="208">
        <f t="shared" si="20"/>
        <v>117016.51531964199</v>
      </c>
      <c r="AL166" s="235"/>
      <c r="AM166" s="52">
        <f t="shared" si="4"/>
        <v>1</v>
      </c>
      <c r="AN166" s="52">
        <f t="shared" si="5"/>
        <v>0</v>
      </c>
      <c r="AO166" s="52">
        <f t="shared" si="6"/>
        <v>1</v>
      </c>
      <c r="AP166" s="235"/>
      <c r="AQ166" s="3"/>
      <c r="AR166" s="3"/>
      <c r="AS166" s="3"/>
      <c r="AT166" s="3"/>
      <c r="AU166" s="235"/>
      <c r="AV166" s="360">
        <f t="shared" si="21"/>
        <v>1617016.0324443181</v>
      </c>
      <c r="AW166" s="235"/>
      <c r="AX166" s="354"/>
      <c r="AY166" s="14"/>
      <c r="AZ166" s="14">
        <f t="shared" si="23"/>
        <v>17021.904352924103</v>
      </c>
      <c r="BA166" s="14">
        <f t="shared" si="22"/>
        <v>0.14109307333954324</v>
      </c>
      <c r="BB166" s="14">
        <f t="shared" si="2"/>
        <v>120643.09005418399</v>
      </c>
      <c r="BC166" s="14"/>
      <c r="BD166" s="14"/>
      <c r="BE166" s="14"/>
      <c r="BF166" s="14"/>
      <c r="BG166" s="14"/>
      <c r="BH166" s="14"/>
      <c r="BI166" s="14"/>
      <c r="BJ166" s="14"/>
      <c r="BK166" s="14"/>
      <c r="BL166" s="14"/>
      <c r="BM166" s="14"/>
      <c r="BN166" s="14"/>
      <c r="BO166" s="14"/>
      <c r="BP166" s="14"/>
      <c r="BQ166" s="14"/>
      <c r="BR166" s="14"/>
      <c r="BS166" s="14"/>
      <c r="BT166" s="14"/>
      <c r="BU166" s="14"/>
      <c r="BV166" s="14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3"/>
      <c r="CT166" s="3"/>
      <c r="CU166" s="3"/>
      <c r="CV166" s="3"/>
      <c r="CW166" s="3"/>
    </row>
    <row r="167" spans="1:101" ht="14.25" customHeight="1" x14ac:dyDescent="0.2">
      <c r="A167" s="328"/>
      <c r="B167" s="52">
        <v>0.15632592824374955</v>
      </c>
      <c r="C167" s="330">
        <v>1.7172467492211262E-2</v>
      </c>
      <c r="D167" s="330">
        <v>1.1128291557947324E-2</v>
      </c>
      <c r="E167" s="330">
        <v>1.2550568904656161E-2</v>
      </c>
      <c r="F167" s="331">
        <v>0.75350458382138785</v>
      </c>
      <c r="G167" s="94">
        <v>0.48029678046017443</v>
      </c>
      <c r="H167" s="330">
        <v>0.36469218288620459</v>
      </c>
      <c r="I167" s="330">
        <v>2.5315541137758135E-2</v>
      </c>
      <c r="J167" s="330">
        <v>1.6167112225097043E-5</v>
      </c>
      <c r="K167" s="330">
        <v>0.74102652381621581</v>
      </c>
      <c r="L167" s="332">
        <v>14656.644768575281</v>
      </c>
      <c r="M167" s="330">
        <v>0</v>
      </c>
      <c r="N167" s="330">
        <v>18886.071399397395</v>
      </c>
      <c r="O167" s="330">
        <v>970.55986212135861</v>
      </c>
      <c r="P167" s="330">
        <v>51623.855428336923</v>
      </c>
      <c r="Q167" s="333">
        <v>104322.93608240879</v>
      </c>
      <c r="R167" s="330">
        <v>23280.370778780238</v>
      </c>
      <c r="S167" s="330">
        <v>8348.4748760451548</v>
      </c>
      <c r="T167" s="332">
        <v>0.99183241343888451</v>
      </c>
      <c r="U167" s="330">
        <v>0.21043812257556352</v>
      </c>
      <c r="V167" s="330">
        <v>0.9765567577222154</v>
      </c>
      <c r="W167" s="330">
        <v>0.29340027697734805</v>
      </c>
      <c r="X167" s="330">
        <v>0.99566907438464058</v>
      </c>
      <c r="Y167" s="330">
        <v>0</v>
      </c>
      <c r="Z167" s="331">
        <v>0</v>
      </c>
      <c r="AA167" s="235"/>
      <c r="AB167" s="52">
        <v>82559.923141087129</v>
      </c>
      <c r="AC167" s="330">
        <v>4.8519895314041905</v>
      </c>
      <c r="AD167" s="330">
        <v>72102.193061229933</v>
      </c>
      <c r="AE167" s="330">
        <v>4.4607030190918833</v>
      </c>
      <c r="AF167" s="330">
        <v>10457.730079857196</v>
      </c>
      <c r="AG167" s="331">
        <v>0.39128651231230727</v>
      </c>
      <c r="AH167" s="235"/>
      <c r="AI167" s="208">
        <f t="shared" si="18"/>
        <v>4526830.1316928938</v>
      </c>
      <c r="AJ167" s="208">
        <f t="shared" si="19"/>
        <v>4165565.6750760591</v>
      </c>
      <c r="AK167" s="208">
        <f t="shared" si="20"/>
        <v>361264.45661683474</v>
      </c>
      <c r="AL167" s="235"/>
      <c r="AM167" s="52">
        <f t="shared" si="4"/>
        <v>1</v>
      </c>
      <c r="AN167" s="52">
        <f t="shared" si="5"/>
        <v>0</v>
      </c>
      <c r="AO167" s="52">
        <f t="shared" si="6"/>
        <v>1</v>
      </c>
      <c r="AP167" s="235"/>
      <c r="AQ167" s="3"/>
      <c r="AR167" s="3"/>
      <c r="AS167" s="3"/>
      <c r="AT167" s="3"/>
      <c r="AU167" s="235"/>
      <c r="AV167" s="360">
        <f t="shared" si="21"/>
        <v>4526830.1316928938</v>
      </c>
      <c r="AW167" s="235"/>
      <c r="AX167" s="354"/>
      <c r="AY167" s="14"/>
      <c r="AZ167" s="14">
        <f t="shared" si="23"/>
        <v>10457.730079857196</v>
      </c>
      <c r="BA167" s="14">
        <f t="shared" si="22"/>
        <v>0.39128651231230727</v>
      </c>
      <c r="BB167" s="14">
        <f t="shared" si="2"/>
        <v>26726.528389791027</v>
      </c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3"/>
      <c r="CT167" s="3"/>
      <c r="CU167" s="3"/>
      <c r="CV167" s="3"/>
      <c r="CW167" s="3"/>
    </row>
    <row r="168" spans="1:101" ht="14.25" customHeight="1" x14ac:dyDescent="0.2">
      <c r="A168" s="328"/>
      <c r="B168" s="52">
        <v>0.17171794296229892</v>
      </c>
      <c r="C168" s="330">
        <v>0.2211319545474556</v>
      </c>
      <c r="D168" s="330">
        <v>1.0247553698269957E-2</v>
      </c>
      <c r="E168" s="330">
        <v>1.9860498930690751E-2</v>
      </c>
      <c r="F168" s="331">
        <v>0.77471644882165613</v>
      </c>
      <c r="G168" s="94">
        <v>0.41541196068899111</v>
      </c>
      <c r="H168" s="330">
        <v>0.20295278976990405</v>
      </c>
      <c r="I168" s="330">
        <v>1.6511799433866936E-2</v>
      </c>
      <c r="J168" s="330">
        <v>1.5068052577614083E-3</v>
      </c>
      <c r="K168" s="330">
        <v>0.7640870372162849</v>
      </c>
      <c r="L168" s="332">
        <v>11789.438107674478</v>
      </c>
      <c r="M168" s="330">
        <v>0</v>
      </c>
      <c r="N168" s="330">
        <v>18512.031398214069</v>
      </c>
      <c r="O168" s="330">
        <v>1461.2585754752101</v>
      </c>
      <c r="P168" s="330">
        <v>59558.240958447634</v>
      </c>
      <c r="Q168" s="333">
        <v>85208.161895278972</v>
      </c>
      <c r="R168" s="330">
        <v>23872.279108741248</v>
      </c>
      <c r="S168" s="330">
        <v>8078.2957231477476</v>
      </c>
      <c r="T168" s="332">
        <v>0.99998304509573011</v>
      </c>
      <c r="U168" s="330">
        <v>0.56363568121064611</v>
      </c>
      <c r="V168" s="330">
        <v>0.65309309309251906</v>
      </c>
      <c r="W168" s="330">
        <v>0.99995995650009672</v>
      </c>
      <c r="X168" s="330">
        <v>0.59751189046896147</v>
      </c>
      <c r="Y168" s="330">
        <v>0</v>
      </c>
      <c r="Z168" s="331">
        <v>0</v>
      </c>
      <c r="AA168" s="235"/>
      <c r="AB168" s="52">
        <v>80259.731822834961</v>
      </c>
      <c r="AC168" s="330">
        <v>2.8220494578714659</v>
      </c>
      <c r="AD168" s="330">
        <v>69446.666903037418</v>
      </c>
      <c r="AE168" s="330">
        <v>2.7716556655309716</v>
      </c>
      <c r="AF168" s="330">
        <v>10813.064919797544</v>
      </c>
      <c r="AG168" s="331">
        <v>5.0393792340494237E-2</v>
      </c>
      <c r="AH168" s="235"/>
      <c r="AI168" s="208">
        <f t="shared" si="18"/>
        <v>2600687.2531550578</v>
      </c>
      <c r="AJ168" s="208">
        <f t="shared" si="19"/>
        <v>2563626.2153513855</v>
      </c>
      <c r="AK168" s="208">
        <f t="shared" si="20"/>
        <v>37061.037803671985</v>
      </c>
      <c r="AL168" s="235"/>
      <c r="AM168" s="52">
        <f t="shared" si="4"/>
        <v>1</v>
      </c>
      <c r="AN168" s="52">
        <f t="shared" si="5"/>
        <v>0</v>
      </c>
      <c r="AO168" s="52">
        <f t="shared" si="6"/>
        <v>1</v>
      </c>
      <c r="AP168" s="235"/>
      <c r="AQ168" s="3"/>
      <c r="AR168" s="3"/>
      <c r="AS168" s="3"/>
      <c r="AT168" s="3"/>
      <c r="AU168" s="235"/>
      <c r="AV168" s="360">
        <f t="shared" si="21"/>
        <v>2600687.2531550578</v>
      </c>
      <c r="AW168" s="235"/>
      <c r="AX168" s="354"/>
      <c r="AY168" s="14"/>
      <c r="AZ168" s="14">
        <f t="shared" si="23"/>
        <v>10813.064919797544</v>
      </c>
      <c r="BA168" s="14">
        <f t="shared" si="22"/>
        <v>5.0393792340494237E-2</v>
      </c>
      <c r="BB168" s="14">
        <f t="shared" si="2"/>
        <v>214571.3671782673</v>
      </c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3"/>
      <c r="CT168" s="3"/>
      <c r="CU168" s="3"/>
      <c r="CV168" s="3"/>
      <c r="CW168" s="3"/>
    </row>
    <row r="169" spans="1:101" ht="14.25" customHeight="1" x14ac:dyDescent="0.2">
      <c r="A169" s="328"/>
      <c r="B169" s="52">
        <v>0.15704789860675397</v>
      </c>
      <c r="C169" s="330">
        <v>4.8558865848871591E-2</v>
      </c>
      <c r="D169" s="330">
        <v>1.7346028025608362E-2</v>
      </c>
      <c r="E169" s="330">
        <v>1.2476084336631563E-2</v>
      </c>
      <c r="F169" s="331">
        <v>0.78665358957185616</v>
      </c>
      <c r="G169" s="94">
        <v>0.31467310701962126</v>
      </c>
      <c r="H169" s="330">
        <v>0.98400996181082179</v>
      </c>
      <c r="I169" s="330">
        <v>1.6103696370309839E-2</v>
      </c>
      <c r="J169" s="330">
        <v>0.99994587180754868</v>
      </c>
      <c r="K169" s="330">
        <v>0.70388695097871823</v>
      </c>
      <c r="L169" s="332">
        <v>15652.540348776802</v>
      </c>
      <c r="M169" s="330">
        <v>0</v>
      </c>
      <c r="N169" s="330">
        <v>21111.456976464618</v>
      </c>
      <c r="O169" s="330">
        <v>829.61426953747412</v>
      </c>
      <c r="P169" s="330">
        <v>41612.790647441994</v>
      </c>
      <c r="Q169" s="333">
        <v>87159.156654460327</v>
      </c>
      <c r="R169" s="330">
        <v>19708.090744014135</v>
      </c>
      <c r="S169" s="330">
        <v>9876.9967187520015</v>
      </c>
      <c r="T169" s="332">
        <v>0.99255671126017997</v>
      </c>
      <c r="U169" s="330">
        <v>0.78669400152703561</v>
      </c>
      <c r="V169" s="330">
        <v>0.95973922674425827</v>
      </c>
      <c r="W169" s="330">
        <v>0.9920957788599698</v>
      </c>
      <c r="X169" s="330">
        <v>1.2055816535567842E-2</v>
      </c>
      <c r="Y169" s="330">
        <v>0</v>
      </c>
      <c r="Z169" s="331">
        <v>0</v>
      </c>
      <c r="AA169" s="235"/>
      <c r="AB169" s="52">
        <v>99551.943449366707</v>
      </c>
      <c r="AC169" s="330">
        <v>0.30270232381694379</v>
      </c>
      <c r="AD169" s="330">
        <v>81636.201416902142</v>
      </c>
      <c r="AE169" s="330">
        <v>6.3507677895244641E-2</v>
      </c>
      <c r="AF169" s="330">
        <v>17915.742032464565</v>
      </c>
      <c r="AG169" s="331">
        <v>0.23919464592169914</v>
      </c>
      <c r="AH169" s="235"/>
      <c r="AI169" s="208">
        <f t="shared" si="18"/>
        <v>188015.26417672989</v>
      </c>
      <c r="AJ169" s="208">
        <f t="shared" si="19"/>
        <v>-21303.90741641973</v>
      </c>
      <c r="AK169" s="208">
        <f t="shared" si="20"/>
        <v>209319.17159314963</v>
      </c>
      <c r="AL169" s="235"/>
      <c r="AM169" s="52">
        <f t="shared" si="4"/>
        <v>1</v>
      </c>
      <c r="AN169" s="52">
        <f t="shared" si="5"/>
        <v>0</v>
      </c>
      <c r="AO169" s="52">
        <f t="shared" si="6"/>
        <v>1</v>
      </c>
      <c r="AP169" s="235"/>
      <c r="AQ169" s="3"/>
      <c r="AR169" s="3"/>
      <c r="AS169" s="3"/>
      <c r="AT169" s="3"/>
      <c r="AU169" s="235"/>
      <c r="AV169" s="360">
        <f t="shared" si="21"/>
        <v>188015.26417672989</v>
      </c>
      <c r="AW169" s="235"/>
      <c r="AX169" s="354"/>
      <c r="AY169" s="14"/>
      <c r="AZ169" s="14">
        <f t="shared" si="23"/>
        <v>17915.742032464565</v>
      </c>
      <c r="BA169" s="14">
        <f t="shared" si="22"/>
        <v>0.23919464592169914</v>
      </c>
      <c r="BB169" s="14">
        <f t="shared" si="2"/>
        <v>74900.2636051031</v>
      </c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3"/>
      <c r="CT169" s="3"/>
      <c r="CU169" s="3"/>
      <c r="CV169" s="3"/>
      <c r="CW169" s="3"/>
    </row>
    <row r="170" spans="1:101" ht="14.25" customHeight="1" x14ac:dyDescent="0.2">
      <c r="A170" s="328"/>
      <c r="B170" s="52">
        <v>0.18016590598828153</v>
      </c>
      <c r="C170" s="330">
        <v>0.38895779604716341</v>
      </c>
      <c r="D170" s="330">
        <v>4.8486487932639759E-3</v>
      </c>
      <c r="E170" s="330">
        <v>1.760924909228978E-2</v>
      </c>
      <c r="F170" s="331">
        <v>0.77509130256946934</v>
      </c>
      <c r="G170" s="94">
        <v>0.34351143092093894</v>
      </c>
      <c r="H170" s="330">
        <v>0.4280144342981933</v>
      </c>
      <c r="I170" s="330">
        <v>7.4184426451884009E-3</v>
      </c>
      <c r="J170" s="330">
        <v>0.95052603239020461</v>
      </c>
      <c r="K170" s="330">
        <v>0.81113582328062517</v>
      </c>
      <c r="L170" s="332">
        <v>9712.0126763363787</v>
      </c>
      <c r="M170" s="330">
        <v>0</v>
      </c>
      <c r="N170" s="330">
        <v>14929.456117585465</v>
      </c>
      <c r="O170" s="330">
        <v>1842.7789705463651</v>
      </c>
      <c r="P170" s="330">
        <v>42505.753788755304</v>
      </c>
      <c r="Q170" s="333">
        <v>91962.172778945052</v>
      </c>
      <c r="R170" s="330">
        <v>31982.884166499189</v>
      </c>
      <c r="S170" s="330">
        <v>9220.8678855461367</v>
      </c>
      <c r="T170" s="332">
        <v>0.87102024020513258</v>
      </c>
      <c r="U170" s="330">
        <v>0.49318065886906604</v>
      </c>
      <c r="V170" s="330">
        <v>0.90799246732953454</v>
      </c>
      <c r="W170" s="330">
        <v>0.54268188449766463</v>
      </c>
      <c r="X170" s="330">
        <v>0.41224265405992216</v>
      </c>
      <c r="Y170" s="330">
        <v>0</v>
      </c>
      <c r="Z170" s="331">
        <v>0</v>
      </c>
      <c r="AA170" s="235"/>
      <c r="AB170" s="52">
        <v>89062.764686349954</v>
      </c>
      <c r="AC170" s="330">
        <v>2.2563249604182043</v>
      </c>
      <c r="AD170" s="330">
        <v>85968.594752245466</v>
      </c>
      <c r="AE170" s="330">
        <v>2.0892781681872039</v>
      </c>
      <c r="AF170" s="330">
        <v>3094.1699341044878</v>
      </c>
      <c r="AG170" s="331">
        <v>0.16704679223100038</v>
      </c>
      <c r="AH170" s="235"/>
      <c r="AI170" s="208">
        <f t="shared" si="18"/>
        <v>2054445.9477109441</v>
      </c>
      <c r="AJ170" s="208">
        <f t="shared" si="19"/>
        <v>1898845.6650255984</v>
      </c>
      <c r="AK170" s="208">
        <f t="shared" si="20"/>
        <v>155600.28268534588</v>
      </c>
      <c r="AL170" s="235"/>
      <c r="AM170" s="52">
        <f t="shared" si="4"/>
        <v>1</v>
      </c>
      <c r="AN170" s="52">
        <f t="shared" si="5"/>
        <v>0</v>
      </c>
      <c r="AO170" s="52">
        <f t="shared" si="6"/>
        <v>1</v>
      </c>
      <c r="AP170" s="235"/>
      <c r="AQ170" s="3"/>
      <c r="AR170" s="3"/>
      <c r="AS170" s="3"/>
      <c r="AT170" s="3"/>
      <c r="AU170" s="235"/>
      <c r="AV170" s="360">
        <f t="shared" si="21"/>
        <v>2054445.9477109441</v>
      </c>
      <c r="AW170" s="235"/>
      <c r="AX170" s="354"/>
      <c r="AY170" s="14"/>
      <c r="AZ170" s="14">
        <f t="shared" si="23"/>
        <v>3094.1699341044878</v>
      </c>
      <c r="BA170" s="14">
        <f t="shared" si="22"/>
        <v>0.16704679223100038</v>
      </c>
      <c r="BB170" s="14">
        <f t="shared" si="2"/>
        <v>18522.773725733805</v>
      </c>
      <c r="BC170" s="14"/>
      <c r="BD170" s="14"/>
      <c r="BE170" s="14"/>
      <c r="BF170" s="14"/>
      <c r="BG170" s="14"/>
      <c r="BH170" s="14"/>
      <c r="BI170" s="14"/>
      <c r="BJ170" s="14"/>
      <c r="BK170" s="14"/>
      <c r="BL170" s="14"/>
      <c r="BM170" s="14"/>
      <c r="BN170" s="14"/>
      <c r="BO170" s="14"/>
      <c r="BP170" s="14"/>
      <c r="BQ170" s="14"/>
      <c r="BR170" s="14"/>
      <c r="BS170" s="14"/>
      <c r="BT170" s="14"/>
      <c r="BU170" s="14"/>
      <c r="BV170" s="14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3"/>
      <c r="CT170" s="3"/>
      <c r="CU170" s="3"/>
      <c r="CV170" s="3"/>
      <c r="CW170" s="3"/>
    </row>
    <row r="171" spans="1:101" ht="14.25" customHeight="1" x14ac:dyDescent="0.2">
      <c r="A171" s="328"/>
      <c r="B171" s="52">
        <v>0.16010802691974768</v>
      </c>
      <c r="C171" s="330">
        <v>0.28276591756129599</v>
      </c>
      <c r="D171" s="330">
        <v>1.9803229841312331E-2</v>
      </c>
      <c r="E171" s="330">
        <v>2.3302175927573221E-2</v>
      </c>
      <c r="F171" s="331">
        <v>0.75526033305361184</v>
      </c>
      <c r="G171" s="94">
        <v>0.34699294350990889</v>
      </c>
      <c r="H171" s="330">
        <v>0.85482478708956233</v>
      </c>
      <c r="I171" s="330">
        <v>1.8426375024609865E-2</v>
      </c>
      <c r="J171" s="330">
        <v>5.2325266842432099E-2</v>
      </c>
      <c r="K171" s="330">
        <v>0.71047562166507716</v>
      </c>
      <c r="L171" s="332">
        <v>16715.056383487779</v>
      </c>
      <c r="M171" s="330">
        <v>0</v>
      </c>
      <c r="N171" s="330">
        <v>16528.365829695638</v>
      </c>
      <c r="O171" s="330">
        <v>1736.5511211885348</v>
      </c>
      <c r="P171" s="330">
        <v>53327.651217190942</v>
      </c>
      <c r="Q171" s="333">
        <v>116998.14518158745</v>
      </c>
      <c r="R171" s="330">
        <v>20053.613423517414</v>
      </c>
      <c r="S171" s="330">
        <v>8805.9656184802079</v>
      </c>
      <c r="T171" s="332">
        <v>0.99376746069864219</v>
      </c>
      <c r="U171" s="330">
        <v>0.75451609119712271</v>
      </c>
      <c r="V171" s="330">
        <v>0.98828984352011373</v>
      </c>
      <c r="W171" s="330">
        <v>0.99883201957528012</v>
      </c>
      <c r="X171" s="330">
        <v>0.92046669908719481</v>
      </c>
      <c r="Y171" s="330">
        <v>0</v>
      </c>
      <c r="Z171" s="331">
        <v>0</v>
      </c>
      <c r="AA171" s="235"/>
      <c r="AB171" s="52">
        <v>89648.338998721898</v>
      </c>
      <c r="AC171" s="330">
        <v>4.3134757649669888</v>
      </c>
      <c r="AD171" s="330">
        <v>74388.056161900691</v>
      </c>
      <c r="AE171" s="330">
        <v>4.1475513174050436</v>
      </c>
      <c r="AF171" s="330">
        <v>15260.282836821207</v>
      </c>
      <c r="AG171" s="331">
        <v>0.16592444756194524</v>
      </c>
      <c r="AH171" s="235"/>
      <c r="AI171" s="208">
        <f t="shared" si="18"/>
        <v>4008153.6377199176</v>
      </c>
      <c r="AJ171" s="208">
        <f t="shared" si="19"/>
        <v>3865785.6953728907</v>
      </c>
      <c r="AK171" s="208">
        <f t="shared" si="20"/>
        <v>142367.94234702678</v>
      </c>
      <c r="AL171" s="235"/>
      <c r="AM171" s="52">
        <f t="shared" si="4"/>
        <v>1</v>
      </c>
      <c r="AN171" s="52">
        <f t="shared" si="5"/>
        <v>0</v>
      </c>
      <c r="AO171" s="52">
        <f t="shared" si="6"/>
        <v>1</v>
      </c>
      <c r="AP171" s="235"/>
      <c r="AQ171" s="3"/>
      <c r="AR171" s="3"/>
      <c r="AS171" s="3"/>
      <c r="AT171" s="3"/>
      <c r="AU171" s="235"/>
      <c r="AV171" s="360">
        <f t="shared" si="21"/>
        <v>4008153.6377199176</v>
      </c>
      <c r="AW171" s="235"/>
      <c r="AX171" s="354"/>
      <c r="AY171" s="14"/>
      <c r="AZ171" s="14">
        <f t="shared" si="23"/>
        <v>15260.282836821207</v>
      </c>
      <c r="BA171" s="14">
        <f t="shared" si="22"/>
        <v>0.16592444756194524</v>
      </c>
      <c r="BB171" s="14">
        <f t="shared" si="2"/>
        <v>91971.274041000041</v>
      </c>
      <c r="BC171" s="14"/>
      <c r="BD171" s="14"/>
      <c r="BE171" s="14"/>
      <c r="BF171" s="14"/>
      <c r="BG171" s="14"/>
      <c r="BH171" s="14"/>
      <c r="BI171" s="14"/>
      <c r="BJ171" s="14"/>
      <c r="BK171" s="14"/>
      <c r="BL171" s="14"/>
      <c r="BM171" s="14"/>
      <c r="BN171" s="14"/>
      <c r="BO171" s="14"/>
      <c r="BP171" s="14"/>
      <c r="BQ171" s="14"/>
      <c r="BR171" s="14"/>
      <c r="BS171" s="14"/>
      <c r="BT171" s="14"/>
      <c r="BU171" s="14"/>
      <c r="BV171" s="14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3"/>
      <c r="CT171" s="3"/>
      <c r="CU171" s="3"/>
      <c r="CV171" s="3"/>
      <c r="CW171" s="3"/>
    </row>
    <row r="172" spans="1:101" ht="14.25" customHeight="1" x14ac:dyDescent="0.2">
      <c r="A172" s="328"/>
      <c r="B172" s="52">
        <v>0.17262309073602533</v>
      </c>
      <c r="C172" s="330">
        <v>0.66656204397511298</v>
      </c>
      <c r="D172" s="330">
        <v>1.4336116724172669E-2</v>
      </c>
      <c r="E172" s="330">
        <v>2.5771111757740828E-2</v>
      </c>
      <c r="F172" s="331">
        <v>0.78568129320001301</v>
      </c>
      <c r="G172" s="94">
        <v>0.38358922991761785</v>
      </c>
      <c r="H172" s="330">
        <v>0.75361836554740314</v>
      </c>
      <c r="I172" s="330">
        <v>1.2600473497471246E-2</v>
      </c>
      <c r="J172" s="330">
        <v>0.14390586629374733</v>
      </c>
      <c r="K172" s="330">
        <v>0.70422537507791294</v>
      </c>
      <c r="L172" s="332">
        <v>10519.28068422403</v>
      </c>
      <c r="M172" s="330">
        <v>0</v>
      </c>
      <c r="N172" s="330">
        <v>23462.360748931351</v>
      </c>
      <c r="O172" s="330">
        <v>1058.7029971802272</v>
      </c>
      <c r="P172" s="330">
        <v>34940.539034298417</v>
      </c>
      <c r="Q172" s="333">
        <v>104843.45409532767</v>
      </c>
      <c r="R172" s="330">
        <v>17164.212887713573</v>
      </c>
      <c r="S172" s="330">
        <v>7086.3757293488352</v>
      </c>
      <c r="T172" s="332">
        <v>0.60762083133621725</v>
      </c>
      <c r="U172" s="330">
        <v>0.57246816094111586</v>
      </c>
      <c r="V172" s="330">
        <v>0.99998853593780157</v>
      </c>
      <c r="W172" s="330">
        <v>0.99750484502521031</v>
      </c>
      <c r="X172" s="330">
        <v>0.99383121035727728</v>
      </c>
      <c r="Y172" s="330">
        <v>0</v>
      </c>
      <c r="Z172" s="331">
        <v>0</v>
      </c>
      <c r="AA172" s="235"/>
      <c r="AB172" s="52">
        <v>72687.761537990096</v>
      </c>
      <c r="AC172" s="330">
        <v>4.7974022353158849</v>
      </c>
      <c r="AD172" s="330">
        <v>59461.283615872569</v>
      </c>
      <c r="AE172" s="330">
        <v>4.2465650973649867</v>
      </c>
      <c r="AF172" s="330">
        <v>13226.477922117527</v>
      </c>
      <c r="AG172" s="331">
        <v>0.55083713795089828</v>
      </c>
      <c r="AH172" s="235"/>
      <c r="AI172" s="208">
        <f t="shared" si="18"/>
        <v>4484844.3620121004</v>
      </c>
      <c r="AJ172" s="208">
        <f t="shared" si="19"/>
        <v>3974775.5588808646</v>
      </c>
      <c r="AK172" s="208">
        <f t="shared" si="20"/>
        <v>510068.80313123588</v>
      </c>
      <c r="AL172" s="235"/>
      <c r="AM172" s="52">
        <f t="shared" si="4"/>
        <v>1</v>
      </c>
      <c r="AN172" s="52">
        <f t="shared" si="5"/>
        <v>0</v>
      </c>
      <c r="AO172" s="52">
        <f t="shared" si="6"/>
        <v>1</v>
      </c>
      <c r="AP172" s="235"/>
      <c r="AQ172" s="3"/>
      <c r="AR172" s="3"/>
      <c r="AS172" s="3"/>
      <c r="AT172" s="3"/>
      <c r="AU172" s="235"/>
      <c r="AV172" s="360">
        <f t="shared" si="21"/>
        <v>4484844.3620121004</v>
      </c>
      <c r="AW172" s="235"/>
      <c r="AX172" s="354"/>
      <c r="AY172" s="14"/>
      <c r="AZ172" s="14">
        <f t="shared" si="23"/>
        <v>13226.477922117527</v>
      </c>
      <c r="BA172" s="14">
        <f t="shared" si="22"/>
        <v>0.55083713795089828</v>
      </c>
      <c r="BB172" s="14">
        <f t="shared" si="2"/>
        <v>24011.594373102231</v>
      </c>
      <c r="BC172" s="14"/>
      <c r="BD172" s="14"/>
      <c r="BE172" s="14"/>
      <c r="BF172" s="14"/>
      <c r="BG172" s="14"/>
      <c r="BH172" s="14"/>
      <c r="BI172" s="14"/>
      <c r="BJ172" s="14"/>
      <c r="BK172" s="14"/>
      <c r="BL172" s="14"/>
      <c r="BM172" s="14"/>
      <c r="BN172" s="14"/>
      <c r="BO172" s="14"/>
      <c r="BP172" s="14"/>
      <c r="BQ172" s="14"/>
      <c r="BR172" s="14"/>
      <c r="BS172" s="14"/>
      <c r="BT172" s="14"/>
      <c r="BU172" s="14"/>
      <c r="BV172" s="14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3"/>
      <c r="CT172" s="3"/>
      <c r="CU172" s="3"/>
      <c r="CV172" s="3"/>
      <c r="CW172" s="3"/>
    </row>
    <row r="173" spans="1:101" ht="14.25" customHeight="1" x14ac:dyDescent="0.2">
      <c r="A173" s="328"/>
      <c r="B173" s="52">
        <v>0.17165880524656729</v>
      </c>
      <c r="C173" s="330">
        <v>0.53478299654942807</v>
      </c>
      <c r="D173" s="330">
        <v>1.4964092010929519E-2</v>
      </c>
      <c r="E173" s="330">
        <v>2.0258805710184014E-2</v>
      </c>
      <c r="F173" s="331">
        <v>0.81447636935849088</v>
      </c>
      <c r="G173" s="94">
        <v>0.41196285527605714</v>
      </c>
      <c r="H173" s="330">
        <v>0.60171891436573155</v>
      </c>
      <c r="I173" s="330">
        <v>1.6321118166357063E-2</v>
      </c>
      <c r="J173" s="330">
        <v>0.99386267338410861</v>
      </c>
      <c r="K173" s="330">
        <v>0.74342151443244042</v>
      </c>
      <c r="L173" s="332">
        <v>12355.511736793011</v>
      </c>
      <c r="M173" s="330">
        <v>0</v>
      </c>
      <c r="N173" s="330">
        <v>13597.102646366518</v>
      </c>
      <c r="O173" s="330">
        <v>1168.905655801695</v>
      </c>
      <c r="P173" s="330">
        <v>52007.525847905912</v>
      </c>
      <c r="Q173" s="333">
        <v>96858.881099213831</v>
      </c>
      <c r="R173" s="330">
        <v>22690.025554909131</v>
      </c>
      <c r="S173" s="330">
        <v>8927.6355802843009</v>
      </c>
      <c r="T173" s="332">
        <v>0.44188959787450494</v>
      </c>
      <c r="U173" s="330">
        <v>0.96984608727751809</v>
      </c>
      <c r="V173" s="330">
        <v>0.99999853562980701</v>
      </c>
      <c r="W173" s="330">
        <v>0.83818637204543478</v>
      </c>
      <c r="X173" s="330">
        <v>0.18727019744174941</v>
      </c>
      <c r="Y173" s="330">
        <v>0</v>
      </c>
      <c r="Z173" s="331">
        <v>0</v>
      </c>
      <c r="AA173" s="235"/>
      <c r="AB173" s="52">
        <v>92921.850335108407</v>
      </c>
      <c r="AC173" s="330">
        <v>1.2007518532760371</v>
      </c>
      <c r="AD173" s="330">
        <v>78408.6607283099</v>
      </c>
      <c r="AE173" s="330">
        <v>0.84532144592503078</v>
      </c>
      <c r="AF173" s="330">
        <v>14513.189606798507</v>
      </c>
      <c r="AG173" s="331">
        <v>0.35543040735100628</v>
      </c>
      <c r="AH173" s="235"/>
      <c r="AI173" s="208">
        <f t="shared" si="18"/>
        <v>1047792.4102771268</v>
      </c>
      <c r="AJ173" s="208">
        <f t="shared" si="19"/>
        <v>724646.71290046931</v>
      </c>
      <c r="AK173" s="208">
        <f t="shared" si="20"/>
        <v>323145.69737665745</v>
      </c>
      <c r="AL173" s="235"/>
      <c r="AM173" s="52">
        <f t="shared" si="4"/>
        <v>1</v>
      </c>
      <c r="AN173" s="52">
        <f t="shared" si="5"/>
        <v>0</v>
      </c>
      <c r="AO173" s="52">
        <f t="shared" si="6"/>
        <v>1</v>
      </c>
      <c r="AP173" s="235"/>
      <c r="AQ173" s="3"/>
      <c r="AR173" s="3"/>
      <c r="AS173" s="3"/>
      <c r="AT173" s="3"/>
      <c r="AU173" s="235"/>
      <c r="AV173" s="360">
        <f t="shared" si="21"/>
        <v>1047792.4102771268</v>
      </c>
      <c r="AW173" s="235"/>
      <c r="AX173" s="354"/>
      <c r="AY173" s="14"/>
      <c r="AZ173" s="14">
        <f t="shared" si="23"/>
        <v>14513.189606798507</v>
      </c>
      <c r="BA173" s="14">
        <f t="shared" si="22"/>
        <v>0.35543040735100628</v>
      </c>
      <c r="BB173" s="14">
        <f t="shared" si="2"/>
        <v>40832.71804166706</v>
      </c>
      <c r="BC173" s="14"/>
      <c r="BD173" s="14"/>
      <c r="BE173" s="14"/>
      <c r="BF173" s="14"/>
      <c r="BG173" s="14"/>
      <c r="BH173" s="14"/>
      <c r="BI173" s="14"/>
      <c r="BJ173" s="14"/>
      <c r="BK173" s="14"/>
      <c r="BL173" s="14"/>
      <c r="BM173" s="14"/>
      <c r="BN173" s="14"/>
      <c r="BO173" s="14"/>
      <c r="BP173" s="14"/>
      <c r="BQ173" s="14"/>
      <c r="BR173" s="14"/>
      <c r="BS173" s="14"/>
      <c r="BT173" s="14"/>
      <c r="BU173" s="14"/>
      <c r="BV173" s="14"/>
      <c r="BW173" s="14"/>
      <c r="BX173" s="14"/>
      <c r="BY173" s="14"/>
      <c r="BZ173" s="14"/>
      <c r="CA173" s="14"/>
      <c r="CB173" s="14"/>
      <c r="CC173" s="14"/>
      <c r="CD173" s="14"/>
      <c r="CE173" s="14"/>
      <c r="CF173" s="14"/>
      <c r="CG173" s="14"/>
      <c r="CH173" s="14"/>
      <c r="CI173" s="14"/>
      <c r="CJ173" s="14"/>
      <c r="CK173" s="14"/>
      <c r="CL173" s="14"/>
      <c r="CM173" s="14"/>
      <c r="CN173" s="14"/>
      <c r="CO173" s="14"/>
      <c r="CP173" s="14"/>
      <c r="CQ173" s="14"/>
      <c r="CR173" s="14"/>
      <c r="CS173" s="3"/>
      <c r="CT173" s="3"/>
      <c r="CU173" s="3"/>
      <c r="CV173" s="3"/>
      <c r="CW173" s="3"/>
    </row>
    <row r="174" spans="1:101" ht="14.25" customHeight="1" x14ac:dyDescent="0.2">
      <c r="A174" s="328"/>
      <c r="B174" s="52">
        <v>0.13763471824585474</v>
      </c>
      <c r="C174" s="330">
        <v>6.954640727010318E-2</v>
      </c>
      <c r="D174" s="330">
        <v>2.4148742351315922E-2</v>
      </c>
      <c r="E174" s="330">
        <v>1.6277086686462994E-2</v>
      </c>
      <c r="F174" s="331">
        <v>0.7754046328043378</v>
      </c>
      <c r="G174" s="94">
        <v>0.41949222660537988</v>
      </c>
      <c r="H174" s="330">
        <v>0.67762188713621663</v>
      </c>
      <c r="I174" s="330">
        <v>1.4745888233809122E-2</v>
      </c>
      <c r="J174" s="330">
        <v>0.90242432358417901</v>
      </c>
      <c r="K174" s="330">
        <v>0.7333463073744102</v>
      </c>
      <c r="L174" s="332">
        <v>12309.892101593519</v>
      </c>
      <c r="M174" s="330">
        <v>0</v>
      </c>
      <c r="N174" s="330">
        <v>23289.001914838998</v>
      </c>
      <c r="O174" s="330">
        <v>1002.4218954649233</v>
      </c>
      <c r="P174" s="330">
        <v>55514.15793689189</v>
      </c>
      <c r="Q174" s="333">
        <v>107695.89072132386</v>
      </c>
      <c r="R174" s="330">
        <v>21804.174423014887</v>
      </c>
      <c r="S174" s="330">
        <v>7189.5528907674834</v>
      </c>
      <c r="T174" s="332">
        <v>0.48050165374711923</v>
      </c>
      <c r="U174" s="330">
        <v>0.34612088808588448</v>
      </c>
      <c r="V174" s="330">
        <v>0.99431948952452343</v>
      </c>
      <c r="W174" s="330">
        <v>0.95681393739461795</v>
      </c>
      <c r="X174" s="330">
        <v>9.8589959679748918E-3</v>
      </c>
      <c r="Y174" s="330">
        <v>0</v>
      </c>
      <c r="Z174" s="331">
        <v>0</v>
      </c>
      <c r="AA174" s="235"/>
      <c r="AB174" s="52">
        <v>72843.385918752247</v>
      </c>
      <c r="AC174" s="330">
        <v>0.18953164577195317</v>
      </c>
      <c r="AD174" s="330">
        <v>64222.251925620752</v>
      </c>
      <c r="AE174" s="330">
        <v>0.1147470490627607</v>
      </c>
      <c r="AF174" s="330">
        <v>8621.1339931314942</v>
      </c>
      <c r="AG174" s="331">
        <v>7.4784596709192463E-2</v>
      </c>
      <c r="AH174" s="235"/>
      <c r="AI174" s="208">
        <f t="shared" si="18"/>
        <v>107211.67756460326</v>
      </c>
      <c r="AJ174" s="208">
        <f t="shared" si="19"/>
        <v>44787.444684001915</v>
      </c>
      <c r="AK174" s="208">
        <f t="shared" si="20"/>
        <v>62424.232880601347</v>
      </c>
      <c r="AL174" s="235"/>
      <c r="AM174" s="52">
        <f t="shared" si="4"/>
        <v>1</v>
      </c>
      <c r="AN174" s="52">
        <f t="shared" si="5"/>
        <v>0</v>
      </c>
      <c r="AO174" s="52">
        <f t="shared" si="6"/>
        <v>1</v>
      </c>
      <c r="AP174" s="235"/>
      <c r="AQ174" s="3"/>
      <c r="AR174" s="3"/>
      <c r="AS174" s="3"/>
      <c r="AT174" s="3"/>
      <c r="AU174" s="235"/>
      <c r="AV174" s="360">
        <f t="shared" si="21"/>
        <v>107211.67756460326</v>
      </c>
      <c r="AW174" s="235"/>
      <c r="AX174" s="354"/>
      <c r="AY174" s="14"/>
      <c r="AZ174" s="14">
        <f t="shared" si="23"/>
        <v>8621.1339931314942</v>
      </c>
      <c r="BA174" s="14">
        <f t="shared" si="22"/>
        <v>7.4784596709192463E-2</v>
      </c>
      <c r="BB174" s="14">
        <f t="shared" si="2"/>
        <v>115279.54114208376</v>
      </c>
      <c r="BC174" s="14"/>
      <c r="BD174" s="14"/>
      <c r="BE174" s="14"/>
      <c r="BF174" s="14"/>
      <c r="BG174" s="14"/>
      <c r="BH174" s="14"/>
      <c r="BI174" s="14"/>
      <c r="BJ174" s="14"/>
      <c r="BK174" s="14"/>
      <c r="BL174" s="14"/>
      <c r="BM174" s="14"/>
      <c r="BN174" s="14"/>
      <c r="BO174" s="14"/>
      <c r="BP174" s="14"/>
      <c r="BQ174" s="14"/>
      <c r="BR174" s="14"/>
      <c r="BS174" s="14"/>
      <c r="BT174" s="14"/>
      <c r="BU174" s="14"/>
      <c r="BV174" s="14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3"/>
      <c r="CT174" s="3"/>
      <c r="CU174" s="3"/>
      <c r="CV174" s="3"/>
      <c r="CW174" s="3"/>
    </row>
    <row r="175" spans="1:101" ht="14.25" customHeight="1" x14ac:dyDescent="0.2">
      <c r="A175" s="328"/>
      <c r="B175" s="52">
        <v>0.16166400337224196</v>
      </c>
      <c r="C175" s="330">
        <v>0.53684452230515389</v>
      </c>
      <c r="D175" s="330">
        <v>1.9428778401471725E-2</v>
      </c>
      <c r="E175" s="330">
        <v>2.9146184220854687E-2</v>
      </c>
      <c r="F175" s="331">
        <v>0.78548124369447569</v>
      </c>
      <c r="G175" s="94">
        <v>0.4395533187215005</v>
      </c>
      <c r="H175" s="330">
        <v>0.16792472170904801</v>
      </c>
      <c r="I175" s="330">
        <v>2.9609089945474731E-2</v>
      </c>
      <c r="J175" s="330">
        <v>0.40869996605840847</v>
      </c>
      <c r="K175" s="330">
        <v>0.75365085556215539</v>
      </c>
      <c r="L175" s="332">
        <v>12917.613171913146</v>
      </c>
      <c r="M175" s="330">
        <v>0</v>
      </c>
      <c r="N175" s="330">
        <v>18325.407693125388</v>
      </c>
      <c r="O175" s="330">
        <v>1025.6071150810437</v>
      </c>
      <c r="P175" s="330">
        <v>49605.348941793287</v>
      </c>
      <c r="Q175" s="333">
        <v>115735.02565437829</v>
      </c>
      <c r="R175" s="330">
        <v>18023.190775425857</v>
      </c>
      <c r="S175" s="330">
        <v>10341.222325710527</v>
      </c>
      <c r="T175" s="332">
        <v>0.19501318810353491</v>
      </c>
      <c r="U175" s="330">
        <v>0.7522770547523332</v>
      </c>
      <c r="V175" s="330">
        <v>0.99686451395133313</v>
      </c>
      <c r="W175" s="330">
        <v>0.97932540602404028</v>
      </c>
      <c r="X175" s="330">
        <v>0.52797829181394218</v>
      </c>
      <c r="Y175" s="330">
        <v>0</v>
      </c>
      <c r="Z175" s="331">
        <v>0</v>
      </c>
      <c r="AA175" s="235"/>
      <c r="AB175" s="52">
        <v>102185.38990803336</v>
      </c>
      <c r="AC175" s="330">
        <v>2.6044615698787728</v>
      </c>
      <c r="AD175" s="330">
        <v>87370.955846241224</v>
      </c>
      <c r="AE175" s="330">
        <v>2.7157109423437915</v>
      </c>
      <c r="AF175" s="330">
        <v>14814.434061792141</v>
      </c>
      <c r="AG175" s="331">
        <v>-0.11124937246501876</v>
      </c>
      <c r="AH175" s="235"/>
      <c r="AI175" s="208">
        <f t="shared" si="18"/>
        <v>2372053.1014768006</v>
      </c>
      <c r="AJ175" s="208">
        <f t="shared" si="19"/>
        <v>2492554.4393803608</v>
      </c>
      <c r="AK175" s="208">
        <f t="shared" si="20"/>
        <v>-120501.33790355996</v>
      </c>
      <c r="AL175" s="235"/>
      <c r="AM175" s="52">
        <f t="shared" si="4"/>
        <v>0</v>
      </c>
      <c r="AN175" s="52">
        <f t="shared" si="5"/>
        <v>1</v>
      </c>
      <c r="AO175" s="52">
        <f t="shared" si="6"/>
        <v>0</v>
      </c>
      <c r="AP175" s="235"/>
      <c r="AQ175" s="3"/>
      <c r="AR175" s="3"/>
      <c r="AS175" s="3"/>
      <c r="AT175" s="3"/>
      <c r="AU175" s="235"/>
      <c r="AV175" s="360">
        <f t="shared" si="21"/>
        <v>2492554.4393803608</v>
      </c>
      <c r="AW175" s="235"/>
      <c r="AX175" s="354"/>
      <c r="AY175" s="14"/>
      <c r="AZ175" s="14">
        <f t="shared" si="23"/>
        <v>14814.434061792141</v>
      </c>
      <c r="BA175" s="14">
        <f t="shared" si="22"/>
        <v>-0.11124937246501876</v>
      </c>
      <c r="BB175" s="14">
        <f t="shared" si="2"/>
        <v>-133164.20338865631</v>
      </c>
      <c r="BC175" s="14"/>
      <c r="BD175" s="14"/>
      <c r="BE175" s="14"/>
      <c r="BF175" s="14"/>
      <c r="BG175" s="14"/>
      <c r="BH175" s="14"/>
      <c r="BI175" s="14"/>
      <c r="BJ175" s="14"/>
      <c r="BK175" s="14"/>
      <c r="BL175" s="14"/>
      <c r="BM175" s="14"/>
      <c r="BN175" s="14"/>
      <c r="BO175" s="14"/>
      <c r="BP175" s="14"/>
      <c r="BQ175" s="14"/>
      <c r="BR175" s="14"/>
      <c r="BS175" s="14"/>
      <c r="BT175" s="14"/>
      <c r="BU175" s="14"/>
      <c r="BV175" s="14"/>
      <c r="BW175" s="14"/>
      <c r="BX175" s="14"/>
      <c r="BY175" s="14"/>
      <c r="BZ175" s="14"/>
      <c r="CA175" s="14"/>
      <c r="CB175" s="14"/>
      <c r="CC175" s="14"/>
      <c r="CD175" s="14"/>
      <c r="CE175" s="14"/>
      <c r="CF175" s="14"/>
      <c r="CG175" s="14"/>
      <c r="CH175" s="14"/>
      <c r="CI175" s="14"/>
      <c r="CJ175" s="14"/>
      <c r="CK175" s="14"/>
      <c r="CL175" s="14"/>
      <c r="CM175" s="14"/>
      <c r="CN175" s="14"/>
      <c r="CO175" s="14"/>
      <c r="CP175" s="14"/>
      <c r="CQ175" s="14"/>
      <c r="CR175" s="14"/>
      <c r="CS175" s="3"/>
      <c r="CT175" s="3"/>
      <c r="CU175" s="3"/>
      <c r="CV175" s="3"/>
      <c r="CW175" s="3"/>
    </row>
    <row r="176" spans="1:101" ht="14.25" customHeight="1" x14ac:dyDescent="0.2">
      <c r="A176" s="328"/>
      <c r="B176" s="52">
        <v>0.19634003235103792</v>
      </c>
      <c r="C176" s="330">
        <v>0.91858037944349236</v>
      </c>
      <c r="D176" s="330">
        <v>2.2830762213692291E-2</v>
      </c>
      <c r="E176" s="330">
        <v>1.3384604147328619E-2</v>
      </c>
      <c r="F176" s="331">
        <v>0.79276182761587477</v>
      </c>
      <c r="G176" s="94">
        <v>0.38494612401697742</v>
      </c>
      <c r="H176" s="330">
        <v>9.6027836342350986E-3</v>
      </c>
      <c r="I176" s="330">
        <v>1.3292726925631161E-2</v>
      </c>
      <c r="J176" s="330">
        <v>0.99999022038015162</v>
      </c>
      <c r="K176" s="330">
        <v>0.78930529400461613</v>
      </c>
      <c r="L176" s="332">
        <v>14403.240495336848</v>
      </c>
      <c r="M176" s="330">
        <v>0</v>
      </c>
      <c r="N176" s="330">
        <v>16080.339825331443</v>
      </c>
      <c r="O176" s="330">
        <v>855.03541888796599</v>
      </c>
      <c r="P176" s="330">
        <v>30222.259496501309</v>
      </c>
      <c r="Q176" s="333">
        <v>128838.88036725683</v>
      </c>
      <c r="R176" s="330">
        <v>22728.940214696948</v>
      </c>
      <c r="S176" s="330">
        <v>9086.8472116067351</v>
      </c>
      <c r="T176" s="332">
        <v>0.99214522890008361</v>
      </c>
      <c r="U176" s="330">
        <v>7.6807969278518295E-2</v>
      </c>
      <c r="V176" s="330">
        <v>0.74318397693955895</v>
      </c>
      <c r="W176" s="330">
        <v>0.85117887075014165</v>
      </c>
      <c r="X176" s="330">
        <v>0.94614550225993843</v>
      </c>
      <c r="Y176" s="330">
        <v>0</v>
      </c>
      <c r="Z176" s="331">
        <v>0</v>
      </c>
      <c r="AA176" s="235"/>
      <c r="AB176" s="52">
        <v>96555.316874629643</v>
      </c>
      <c r="AC176" s="330">
        <v>4.6981549942052423</v>
      </c>
      <c r="AD176" s="330">
        <v>78382.646177611503</v>
      </c>
      <c r="AE176" s="330">
        <v>4.5126564215064775</v>
      </c>
      <c r="AF176" s="330">
        <v>18172.67069701814</v>
      </c>
      <c r="AG176" s="331">
        <v>0.1854985726987648</v>
      </c>
      <c r="AH176" s="235"/>
      <c r="AI176" s="208">
        <f t="shared" si="18"/>
        <v>4366691.9276203504</v>
      </c>
      <c r="AJ176" s="208">
        <f t="shared" si="19"/>
        <v>4208640.9542535422</v>
      </c>
      <c r="AK176" s="208">
        <f t="shared" si="20"/>
        <v>158050.97336680844</v>
      </c>
      <c r="AL176" s="235"/>
      <c r="AM176" s="52">
        <f t="shared" si="4"/>
        <v>1</v>
      </c>
      <c r="AN176" s="52">
        <f t="shared" si="5"/>
        <v>0</v>
      </c>
      <c r="AO176" s="52">
        <f t="shared" si="6"/>
        <v>1</v>
      </c>
      <c r="AP176" s="235"/>
      <c r="AQ176" s="3"/>
      <c r="AR176" s="3"/>
      <c r="AS176" s="3"/>
      <c r="AT176" s="3"/>
      <c r="AU176" s="235"/>
      <c r="AV176" s="360">
        <f t="shared" si="21"/>
        <v>4366691.9276203504</v>
      </c>
      <c r="AW176" s="235"/>
      <c r="AX176" s="354"/>
      <c r="AY176" s="14"/>
      <c r="AZ176" s="14">
        <f t="shared" si="23"/>
        <v>18172.67069701814</v>
      </c>
      <c r="BA176" s="14">
        <f t="shared" si="22"/>
        <v>0.1854985726987648</v>
      </c>
      <c r="BB176" s="14">
        <f t="shared" si="2"/>
        <v>97966.633557494482</v>
      </c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3"/>
      <c r="CT176" s="3"/>
      <c r="CU176" s="3"/>
      <c r="CV176" s="3"/>
      <c r="CW176" s="3"/>
    </row>
    <row r="177" spans="1:101" ht="14.25" customHeight="1" x14ac:dyDescent="0.2">
      <c r="A177" s="328"/>
      <c r="B177" s="52">
        <v>0.14150471823720254</v>
      </c>
      <c r="C177" s="330">
        <v>3.8572516869579201E-2</v>
      </c>
      <c r="D177" s="330">
        <v>2.212926713522978E-2</v>
      </c>
      <c r="E177" s="330">
        <v>1.8180551480934892E-2</v>
      </c>
      <c r="F177" s="331">
        <v>0.82401755444256386</v>
      </c>
      <c r="G177" s="94">
        <v>0.35953861126839415</v>
      </c>
      <c r="H177" s="330">
        <v>0.55288108247029322</v>
      </c>
      <c r="I177" s="330">
        <v>2.254549634151215E-2</v>
      </c>
      <c r="J177" s="330">
        <v>0.99998062692450651</v>
      </c>
      <c r="K177" s="330">
        <v>0.74721403903399464</v>
      </c>
      <c r="L177" s="332">
        <v>12550.291261574952</v>
      </c>
      <c r="M177" s="330">
        <v>0</v>
      </c>
      <c r="N177" s="330">
        <v>18196.932317388779</v>
      </c>
      <c r="O177" s="330">
        <v>861.24641335322644</v>
      </c>
      <c r="P177" s="330">
        <v>42886.895706630261</v>
      </c>
      <c r="Q177" s="333">
        <v>88522.066276492144</v>
      </c>
      <c r="R177" s="330">
        <v>20683.607981563368</v>
      </c>
      <c r="S177" s="330">
        <v>9525.5685975681408</v>
      </c>
      <c r="T177" s="332">
        <v>0.32712925208329285</v>
      </c>
      <c r="U177" s="330">
        <v>0.62210148611412475</v>
      </c>
      <c r="V177" s="330">
        <v>0.94702798414963207</v>
      </c>
      <c r="W177" s="330">
        <v>0.99821427974059374</v>
      </c>
      <c r="X177" s="330">
        <v>0.88097181109458123</v>
      </c>
      <c r="Y177" s="330">
        <v>0</v>
      </c>
      <c r="Z177" s="331">
        <v>0</v>
      </c>
      <c r="AA177" s="235"/>
      <c r="AB177" s="52">
        <v>97297.696020303629</v>
      </c>
      <c r="AC177" s="330">
        <v>4.3858320380817339</v>
      </c>
      <c r="AD177" s="330">
        <v>81928.670940750089</v>
      </c>
      <c r="AE177" s="330">
        <v>4.0847911585185921</v>
      </c>
      <c r="AF177" s="330">
        <v>15369.025079553539</v>
      </c>
      <c r="AG177" s="331">
        <v>0.30104087956314185</v>
      </c>
      <c r="AH177" s="235"/>
      <c r="AI177" s="208">
        <f t="shared" si="18"/>
        <v>4069242.7401573434</v>
      </c>
      <c r="AJ177" s="208">
        <f t="shared" si="19"/>
        <v>3798622.9296519123</v>
      </c>
      <c r="AK177" s="208">
        <f t="shared" si="20"/>
        <v>270619.8105054312</v>
      </c>
      <c r="AL177" s="235"/>
      <c r="AM177" s="52">
        <f t="shared" si="4"/>
        <v>1</v>
      </c>
      <c r="AN177" s="52">
        <f t="shared" si="5"/>
        <v>0</v>
      </c>
      <c r="AO177" s="52">
        <f t="shared" si="6"/>
        <v>1</v>
      </c>
      <c r="AP177" s="235"/>
      <c r="AQ177" s="3"/>
      <c r="AR177" s="3"/>
      <c r="AS177" s="3"/>
      <c r="AT177" s="3"/>
      <c r="AU177" s="235"/>
      <c r="AV177" s="360">
        <f t="shared" si="21"/>
        <v>4069242.7401573434</v>
      </c>
      <c r="AW177" s="235"/>
      <c r="AX177" s="354"/>
      <c r="AY177" s="14"/>
      <c r="AZ177" s="14">
        <f t="shared" si="23"/>
        <v>15369.025079553539</v>
      </c>
      <c r="BA177" s="14">
        <f t="shared" si="22"/>
        <v>0.30104087956314185</v>
      </c>
      <c r="BB177" s="14">
        <f t="shared" si="2"/>
        <v>51052.950356298577</v>
      </c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3"/>
      <c r="CT177" s="3"/>
      <c r="CU177" s="3"/>
      <c r="CV177" s="3"/>
      <c r="CW177" s="3"/>
    </row>
    <row r="178" spans="1:101" ht="14.25" customHeight="1" x14ac:dyDescent="0.2">
      <c r="A178" s="328"/>
      <c r="B178" s="52">
        <v>0.14570915749852001</v>
      </c>
      <c r="C178" s="330">
        <v>0.19019046344386095</v>
      </c>
      <c r="D178" s="330">
        <v>1.0768499156148498E-2</v>
      </c>
      <c r="E178" s="330">
        <v>1.3038412141736852E-2</v>
      </c>
      <c r="F178" s="331">
        <v>0.78528333465891753</v>
      </c>
      <c r="G178" s="94">
        <v>0.32737950144823846</v>
      </c>
      <c r="H178" s="330">
        <v>0.41950101823980568</v>
      </c>
      <c r="I178" s="330">
        <v>2.1341640792793437E-2</v>
      </c>
      <c r="J178" s="330">
        <v>0.45835201657353747</v>
      </c>
      <c r="K178" s="330">
        <v>0.70933695660932272</v>
      </c>
      <c r="L178" s="332">
        <v>13265.758390364041</v>
      </c>
      <c r="M178" s="330">
        <v>0</v>
      </c>
      <c r="N178" s="330">
        <v>18982.596718506189</v>
      </c>
      <c r="O178" s="330">
        <v>1042.8344674507925</v>
      </c>
      <c r="P178" s="330">
        <v>42006.294307552831</v>
      </c>
      <c r="Q178" s="333">
        <v>83571.747966815892</v>
      </c>
      <c r="R178" s="330">
        <v>24469.052943240553</v>
      </c>
      <c r="S178" s="330">
        <v>9478.1550253001169</v>
      </c>
      <c r="T178" s="332">
        <v>0.14871812045452609</v>
      </c>
      <c r="U178" s="330">
        <v>0.22011581490633256</v>
      </c>
      <c r="V178" s="330">
        <v>0.89456842567560269</v>
      </c>
      <c r="W178" s="330">
        <v>0.10115388839863233</v>
      </c>
      <c r="X178" s="330">
        <v>0.84097031061458793</v>
      </c>
      <c r="Y178" s="330">
        <v>0</v>
      </c>
      <c r="Z178" s="331">
        <v>0</v>
      </c>
      <c r="AA178" s="235"/>
      <c r="AB178" s="52">
        <v>94101.138319931342</v>
      </c>
      <c r="AC178" s="330">
        <v>4.044379567606927</v>
      </c>
      <c r="AD178" s="330">
        <v>76590.169344895097</v>
      </c>
      <c r="AE178" s="330">
        <v>3.6467411667396448</v>
      </c>
      <c r="AF178" s="330">
        <v>17510.968975036245</v>
      </c>
      <c r="AG178" s="331">
        <v>0.39763840086728219</v>
      </c>
      <c r="AH178" s="235"/>
      <c r="AI178" s="208">
        <f t="shared" si="18"/>
        <v>3748059.4509066492</v>
      </c>
      <c r="AJ178" s="208">
        <f t="shared" si="19"/>
        <v>3387813.9390577674</v>
      </c>
      <c r="AK178" s="208">
        <f t="shared" si="20"/>
        <v>360245.51184888184</v>
      </c>
      <c r="AL178" s="235"/>
      <c r="AM178" s="52">
        <f t="shared" si="4"/>
        <v>1</v>
      </c>
      <c r="AN178" s="52">
        <f t="shared" si="5"/>
        <v>0</v>
      </c>
      <c r="AO178" s="52">
        <f t="shared" si="6"/>
        <v>1</v>
      </c>
      <c r="AP178" s="235"/>
      <c r="AQ178" s="3"/>
      <c r="AR178" s="3"/>
      <c r="AS178" s="3"/>
      <c r="AT178" s="3"/>
      <c r="AU178" s="235"/>
      <c r="AV178" s="360">
        <f t="shared" si="21"/>
        <v>3748059.4509066492</v>
      </c>
      <c r="AW178" s="235"/>
      <c r="AX178" s="354"/>
      <c r="AY178" s="14"/>
      <c r="AZ178" s="14">
        <f t="shared" si="23"/>
        <v>17510.968975036245</v>
      </c>
      <c r="BA178" s="14">
        <f t="shared" si="22"/>
        <v>0.39763840086728219</v>
      </c>
      <c r="BB178" s="14">
        <f t="shared" si="2"/>
        <v>44037.419265451666</v>
      </c>
      <c r="BC178" s="14"/>
      <c r="BD178" s="14"/>
      <c r="BE178" s="14"/>
      <c r="BF178" s="14"/>
      <c r="BG178" s="14"/>
      <c r="BH178" s="14"/>
      <c r="BI178" s="14"/>
      <c r="BJ178" s="14"/>
      <c r="BK178" s="14"/>
      <c r="BL178" s="14"/>
      <c r="BM178" s="14"/>
      <c r="BN178" s="14"/>
      <c r="BO178" s="14"/>
      <c r="BP178" s="14"/>
      <c r="BQ178" s="14"/>
      <c r="BR178" s="14"/>
      <c r="BS178" s="14"/>
      <c r="BT178" s="14"/>
      <c r="BU178" s="14"/>
      <c r="BV178" s="14"/>
      <c r="BW178" s="14"/>
      <c r="BX178" s="14"/>
      <c r="BY178" s="14"/>
      <c r="BZ178" s="14"/>
      <c r="CA178" s="14"/>
      <c r="CB178" s="14"/>
      <c r="CC178" s="14"/>
      <c r="CD178" s="14"/>
      <c r="CE178" s="14"/>
      <c r="CF178" s="14"/>
      <c r="CG178" s="14"/>
      <c r="CH178" s="14"/>
      <c r="CI178" s="14"/>
      <c r="CJ178" s="14"/>
      <c r="CK178" s="14"/>
      <c r="CL178" s="14"/>
      <c r="CM178" s="14"/>
      <c r="CN178" s="14"/>
      <c r="CO178" s="14"/>
      <c r="CP178" s="14"/>
      <c r="CQ178" s="14"/>
      <c r="CR178" s="14"/>
      <c r="CS178" s="3"/>
      <c r="CT178" s="3"/>
      <c r="CU178" s="3"/>
      <c r="CV178" s="3"/>
      <c r="CW178" s="3"/>
    </row>
    <row r="179" spans="1:101" ht="14.25" customHeight="1" x14ac:dyDescent="0.2">
      <c r="A179" s="328"/>
      <c r="B179" s="52">
        <v>0.12851948068589164</v>
      </c>
      <c r="C179" s="330">
        <v>4.6806546857039747E-3</v>
      </c>
      <c r="D179" s="330">
        <v>1.7887704851674679E-2</v>
      </c>
      <c r="E179" s="330">
        <v>2.1772122422879292E-2</v>
      </c>
      <c r="F179" s="331">
        <v>0.75775856722764945</v>
      </c>
      <c r="G179" s="94">
        <v>0.3803311064414544</v>
      </c>
      <c r="H179" s="330">
        <v>0.79386304800729524</v>
      </c>
      <c r="I179" s="330">
        <v>3.9956829665336313E-2</v>
      </c>
      <c r="J179" s="330">
        <v>0.99999999999926614</v>
      </c>
      <c r="K179" s="330">
        <v>0.7818124601558083</v>
      </c>
      <c r="L179" s="332">
        <v>13920.966896214797</v>
      </c>
      <c r="M179" s="330">
        <v>0</v>
      </c>
      <c r="N179" s="330">
        <v>23605.277472450649</v>
      </c>
      <c r="O179" s="330">
        <v>1173.6720461957864</v>
      </c>
      <c r="P179" s="330">
        <v>33477.866168149172</v>
      </c>
      <c r="Q179" s="333">
        <v>108391.30703127033</v>
      </c>
      <c r="R179" s="330">
        <v>25472.567855240632</v>
      </c>
      <c r="S179" s="330">
        <v>6124.7966760033569</v>
      </c>
      <c r="T179" s="332">
        <v>0.95325976376432675</v>
      </c>
      <c r="U179" s="330">
        <v>0.172683850250715</v>
      </c>
      <c r="V179" s="330">
        <v>0.60666206340756912</v>
      </c>
      <c r="W179" s="330">
        <v>0.99927773877684434</v>
      </c>
      <c r="X179" s="330">
        <v>0.93584789628196896</v>
      </c>
      <c r="Y179" s="330">
        <v>0</v>
      </c>
      <c r="Z179" s="331">
        <v>0</v>
      </c>
      <c r="AA179" s="235"/>
      <c r="AB179" s="52">
        <v>64144.071249737579</v>
      </c>
      <c r="AC179" s="330">
        <v>4.5576228993158017</v>
      </c>
      <c r="AD179" s="330">
        <v>61732.411540519402</v>
      </c>
      <c r="AE179" s="330">
        <v>4.4456719536661904</v>
      </c>
      <c r="AF179" s="330">
        <v>2411.6597092181764</v>
      </c>
      <c r="AG179" s="331">
        <v>0.11195094564961128</v>
      </c>
      <c r="AH179" s="235"/>
      <c r="AI179" s="208">
        <f t="shared" si="18"/>
        <v>4265597.6831002738</v>
      </c>
      <c r="AJ179" s="208">
        <f t="shared" si="19"/>
        <v>4161655.9444423616</v>
      </c>
      <c r="AK179" s="208">
        <f t="shared" si="20"/>
        <v>103941.73865791253</v>
      </c>
      <c r="AL179" s="235"/>
      <c r="AM179" s="52">
        <f t="shared" si="4"/>
        <v>1</v>
      </c>
      <c r="AN179" s="52">
        <f t="shared" si="5"/>
        <v>0</v>
      </c>
      <c r="AO179" s="52">
        <f t="shared" si="6"/>
        <v>1</v>
      </c>
      <c r="AP179" s="235"/>
      <c r="AQ179" s="3"/>
      <c r="AR179" s="3"/>
      <c r="AS179" s="3"/>
      <c r="AT179" s="3"/>
      <c r="AU179" s="235"/>
      <c r="AV179" s="360">
        <f t="shared" si="21"/>
        <v>4265597.6831002738</v>
      </c>
      <c r="AW179" s="235"/>
      <c r="AX179" s="354"/>
      <c r="AY179" s="14"/>
      <c r="AZ179" s="14">
        <f t="shared" si="23"/>
        <v>2411.6597092181764</v>
      </c>
      <c r="BA179" s="14">
        <f t="shared" si="22"/>
        <v>0.11195094564961128</v>
      </c>
      <c r="BB179" s="14">
        <f t="shared" si="2"/>
        <v>21542.111102538511</v>
      </c>
      <c r="BC179" s="14"/>
      <c r="BD179" s="14"/>
      <c r="BE179" s="14"/>
      <c r="BF179" s="14"/>
      <c r="BG179" s="14"/>
      <c r="BH179" s="14"/>
      <c r="BI179" s="14"/>
      <c r="BJ179" s="14"/>
      <c r="BK179" s="14"/>
      <c r="BL179" s="14"/>
      <c r="BM179" s="14"/>
      <c r="BN179" s="14"/>
      <c r="BO179" s="14"/>
      <c r="BP179" s="14"/>
      <c r="BQ179" s="14"/>
      <c r="BR179" s="14"/>
      <c r="BS179" s="14"/>
      <c r="BT179" s="14"/>
      <c r="BU179" s="14"/>
      <c r="BV179" s="14"/>
      <c r="BW179" s="14"/>
      <c r="BX179" s="14"/>
      <c r="BY179" s="14"/>
      <c r="BZ179" s="14"/>
      <c r="CA179" s="14"/>
      <c r="CB179" s="14"/>
      <c r="CC179" s="14"/>
      <c r="CD179" s="14"/>
      <c r="CE179" s="14"/>
      <c r="CF179" s="14"/>
      <c r="CG179" s="14"/>
      <c r="CH179" s="14"/>
      <c r="CI179" s="14"/>
      <c r="CJ179" s="14"/>
      <c r="CK179" s="14"/>
      <c r="CL179" s="14"/>
      <c r="CM179" s="14"/>
      <c r="CN179" s="14"/>
      <c r="CO179" s="14"/>
      <c r="CP179" s="14"/>
      <c r="CQ179" s="14"/>
      <c r="CR179" s="14"/>
      <c r="CS179" s="3"/>
      <c r="CT179" s="3"/>
      <c r="CU179" s="3"/>
      <c r="CV179" s="3"/>
      <c r="CW179" s="3"/>
    </row>
    <row r="180" spans="1:101" ht="14.25" customHeight="1" x14ac:dyDescent="0.2">
      <c r="A180" s="328"/>
      <c r="B180" s="52">
        <v>0.13635782017167061</v>
      </c>
      <c r="C180" s="330">
        <v>3.5645869362397665E-3</v>
      </c>
      <c r="D180" s="330">
        <v>1.5007233113796148E-2</v>
      </c>
      <c r="E180" s="330">
        <v>7.1034836512790522E-3</v>
      </c>
      <c r="F180" s="331">
        <v>0.80301470611701464</v>
      </c>
      <c r="G180" s="94">
        <v>0.4280121160928384</v>
      </c>
      <c r="H180" s="330">
        <v>0.80551044261821914</v>
      </c>
      <c r="I180" s="330">
        <v>2.2696053778248015E-2</v>
      </c>
      <c r="J180" s="330">
        <v>0.99890292905826694</v>
      </c>
      <c r="K180" s="330">
        <v>0.71990760598828896</v>
      </c>
      <c r="L180" s="332">
        <v>10972.335392219802</v>
      </c>
      <c r="M180" s="330">
        <v>0</v>
      </c>
      <c r="N180" s="330">
        <v>22003.171063494898</v>
      </c>
      <c r="O180" s="330">
        <v>1323.2183263981908</v>
      </c>
      <c r="P180" s="330">
        <v>41169.196952617123</v>
      </c>
      <c r="Q180" s="333">
        <v>90526.106130729138</v>
      </c>
      <c r="R180" s="330">
        <v>27015.005924755264</v>
      </c>
      <c r="S180" s="330">
        <v>11297.902081049851</v>
      </c>
      <c r="T180" s="332">
        <v>0.99062575552742704</v>
      </c>
      <c r="U180" s="330">
        <v>0.99349799009895923</v>
      </c>
      <c r="V180" s="330">
        <v>0.86429364726403091</v>
      </c>
      <c r="W180" s="330">
        <v>0.74197881540952682</v>
      </c>
      <c r="X180" s="330">
        <v>0.35065169772999666</v>
      </c>
      <c r="Y180" s="330">
        <v>0</v>
      </c>
      <c r="Z180" s="331">
        <v>0</v>
      </c>
      <c r="AA180" s="235"/>
      <c r="AB180" s="52">
        <v>108709.88844860434</v>
      </c>
      <c r="AC180" s="330">
        <v>2.1849501186756584</v>
      </c>
      <c r="AD180" s="330">
        <v>98444.084083536436</v>
      </c>
      <c r="AE180" s="330">
        <v>1.5258766206147722</v>
      </c>
      <c r="AF180" s="330">
        <v>10265.804365067903</v>
      </c>
      <c r="AG180" s="331">
        <v>0.65907349806088611</v>
      </c>
      <c r="AH180" s="235"/>
      <c r="AI180" s="208">
        <f t="shared" si="18"/>
        <v>1966992.7242932711</v>
      </c>
      <c r="AJ180" s="208">
        <f t="shared" si="19"/>
        <v>1351138.7055004972</v>
      </c>
      <c r="AK180" s="208">
        <f t="shared" si="20"/>
        <v>615854.01879277395</v>
      </c>
      <c r="AL180" s="235"/>
      <c r="AM180" s="52">
        <f t="shared" si="4"/>
        <v>1</v>
      </c>
      <c r="AN180" s="52">
        <f t="shared" si="5"/>
        <v>0</v>
      </c>
      <c r="AO180" s="52">
        <f t="shared" si="6"/>
        <v>1</v>
      </c>
      <c r="AP180" s="235"/>
      <c r="AQ180" s="3"/>
      <c r="AR180" s="3"/>
      <c r="AS180" s="3"/>
      <c r="AT180" s="3"/>
      <c r="AU180" s="235"/>
      <c r="AV180" s="360">
        <f t="shared" si="21"/>
        <v>1966992.7242932711</v>
      </c>
      <c r="AW180" s="235"/>
      <c r="AX180" s="354"/>
      <c r="AY180" s="14"/>
      <c r="AZ180" s="14">
        <f t="shared" si="23"/>
        <v>10265.804365067903</v>
      </c>
      <c r="BA180" s="14">
        <f t="shared" si="22"/>
        <v>0.65907349806088611</v>
      </c>
      <c r="BB180" s="14">
        <f t="shared" si="2"/>
        <v>15576.114644681911</v>
      </c>
      <c r="BC180" s="14"/>
      <c r="BD180" s="14"/>
      <c r="BE180" s="14"/>
      <c r="BF180" s="14"/>
      <c r="BG180" s="14"/>
      <c r="BH180" s="14"/>
      <c r="BI180" s="14"/>
      <c r="BJ180" s="14"/>
      <c r="BK180" s="14"/>
      <c r="BL180" s="14"/>
      <c r="BM180" s="14"/>
      <c r="BN180" s="14"/>
      <c r="BO180" s="14"/>
      <c r="BP180" s="14"/>
      <c r="BQ180" s="14"/>
      <c r="BR180" s="14"/>
      <c r="BS180" s="14"/>
      <c r="BT180" s="14"/>
      <c r="BU180" s="14"/>
      <c r="BV180" s="14"/>
      <c r="BW180" s="14"/>
      <c r="BX180" s="14"/>
      <c r="BY180" s="14"/>
      <c r="BZ180" s="14"/>
      <c r="CA180" s="14"/>
      <c r="CB180" s="14"/>
      <c r="CC180" s="14"/>
      <c r="CD180" s="14"/>
      <c r="CE180" s="14"/>
      <c r="CF180" s="14"/>
      <c r="CG180" s="14"/>
      <c r="CH180" s="14"/>
      <c r="CI180" s="14"/>
      <c r="CJ180" s="14"/>
      <c r="CK180" s="14"/>
      <c r="CL180" s="14"/>
      <c r="CM180" s="14"/>
      <c r="CN180" s="14"/>
      <c r="CO180" s="14"/>
      <c r="CP180" s="14"/>
      <c r="CQ180" s="14"/>
      <c r="CR180" s="14"/>
      <c r="CS180" s="3"/>
      <c r="CT180" s="3"/>
      <c r="CU180" s="3"/>
      <c r="CV180" s="3"/>
      <c r="CW180" s="3"/>
    </row>
    <row r="181" spans="1:101" ht="14.25" customHeight="1" x14ac:dyDescent="0.2">
      <c r="A181" s="328"/>
      <c r="B181" s="52">
        <v>0.20910482719058976</v>
      </c>
      <c r="C181" s="330">
        <v>0.76015466057372083</v>
      </c>
      <c r="D181" s="330">
        <v>4.5578135842286255E-3</v>
      </c>
      <c r="E181" s="330">
        <v>1.8136823724815732E-2</v>
      </c>
      <c r="F181" s="331">
        <v>0.77871635663538874</v>
      </c>
      <c r="G181" s="94">
        <v>0.44062554044465629</v>
      </c>
      <c r="H181" s="330">
        <v>3.0192002504239649E-2</v>
      </c>
      <c r="I181" s="330">
        <v>1.5558047124536067E-2</v>
      </c>
      <c r="J181" s="330">
        <v>0.99999541716767548</v>
      </c>
      <c r="K181" s="330">
        <v>0.73157681109185613</v>
      </c>
      <c r="L181" s="332">
        <v>11969.861759779074</v>
      </c>
      <c r="M181" s="330">
        <v>0</v>
      </c>
      <c r="N181" s="330">
        <v>16680.829676279231</v>
      </c>
      <c r="O181" s="330">
        <v>1265.2994442433235</v>
      </c>
      <c r="P181" s="330">
        <v>40600.85153543148</v>
      </c>
      <c r="Q181" s="333">
        <v>108902.51530701235</v>
      </c>
      <c r="R181" s="330">
        <v>20049.93419755976</v>
      </c>
      <c r="S181" s="330">
        <v>8501.4389831774643</v>
      </c>
      <c r="T181" s="332">
        <v>8.1508682969753485E-2</v>
      </c>
      <c r="U181" s="330">
        <v>0.97097351879083293</v>
      </c>
      <c r="V181" s="330">
        <v>0.94992938827400142</v>
      </c>
      <c r="W181" s="330">
        <v>0.98210814204029906</v>
      </c>
      <c r="X181" s="330">
        <v>0.47490896269678418</v>
      </c>
      <c r="Y181" s="330">
        <v>0</v>
      </c>
      <c r="Z181" s="331">
        <v>0</v>
      </c>
      <c r="AA181" s="235"/>
      <c r="AB181" s="52">
        <v>86569.200364200355</v>
      </c>
      <c r="AC181" s="330">
        <v>2.2392046443903086</v>
      </c>
      <c r="AD181" s="330">
        <v>68806.239518871516</v>
      </c>
      <c r="AE181" s="330">
        <v>2.2325475829336323</v>
      </c>
      <c r="AF181" s="330">
        <v>17762.960845328838</v>
      </c>
      <c r="AG181" s="331">
        <v>6.6570614566763275E-3</v>
      </c>
      <c r="AH181" s="235"/>
      <c r="AI181" s="208">
        <f t="shared" si="18"/>
        <v>2040675.211806593</v>
      </c>
      <c r="AJ181" s="208">
        <f t="shared" si="19"/>
        <v>2052113.964268079</v>
      </c>
      <c r="AK181" s="208">
        <f t="shared" si="20"/>
        <v>-11438.752461486327</v>
      </c>
      <c r="AL181" s="235"/>
      <c r="AM181" s="52">
        <f t="shared" si="4"/>
        <v>0</v>
      </c>
      <c r="AN181" s="52">
        <f t="shared" si="5"/>
        <v>1</v>
      </c>
      <c r="AO181" s="52">
        <f t="shared" si="6"/>
        <v>0</v>
      </c>
      <c r="AP181" s="235"/>
      <c r="AQ181" s="3"/>
      <c r="AR181" s="3"/>
      <c r="AS181" s="3"/>
      <c r="AT181" s="3"/>
      <c r="AU181" s="235"/>
      <c r="AV181" s="360">
        <f t="shared" si="21"/>
        <v>2052113.964268079</v>
      </c>
      <c r="AW181" s="235"/>
      <c r="AX181" s="354"/>
      <c r="AY181" s="14"/>
      <c r="AZ181" s="14">
        <f t="shared" si="23"/>
        <v>17762.960845328838</v>
      </c>
      <c r="BA181" s="14">
        <f t="shared" si="22"/>
        <v>6.6570614566763275E-3</v>
      </c>
      <c r="BB181" s="14">
        <f t="shared" si="2"/>
        <v>2668288.5475714621</v>
      </c>
      <c r="BC181" s="14"/>
      <c r="BD181" s="14"/>
      <c r="BE181" s="14"/>
      <c r="BF181" s="14"/>
      <c r="BG181" s="14"/>
      <c r="BH181" s="14"/>
      <c r="BI181" s="14"/>
      <c r="BJ181" s="14"/>
      <c r="BK181" s="14"/>
      <c r="BL181" s="14"/>
      <c r="BM181" s="14"/>
      <c r="BN181" s="14"/>
      <c r="BO181" s="14"/>
      <c r="BP181" s="14"/>
      <c r="BQ181" s="14"/>
      <c r="BR181" s="14"/>
      <c r="BS181" s="14"/>
      <c r="BT181" s="14"/>
      <c r="BU181" s="14"/>
      <c r="BV181" s="14"/>
      <c r="BW181" s="14"/>
      <c r="BX181" s="14"/>
      <c r="BY181" s="14"/>
      <c r="BZ181" s="14"/>
      <c r="CA181" s="14"/>
      <c r="CB181" s="14"/>
      <c r="CC181" s="14"/>
      <c r="CD181" s="14"/>
      <c r="CE181" s="14"/>
      <c r="CF181" s="14"/>
      <c r="CG181" s="14"/>
      <c r="CH181" s="14"/>
      <c r="CI181" s="14"/>
      <c r="CJ181" s="14"/>
      <c r="CK181" s="14"/>
      <c r="CL181" s="14"/>
      <c r="CM181" s="14"/>
      <c r="CN181" s="14"/>
      <c r="CO181" s="14"/>
      <c r="CP181" s="14"/>
      <c r="CQ181" s="14"/>
      <c r="CR181" s="14"/>
      <c r="CS181" s="3"/>
      <c r="CT181" s="3"/>
      <c r="CU181" s="3"/>
      <c r="CV181" s="3"/>
      <c r="CW181" s="3"/>
    </row>
    <row r="182" spans="1:101" ht="14.25" customHeight="1" x14ac:dyDescent="0.2">
      <c r="A182" s="328"/>
      <c r="B182" s="52">
        <v>0.14792301777919964</v>
      </c>
      <c r="C182" s="330">
        <v>0.63350160603109185</v>
      </c>
      <c r="D182" s="330">
        <v>2.0842937838758235E-2</v>
      </c>
      <c r="E182" s="330">
        <v>7.2545305635433547E-3</v>
      </c>
      <c r="F182" s="331">
        <v>0.79387596678129291</v>
      </c>
      <c r="G182" s="94">
        <v>0.42742869585480203</v>
      </c>
      <c r="H182" s="330">
        <v>0.27224042016316985</v>
      </c>
      <c r="I182" s="330">
        <v>3.4875145825070564E-2</v>
      </c>
      <c r="J182" s="330">
        <v>1</v>
      </c>
      <c r="K182" s="330">
        <v>0.7868105057146243</v>
      </c>
      <c r="L182" s="332">
        <v>13895.33501953871</v>
      </c>
      <c r="M182" s="330">
        <v>0</v>
      </c>
      <c r="N182" s="330">
        <v>20841.943434430861</v>
      </c>
      <c r="O182" s="330">
        <v>1004.4582183452392</v>
      </c>
      <c r="P182" s="330">
        <v>32521.700822432245</v>
      </c>
      <c r="Q182" s="333">
        <v>112755.18218728446</v>
      </c>
      <c r="R182" s="330">
        <v>22604.443403230009</v>
      </c>
      <c r="S182" s="330">
        <v>9748.9094528010919</v>
      </c>
      <c r="T182" s="332">
        <v>0.95015009441376619</v>
      </c>
      <c r="U182" s="330">
        <v>0.23482951641569147</v>
      </c>
      <c r="V182" s="330">
        <v>0.99647089949567347</v>
      </c>
      <c r="W182" s="330">
        <v>0.99999999624074387</v>
      </c>
      <c r="X182" s="330">
        <v>0.96487296557106439</v>
      </c>
      <c r="Y182" s="330">
        <v>0</v>
      </c>
      <c r="Z182" s="331">
        <v>0</v>
      </c>
      <c r="AA182" s="235"/>
      <c r="AB182" s="52">
        <v>99564.56135585111</v>
      </c>
      <c r="AC182" s="330">
        <v>5.045399137089694</v>
      </c>
      <c r="AD182" s="330">
        <v>87972.051569385265</v>
      </c>
      <c r="AE182" s="330">
        <v>4.6106733506792468</v>
      </c>
      <c r="AF182" s="330">
        <v>11592.509786465846</v>
      </c>
      <c r="AG182" s="331">
        <v>0.43472578641044723</v>
      </c>
      <c r="AH182" s="235"/>
      <c r="AI182" s="208">
        <f t="shared" si="18"/>
        <v>4693564.6188793583</v>
      </c>
      <c r="AJ182" s="208">
        <f t="shared" si="19"/>
        <v>4292167.6315758992</v>
      </c>
      <c r="AK182" s="208">
        <f t="shared" si="20"/>
        <v>401396.98730345903</v>
      </c>
      <c r="AL182" s="235"/>
      <c r="AM182" s="52">
        <f t="shared" si="4"/>
        <v>1</v>
      </c>
      <c r="AN182" s="52">
        <f t="shared" si="5"/>
        <v>0</v>
      </c>
      <c r="AO182" s="52">
        <f t="shared" si="6"/>
        <v>1</v>
      </c>
      <c r="AP182" s="235"/>
      <c r="AQ182" s="3"/>
      <c r="AR182" s="3"/>
      <c r="AS182" s="3"/>
      <c r="AT182" s="3"/>
      <c r="AU182" s="235"/>
      <c r="AV182" s="360">
        <f t="shared" si="21"/>
        <v>4693564.6188793583</v>
      </c>
      <c r="AW182" s="235"/>
      <c r="AX182" s="354"/>
      <c r="AY182" s="14"/>
      <c r="AZ182" s="14">
        <f t="shared" si="23"/>
        <v>11592.509786465846</v>
      </c>
      <c r="BA182" s="14">
        <f t="shared" si="22"/>
        <v>0.43472578641044723</v>
      </c>
      <c r="BB182" s="14">
        <f t="shared" si="2"/>
        <v>26666.257555563436</v>
      </c>
      <c r="BC182" s="14"/>
      <c r="BD182" s="14"/>
      <c r="BE182" s="14"/>
      <c r="BF182" s="14"/>
      <c r="BG182" s="14"/>
      <c r="BH182" s="14"/>
      <c r="BI182" s="14"/>
      <c r="BJ182" s="14"/>
      <c r="BK182" s="14"/>
      <c r="BL182" s="14"/>
      <c r="BM182" s="14"/>
      <c r="BN182" s="14"/>
      <c r="BO182" s="14"/>
      <c r="BP182" s="14"/>
      <c r="BQ182" s="14"/>
      <c r="BR182" s="14"/>
      <c r="BS182" s="14"/>
      <c r="BT182" s="14"/>
      <c r="BU182" s="14"/>
      <c r="BV182" s="14"/>
      <c r="BW182" s="14"/>
      <c r="BX182" s="14"/>
      <c r="BY182" s="14"/>
      <c r="BZ182" s="14"/>
      <c r="CA182" s="14"/>
      <c r="CB182" s="14"/>
      <c r="CC182" s="14"/>
      <c r="CD182" s="14"/>
      <c r="CE182" s="14"/>
      <c r="CF182" s="14"/>
      <c r="CG182" s="14"/>
      <c r="CH182" s="14"/>
      <c r="CI182" s="14"/>
      <c r="CJ182" s="14"/>
      <c r="CK182" s="14"/>
      <c r="CL182" s="14"/>
      <c r="CM182" s="14"/>
      <c r="CN182" s="14"/>
      <c r="CO182" s="14"/>
      <c r="CP182" s="14"/>
      <c r="CQ182" s="14"/>
      <c r="CR182" s="14"/>
      <c r="CS182" s="3"/>
      <c r="CT182" s="3"/>
      <c r="CU182" s="3"/>
      <c r="CV182" s="3"/>
      <c r="CW182" s="3"/>
    </row>
    <row r="183" spans="1:101" ht="14.25" customHeight="1" x14ac:dyDescent="0.2">
      <c r="A183" s="328"/>
      <c r="B183" s="52">
        <v>0.17657947144458763</v>
      </c>
      <c r="C183" s="330">
        <v>0.73556376597729289</v>
      </c>
      <c r="D183" s="330">
        <v>1.4458529479330129E-2</v>
      </c>
      <c r="E183" s="330">
        <v>1.6397088017211736E-2</v>
      </c>
      <c r="F183" s="331">
        <v>0.7926430559650286</v>
      </c>
      <c r="G183" s="94">
        <v>0.31303189362140033</v>
      </c>
      <c r="H183" s="330">
        <v>0.48880110335488702</v>
      </c>
      <c r="I183" s="330">
        <v>7.2748372151064623E-3</v>
      </c>
      <c r="J183" s="330">
        <v>0.99596749644659066</v>
      </c>
      <c r="K183" s="330">
        <v>0.69334808885755872</v>
      </c>
      <c r="L183" s="332">
        <v>8076.2568743760094</v>
      </c>
      <c r="M183" s="330">
        <v>0</v>
      </c>
      <c r="N183" s="330">
        <v>19920.534130045675</v>
      </c>
      <c r="O183" s="330">
        <v>1257.8498656220977</v>
      </c>
      <c r="P183" s="330">
        <v>43919.386094568537</v>
      </c>
      <c r="Q183" s="333">
        <v>73301.563475697025</v>
      </c>
      <c r="R183" s="330">
        <v>30989.447192295538</v>
      </c>
      <c r="S183" s="330">
        <v>12105.748919942424</v>
      </c>
      <c r="T183" s="332">
        <v>0.99867472692396353</v>
      </c>
      <c r="U183" s="330">
        <v>0.9661482913884496</v>
      </c>
      <c r="V183" s="330">
        <v>0.87370703587895548</v>
      </c>
      <c r="W183" s="330">
        <v>0.9624304644310071</v>
      </c>
      <c r="X183" s="330">
        <v>0.73738842574256713</v>
      </c>
      <c r="Y183" s="330">
        <v>0</v>
      </c>
      <c r="Z183" s="331">
        <v>0</v>
      </c>
      <c r="AA183" s="235"/>
      <c r="AB183" s="52">
        <v>115485.19875065051</v>
      </c>
      <c r="AC183" s="330">
        <v>4.0754118337767435</v>
      </c>
      <c r="AD183" s="330">
        <v>95537.154036174266</v>
      </c>
      <c r="AE183" s="330">
        <v>3.3243968723984181</v>
      </c>
      <c r="AF183" s="330">
        <v>19948.044714476244</v>
      </c>
      <c r="AG183" s="331">
        <v>0.75101496137832546</v>
      </c>
      <c r="AH183" s="235"/>
      <c r="AI183" s="208">
        <f t="shared" si="18"/>
        <v>3756156.0433372557</v>
      </c>
      <c r="AJ183" s="208">
        <f t="shared" si="19"/>
        <v>3062639.8747423231</v>
      </c>
      <c r="AK183" s="208">
        <f t="shared" si="20"/>
        <v>693516.168594933</v>
      </c>
      <c r="AL183" s="235"/>
      <c r="AM183" s="52">
        <f t="shared" si="4"/>
        <v>1</v>
      </c>
      <c r="AN183" s="52">
        <f t="shared" si="5"/>
        <v>0</v>
      </c>
      <c r="AO183" s="52">
        <f t="shared" si="6"/>
        <v>1</v>
      </c>
      <c r="AP183" s="235"/>
      <c r="AQ183" s="3"/>
      <c r="AR183" s="3"/>
      <c r="AS183" s="3"/>
      <c r="AT183" s="3"/>
      <c r="AU183" s="235"/>
      <c r="AV183" s="360">
        <f t="shared" si="21"/>
        <v>3756156.0433372557</v>
      </c>
      <c r="AW183" s="235"/>
      <c r="AX183" s="354"/>
      <c r="AY183" s="14"/>
      <c r="AZ183" s="14">
        <f t="shared" si="23"/>
        <v>19948.044714476244</v>
      </c>
      <c r="BA183" s="14">
        <f t="shared" si="22"/>
        <v>0.75101496137832546</v>
      </c>
      <c r="BB183" s="14">
        <f t="shared" si="2"/>
        <v>26561.447827704957</v>
      </c>
      <c r="BC183" s="14"/>
      <c r="BD183" s="14"/>
      <c r="BE183" s="14"/>
      <c r="BF183" s="14"/>
      <c r="BG183" s="14"/>
      <c r="BH183" s="14"/>
      <c r="BI183" s="14"/>
      <c r="BJ183" s="14"/>
      <c r="BK183" s="14"/>
      <c r="BL183" s="14"/>
      <c r="BM183" s="14"/>
      <c r="BN183" s="14"/>
      <c r="BO183" s="14"/>
      <c r="BP183" s="14"/>
      <c r="BQ183" s="14"/>
      <c r="BR183" s="14"/>
      <c r="BS183" s="14"/>
      <c r="BT183" s="14"/>
      <c r="BU183" s="14"/>
      <c r="BV183" s="14"/>
      <c r="BW183" s="14"/>
      <c r="BX183" s="14"/>
      <c r="BY183" s="14"/>
      <c r="BZ183" s="14"/>
      <c r="CA183" s="14"/>
      <c r="CB183" s="14"/>
      <c r="CC183" s="14"/>
      <c r="CD183" s="14"/>
      <c r="CE183" s="14"/>
      <c r="CF183" s="14"/>
      <c r="CG183" s="14"/>
      <c r="CH183" s="14"/>
      <c r="CI183" s="14"/>
      <c r="CJ183" s="14"/>
      <c r="CK183" s="14"/>
      <c r="CL183" s="14"/>
      <c r="CM183" s="14"/>
      <c r="CN183" s="14"/>
      <c r="CO183" s="14"/>
      <c r="CP183" s="14"/>
      <c r="CQ183" s="14"/>
      <c r="CR183" s="14"/>
      <c r="CS183" s="3"/>
      <c r="CT183" s="3"/>
      <c r="CU183" s="3"/>
      <c r="CV183" s="3"/>
      <c r="CW183" s="3"/>
    </row>
    <row r="184" spans="1:101" ht="14.25" customHeight="1" x14ac:dyDescent="0.2">
      <c r="A184" s="328"/>
      <c r="B184" s="52">
        <v>0.14349646218949014</v>
      </c>
      <c r="C184" s="330">
        <v>1.5553191177540577E-2</v>
      </c>
      <c r="D184" s="330">
        <v>2.6181945506676629E-2</v>
      </c>
      <c r="E184" s="330">
        <v>1.0105404276825306E-2</v>
      </c>
      <c r="F184" s="331">
        <v>0.79989195891814635</v>
      </c>
      <c r="G184" s="94">
        <v>0.36210468879661217</v>
      </c>
      <c r="H184" s="330">
        <v>0.10485443852437581</v>
      </c>
      <c r="I184" s="330">
        <v>2.2259363102770546E-2</v>
      </c>
      <c r="J184" s="330">
        <v>0.95359049084750303</v>
      </c>
      <c r="K184" s="330">
        <v>0.79149081035239466</v>
      </c>
      <c r="L184" s="332">
        <v>8712.5214407351923</v>
      </c>
      <c r="M184" s="330">
        <v>0</v>
      </c>
      <c r="N184" s="330">
        <v>18726.923056458279</v>
      </c>
      <c r="O184" s="330">
        <v>929.1062496479035</v>
      </c>
      <c r="P184" s="330">
        <v>64838.018189932642</v>
      </c>
      <c r="Q184" s="333">
        <v>112586.73668662437</v>
      </c>
      <c r="R184" s="330">
        <v>23837.498829512962</v>
      </c>
      <c r="S184" s="330">
        <v>7128.1437307597998</v>
      </c>
      <c r="T184" s="332">
        <v>0.17038257825801667</v>
      </c>
      <c r="U184" s="330">
        <v>0.83473900757435571</v>
      </c>
      <c r="V184" s="330">
        <v>0.97650638132111189</v>
      </c>
      <c r="W184" s="330">
        <v>0.30037425822737823</v>
      </c>
      <c r="X184" s="330">
        <v>0.99763968691079097</v>
      </c>
      <c r="Y184" s="330">
        <v>0</v>
      </c>
      <c r="Z184" s="331">
        <v>0</v>
      </c>
      <c r="AA184" s="235"/>
      <c r="AB184" s="52">
        <v>70511.951640661253</v>
      </c>
      <c r="AC184" s="330">
        <v>4.8571061653971954</v>
      </c>
      <c r="AD184" s="330">
        <v>63318.218370748124</v>
      </c>
      <c r="AE184" s="330">
        <v>4.9027715817310398</v>
      </c>
      <c r="AF184" s="330">
        <v>7193.7332699131293</v>
      </c>
      <c r="AG184" s="331">
        <v>-4.5665416333844355E-2</v>
      </c>
      <c r="AH184" s="235"/>
      <c r="AI184" s="208">
        <f t="shared" si="18"/>
        <v>4543738.905486675</v>
      </c>
      <c r="AJ184" s="208">
        <f t="shared" si="19"/>
        <v>4594314.7842737399</v>
      </c>
      <c r="AK184" s="208">
        <f t="shared" si="20"/>
        <v>-50575.878787065267</v>
      </c>
      <c r="AL184" s="235"/>
      <c r="AM184" s="52">
        <f t="shared" si="4"/>
        <v>0</v>
      </c>
      <c r="AN184" s="52">
        <f t="shared" si="5"/>
        <v>1</v>
      </c>
      <c r="AO184" s="52">
        <f t="shared" si="6"/>
        <v>0</v>
      </c>
      <c r="AP184" s="235"/>
      <c r="AQ184" s="3"/>
      <c r="AR184" s="3"/>
      <c r="AS184" s="3"/>
      <c r="AT184" s="3"/>
      <c r="AU184" s="235"/>
      <c r="AV184" s="360">
        <f t="shared" si="21"/>
        <v>4594314.7842737399</v>
      </c>
      <c r="AW184" s="235"/>
      <c r="AX184" s="354"/>
      <c r="AY184" s="14"/>
      <c r="AZ184" s="14">
        <f t="shared" si="23"/>
        <v>7193.7332699131293</v>
      </c>
      <c r="BA184" s="14">
        <f t="shared" si="22"/>
        <v>-4.5665416333844355E-2</v>
      </c>
      <c r="BB184" s="14">
        <f t="shared" si="2"/>
        <v>-157531.31904726737</v>
      </c>
      <c r="BC184" s="14"/>
      <c r="BD184" s="14"/>
      <c r="BE184" s="14"/>
      <c r="BF184" s="14"/>
      <c r="BG184" s="14"/>
      <c r="BH184" s="14"/>
      <c r="BI184" s="14"/>
      <c r="BJ184" s="14"/>
      <c r="BK184" s="14"/>
      <c r="BL184" s="14"/>
      <c r="BM184" s="14"/>
      <c r="BN184" s="14"/>
      <c r="BO184" s="14"/>
      <c r="BP184" s="14"/>
      <c r="BQ184" s="14"/>
      <c r="BR184" s="14"/>
      <c r="BS184" s="14"/>
      <c r="BT184" s="14"/>
      <c r="BU184" s="14"/>
      <c r="BV184" s="14"/>
      <c r="BW184" s="14"/>
      <c r="BX184" s="14"/>
      <c r="BY184" s="14"/>
      <c r="BZ184" s="14"/>
      <c r="CA184" s="14"/>
      <c r="CB184" s="14"/>
      <c r="CC184" s="14"/>
      <c r="CD184" s="14"/>
      <c r="CE184" s="14"/>
      <c r="CF184" s="14"/>
      <c r="CG184" s="14"/>
      <c r="CH184" s="14"/>
      <c r="CI184" s="14"/>
      <c r="CJ184" s="14"/>
      <c r="CK184" s="14"/>
      <c r="CL184" s="14"/>
      <c r="CM184" s="14"/>
      <c r="CN184" s="14"/>
      <c r="CO184" s="14"/>
      <c r="CP184" s="14"/>
      <c r="CQ184" s="14"/>
      <c r="CR184" s="14"/>
      <c r="CS184" s="3"/>
      <c r="CT184" s="3"/>
      <c r="CU184" s="3"/>
      <c r="CV184" s="3"/>
      <c r="CW184" s="3"/>
    </row>
    <row r="185" spans="1:101" ht="14.25" customHeight="1" x14ac:dyDescent="0.2">
      <c r="A185" s="328"/>
      <c r="B185" s="52">
        <v>0.14466373442512967</v>
      </c>
      <c r="C185" s="330">
        <v>0.17870892232768201</v>
      </c>
      <c r="D185" s="330">
        <v>9.1682783058186067E-3</v>
      </c>
      <c r="E185" s="330">
        <v>7.1131861249113535E-3</v>
      </c>
      <c r="F185" s="331">
        <v>0.78354163147220734</v>
      </c>
      <c r="G185" s="94">
        <v>0.33778668806862178</v>
      </c>
      <c r="H185" s="330">
        <v>0.62330952418420527</v>
      </c>
      <c r="I185" s="330">
        <v>1.761608438007678E-2</v>
      </c>
      <c r="J185" s="330">
        <v>0.99999965041678962</v>
      </c>
      <c r="K185" s="330">
        <v>0.73917937288864211</v>
      </c>
      <c r="L185" s="332">
        <v>13769.467594839498</v>
      </c>
      <c r="M185" s="330">
        <v>0</v>
      </c>
      <c r="N185" s="330">
        <v>21219.061363174955</v>
      </c>
      <c r="O185" s="330">
        <v>1404.6792783227718</v>
      </c>
      <c r="P185" s="330">
        <v>44381.173858487382</v>
      </c>
      <c r="Q185" s="333">
        <v>105461.29798464471</v>
      </c>
      <c r="R185" s="330">
        <v>15268.508820633775</v>
      </c>
      <c r="S185" s="330">
        <v>8039.1694123004163</v>
      </c>
      <c r="T185" s="332">
        <v>0.99907983988833382</v>
      </c>
      <c r="U185" s="330">
        <v>0.76329310424192542</v>
      </c>
      <c r="V185" s="330">
        <v>0.98690698438801183</v>
      </c>
      <c r="W185" s="330">
        <v>0.89829406917482868</v>
      </c>
      <c r="X185" s="330">
        <v>0.96525084924861326</v>
      </c>
      <c r="Y185" s="330">
        <v>0</v>
      </c>
      <c r="Z185" s="331">
        <v>0</v>
      </c>
      <c r="AA185" s="235"/>
      <c r="AB185" s="52">
        <v>82104.182420518497</v>
      </c>
      <c r="AC185" s="330">
        <v>4.7204607574609776</v>
      </c>
      <c r="AD185" s="330">
        <v>68435.846095911736</v>
      </c>
      <c r="AE185" s="330">
        <v>4.4400057860395723</v>
      </c>
      <c r="AF185" s="330">
        <v>13668.33632460676</v>
      </c>
      <c r="AG185" s="331">
        <v>0.2804549714214053</v>
      </c>
      <c r="AH185" s="235"/>
      <c r="AI185" s="208">
        <f t="shared" si="18"/>
        <v>4402333.5371674104</v>
      </c>
      <c r="AJ185" s="208">
        <f t="shared" si="19"/>
        <v>4149569.6506416821</v>
      </c>
      <c r="AK185" s="208">
        <f t="shared" si="20"/>
        <v>252763.88652572825</v>
      </c>
      <c r="AL185" s="235"/>
      <c r="AM185" s="52">
        <f t="shared" si="4"/>
        <v>1</v>
      </c>
      <c r="AN185" s="52">
        <f t="shared" si="5"/>
        <v>0</v>
      </c>
      <c r="AO185" s="52">
        <f t="shared" si="6"/>
        <v>1</v>
      </c>
      <c r="AP185" s="235"/>
      <c r="AQ185" s="3"/>
      <c r="AR185" s="3"/>
      <c r="AS185" s="3"/>
      <c r="AT185" s="3"/>
      <c r="AU185" s="235"/>
      <c r="AV185" s="360">
        <f t="shared" si="21"/>
        <v>4402333.5371674104</v>
      </c>
      <c r="AW185" s="235"/>
      <c r="AX185" s="354"/>
      <c r="AY185" s="14"/>
      <c r="AZ185" s="14">
        <f t="shared" si="23"/>
        <v>13668.33632460676</v>
      </c>
      <c r="BA185" s="14">
        <f t="shared" si="22"/>
        <v>0.2804549714214053</v>
      </c>
      <c r="BB185" s="14">
        <f t="shared" si="2"/>
        <v>48736.29536796132</v>
      </c>
      <c r="BC185" s="14"/>
      <c r="BD185" s="14"/>
      <c r="BE185" s="14"/>
      <c r="BF185" s="14"/>
      <c r="BG185" s="14"/>
      <c r="BH185" s="14"/>
      <c r="BI185" s="14"/>
      <c r="BJ185" s="14"/>
      <c r="BK185" s="14"/>
      <c r="BL185" s="14"/>
      <c r="BM185" s="14"/>
      <c r="BN185" s="14"/>
      <c r="BO185" s="14"/>
      <c r="BP185" s="14"/>
      <c r="BQ185" s="14"/>
      <c r="BR185" s="14"/>
      <c r="BS185" s="14"/>
      <c r="BT185" s="14"/>
      <c r="BU185" s="14"/>
      <c r="BV185" s="14"/>
      <c r="BW185" s="14"/>
      <c r="BX185" s="14"/>
      <c r="BY185" s="14"/>
      <c r="BZ185" s="14"/>
      <c r="CA185" s="14"/>
      <c r="CB185" s="14"/>
      <c r="CC185" s="14"/>
      <c r="CD185" s="14"/>
      <c r="CE185" s="14"/>
      <c r="CF185" s="14"/>
      <c r="CG185" s="14"/>
      <c r="CH185" s="14"/>
      <c r="CI185" s="14"/>
      <c r="CJ185" s="14"/>
      <c r="CK185" s="14"/>
      <c r="CL185" s="14"/>
      <c r="CM185" s="14"/>
      <c r="CN185" s="14"/>
      <c r="CO185" s="14"/>
      <c r="CP185" s="14"/>
      <c r="CQ185" s="14"/>
      <c r="CR185" s="14"/>
      <c r="CS185" s="3"/>
      <c r="CT185" s="3"/>
      <c r="CU185" s="3"/>
      <c r="CV185" s="3"/>
      <c r="CW185" s="3"/>
    </row>
    <row r="186" spans="1:101" ht="14.25" customHeight="1" x14ac:dyDescent="0.2">
      <c r="A186" s="328"/>
      <c r="B186" s="52">
        <v>0.18948400030335466</v>
      </c>
      <c r="C186" s="330">
        <v>0.57412756282590749</v>
      </c>
      <c r="D186" s="330">
        <v>1.3359188416617008E-2</v>
      </c>
      <c r="E186" s="330">
        <v>8.8215207588341893E-3</v>
      </c>
      <c r="F186" s="331">
        <v>0.77381752700753959</v>
      </c>
      <c r="G186" s="94">
        <v>0.40944603252655998</v>
      </c>
      <c r="H186" s="330">
        <v>0.88084384590754616</v>
      </c>
      <c r="I186" s="330">
        <v>9.6649907998060617E-3</v>
      </c>
      <c r="J186" s="330">
        <v>0.99691010001903568</v>
      </c>
      <c r="K186" s="330">
        <v>0.80436813015498076</v>
      </c>
      <c r="L186" s="332">
        <v>9732.3284558309406</v>
      </c>
      <c r="M186" s="330">
        <v>0</v>
      </c>
      <c r="N186" s="330">
        <v>20168.662756393594</v>
      </c>
      <c r="O186" s="330">
        <v>1153.8205652227232</v>
      </c>
      <c r="P186" s="330">
        <v>36093.116663317654</v>
      </c>
      <c r="Q186" s="333">
        <v>140250.668687431</v>
      </c>
      <c r="R186" s="330">
        <v>27306.554858393596</v>
      </c>
      <c r="S186" s="330">
        <v>4936.598629336404</v>
      </c>
      <c r="T186" s="332">
        <v>0.97527798922308295</v>
      </c>
      <c r="U186" s="330">
        <v>0.70023423071166024</v>
      </c>
      <c r="V186" s="330">
        <v>0.86331732671077366</v>
      </c>
      <c r="W186" s="330">
        <v>0.41191227332734559</v>
      </c>
      <c r="X186" s="330">
        <v>0.9962483765773763</v>
      </c>
      <c r="Y186" s="330">
        <v>0</v>
      </c>
      <c r="Z186" s="331">
        <v>0</v>
      </c>
      <c r="AA186" s="235"/>
      <c r="AB186" s="52">
        <v>54271.452662191194</v>
      </c>
      <c r="AC186" s="330">
        <v>5.1562687120660557</v>
      </c>
      <c r="AD186" s="330">
        <v>53676.611041739459</v>
      </c>
      <c r="AE186" s="330">
        <v>4.8654752213119696</v>
      </c>
      <c r="AF186" s="330">
        <v>594.84162045173434</v>
      </c>
      <c r="AG186" s="331">
        <v>0.29079349075408611</v>
      </c>
      <c r="AH186" s="235"/>
      <c r="AI186" s="208">
        <f t="shared" si="18"/>
        <v>4844183.8238005619</v>
      </c>
      <c r="AJ186" s="208">
        <f t="shared" si="19"/>
        <v>4568524.8492046315</v>
      </c>
      <c r="AK186" s="208">
        <f t="shared" si="20"/>
        <v>275658.97459593008</v>
      </c>
      <c r="AL186" s="235"/>
      <c r="AM186" s="52">
        <f t="shared" si="4"/>
        <v>1</v>
      </c>
      <c r="AN186" s="52">
        <f t="shared" si="5"/>
        <v>0</v>
      </c>
      <c r="AO186" s="52">
        <f t="shared" si="6"/>
        <v>1</v>
      </c>
      <c r="AP186" s="235"/>
      <c r="AQ186" s="3"/>
      <c r="AR186" s="3"/>
      <c r="AS186" s="3"/>
      <c r="AT186" s="3"/>
      <c r="AU186" s="235"/>
      <c r="AV186" s="360">
        <f t="shared" si="21"/>
        <v>4844183.8238005619</v>
      </c>
      <c r="AW186" s="235"/>
      <c r="AX186" s="354"/>
      <c r="AY186" s="14"/>
      <c r="AZ186" s="14">
        <f t="shared" si="23"/>
        <v>594.84162045173434</v>
      </c>
      <c r="BA186" s="14">
        <f t="shared" si="22"/>
        <v>0.29079349075408611</v>
      </c>
      <c r="BB186" s="14">
        <f t="shared" si="2"/>
        <v>2045.5809341164761</v>
      </c>
      <c r="BC186" s="14"/>
      <c r="BD186" s="14"/>
      <c r="BE186" s="14"/>
      <c r="BF186" s="14"/>
      <c r="BG186" s="14"/>
      <c r="BH186" s="14"/>
      <c r="BI186" s="14"/>
      <c r="BJ186" s="14"/>
      <c r="BK186" s="14"/>
      <c r="BL186" s="14"/>
      <c r="BM186" s="14"/>
      <c r="BN186" s="14"/>
      <c r="BO186" s="14"/>
      <c r="BP186" s="14"/>
      <c r="BQ186" s="14"/>
      <c r="BR186" s="14"/>
      <c r="BS186" s="14"/>
      <c r="BT186" s="14"/>
      <c r="BU186" s="14"/>
      <c r="BV186" s="14"/>
      <c r="BW186" s="14"/>
      <c r="BX186" s="14"/>
      <c r="BY186" s="14"/>
      <c r="BZ186" s="14"/>
      <c r="CA186" s="14"/>
      <c r="CB186" s="14"/>
      <c r="CC186" s="14"/>
      <c r="CD186" s="14"/>
      <c r="CE186" s="14"/>
      <c r="CF186" s="14"/>
      <c r="CG186" s="14"/>
      <c r="CH186" s="14"/>
      <c r="CI186" s="14"/>
      <c r="CJ186" s="14"/>
      <c r="CK186" s="14"/>
      <c r="CL186" s="14"/>
      <c r="CM186" s="14"/>
      <c r="CN186" s="14"/>
      <c r="CO186" s="14"/>
      <c r="CP186" s="14"/>
      <c r="CQ186" s="14"/>
      <c r="CR186" s="14"/>
      <c r="CS186" s="3"/>
      <c r="CT186" s="3"/>
      <c r="CU186" s="3"/>
      <c r="CV186" s="3"/>
      <c r="CW186" s="3"/>
    </row>
    <row r="187" spans="1:101" ht="14.25" customHeight="1" x14ac:dyDescent="0.2">
      <c r="A187" s="328"/>
      <c r="B187" s="52">
        <v>0.18073370241570541</v>
      </c>
      <c r="C187" s="330">
        <v>1.5055916927967739E-3</v>
      </c>
      <c r="D187" s="330">
        <v>6.7913321209721305E-3</v>
      </c>
      <c r="E187" s="330">
        <v>1.1463550358545184E-2</v>
      </c>
      <c r="F187" s="331">
        <v>0.81315232009285321</v>
      </c>
      <c r="G187" s="94">
        <v>0.47749568392405428</v>
      </c>
      <c r="H187" s="330">
        <v>0.93879854543211272</v>
      </c>
      <c r="I187" s="330">
        <v>1.1438515112581123E-2</v>
      </c>
      <c r="J187" s="330">
        <v>0.99921224933066621</v>
      </c>
      <c r="K187" s="330">
        <v>0.73300861378384985</v>
      </c>
      <c r="L187" s="332">
        <v>9224.7110605542639</v>
      </c>
      <c r="M187" s="330">
        <v>0</v>
      </c>
      <c r="N187" s="330">
        <v>25679.48749597077</v>
      </c>
      <c r="O187" s="330">
        <v>1087.4171355626511</v>
      </c>
      <c r="P187" s="330">
        <v>40773.424791532292</v>
      </c>
      <c r="Q187" s="333">
        <v>88014.691507170675</v>
      </c>
      <c r="R187" s="330">
        <v>30106.653022115705</v>
      </c>
      <c r="S187" s="330">
        <v>9126.8556665248998</v>
      </c>
      <c r="T187" s="332">
        <v>0.35659388424590643</v>
      </c>
      <c r="U187" s="330">
        <v>0.9999921390821771</v>
      </c>
      <c r="V187" s="330">
        <v>0.99673021258458216</v>
      </c>
      <c r="W187" s="330">
        <v>0.84345215191298895</v>
      </c>
      <c r="X187" s="330">
        <v>0.12937545499172107</v>
      </c>
      <c r="Y187" s="330">
        <v>0</v>
      </c>
      <c r="Z187" s="331">
        <v>0</v>
      </c>
      <c r="AA187" s="235"/>
      <c r="AB187" s="52">
        <v>89180.491542813281</v>
      </c>
      <c r="AC187" s="330">
        <v>0.76149235798257287</v>
      </c>
      <c r="AD187" s="330">
        <v>86497.101576298417</v>
      </c>
      <c r="AE187" s="330">
        <v>0.74302840607162413</v>
      </c>
      <c r="AF187" s="330">
        <v>2683.3899665148638</v>
      </c>
      <c r="AG187" s="331">
        <v>1.8463951910948739E-2</v>
      </c>
      <c r="AH187" s="235"/>
      <c r="AI187" s="208">
        <f t="shared" si="18"/>
        <v>634237.24854063091</v>
      </c>
      <c r="AJ187" s="208">
        <f t="shared" si="19"/>
        <v>619379.8841917445</v>
      </c>
      <c r="AK187" s="208">
        <f t="shared" si="20"/>
        <v>14857.36434888644</v>
      </c>
      <c r="AL187" s="235"/>
      <c r="AM187" s="52">
        <f t="shared" si="4"/>
        <v>1</v>
      </c>
      <c r="AN187" s="52">
        <f t="shared" si="5"/>
        <v>0</v>
      </c>
      <c r="AO187" s="52">
        <f t="shared" si="6"/>
        <v>1</v>
      </c>
      <c r="AP187" s="235"/>
      <c r="AQ187" s="3"/>
      <c r="AR187" s="3"/>
      <c r="AS187" s="3"/>
      <c r="AT187" s="3"/>
      <c r="AU187" s="235"/>
      <c r="AV187" s="360">
        <f t="shared" si="21"/>
        <v>634237.24854063091</v>
      </c>
      <c r="AW187" s="235"/>
      <c r="AX187" s="354"/>
      <c r="AY187" s="14"/>
      <c r="AZ187" s="14">
        <f t="shared" si="23"/>
        <v>2683.3899665148638</v>
      </c>
      <c r="BA187" s="14">
        <f t="shared" si="22"/>
        <v>1.8463951910948739E-2</v>
      </c>
      <c r="BB187" s="14">
        <f t="shared" si="2"/>
        <v>145331.29090981165</v>
      </c>
      <c r="BC187" s="14"/>
      <c r="BD187" s="14"/>
      <c r="BE187" s="14"/>
      <c r="BF187" s="14"/>
      <c r="BG187" s="14"/>
      <c r="BH187" s="14"/>
      <c r="BI187" s="14"/>
      <c r="BJ187" s="14"/>
      <c r="BK187" s="14"/>
      <c r="BL187" s="14"/>
      <c r="BM187" s="14"/>
      <c r="BN187" s="14"/>
      <c r="BO187" s="14"/>
      <c r="BP187" s="14"/>
      <c r="BQ187" s="14"/>
      <c r="BR187" s="14"/>
      <c r="BS187" s="14"/>
      <c r="BT187" s="14"/>
      <c r="BU187" s="14"/>
      <c r="BV187" s="14"/>
      <c r="BW187" s="14"/>
      <c r="BX187" s="14"/>
      <c r="BY187" s="14"/>
      <c r="BZ187" s="14"/>
      <c r="CA187" s="14"/>
      <c r="CB187" s="14"/>
      <c r="CC187" s="14"/>
      <c r="CD187" s="14"/>
      <c r="CE187" s="14"/>
      <c r="CF187" s="14"/>
      <c r="CG187" s="14"/>
      <c r="CH187" s="14"/>
      <c r="CI187" s="14"/>
      <c r="CJ187" s="14"/>
      <c r="CK187" s="14"/>
      <c r="CL187" s="14"/>
      <c r="CM187" s="14"/>
      <c r="CN187" s="14"/>
      <c r="CO187" s="14"/>
      <c r="CP187" s="14"/>
      <c r="CQ187" s="14"/>
      <c r="CR187" s="14"/>
      <c r="CS187" s="3"/>
      <c r="CT187" s="3"/>
      <c r="CU187" s="3"/>
      <c r="CV187" s="3"/>
      <c r="CW187" s="3"/>
    </row>
    <row r="188" spans="1:101" ht="14.25" customHeight="1" x14ac:dyDescent="0.2">
      <c r="A188" s="328"/>
      <c r="B188" s="52">
        <v>0.16484291009824292</v>
      </c>
      <c r="C188" s="330">
        <v>0.27181633742847117</v>
      </c>
      <c r="D188" s="330">
        <v>1.0777515262088361E-2</v>
      </c>
      <c r="E188" s="330">
        <v>6.4795366996964329E-3</v>
      </c>
      <c r="F188" s="331">
        <v>0.8174507974154025</v>
      </c>
      <c r="G188" s="94">
        <v>0.45525502016758768</v>
      </c>
      <c r="H188" s="330">
        <v>3.5358481626511146E-2</v>
      </c>
      <c r="I188" s="330">
        <v>1.9543842354444063E-2</v>
      </c>
      <c r="J188" s="330">
        <v>0.99999999999999778</v>
      </c>
      <c r="K188" s="330">
        <v>0.76188496428318664</v>
      </c>
      <c r="L188" s="332">
        <v>11165.849869797155</v>
      </c>
      <c r="M188" s="330">
        <v>0</v>
      </c>
      <c r="N188" s="330">
        <v>15675.295121188508</v>
      </c>
      <c r="O188" s="330">
        <v>896.56125585934626</v>
      </c>
      <c r="P188" s="330">
        <v>44549.719244535583</v>
      </c>
      <c r="Q188" s="333">
        <v>130255.35621418097</v>
      </c>
      <c r="R188" s="330">
        <v>23525.958526705144</v>
      </c>
      <c r="S188" s="330">
        <v>4409.021777505729</v>
      </c>
      <c r="T188" s="332">
        <v>0.91566706426549782</v>
      </c>
      <c r="U188" s="330">
        <v>0.36986070898842394</v>
      </c>
      <c r="V188" s="330">
        <v>0.60846123488522486</v>
      </c>
      <c r="W188" s="330">
        <v>0.96842924841653732</v>
      </c>
      <c r="X188" s="330">
        <v>0.98363334635606758</v>
      </c>
      <c r="Y188" s="330">
        <v>0</v>
      </c>
      <c r="Z188" s="331">
        <v>0</v>
      </c>
      <c r="AA188" s="235"/>
      <c r="AB188" s="52">
        <v>51276.930712632005</v>
      </c>
      <c r="AC188" s="330">
        <v>5.2196132306650158</v>
      </c>
      <c r="AD188" s="330">
        <v>38579.148303310634</v>
      </c>
      <c r="AE188" s="330">
        <v>4.6428780096506825</v>
      </c>
      <c r="AF188" s="330">
        <v>12697.782409321371</v>
      </c>
      <c r="AG188" s="331">
        <v>0.57673522101433328</v>
      </c>
      <c r="AH188" s="235"/>
      <c r="AI188" s="208">
        <f t="shared" si="18"/>
        <v>4907355.6384191327</v>
      </c>
      <c r="AJ188" s="208">
        <f t="shared" si="19"/>
        <v>4372154.9608648382</v>
      </c>
      <c r="AK188" s="208">
        <f t="shared" si="20"/>
        <v>535200.67755429517</v>
      </c>
      <c r="AL188" s="235"/>
      <c r="AM188" s="52">
        <f t="shared" si="4"/>
        <v>1</v>
      </c>
      <c r="AN188" s="52">
        <f t="shared" si="5"/>
        <v>0</v>
      </c>
      <c r="AO188" s="52">
        <f t="shared" si="6"/>
        <v>1</v>
      </c>
      <c r="AP188" s="235"/>
      <c r="AQ188" s="3"/>
      <c r="AR188" s="3"/>
      <c r="AS188" s="3"/>
      <c r="AT188" s="3"/>
      <c r="AU188" s="235"/>
      <c r="AV188" s="360">
        <f t="shared" si="21"/>
        <v>4907355.6384191327</v>
      </c>
      <c r="AW188" s="235"/>
      <c r="AX188" s="354"/>
      <c r="AY188" s="14"/>
      <c r="AZ188" s="14">
        <f t="shared" si="23"/>
        <v>12697.782409321371</v>
      </c>
      <c r="BA188" s="14">
        <f t="shared" si="22"/>
        <v>0.57673522101433328</v>
      </c>
      <c r="BB188" s="14">
        <f t="shared" si="2"/>
        <v>22016.658505768282</v>
      </c>
      <c r="BC188" s="14"/>
      <c r="BD188" s="14"/>
      <c r="BE188" s="14"/>
      <c r="BF188" s="14"/>
      <c r="BG188" s="14"/>
      <c r="BH188" s="14"/>
      <c r="BI188" s="14"/>
      <c r="BJ188" s="14"/>
      <c r="BK188" s="14"/>
      <c r="BL188" s="14"/>
      <c r="BM188" s="14"/>
      <c r="BN188" s="14"/>
      <c r="BO188" s="14"/>
      <c r="BP188" s="14"/>
      <c r="BQ188" s="14"/>
      <c r="BR188" s="14"/>
      <c r="BS188" s="14"/>
      <c r="BT188" s="14"/>
      <c r="BU188" s="14"/>
      <c r="BV188" s="14"/>
      <c r="BW188" s="14"/>
      <c r="BX188" s="14"/>
      <c r="BY188" s="14"/>
      <c r="BZ188" s="14"/>
      <c r="CA188" s="14"/>
      <c r="CB188" s="14"/>
      <c r="CC188" s="14"/>
      <c r="CD188" s="14"/>
      <c r="CE188" s="14"/>
      <c r="CF188" s="14"/>
      <c r="CG188" s="14"/>
      <c r="CH188" s="14"/>
      <c r="CI188" s="14"/>
      <c r="CJ188" s="14"/>
      <c r="CK188" s="14"/>
      <c r="CL188" s="14"/>
      <c r="CM188" s="14"/>
      <c r="CN188" s="14"/>
      <c r="CO188" s="14"/>
      <c r="CP188" s="14"/>
      <c r="CQ188" s="14"/>
      <c r="CR188" s="14"/>
      <c r="CS188" s="3"/>
      <c r="CT188" s="3"/>
      <c r="CU188" s="3"/>
      <c r="CV188" s="3"/>
      <c r="CW188" s="3"/>
    </row>
    <row r="189" spans="1:101" ht="14.25" customHeight="1" x14ac:dyDescent="0.2">
      <c r="A189" s="328"/>
      <c r="B189" s="52">
        <v>0.15586488545065758</v>
      </c>
      <c r="C189" s="330">
        <v>1.5461384064620503E-2</v>
      </c>
      <c r="D189" s="330">
        <v>2.3884003627341333E-2</v>
      </c>
      <c r="E189" s="330">
        <v>1.9466767836349264E-2</v>
      </c>
      <c r="F189" s="331">
        <v>0.73430781105641185</v>
      </c>
      <c r="G189" s="94">
        <v>0.51252439438172659</v>
      </c>
      <c r="H189" s="330">
        <v>0.13461447900551693</v>
      </c>
      <c r="I189" s="330">
        <v>1.3025639930243129E-2</v>
      </c>
      <c r="J189" s="330">
        <v>0.99999960945651778</v>
      </c>
      <c r="K189" s="330">
        <v>0.76733288872047112</v>
      </c>
      <c r="L189" s="332">
        <v>18476.33726191087</v>
      </c>
      <c r="M189" s="330">
        <v>0</v>
      </c>
      <c r="N189" s="330">
        <v>14168.780843307579</v>
      </c>
      <c r="O189" s="330">
        <v>1482.8929557958397</v>
      </c>
      <c r="P189" s="330">
        <v>26588.671121725172</v>
      </c>
      <c r="Q189" s="333">
        <v>85818.310383766715</v>
      </c>
      <c r="R189" s="330">
        <v>15778.471988773945</v>
      </c>
      <c r="S189" s="330">
        <v>8877.9710850289521</v>
      </c>
      <c r="T189" s="332">
        <v>0.9999892084102473</v>
      </c>
      <c r="U189" s="330">
        <v>0.99292406975586966</v>
      </c>
      <c r="V189" s="330">
        <v>0.9825219733287448</v>
      </c>
      <c r="W189" s="330">
        <v>0.74219402357947739</v>
      </c>
      <c r="X189" s="330">
        <v>0.6994001165743271</v>
      </c>
      <c r="Y189" s="330">
        <v>0</v>
      </c>
      <c r="Z189" s="331">
        <v>0</v>
      </c>
      <c r="AA189" s="235"/>
      <c r="AB189" s="52">
        <v>89026.571436175145</v>
      </c>
      <c r="AC189" s="330">
        <v>3.1899958322076345</v>
      </c>
      <c r="AD189" s="330">
        <v>75786.091467298014</v>
      </c>
      <c r="AE189" s="330">
        <v>3.2590851025283327</v>
      </c>
      <c r="AF189" s="330">
        <v>13240.479968877131</v>
      </c>
      <c r="AG189" s="331">
        <v>-6.9089270320698226E-2</v>
      </c>
      <c r="AH189" s="235"/>
      <c r="AI189" s="208">
        <f t="shared" si="18"/>
        <v>2941469.4691610774</v>
      </c>
      <c r="AJ189" s="208">
        <f t="shared" si="19"/>
        <v>3020344.7559346179</v>
      </c>
      <c r="AK189" s="208">
        <f t="shared" si="20"/>
        <v>-78875.286773540443</v>
      </c>
      <c r="AL189" s="235"/>
      <c r="AM189" s="52">
        <f t="shared" si="4"/>
        <v>0</v>
      </c>
      <c r="AN189" s="52">
        <f t="shared" si="5"/>
        <v>1</v>
      </c>
      <c r="AO189" s="52">
        <f t="shared" si="6"/>
        <v>0</v>
      </c>
      <c r="AP189" s="235"/>
      <c r="AQ189" s="3"/>
      <c r="AR189" s="3"/>
      <c r="AS189" s="3"/>
      <c r="AT189" s="3"/>
      <c r="AU189" s="235"/>
      <c r="AV189" s="360">
        <f t="shared" si="21"/>
        <v>3020344.7559346179</v>
      </c>
      <c r="AW189" s="235"/>
      <c r="AX189" s="354"/>
      <c r="AY189" s="14"/>
      <c r="AZ189" s="14">
        <f t="shared" si="23"/>
        <v>13240.479968877131</v>
      </c>
      <c r="BA189" s="14">
        <f t="shared" si="22"/>
        <v>-6.9089270320698226E-2</v>
      </c>
      <c r="BB189" s="14">
        <f t="shared" si="2"/>
        <v>-191643.07145548851</v>
      </c>
      <c r="BC189" s="14"/>
      <c r="BD189" s="14"/>
      <c r="BE189" s="14"/>
      <c r="BF189" s="14"/>
      <c r="BG189" s="14"/>
      <c r="BH189" s="14"/>
      <c r="BI189" s="14"/>
      <c r="BJ189" s="14"/>
      <c r="BK189" s="14"/>
      <c r="BL189" s="14"/>
      <c r="BM189" s="14"/>
      <c r="BN189" s="14"/>
      <c r="BO189" s="14"/>
      <c r="BP189" s="14"/>
      <c r="BQ189" s="14"/>
      <c r="BR189" s="14"/>
      <c r="BS189" s="14"/>
      <c r="BT189" s="14"/>
      <c r="BU189" s="14"/>
      <c r="BV189" s="14"/>
      <c r="BW189" s="14"/>
      <c r="BX189" s="14"/>
      <c r="BY189" s="14"/>
      <c r="BZ189" s="14"/>
      <c r="CA189" s="14"/>
      <c r="CB189" s="14"/>
      <c r="CC189" s="14"/>
      <c r="CD189" s="14"/>
      <c r="CE189" s="14"/>
      <c r="CF189" s="14"/>
      <c r="CG189" s="14"/>
      <c r="CH189" s="14"/>
      <c r="CI189" s="14"/>
      <c r="CJ189" s="14"/>
      <c r="CK189" s="14"/>
      <c r="CL189" s="14"/>
      <c r="CM189" s="14"/>
      <c r="CN189" s="14"/>
      <c r="CO189" s="14"/>
      <c r="CP189" s="14"/>
      <c r="CQ189" s="14"/>
      <c r="CR189" s="14"/>
      <c r="CS189" s="3"/>
      <c r="CT189" s="3"/>
      <c r="CU189" s="3"/>
      <c r="CV189" s="3"/>
      <c r="CW189" s="3"/>
    </row>
    <row r="190" spans="1:101" ht="14.25" customHeight="1" x14ac:dyDescent="0.2">
      <c r="A190" s="328"/>
      <c r="B190" s="52">
        <v>0.16646725656448125</v>
      </c>
      <c r="C190" s="330">
        <v>0.77599963099033642</v>
      </c>
      <c r="D190" s="330">
        <v>8.4687796919792769E-3</v>
      </c>
      <c r="E190" s="330">
        <v>1.0805019630978997E-2</v>
      </c>
      <c r="F190" s="331">
        <v>0.79842112282347399</v>
      </c>
      <c r="G190" s="94">
        <v>0.38217906550286079</v>
      </c>
      <c r="H190" s="330">
        <v>0.29870587740805693</v>
      </c>
      <c r="I190" s="330">
        <v>1.7507904869590418E-2</v>
      </c>
      <c r="J190" s="330">
        <v>0.999931767765598</v>
      </c>
      <c r="K190" s="330">
        <v>0.76344641105840461</v>
      </c>
      <c r="L190" s="332">
        <v>12741.564753671926</v>
      </c>
      <c r="M190" s="330">
        <v>0</v>
      </c>
      <c r="N190" s="330">
        <v>18051.887891842867</v>
      </c>
      <c r="O190" s="330">
        <v>1211.8161622930572</v>
      </c>
      <c r="P190" s="330">
        <v>42394.303341724</v>
      </c>
      <c r="Q190" s="333">
        <v>94066.010887751137</v>
      </c>
      <c r="R190" s="330">
        <v>25206.703599342127</v>
      </c>
      <c r="S190" s="330">
        <v>8789.3504276735093</v>
      </c>
      <c r="T190" s="332">
        <v>0.42606150119021408</v>
      </c>
      <c r="U190" s="330">
        <v>0.33758225311883922</v>
      </c>
      <c r="V190" s="330">
        <v>0.73439599531345934</v>
      </c>
      <c r="W190" s="330">
        <v>0.48574863525616446</v>
      </c>
      <c r="X190" s="330">
        <v>0.83098174414588499</v>
      </c>
      <c r="Y190" s="330">
        <v>0</v>
      </c>
      <c r="Z190" s="331">
        <v>0</v>
      </c>
      <c r="AA190" s="235"/>
      <c r="AB190" s="52">
        <v>91640.511172831102</v>
      </c>
      <c r="AC190" s="330">
        <v>4.184106662020441</v>
      </c>
      <c r="AD190" s="330">
        <v>76463.732002112622</v>
      </c>
      <c r="AE190" s="330">
        <v>3.9315842016263978</v>
      </c>
      <c r="AF190" s="330">
        <v>15176.779170718481</v>
      </c>
      <c r="AG190" s="331">
        <v>0.25252246039404325</v>
      </c>
      <c r="AH190" s="235"/>
      <c r="AI190" s="208">
        <f t="shared" si="18"/>
        <v>3883260.817746588</v>
      </c>
      <c r="AJ190" s="208">
        <f t="shared" si="19"/>
        <v>3658541.2595429653</v>
      </c>
      <c r="AK190" s="208">
        <f t="shared" si="20"/>
        <v>224719.55820362261</v>
      </c>
      <c r="AL190" s="235"/>
      <c r="AM190" s="52">
        <f t="shared" si="4"/>
        <v>1</v>
      </c>
      <c r="AN190" s="52">
        <f t="shared" si="5"/>
        <v>0</v>
      </c>
      <c r="AO190" s="52">
        <f t="shared" si="6"/>
        <v>1</v>
      </c>
      <c r="AP190" s="235"/>
      <c r="AQ190" s="3"/>
      <c r="AR190" s="3"/>
      <c r="AS190" s="3"/>
      <c r="AT190" s="3"/>
      <c r="AU190" s="235"/>
      <c r="AV190" s="360">
        <f t="shared" si="21"/>
        <v>3883260.817746588</v>
      </c>
      <c r="AW190" s="235"/>
      <c r="AX190" s="354"/>
      <c r="AY190" s="14"/>
      <c r="AZ190" s="14">
        <f t="shared" si="23"/>
        <v>15176.779170718481</v>
      </c>
      <c r="BA190" s="14">
        <f t="shared" si="22"/>
        <v>0.25252246039404325</v>
      </c>
      <c r="BB190" s="14">
        <f t="shared" si="2"/>
        <v>60100.710039955266</v>
      </c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3"/>
      <c r="CT190" s="3"/>
      <c r="CU190" s="3"/>
      <c r="CV190" s="3"/>
      <c r="CW190" s="3"/>
    </row>
    <row r="191" spans="1:101" ht="14.25" customHeight="1" x14ac:dyDescent="0.2">
      <c r="A191" s="328"/>
      <c r="B191" s="52">
        <v>0.15040395521188762</v>
      </c>
      <c r="C191" s="330">
        <v>0.17270469001704147</v>
      </c>
      <c r="D191" s="330">
        <v>1.7208373911014152E-2</v>
      </c>
      <c r="E191" s="330">
        <v>1.6284858575724481E-2</v>
      </c>
      <c r="F191" s="331">
        <v>0.82314289770005789</v>
      </c>
      <c r="G191" s="94">
        <v>0.3641620287793268</v>
      </c>
      <c r="H191" s="330">
        <v>0.98229899334689974</v>
      </c>
      <c r="I191" s="330">
        <v>1.3510132225751218E-3</v>
      </c>
      <c r="J191" s="330">
        <v>0.99999999997531375</v>
      </c>
      <c r="K191" s="330">
        <v>0.76462871080395645</v>
      </c>
      <c r="L191" s="332">
        <v>10231.697122971471</v>
      </c>
      <c r="M191" s="330">
        <v>0</v>
      </c>
      <c r="N191" s="330">
        <v>17623.442906374956</v>
      </c>
      <c r="O191" s="330">
        <v>951.01871326328876</v>
      </c>
      <c r="P191" s="330">
        <v>26300.617299712529</v>
      </c>
      <c r="Q191" s="333">
        <v>95627.905574437231</v>
      </c>
      <c r="R191" s="330">
        <v>25102.841047516577</v>
      </c>
      <c r="S191" s="330">
        <v>9355.6452661486001</v>
      </c>
      <c r="T191" s="332">
        <v>0.59093193230757723</v>
      </c>
      <c r="U191" s="330">
        <v>0.9968074405254892</v>
      </c>
      <c r="V191" s="330">
        <v>0.45408372321041451</v>
      </c>
      <c r="W191" s="330">
        <v>0.99240832385269129</v>
      </c>
      <c r="X191" s="330">
        <v>0.16692774603620603</v>
      </c>
      <c r="Y191" s="330">
        <v>0</v>
      </c>
      <c r="Z191" s="331">
        <v>0</v>
      </c>
      <c r="AA191" s="235"/>
      <c r="AB191" s="52">
        <v>93917.71402943306</v>
      </c>
      <c r="AC191" s="330">
        <v>1.0112119860304762</v>
      </c>
      <c r="AD191" s="330">
        <v>86151.553928240275</v>
      </c>
      <c r="AE191" s="330">
        <v>0.97271810799573744</v>
      </c>
      <c r="AF191" s="330">
        <v>7766.1601011927851</v>
      </c>
      <c r="AG191" s="331">
        <v>3.8493878034738804E-2</v>
      </c>
      <c r="AH191" s="235"/>
      <c r="AI191" s="208">
        <f t="shared" si="18"/>
        <v>866733.67269951932</v>
      </c>
      <c r="AJ191" s="208">
        <f t="shared" si="19"/>
        <v>837930.64866771025</v>
      </c>
      <c r="AK191" s="208">
        <f t="shared" si="20"/>
        <v>28803.02403180908</v>
      </c>
      <c r="AL191" s="235"/>
      <c r="AM191" s="52">
        <f t="shared" si="4"/>
        <v>1</v>
      </c>
      <c r="AN191" s="52">
        <f t="shared" si="5"/>
        <v>0</v>
      </c>
      <c r="AO191" s="52">
        <f t="shared" si="6"/>
        <v>1</v>
      </c>
      <c r="AP191" s="235"/>
      <c r="AQ191" s="3"/>
      <c r="AR191" s="3"/>
      <c r="AS191" s="3"/>
      <c r="AT191" s="3"/>
      <c r="AU191" s="235"/>
      <c r="AV191" s="360">
        <f t="shared" si="21"/>
        <v>866733.67269951932</v>
      </c>
      <c r="AW191" s="235"/>
      <c r="AX191" s="354"/>
      <c r="AY191" s="14"/>
      <c r="AZ191" s="14">
        <f t="shared" si="23"/>
        <v>7766.1601011927851</v>
      </c>
      <c r="BA191" s="14">
        <f t="shared" si="22"/>
        <v>3.8493878034738804E-2</v>
      </c>
      <c r="BB191" s="14">
        <f t="shared" si="2"/>
        <v>201750.52495838984</v>
      </c>
      <c r="BC191" s="14"/>
      <c r="BD191" s="14"/>
      <c r="BE191" s="14"/>
      <c r="BF191" s="14"/>
      <c r="BG191" s="14"/>
      <c r="BH191" s="14"/>
      <c r="BI191" s="14"/>
      <c r="BJ191" s="14"/>
      <c r="BK191" s="14"/>
      <c r="BL191" s="14"/>
      <c r="BM191" s="14"/>
      <c r="BN191" s="14"/>
      <c r="BO191" s="14"/>
      <c r="BP191" s="14"/>
      <c r="BQ191" s="14"/>
      <c r="BR191" s="14"/>
      <c r="BS191" s="14"/>
      <c r="BT191" s="14"/>
      <c r="BU191" s="14"/>
      <c r="BV191" s="14"/>
      <c r="BW191" s="14"/>
      <c r="BX191" s="14"/>
      <c r="BY191" s="14"/>
      <c r="BZ191" s="14"/>
      <c r="CA191" s="14"/>
      <c r="CB191" s="14"/>
      <c r="CC191" s="14"/>
      <c r="CD191" s="14"/>
      <c r="CE191" s="14"/>
      <c r="CF191" s="14"/>
      <c r="CG191" s="14"/>
      <c r="CH191" s="14"/>
      <c r="CI191" s="14"/>
      <c r="CJ191" s="14"/>
      <c r="CK191" s="14"/>
      <c r="CL191" s="14"/>
      <c r="CM191" s="14"/>
      <c r="CN191" s="14"/>
      <c r="CO191" s="14"/>
      <c r="CP191" s="14"/>
      <c r="CQ191" s="14"/>
      <c r="CR191" s="14"/>
      <c r="CS191" s="3"/>
      <c r="CT191" s="3"/>
      <c r="CU191" s="3"/>
      <c r="CV191" s="3"/>
      <c r="CW191" s="3"/>
    </row>
    <row r="192" spans="1:101" ht="14.25" customHeight="1" x14ac:dyDescent="0.2">
      <c r="A192" s="328"/>
      <c r="B192" s="52">
        <v>0.15285465260482897</v>
      </c>
      <c r="C192" s="330">
        <v>0.91107341803766384</v>
      </c>
      <c r="D192" s="330">
        <v>1.5602949236362296E-2</v>
      </c>
      <c r="E192" s="330">
        <v>2.4163050565036759E-2</v>
      </c>
      <c r="F192" s="331">
        <v>0.75559983038960354</v>
      </c>
      <c r="G192" s="94">
        <v>0.44295725807291209</v>
      </c>
      <c r="H192" s="330">
        <v>0.76209951849758484</v>
      </c>
      <c r="I192" s="330">
        <v>3.4301569139165378E-2</v>
      </c>
      <c r="J192" s="330">
        <v>0.99999995180063239</v>
      </c>
      <c r="K192" s="330">
        <v>0.70301301084765511</v>
      </c>
      <c r="L192" s="332">
        <v>10401.373817455486</v>
      </c>
      <c r="M192" s="330">
        <v>0</v>
      </c>
      <c r="N192" s="330">
        <v>12798.363741299363</v>
      </c>
      <c r="O192" s="330">
        <v>1083.336232058786</v>
      </c>
      <c r="P192" s="330">
        <v>45192.236695893349</v>
      </c>
      <c r="Q192" s="333">
        <v>56088.726217786163</v>
      </c>
      <c r="R192" s="330">
        <v>20655.728285250931</v>
      </c>
      <c r="S192" s="330">
        <v>7401.9120761402301</v>
      </c>
      <c r="T192" s="332">
        <v>0.49564861239685826</v>
      </c>
      <c r="U192" s="330">
        <v>0.24581470161267494</v>
      </c>
      <c r="V192" s="330">
        <v>0.99434212677361655</v>
      </c>
      <c r="W192" s="330">
        <v>0.86431212542135427</v>
      </c>
      <c r="X192" s="330">
        <v>0.93662386470259285</v>
      </c>
      <c r="Y192" s="330">
        <v>0</v>
      </c>
      <c r="Z192" s="331">
        <v>0</v>
      </c>
      <c r="AA192" s="235"/>
      <c r="AB192" s="52">
        <v>73599.159938071796</v>
      </c>
      <c r="AC192" s="330">
        <v>4.3240824832757037</v>
      </c>
      <c r="AD192" s="330">
        <v>65074.341441127362</v>
      </c>
      <c r="AE192" s="330">
        <v>4.0490880110158916</v>
      </c>
      <c r="AF192" s="330">
        <v>8524.8184969444337</v>
      </c>
      <c r="AG192" s="331">
        <v>0.27499447225981211</v>
      </c>
      <c r="AH192" s="235"/>
      <c r="AI192" s="208">
        <f t="shared" si="18"/>
        <v>4034279.1991738467</v>
      </c>
      <c r="AJ192" s="208">
        <f t="shared" si="19"/>
        <v>3781559.2690239693</v>
      </c>
      <c r="AK192" s="208">
        <f t="shared" si="20"/>
        <v>252719.93014987707</v>
      </c>
      <c r="AL192" s="235"/>
      <c r="AM192" s="52">
        <f t="shared" si="4"/>
        <v>1</v>
      </c>
      <c r="AN192" s="52">
        <f t="shared" si="5"/>
        <v>0</v>
      </c>
      <c r="AO192" s="52">
        <f t="shared" si="6"/>
        <v>1</v>
      </c>
      <c r="AP192" s="235"/>
      <c r="AQ192" s="3"/>
      <c r="AR192" s="3"/>
      <c r="AS192" s="3"/>
      <c r="AT192" s="3"/>
      <c r="AU192" s="235"/>
      <c r="AV192" s="360">
        <f t="shared" si="21"/>
        <v>4034279.1991738467</v>
      </c>
      <c r="AW192" s="235"/>
      <c r="AX192" s="354"/>
      <c r="AY192" s="14"/>
      <c r="AZ192" s="14">
        <f t="shared" si="23"/>
        <v>8524.8184969444337</v>
      </c>
      <c r="BA192" s="14">
        <f t="shared" si="22"/>
        <v>0.27499447225981211</v>
      </c>
      <c r="BB192" s="14">
        <f t="shared" si="2"/>
        <v>30999.96311522316</v>
      </c>
      <c r="BC192" s="14"/>
      <c r="BD192" s="14"/>
      <c r="BE192" s="14"/>
      <c r="BF192" s="14"/>
      <c r="BG192" s="14"/>
      <c r="BH192" s="14"/>
      <c r="BI192" s="14"/>
      <c r="BJ192" s="14"/>
      <c r="BK192" s="14"/>
      <c r="BL192" s="14"/>
      <c r="BM192" s="14"/>
      <c r="BN192" s="14"/>
      <c r="BO192" s="14"/>
      <c r="BP192" s="14"/>
      <c r="BQ192" s="14"/>
      <c r="BR192" s="14"/>
      <c r="BS192" s="14"/>
      <c r="BT192" s="14"/>
      <c r="BU192" s="14"/>
      <c r="BV192" s="14"/>
      <c r="BW192" s="14"/>
      <c r="BX192" s="14"/>
      <c r="BY192" s="14"/>
      <c r="BZ192" s="14"/>
      <c r="CA192" s="14"/>
      <c r="CB192" s="14"/>
      <c r="CC192" s="14"/>
      <c r="CD192" s="14"/>
      <c r="CE192" s="14"/>
      <c r="CF192" s="14"/>
      <c r="CG192" s="14"/>
      <c r="CH192" s="14"/>
      <c r="CI192" s="14"/>
      <c r="CJ192" s="14"/>
      <c r="CK192" s="14"/>
      <c r="CL192" s="14"/>
      <c r="CM192" s="14"/>
      <c r="CN192" s="14"/>
      <c r="CO192" s="14"/>
      <c r="CP192" s="14"/>
      <c r="CQ192" s="14"/>
      <c r="CR192" s="14"/>
      <c r="CS192" s="3"/>
      <c r="CT192" s="3"/>
      <c r="CU192" s="3"/>
      <c r="CV192" s="3"/>
      <c r="CW192" s="3"/>
    </row>
    <row r="193" spans="1:101" ht="14.25" customHeight="1" x14ac:dyDescent="0.2">
      <c r="A193" s="328"/>
      <c r="B193" s="52">
        <v>0.18169658077748141</v>
      </c>
      <c r="C193" s="330">
        <v>8.2899361034227917E-2</v>
      </c>
      <c r="D193" s="330">
        <v>1.2412786528701225E-2</v>
      </c>
      <c r="E193" s="330">
        <v>1.3244486828730782E-2</v>
      </c>
      <c r="F193" s="331">
        <v>0.78633733576767428</v>
      </c>
      <c r="G193" s="94">
        <v>0.38694975889477301</v>
      </c>
      <c r="H193" s="330">
        <v>3.9865121887743535E-2</v>
      </c>
      <c r="I193" s="330">
        <v>2.6329398631784184E-2</v>
      </c>
      <c r="J193" s="330">
        <v>0.99997866707508409</v>
      </c>
      <c r="K193" s="330">
        <v>0.75386656903409821</v>
      </c>
      <c r="L193" s="332">
        <v>14987.236453519346</v>
      </c>
      <c r="M193" s="330">
        <v>0</v>
      </c>
      <c r="N193" s="330">
        <v>20292.140152649943</v>
      </c>
      <c r="O193" s="330">
        <v>1403.953975473577</v>
      </c>
      <c r="P193" s="330">
        <v>58788.169226457991</v>
      </c>
      <c r="Q193" s="333">
        <v>103348.5155875263</v>
      </c>
      <c r="R193" s="330">
        <v>23312.466252766779</v>
      </c>
      <c r="S193" s="330">
        <v>7099.5838502010956</v>
      </c>
      <c r="T193" s="332">
        <v>0.99999170957495798</v>
      </c>
      <c r="U193" s="330">
        <v>0.85599487288587928</v>
      </c>
      <c r="V193" s="330">
        <v>0.75168216924524023</v>
      </c>
      <c r="W193" s="330">
        <v>0.99396955187779801</v>
      </c>
      <c r="X193" s="330">
        <v>0.98669213146296109</v>
      </c>
      <c r="Y193" s="330">
        <v>0</v>
      </c>
      <c r="Z193" s="331">
        <v>0</v>
      </c>
      <c r="AA193" s="235"/>
      <c r="AB193" s="52">
        <v>75737.825055178662</v>
      </c>
      <c r="AC193" s="330">
        <v>4.7356628285314386</v>
      </c>
      <c r="AD193" s="330">
        <v>60206.730584661651</v>
      </c>
      <c r="AE193" s="330">
        <v>4.6602503519834269</v>
      </c>
      <c r="AF193" s="330">
        <v>15531.094470517011</v>
      </c>
      <c r="AG193" s="331">
        <v>7.5412476548011753E-2</v>
      </c>
      <c r="AH193" s="235"/>
      <c r="AI193" s="208">
        <f t="shared" si="18"/>
        <v>4423141.8620496886</v>
      </c>
      <c r="AJ193" s="208">
        <f t="shared" si="19"/>
        <v>4367031.1037995936</v>
      </c>
      <c r="AK193" s="208">
        <f t="shared" si="20"/>
        <v>56110.75825009415</v>
      </c>
      <c r="AL193" s="235"/>
      <c r="AM193" s="52">
        <f t="shared" si="4"/>
        <v>1</v>
      </c>
      <c r="AN193" s="52">
        <f t="shared" si="5"/>
        <v>0</v>
      </c>
      <c r="AO193" s="52">
        <f t="shared" si="6"/>
        <v>1</v>
      </c>
      <c r="AP193" s="235"/>
      <c r="AQ193" s="3"/>
      <c r="AR193" s="3"/>
      <c r="AS193" s="3"/>
      <c r="AT193" s="3"/>
      <c r="AU193" s="235"/>
      <c r="AV193" s="360">
        <f t="shared" si="21"/>
        <v>4423141.8620496886</v>
      </c>
      <c r="AW193" s="235"/>
      <c r="AX193" s="354"/>
      <c r="AY193" s="14"/>
      <c r="AZ193" s="14">
        <f t="shared" si="23"/>
        <v>15531.094470517011</v>
      </c>
      <c r="BA193" s="14">
        <f t="shared" si="22"/>
        <v>7.5412476548011753E-2</v>
      </c>
      <c r="BB193" s="14">
        <f t="shared" si="2"/>
        <v>205948.60666893836</v>
      </c>
      <c r="BC193" s="14"/>
      <c r="BD193" s="14"/>
      <c r="BE193" s="14"/>
      <c r="BF193" s="14"/>
      <c r="BG193" s="14"/>
      <c r="BH193" s="14"/>
      <c r="BI193" s="14"/>
      <c r="BJ193" s="14"/>
      <c r="BK193" s="14"/>
      <c r="BL193" s="14"/>
      <c r="BM193" s="14"/>
      <c r="BN193" s="14"/>
      <c r="BO193" s="14"/>
      <c r="BP193" s="14"/>
      <c r="BQ193" s="14"/>
      <c r="BR193" s="14"/>
      <c r="BS193" s="14"/>
      <c r="BT193" s="14"/>
      <c r="BU193" s="14"/>
      <c r="BV193" s="14"/>
      <c r="BW193" s="14"/>
      <c r="BX193" s="14"/>
      <c r="BY193" s="14"/>
      <c r="BZ193" s="14"/>
      <c r="CA193" s="14"/>
      <c r="CB193" s="14"/>
      <c r="CC193" s="14"/>
      <c r="CD193" s="14"/>
      <c r="CE193" s="14"/>
      <c r="CF193" s="14"/>
      <c r="CG193" s="14"/>
      <c r="CH193" s="14"/>
      <c r="CI193" s="14"/>
      <c r="CJ193" s="14"/>
      <c r="CK193" s="14"/>
      <c r="CL193" s="14"/>
      <c r="CM193" s="14"/>
      <c r="CN193" s="14"/>
      <c r="CO193" s="14"/>
      <c r="CP193" s="14"/>
      <c r="CQ193" s="14"/>
      <c r="CR193" s="14"/>
      <c r="CS193" s="3"/>
      <c r="CT193" s="3"/>
      <c r="CU193" s="3"/>
      <c r="CV193" s="3"/>
      <c r="CW193" s="3"/>
    </row>
    <row r="194" spans="1:101" ht="14.25" customHeight="1" x14ac:dyDescent="0.2">
      <c r="A194" s="328"/>
      <c r="B194" s="52">
        <v>0.17553269181747122</v>
      </c>
      <c r="C194" s="330">
        <v>0.73432818881337392</v>
      </c>
      <c r="D194" s="330">
        <v>1.6759788887634408E-2</v>
      </c>
      <c r="E194" s="330">
        <v>6.4133470061601139E-3</v>
      </c>
      <c r="F194" s="331">
        <v>0.79335241013608782</v>
      </c>
      <c r="G194" s="94">
        <v>0.39336439929476286</v>
      </c>
      <c r="H194" s="330">
        <v>0.27284278567187853</v>
      </c>
      <c r="I194" s="330">
        <v>2.5001195541805243E-2</v>
      </c>
      <c r="J194" s="330">
        <v>1</v>
      </c>
      <c r="K194" s="330">
        <v>0.81986208200048072</v>
      </c>
      <c r="L194" s="332">
        <v>11800.76307027445</v>
      </c>
      <c r="M194" s="330">
        <v>0</v>
      </c>
      <c r="N194" s="330">
        <v>16056.239315163852</v>
      </c>
      <c r="O194" s="330">
        <v>1360.9337780786589</v>
      </c>
      <c r="P194" s="330">
        <v>37728.514606214543</v>
      </c>
      <c r="Q194" s="333">
        <v>100377.67265235426</v>
      </c>
      <c r="R194" s="330">
        <v>30571.280038935944</v>
      </c>
      <c r="S194" s="330">
        <v>9868.188743752753</v>
      </c>
      <c r="T194" s="332">
        <v>0.99907594080761908</v>
      </c>
      <c r="U194" s="330">
        <v>0.97672520371542559</v>
      </c>
      <c r="V194" s="330">
        <v>0.57832678021626416</v>
      </c>
      <c r="W194" s="330">
        <v>0.99957472475536813</v>
      </c>
      <c r="X194" s="330">
        <v>0.19987173299369659</v>
      </c>
      <c r="Y194" s="330">
        <v>0</v>
      </c>
      <c r="Z194" s="331">
        <v>0</v>
      </c>
      <c r="AA194" s="235"/>
      <c r="AB194" s="52">
        <v>100290.8489630145</v>
      </c>
      <c r="AC194" s="330">
        <v>0.99416379978627245</v>
      </c>
      <c r="AD194" s="330">
        <v>92292.930221624527</v>
      </c>
      <c r="AE194" s="330">
        <v>1.2538625878018115</v>
      </c>
      <c r="AF194" s="330">
        <v>7997.9187413899781</v>
      </c>
      <c r="AG194" s="331">
        <v>-0.25969878801553903</v>
      </c>
      <c r="AH194" s="235"/>
      <c r="AI194" s="208">
        <f t="shared" si="18"/>
        <v>844164.76083394431</v>
      </c>
      <c r="AJ194" s="208">
        <f t="shared" si="19"/>
        <v>1098876.5281900964</v>
      </c>
      <c r="AK194" s="208">
        <f t="shared" si="20"/>
        <v>-254711.76735615206</v>
      </c>
      <c r="AL194" s="235"/>
      <c r="AM194" s="52">
        <f t="shared" si="4"/>
        <v>0</v>
      </c>
      <c r="AN194" s="52">
        <f t="shared" si="5"/>
        <v>1</v>
      </c>
      <c r="AO194" s="52">
        <f t="shared" si="6"/>
        <v>0</v>
      </c>
      <c r="AP194" s="235"/>
      <c r="AQ194" s="3"/>
      <c r="AR194" s="3"/>
      <c r="AS194" s="3"/>
      <c r="AT194" s="3"/>
      <c r="AU194" s="235"/>
      <c r="AV194" s="360">
        <f t="shared" si="21"/>
        <v>1098876.5281900964</v>
      </c>
      <c r="AW194" s="235"/>
      <c r="AX194" s="354"/>
      <c r="AY194" s="14"/>
      <c r="AZ194" s="14">
        <f t="shared" si="23"/>
        <v>7997.9187413899781</v>
      </c>
      <c r="BA194" s="14">
        <f t="shared" si="22"/>
        <v>-0.25969878801553903</v>
      </c>
      <c r="BB194" s="14">
        <f t="shared" si="2"/>
        <v>-30796.904377202653</v>
      </c>
      <c r="BC194" s="14"/>
      <c r="BD194" s="14"/>
      <c r="BE194" s="14"/>
      <c r="BF194" s="14"/>
      <c r="BG194" s="14"/>
      <c r="BH194" s="14"/>
      <c r="BI194" s="14"/>
      <c r="BJ194" s="14"/>
      <c r="BK194" s="14"/>
      <c r="BL194" s="14"/>
      <c r="BM194" s="14"/>
      <c r="BN194" s="14"/>
      <c r="BO194" s="14"/>
      <c r="BP194" s="14"/>
      <c r="BQ194" s="14"/>
      <c r="BR194" s="14"/>
      <c r="BS194" s="14"/>
      <c r="BT194" s="14"/>
      <c r="BU194" s="14"/>
      <c r="BV194" s="14"/>
      <c r="BW194" s="14"/>
      <c r="BX194" s="14"/>
      <c r="BY194" s="14"/>
      <c r="BZ194" s="14"/>
      <c r="CA194" s="14"/>
      <c r="CB194" s="14"/>
      <c r="CC194" s="14"/>
      <c r="CD194" s="14"/>
      <c r="CE194" s="14"/>
      <c r="CF194" s="14"/>
      <c r="CG194" s="14"/>
      <c r="CH194" s="14"/>
      <c r="CI194" s="14"/>
      <c r="CJ194" s="14"/>
      <c r="CK194" s="14"/>
      <c r="CL194" s="14"/>
      <c r="CM194" s="14"/>
      <c r="CN194" s="14"/>
      <c r="CO194" s="14"/>
      <c r="CP194" s="14"/>
      <c r="CQ194" s="14"/>
      <c r="CR194" s="14"/>
      <c r="CS194" s="3"/>
      <c r="CT194" s="3"/>
      <c r="CU194" s="3"/>
      <c r="CV194" s="3"/>
      <c r="CW194" s="3"/>
    </row>
    <row r="195" spans="1:101" ht="14.25" customHeight="1" x14ac:dyDescent="0.2">
      <c r="A195" s="328"/>
      <c r="B195" s="52">
        <v>0.1031125894700342</v>
      </c>
      <c r="C195" s="330">
        <v>8.5202549632744262E-2</v>
      </c>
      <c r="D195" s="330">
        <v>9.6185632921348026E-3</v>
      </c>
      <c r="E195" s="330">
        <v>4.6619247557688776E-3</v>
      </c>
      <c r="F195" s="331">
        <v>0.79902846205597522</v>
      </c>
      <c r="G195" s="94">
        <v>0.43494119524579899</v>
      </c>
      <c r="H195" s="330">
        <v>0.92176412061942647</v>
      </c>
      <c r="I195" s="330">
        <v>3.6040996442538997E-2</v>
      </c>
      <c r="J195" s="330">
        <v>0.99994550004422167</v>
      </c>
      <c r="K195" s="330">
        <v>0.69867594863475535</v>
      </c>
      <c r="L195" s="332">
        <v>12974.622653745724</v>
      </c>
      <c r="M195" s="330">
        <v>0</v>
      </c>
      <c r="N195" s="330">
        <v>16721.838328738915</v>
      </c>
      <c r="O195" s="330">
        <v>1308.448443648788</v>
      </c>
      <c r="P195" s="330">
        <v>44384.533517350028</v>
      </c>
      <c r="Q195" s="333">
        <v>78091.510253908127</v>
      </c>
      <c r="R195" s="330">
        <v>22345.849899455287</v>
      </c>
      <c r="S195" s="330">
        <v>7703.2284603753342</v>
      </c>
      <c r="T195" s="332">
        <v>0.29937751643753419</v>
      </c>
      <c r="U195" s="330">
        <v>0.76074477802365448</v>
      </c>
      <c r="V195" s="330">
        <v>0.97429614099450002</v>
      </c>
      <c r="W195" s="330">
        <v>0.99999437970622274</v>
      </c>
      <c r="X195" s="330">
        <v>0.37244192722282621</v>
      </c>
      <c r="Y195" s="330">
        <v>0</v>
      </c>
      <c r="Z195" s="331">
        <v>0</v>
      </c>
      <c r="AA195" s="235"/>
      <c r="AB195" s="52">
        <v>79435.380554748917</v>
      </c>
      <c r="AC195" s="330">
        <v>1.8828519006752507</v>
      </c>
      <c r="AD195" s="330">
        <v>69172.916720650028</v>
      </c>
      <c r="AE195" s="330">
        <v>1.6227100804300769</v>
      </c>
      <c r="AF195" s="330">
        <v>10262.463834098889</v>
      </c>
      <c r="AG195" s="331">
        <v>0.26014182024517374</v>
      </c>
      <c r="AH195" s="235"/>
      <c r="AI195" s="208">
        <f t="shared" si="18"/>
        <v>1709273.9250867392</v>
      </c>
      <c r="AJ195" s="208">
        <f t="shared" si="19"/>
        <v>1472401.659687923</v>
      </c>
      <c r="AK195" s="208">
        <f t="shared" si="20"/>
        <v>236872.26539881615</v>
      </c>
      <c r="AL195" s="235"/>
      <c r="AM195" s="52">
        <f t="shared" si="4"/>
        <v>1</v>
      </c>
      <c r="AN195" s="52">
        <f t="shared" si="5"/>
        <v>0</v>
      </c>
      <c r="AO195" s="52">
        <f t="shared" si="6"/>
        <v>1</v>
      </c>
      <c r="AP195" s="235"/>
      <c r="AQ195" s="3"/>
      <c r="AR195" s="3"/>
      <c r="AS195" s="3"/>
      <c r="AT195" s="3"/>
      <c r="AU195" s="235"/>
      <c r="AV195" s="360">
        <f t="shared" si="21"/>
        <v>1709273.9250867392</v>
      </c>
      <c r="AW195" s="235"/>
      <c r="AX195" s="354"/>
      <c r="AY195" s="14"/>
      <c r="AZ195" s="14">
        <f t="shared" si="23"/>
        <v>10262.463834098889</v>
      </c>
      <c r="BA195" s="14">
        <f t="shared" si="22"/>
        <v>0.26014182024517374</v>
      </c>
      <c r="BB195" s="14">
        <f t="shared" si="2"/>
        <v>39449.496526267518</v>
      </c>
      <c r="BC195" s="14"/>
      <c r="BD195" s="14"/>
      <c r="BE195" s="14"/>
      <c r="BF195" s="14"/>
      <c r="BG195" s="14"/>
      <c r="BH195" s="14"/>
      <c r="BI195" s="14"/>
      <c r="BJ195" s="14"/>
      <c r="BK195" s="14"/>
      <c r="BL195" s="14"/>
      <c r="BM195" s="14"/>
      <c r="BN195" s="14"/>
      <c r="BO195" s="14"/>
      <c r="BP195" s="14"/>
      <c r="BQ195" s="14"/>
      <c r="BR195" s="14"/>
      <c r="BS195" s="14"/>
      <c r="BT195" s="14"/>
      <c r="BU195" s="14"/>
      <c r="BV195" s="14"/>
      <c r="BW195" s="14"/>
      <c r="BX195" s="14"/>
      <c r="BY195" s="14"/>
      <c r="BZ195" s="14"/>
      <c r="CA195" s="14"/>
      <c r="CB195" s="14"/>
      <c r="CC195" s="14"/>
      <c r="CD195" s="14"/>
      <c r="CE195" s="14"/>
      <c r="CF195" s="14"/>
      <c r="CG195" s="14"/>
      <c r="CH195" s="14"/>
      <c r="CI195" s="14"/>
      <c r="CJ195" s="14"/>
      <c r="CK195" s="14"/>
      <c r="CL195" s="14"/>
      <c r="CM195" s="14"/>
      <c r="CN195" s="14"/>
      <c r="CO195" s="14"/>
      <c r="CP195" s="14"/>
      <c r="CQ195" s="14"/>
      <c r="CR195" s="14"/>
      <c r="CS195" s="3"/>
      <c r="CT195" s="3"/>
      <c r="CU195" s="3"/>
      <c r="CV195" s="3"/>
      <c r="CW195" s="3"/>
    </row>
    <row r="196" spans="1:101" ht="14.25" customHeight="1" x14ac:dyDescent="0.2">
      <c r="A196" s="328"/>
      <c r="B196" s="52">
        <v>0.17780674919372641</v>
      </c>
      <c r="C196" s="330">
        <v>0.23207124126873455</v>
      </c>
      <c r="D196" s="330">
        <v>1.8985205814400552E-2</v>
      </c>
      <c r="E196" s="330">
        <v>1.5591165768595983E-2</v>
      </c>
      <c r="F196" s="331">
        <v>0.77837476691382479</v>
      </c>
      <c r="G196" s="94">
        <v>0.41795316428473495</v>
      </c>
      <c r="H196" s="330">
        <v>0.8905459829269613</v>
      </c>
      <c r="I196" s="330">
        <v>1.1064192812475931E-2</v>
      </c>
      <c r="J196" s="330">
        <v>0.98238849022553831</v>
      </c>
      <c r="K196" s="330">
        <v>0.77229550945676417</v>
      </c>
      <c r="L196" s="332">
        <v>8955.5754701631085</v>
      </c>
      <c r="M196" s="330">
        <v>0</v>
      </c>
      <c r="N196" s="330">
        <v>14866.050849434801</v>
      </c>
      <c r="O196" s="330">
        <v>770.15323608144877</v>
      </c>
      <c r="P196" s="330">
        <v>54196.983847991381</v>
      </c>
      <c r="Q196" s="333">
        <v>108487.7987138153</v>
      </c>
      <c r="R196" s="330">
        <v>29210.777781472156</v>
      </c>
      <c r="S196" s="330">
        <v>9326.2984332856722</v>
      </c>
      <c r="T196" s="332">
        <v>0.99955458003728193</v>
      </c>
      <c r="U196" s="330">
        <v>0.99166524019907198</v>
      </c>
      <c r="V196" s="330">
        <v>0.96830568242355597</v>
      </c>
      <c r="W196" s="330">
        <v>0.88130588491253181</v>
      </c>
      <c r="X196" s="330">
        <v>0.66954693741817328</v>
      </c>
      <c r="Y196" s="330">
        <v>0</v>
      </c>
      <c r="Z196" s="331">
        <v>0</v>
      </c>
      <c r="AA196" s="235"/>
      <c r="AB196" s="52">
        <v>88569.54080747129</v>
      </c>
      <c r="AC196" s="330">
        <v>3.4093926546310755</v>
      </c>
      <c r="AD196" s="330">
        <v>89214.202401605842</v>
      </c>
      <c r="AE196" s="330">
        <v>3.3486695829345425</v>
      </c>
      <c r="AF196" s="330">
        <v>-644.66159413455171</v>
      </c>
      <c r="AG196" s="331">
        <v>6.0723071696533015E-2</v>
      </c>
      <c r="AH196" s="235"/>
      <c r="AI196" s="208">
        <f t="shared" si="18"/>
        <v>3150353.4810920507</v>
      </c>
      <c r="AJ196" s="208">
        <f t="shared" si="19"/>
        <v>3092021.9013862093</v>
      </c>
      <c r="AK196" s="208">
        <f t="shared" si="20"/>
        <v>58331.579705840915</v>
      </c>
      <c r="AL196" s="235"/>
      <c r="AM196" s="52">
        <f t="shared" si="4"/>
        <v>1</v>
      </c>
      <c r="AN196" s="52">
        <f t="shared" si="5"/>
        <v>0</v>
      </c>
      <c r="AO196" s="52">
        <f t="shared" si="6"/>
        <v>1</v>
      </c>
      <c r="AP196" s="235"/>
      <c r="AQ196" s="3"/>
      <c r="AR196" s="3"/>
      <c r="AS196" s="3"/>
      <c r="AT196" s="3"/>
      <c r="AU196" s="235"/>
      <c r="AV196" s="360">
        <f t="shared" si="21"/>
        <v>3150353.4810920507</v>
      </c>
      <c r="AW196" s="235"/>
      <c r="AX196" s="354"/>
      <c r="AY196" s="14"/>
      <c r="AZ196" s="14">
        <f t="shared" si="23"/>
        <v>-644.66159413455171</v>
      </c>
      <c r="BA196" s="14">
        <f t="shared" si="22"/>
        <v>6.0723071696533015E-2</v>
      </c>
      <c r="BB196" s="14">
        <f t="shared" si="2"/>
        <v>-10616.419362911753</v>
      </c>
      <c r="BC196" s="14"/>
      <c r="BD196" s="14"/>
      <c r="BE196" s="14"/>
      <c r="BF196" s="14"/>
      <c r="BG196" s="14"/>
      <c r="BH196" s="14"/>
      <c r="BI196" s="14"/>
      <c r="BJ196" s="14"/>
      <c r="BK196" s="14"/>
      <c r="BL196" s="14"/>
      <c r="BM196" s="14"/>
      <c r="BN196" s="14"/>
      <c r="BO196" s="14"/>
      <c r="BP196" s="14"/>
      <c r="BQ196" s="14"/>
      <c r="BR196" s="14"/>
      <c r="BS196" s="14"/>
      <c r="BT196" s="14"/>
      <c r="BU196" s="14"/>
      <c r="BV196" s="14"/>
      <c r="BW196" s="14"/>
      <c r="BX196" s="14"/>
      <c r="BY196" s="14"/>
      <c r="BZ196" s="14"/>
      <c r="CA196" s="14"/>
      <c r="CB196" s="14"/>
      <c r="CC196" s="14"/>
      <c r="CD196" s="14"/>
      <c r="CE196" s="14"/>
      <c r="CF196" s="14"/>
      <c r="CG196" s="14"/>
      <c r="CH196" s="14"/>
      <c r="CI196" s="14"/>
      <c r="CJ196" s="14"/>
      <c r="CK196" s="14"/>
      <c r="CL196" s="14"/>
      <c r="CM196" s="14"/>
      <c r="CN196" s="14"/>
      <c r="CO196" s="14"/>
      <c r="CP196" s="14"/>
      <c r="CQ196" s="14"/>
      <c r="CR196" s="14"/>
      <c r="CS196" s="3"/>
      <c r="CT196" s="3"/>
      <c r="CU196" s="3"/>
      <c r="CV196" s="3"/>
      <c r="CW196" s="3"/>
    </row>
    <row r="197" spans="1:101" ht="14.25" customHeight="1" x14ac:dyDescent="0.2">
      <c r="A197" s="328"/>
      <c r="B197" s="52">
        <v>0.18206368995387434</v>
      </c>
      <c r="C197" s="330">
        <v>0.48170476072488855</v>
      </c>
      <c r="D197" s="330">
        <v>1.5145099725358935E-2</v>
      </c>
      <c r="E197" s="330">
        <v>1.4606737310975171E-2</v>
      </c>
      <c r="F197" s="331">
        <v>0.79028964350861397</v>
      </c>
      <c r="G197" s="94">
        <v>0.41187022789031336</v>
      </c>
      <c r="H197" s="330">
        <v>0.62687119939415914</v>
      </c>
      <c r="I197" s="330">
        <v>4.5957374778681451E-3</v>
      </c>
      <c r="J197" s="330">
        <v>0.99999999920774563</v>
      </c>
      <c r="K197" s="330">
        <v>0.73672582332929826</v>
      </c>
      <c r="L197" s="332">
        <v>12088.320709848198</v>
      </c>
      <c r="M197" s="330">
        <v>0</v>
      </c>
      <c r="N197" s="330">
        <v>16478.878499305982</v>
      </c>
      <c r="O197" s="330">
        <v>1363.3929186170481</v>
      </c>
      <c r="P197" s="330">
        <v>40398.721761589004</v>
      </c>
      <c r="Q197" s="333">
        <v>100342.49851965789</v>
      </c>
      <c r="R197" s="330">
        <v>20744.070420664044</v>
      </c>
      <c r="S197" s="330">
        <v>10691.159382647627</v>
      </c>
      <c r="T197" s="332">
        <v>0.131069601522672</v>
      </c>
      <c r="U197" s="330">
        <v>0.81317728926544941</v>
      </c>
      <c r="V197" s="330">
        <v>8.3705623506055343E-2</v>
      </c>
      <c r="W197" s="330">
        <v>0.99799703244921334</v>
      </c>
      <c r="X197" s="330">
        <v>0.99950069386212759</v>
      </c>
      <c r="Y197" s="330">
        <v>0</v>
      </c>
      <c r="Z197" s="331">
        <v>0</v>
      </c>
      <c r="AA197" s="235"/>
      <c r="AB197" s="52">
        <v>105104.17283499587</v>
      </c>
      <c r="AC197" s="330">
        <v>4.7727051396237057</v>
      </c>
      <c r="AD197" s="330">
        <v>90733.37839498464</v>
      </c>
      <c r="AE197" s="330">
        <v>4.6837498917546085</v>
      </c>
      <c r="AF197" s="330">
        <v>14370.794440011232</v>
      </c>
      <c r="AG197" s="331">
        <v>8.8955247869097143E-2</v>
      </c>
      <c r="AH197" s="235"/>
      <c r="AI197" s="208">
        <f t="shared" si="18"/>
        <v>4428965.7098075245</v>
      </c>
      <c r="AJ197" s="208">
        <f t="shared" si="19"/>
        <v>4358829.0187718933</v>
      </c>
      <c r="AK197" s="208">
        <f t="shared" si="20"/>
        <v>70136.691035631055</v>
      </c>
      <c r="AL197" s="235"/>
      <c r="AM197" s="52">
        <f t="shared" si="4"/>
        <v>1</v>
      </c>
      <c r="AN197" s="52">
        <f t="shared" si="5"/>
        <v>0</v>
      </c>
      <c r="AO197" s="52">
        <f t="shared" si="6"/>
        <v>1</v>
      </c>
      <c r="AP197" s="235"/>
      <c r="AQ197" s="3"/>
      <c r="AR197" s="3"/>
      <c r="AS197" s="3"/>
      <c r="AT197" s="3"/>
      <c r="AU197" s="235"/>
      <c r="AV197" s="360">
        <f t="shared" si="21"/>
        <v>4428965.7098075245</v>
      </c>
      <c r="AW197" s="235"/>
      <c r="AX197" s="354"/>
      <c r="AY197" s="14"/>
      <c r="AZ197" s="14">
        <f t="shared" si="23"/>
        <v>14370.794440011232</v>
      </c>
      <c r="BA197" s="14">
        <f t="shared" si="22"/>
        <v>8.8955247869097143E-2</v>
      </c>
      <c r="BB197" s="14">
        <f t="shared" si="2"/>
        <v>161550.83352877278</v>
      </c>
      <c r="BC197" s="14"/>
      <c r="BD197" s="14"/>
      <c r="BE197" s="14"/>
      <c r="BF197" s="14"/>
      <c r="BG197" s="14"/>
      <c r="BH197" s="14"/>
      <c r="BI197" s="14"/>
      <c r="BJ197" s="14"/>
      <c r="BK197" s="14"/>
      <c r="BL197" s="14"/>
      <c r="BM197" s="14"/>
      <c r="BN197" s="14"/>
      <c r="BO197" s="14"/>
      <c r="BP197" s="14"/>
      <c r="BQ197" s="14"/>
      <c r="BR197" s="14"/>
      <c r="BS197" s="14"/>
      <c r="BT197" s="14"/>
      <c r="BU197" s="14"/>
      <c r="BV197" s="14"/>
      <c r="BW197" s="14"/>
      <c r="BX197" s="14"/>
      <c r="BY197" s="14"/>
      <c r="BZ197" s="14"/>
      <c r="CA197" s="14"/>
      <c r="CB197" s="14"/>
      <c r="CC197" s="14"/>
      <c r="CD197" s="14"/>
      <c r="CE197" s="14"/>
      <c r="CF197" s="14"/>
      <c r="CG197" s="14"/>
      <c r="CH197" s="14"/>
      <c r="CI197" s="14"/>
      <c r="CJ197" s="14"/>
      <c r="CK197" s="14"/>
      <c r="CL197" s="14"/>
      <c r="CM197" s="14"/>
      <c r="CN197" s="14"/>
      <c r="CO197" s="14"/>
      <c r="CP197" s="14"/>
      <c r="CQ197" s="14"/>
      <c r="CR197" s="14"/>
      <c r="CS197" s="3"/>
      <c r="CT197" s="3"/>
      <c r="CU197" s="3"/>
      <c r="CV197" s="3"/>
      <c r="CW197" s="3"/>
    </row>
    <row r="198" spans="1:101" ht="14.25" customHeight="1" x14ac:dyDescent="0.2">
      <c r="A198" s="328"/>
      <c r="B198" s="52">
        <v>0.13417507073158658</v>
      </c>
      <c r="C198" s="330">
        <v>4.5678455070991483E-2</v>
      </c>
      <c r="D198" s="330">
        <v>1.2180922410504858E-2</v>
      </c>
      <c r="E198" s="330">
        <v>1.8101479739992654E-2</v>
      </c>
      <c r="F198" s="331">
        <v>0.77196330372183342</v>
      </c>
      <c r="G198" s="94">
        <v>0.43186154631355744</v>
      </c>
      <c r="H198" s="330">
        <v>5.4381644345958616E-2</v>
      </c>
      <c r="I198" s="330">
        <v>2.4600188717639804E-2</v>
      </c>
      <c r="J198" s="330">
        <v>0.99999998497408815</v>
      </c>
      <c r="K198" s="330">
        <v>0.69915058745860581</v>
      </c>
      <c r="L198" s="332">
        <v>14768.82963542544</v>
      </c>
      <c r="M198" s="330">
        <v>0</v>
      </c>
      <c r="N198" s="330">
        <v>16786.310514663626</v>
      </c>
      <c r="O198" s="330">
        <v>1072.4369757893378</v>
      </c>
      <c r="P198" s="330">
        <v>47765.116136896104</v>
      </c>
      <c r="Q198" s="333">
        <v>110588.11494173425</v>
      </c>
      <c r="R198" s="330">
        <v>19074.983440172673</v>
      </c>
      <c r="S198" s="330">
        <v>12676.669133885689</v>
      </c>
      <c r="T198" s="332">
        <v>0.73467792052234993</v>
      </c>
      <c r="U198" s="330">
        <v>0.91149230181882579</v>
      </c>
      <c r="V198" s="330">
        <v>0.15726119077298495</v>
      </c>
      <c r="W198" s="330">
        <v>0.87762101713116925</v>
      </c>
      <c r="X198" s="330">
        <v>0.97613800445849908</v>
      </c>
      <c r="Y198" s="330">
        <v>0</v>
      </c>
      <c r="Z198" s="331">
        <v>0</v>
      </c>
      <c r="AA198" s="235"/>
      <c r="AB198" s="52">
        <v>120227.292167412</v>
      </c>
      <c r="AC198" s="330">
        <v>4.5683452864522893</v>
      </c>
      <c r="AD198" s="330">
        <v>97879.860622742533</v>
      </c>
      <c r="AE198" s="330">
        <v>4.3460415530063532</v>
      </c>
      <c r="AF198" s="330">
        <v>22347.431544669467</v>
      </c>
      <c r="AG198" s="331">
        <v>0.22230373344593612</v>
      </c>
      <c r="AH198" s="235"/>
      <c r="AI198" s="208">
        <f t="shared" si="18"/>
        <v>4219700.7299622623</v>
      </c>
      <c r="AJ198" s="208">
        <f t="shared" si="19"/>
        <v>4030859.6147332927</v>
      </c>
      <c r="AK198" s="208">
        <f t="shared" si="20"/>
        <v>188841.11522896987</v>
      </c>
      <c r="AL198" s="235"/>
      <c r="AM198" s="52">
        <f t="shared" si="4"/>
        <v>1</v>
      </c>
      <c r="AN198" s="52">
        <f t="shared" si="5"/>
        <v>0</v>
      </c>
      <c r="AO198" s="52">
        <f t="shared" si="6"/>
        <v>1</v>
      </c>
      <c r="AP198" s="235"/>
      <c r="AQ198" s="3"/>
      <c r="AR198" s="3"/>
      <c r="AS198" s="3"/>
      <c r="AT198" s="3"/>
      <c r="AU198" s="235"/>
      <c r="AV198" s="360">
        <f t="shared" si="21"/>
        <v>4219700.7299622623</v>
      </c>
      <c r="AW198" s="235"/>
      <c r="AX198" s="354"/>
      <c r="AY198" s="14"/>
      <c r="AZ198" s="14">
        <f t="shared" si="23"/>
        <v>22347.431544669467</v>
      </c>
      <c r="BA198" s="14">
        <f t="shared" si="22"/>
        <v>0.22230373344593612</v>
      </c>
      <c r="BB198" s="14">
        <f t="shared" si="2"/>
        <v>100526.56875465532</v>
      </c>
      <c r="BC198" s="14"/>
      <c r="BD198" s="14"/>
      <c r="BE198" s="14"/>
      <c r="BF198" s="14"/>
      <c r="BG198" s="14"/>
      <c r="BH198" s="14"/>
      <c r="BI198" s="14"/>
      <c r="BJ198" s="14"/>
      <c r="BK198" s="14"/>
      <c r="BL198" s="14"/>
      <c r="BM198" s="14"/>
      <c r="BN198" s="14"/>
      <c r="BO198" s="14"/>
      <c r="BP198" s="14"/>
      <c r="BQ198" s="14"/>
      <c r="BR198" s="14"/>
      <c r="BS198" s="14"/>
      <c r="BT198" s="14"/>
      <c r="BU198" s="14"/>
      <c r="BV198" s="14"/>
      <c r="BW198" s="14"/>
      <c r="BX198" s="14"/>
      <c r="BY198" s="14"/>
      <c r="BZ198" s="14"/>
      <c r="CA198" s="14"/>
      <c r="CB198" s="14"/>
      <c r="CC198" s="14"/>
      <c r="CD198" s="14"/>
      <c r="CE198" s="14"/>
      <c r="CF198" s="14"/>
      <c r="CG198" s="14"/>
      <c r="CH198" s="14"/>
      <c r="CI198" s="14"/>
      <c r="CJ198" s="14"/>
      <c r="CK198" s="14"/>
      <c r="CL198" s="14"/>
      <c r="CM198" s="14"/>
      <c r="CN198" s="14"/>
      <c r="CO198" s="14"/>
      <c r="CP198" s="14"/>
      <c r="CQ198" s="14"/>
      <c r="CR198" s="14"/>
      <c r="CS198" s="3"/>
      <c r="CT198" s="3"/>
      <c r="CU198" s="3"/>
      <c r="CV198" s="3"/>
      <c r="CW198" s="3"/>
    </row>
    <row r="199" spans="1:101" ht="14.25" customHeight="1" x14ac:dyDescent="0.2">
      <c r="A199" s="328"/>
      <c r="B199" s="52">
        <v>0.18433435257920427</v>
      </c>
      <c r="C199" s="330">
        <v>0.68908227267193811</v>
      </c>
      <c r="D199" s="330">
        <v>6.5617381425737142E-3</v>
      </c>
      <c r="E199" s="330">
        <v>1.3176339809096658E-2</v>
      </c>
      <c r="F199" s="331">
        <v>0.79347668812985361</v>
      </c>
      <c r="G199" s="94">
        <v>0.40513085382181513</v>
      </c>
      <c r="H199" s="330">
        <v>0.5440562968145477</v>
      </c>
      <c r="I199" s="330">
        <v>1.2215154246681266E-2</v>
      </c>
      <c r="J199" s="330">
        <v>0.99983947038763066</v>
      </c>
      <c r="K199" s="330">
        <v>0.80520461930573617</v>
      </c>
      <c r="L199" s="332">
        <v>11418.779559527984</v>
      </c>
      <c r="M199" s="330">
        <v>0</v>
      </c>
      <c r="N199" s="330">
        <v>17738.777028285258</v>
      </c>
      <c r="O199" s="330">
        <v>1711.3309325451376</v>
      </c>
      <c r="P199" s="330">
        <v>26799.767544914666</v>
      </c>
      <c r="Q199" s="333">
        <v>109040.83094424046</v>
      </c>
      <c r="R199" s="330">
        <v>30688.182940319966</v>
      </c>
      <c r="S199" s="330">
        <v>10173.707971620055</v>
      </c>
      <c r="T199" s="332">
        <v>0.84294826710349491</v>
      </c>
      <c r="U199" s="330">
        <v>0.89287771087432299</v>
      </c>
      <c r="V199" s="330">
        <v>0.94530244527396923</v>
      </c>
      <c r="W199" s="330">
        <v>0.90531987421798166</v>
      </c>
      <c r="X199" s="330">
        <v>0.19238941443389801</v>
      </c>
      <c r="Y199" s="330">
        <v>0</v>
      </c>
      <c r="Z199" s="331">
        <v>0</v>
      </c>
      <c r="AA199" s="235"/>
      <c r="AB199" s="52">
        <v>102393.83603755134</v>
      </c>
      <c r="AC199" s="330">
        <v>1.1155727578869006</v>
      </c>
      <c r="AD199" s="330">
        <v>96148.783205680011</v>
      </c>
      <c r="AE199" s="330">
        <v>1.2282607621819763</v>
      </c>
      <c r="AF199" s="330">
        <v>6245.0528318713332</v>
      </c>
      <c r="AG199" s="331">
        <v>-0.11268800429507575</v>
      </c>
      <c r="AH199" s="235"/>
      <c r="AI199" s="208">
        <f t="shared" si="18"/>
        <v>957400.2839550043</v>
      </c>
      <c r="AJ199" s="208">
        <f t="shared" si="19"/>
        <v>1070698.9408671975</v>
      </c>
      <c r="AK199" s="208">
        <f t="shared" si="20"/>
        <v>-113298.6569121933</v>
      </c>
      <c r="AL199" s="235"/>
      <c r="AM199" s="52">
        <f t="shared" si="4"/>
        <v>0</v>
      </c>
      <c r="AN199" s="52">
        <f t="shared" si="5"/>
        <v>1</v>
      </c>
      <c r="AO199" s="52">
        <f t="shared" si="6"/>
        <v>0</v>
      </c>
      <c r="AP199" s="235"/>
      <c r="AQ199" s="3"/>
      <c r="AR199" s="3"/>
      <c r="AS199" s="3"/>
      <c r="AT199" s="3"/>
      <c r="AU199" s="235"/>
      <c r="AV199" s="360">
        <f t="shared" si="21"/>
        <v>1070698.9408671975</v>
      </c>
      <c r="AW199" s="235"/>
      <c r="AX199" s="354"/>
      <c r="AY199" s="14"/>
      <c r="AZ199" s="14">
        <f t="shared" si="23"/>
        <v>6245.0528318713332</v>
      </c>
      <c r="BA199" s="14">
        <f t="shared" si="22"/>
        <v>-0.11268800429507575</v>
      </c>
      <c r="BB199" s="14">
        <f t="shared" si="2"/>
        <v>-55418.967359813556</v>
      </c>
      <c r="BC199" s="14"/>
      <c r="BD199" s="14"/>
      <c r="BE199" s="14"/>
      <c r="BF199" s="14"/>
      <c r="BG199" s="14"/>
      <c r="BH199" s="14"/>
      <c r="BI199" s="14"/>
      <c r="BJ199" s="14"/>
      <c r="BK199" s="14"/>
      <c r="BL199" s="14"/>
      <c r="BM199" s="14"/>
      <c r="BN199" s="14"/>
      <c r="BO199" s="14"/>
      <c r="BP199" s="14"/>
      <c r="BQ199" s="14"/>
      <c r="BR199" s="14"/>
      <c r="BS199" s="14"/>
      <c r="BT199" s="14"/>
      <c r="BU199" s="14"/>
      <c r="BV199" s="14"/>
      <c r="BW199" s="14"/>
      <c r="BX199" s="14"/>
      <c r="BY199" s="14"/>
      <c r="BZ199" s="14"/>
      <c r="CA199" s="14"/>
      <c r="CB199" s="14"/>
      <c r="CC199" s="14"/>
      <c r="CD199" s="14"/>
      <c r="CE199" s="14"/>
      <c r="CF199" s="14"/>
      <c r="CG199" s="14"/>
      <c r="CH199" s="14"/>
      <c r="CI199" s="14"/>
      <c r="CJ199" s="14"/>
      <c r="CK199" s="14"/>
      <c r="CL199" s="14"/>
      <c r="CM199" s="14"/>
      <c r="CN199" s="14"/>
      <c r="CO199" s="14"/>
      <c r="CP199" s="14"/>
      <c r="CQ199" s="14"/>
      <c r="CR199" s="14"/>
      <c r="CS199" s="3"/>
      <c r="CT199" s="3"/>
      <c r="CU199" s="3"/>
      <c r="CV199" s="3"/>
      <c r="CW199" s="3"/>
    </row>
    <row r="200" spans="1:101" ht="14.25" customHeight="1" x14ac:dyDescent="0.2">
      <c r="A200" s="328"/>
      <c r="B200" s="52">
        <v>0.1765534088446592</v>
      </c>
      <c r="C200" s="330">
        <v>0.53541708859618398</v>
      </c>
      <c r="D200" s="330">
        <v>2.3775044548706381E-2</v>
      </c>
      <c r="E200" s="330">
        <v>1.7225315962286047E-2</v>
      </c>
      <c r="F200" s="331">
        <v>0.79827829871937439</v>
      </c>
      <c r="G200" s="94">
        <v>0.41233130642440874</v>
      </c>
      <c r="H200" s="330">
        <v>0.36426524726695769</v>
      </c>
      <c r="I200" s="330">
        <v>1.1247230761132382E-2</v>
      </c>
      <c r="J200" s="330">
        <v>0.99999998172691296</v>
      </c>
      <c r="K200" s="330">
        <v>0.74861125946989515</v>
      </c>
      <c r="L200" s="332">
        <v>12587.794325010535</v>
      </c>
      <c r="M200" s="330">
        <v>0</v>
      </c>
      <c r="N200" s="330">
        <v>23774.003320759621</v>
      </c>
      <c r="O200" s="330">
        <v>860.23985657022968</v>
      </c>
      <c r="P200" s="330">
        <v>28776.948313556499</v>
      </c>
      <c r="Q200" s="333">
        <v>74962.314275601908</v>
      </c>
      <c r="R200" s="330">
        <v>20685.471273942243</v>
      </c>
      <c r="S200" s="330">
        <v>8188.8118687733031</v>
      </c>
      <c r="T200" s="332">
        <v>0.55403466351859421</v>
      </c>
      <c r="U200" s="330">
        <v>0.99865624176067103</v>
      </c>
      <c r="V200" s="330">
        <v>0.72114062956207092</v>
      </c>
      <c r="W200" s="330">
        <v>0.74570350831029963</v>
      </c>
      <c r="X200" s="330">
        <v>0.91188014181313815</v>
      </c>
      <c r="Y200" s="330">
        <v>0</v>
      </c>
      <c r="Z200" s="331">
        <v>0</v>
      </c>
      <c r="AA200" s="235"/>
      <c r="AB200" s="52">
        <v>85163.054045641082</v>
      </c>
      <c r="AC200" s="330">
        <v>4.6159508000281715</v>
      </c>
      <c r="AD200" s="330">
        <v>69854.380378396207</v>
      </c>
      <c r="AE200" s="330">
        <v>4.5190785441081003</v>
      </c>
      <c r="AF200" s="330">
        <v>15308.673667244875</v>
      </c>
      <c r="AG200" s="331">
        <v>9.6872255920071204E-2</v>
      </c>
      <c r="AH200" s="235"/>
      <c r="AI200" s="208">
        <f t="shared" si="18"/>
        <v>4299990.2059811223</v>
      </c>
      <c r="AJ200" s="208">
        <f t="shared" si="19"/>
        <v>4223270.2365242988</v>
      </c>
      <c r="AK200" s="208">
        <f t="shared" si="20"/>
        <v>76719.969456822771</v>
      </c>
      <c r="AL200" s="235"/>
      <c r="AM200" s="52">
        <f t="shared" si="4"/>
        <v>1</v>
      </c>
      <c r="AN200" s="52">
        <f t="shared" si="5"/>
        <v>0</v>
      </c>
      <c r="AO200" s="52">
        <f t="shared" si="6"/>
        <v>1</v>
      </c>
      <c r="AP200" s="235"/>
      <c r="AQ200" s="3"/>
      <c r="AR200" s="3"/>
      <c r="AS200" s="3"/>
      <c r="AT200" s="3"/>
      <c r="AU200" s="235"/>
      <c r="AV200" s="360">
        <f t="shared" si="21"/>
        <v>4299990.2059811223</v>
      </c>
      <c r="AW200" s="235"/>
      <c r="AX200" s="354"/>
      <c r="AY200" s="14"/>
      <c r="AZ200" s="14">
        <f t="shared" si="23"/>
        <v>15308.673667244875</v>
      </c>
      <c r="BA200" s="14">
        <f t="shared" si="22"/>
        <v>9.6872255920071204E-2</v>
      </c>
      <c r="BB200" s="14">
        <f t="shared" si="2"/>
        <v>158029.4948419079</v>
      </c>
      <c r="BC200" s="14"/>
      <c r="BD200" s="14"/>
      <c r="BE200" s="14"/>
      <c r="BF200" s="14"/>
      <c r="BG200" s="14"/>
      <c r="BH200" s="14"/>
      <c r="BI200" s="14"/>
      <c r="BJ200" s="14"/>
      <c r="BK200" s="14"/>
      <c r="BL200" s="14"/>
      <c r="BM200" s="14"/>
      <c r="BN200" s="14"/>
      <c r="BO200" s="14"/>
      <c r="BP200" s="14"/>
      <c r="BQ200" s="14"/>
      <c r="BR200" s="14"/>
      <c r="BS200" s="14"/>
      <c r="BT200" s="14"/>
      <c r="BU200" s="14"/>
      <c r="BV200" s="14"/>
      <c r="BW200" s="14"/>
      <c r="BX200" s="14"/>
      <c r="BY200" s="14"/>
      <c r="BZ200" s="14"/>
      <c r="CA200" s="14"/>
      <c r="CB200" s="14"/>
      <c r="CC200" s="14"/>
      <c r="CD200" s="14"/>
      <c r="CE200" s="14"/>
      <c r="CF200" s="14"/>
      <c r="CG200" s="14"/>
      <c r="CH200" s="14"/>
      <c r="CI200" s="14"/>
      <c r="CJ200" s="14"/>
      <c r="CK200" s="14"/>
      <c r="CL200" s="14"/>
      <c r="CM200" s="14"/>
      <c r="CN200" s="14"/>
      <c r="CO200" s="14"/>
      <c r="CP200" s="14"/>
      <c r="CQ200" s="14"/>
      <c r="CR200" s="14"/>
      <c r="CS200" s="3"/>
      <c r="CT200" s="3"/>
      <c r="CU200" s="3"/>
      <c r="CV200" s="3"/>
      <c r="CW200" s="3"/>
    </row>
    <row r="201" spans="1:101" ht="14.25" customHeight="1" x14ac:dyDescent="0.2">
      <c r="A201" s="328"/>
      <c r="B201" s="52">
        <v>0.10329474237948386</v>
      </c>
      <c r="C201" s="330">
        <v>7.2170880085703742E-2</v>
      </c>
      <c r="D201" s="330">
        <v>2.9864181327832084E-2</v>
      </c>
      <c r="E201" s="330">
        <v>3.0815642553329803E-2</v>
      </c>
      <c r="F201" s="331">
        <v>0.76897165207587947</v>
      </c>
      <c r="G201" s="94">
        <v>0.36761681682927427</v>
      </c>
      <c r="H201" s="330">
        <v>0.35305675543256232</v>
      </c>
      <c r="I201" s="330">
        <v>2.4108708150113789E-2</v>
      </c>
      <c r="J201" s="330">
        <v>3.2071356079665242E-2</v>
      </c>
      <c r="K201" s="330">
        <v>0.74110480118135658</v>
      </c>
      <c r="L201" s="332">
        <v>11439.53877446365</v>
      </c>
      <c r="M201" s="330">
        <v>0</v>
      </c>
      <c r="N201" s="330">
        <v>18251.359832365673</v>
      </c>
      <c r="O201" s="330">
        <v>1300.0952325238973</v>
      </c>
      <c r="P201" s="330">
        <v>39884.062705051496</v>
      </c>
      <c r="Q201" s="333">
        <v>86353.828791743566</v>
      </c>
      <c r="R201" s="330">
        <v>33840.775323363079</v>
      </c>
      <c r="S201" s="330">
        <v>11201.097651546324</v>
      </c>
      <c r="T201" s="332">
        <v>0.40380577988813582</v>
      </c>
      <c r="U201" s="330">
        <v>0.23731006360595641</v>
      </c>
      <c r="V201" s="330">
        <v>0.92418469180034113</v>
      </c>
      <c r="W201" s="330">
        <v>0.99999652351667812</v>
      </c>
      <c r="X201" s="330">
        <v>0.59784181592804952</v>
      </c>
      <c r="Y201" s="330">
        <v>0</v>
      </c>
      <c r="Z201" s="331">
        <v>0</v>
      </c>
      <c r="AA201" s="235"/>
      <c r="AB201" s="52">
        <v>104529.62164286319</v>
      </c>
      <c r="AC201" s="330">
        <v>2.9769493020761395</v>
      </c>
      <c r="AD201" s="330">
        <v>94649.691974000714</v>
      </c>
      <c r="AE201" s="330">
        <v>2.7543178540199462</v>
      </c>
      <c r="AF201" s="330">
        <v>9879.9296688624745</v>
      </c>
      <c r="AG201" s="331">
        <v>0.22263144805619328</v>
      </c>
      <c r="AH201" s="235"/>
      <c r="AI201" s="208">
        <f t="shared" si="18"/>
        <v>2723572.2153294692</v>
      </c>
      <c r="AJ201" s="208">
        <f t="shared" si="19"/>
        <v>2521952.2693449482</v>
      </c>
      <c r="AK201" s="208">
        <f t="shared" si="20"/>
        <v>201619.94598452112</v>
      </c>
      <c r="AL201" s="235"/>
      <c r="AM201" s="52">
        <f t="shared" si="4"/>
        <v>1</v>
      </c>
      <c r="AN201" s="52">
        <f t="shared" si="5"/>
        <v>0</v>
      </c>
      <c r="AO201" s="52">
        <f t="shared" si="6"/>
        <v>1</v>
      </c>
      <c r="AP201" s="235"/>
      <c r="AQ201" s="3"/>
      <c r="AR201" s="3"/>
      <c r="AS201" s="3"/>
      <c r="AT201" s="3"/>
      <c r="AU201" s="235"/>
      <c r="AV201" s="360">
        <f t="shared" si="21"/>
        <v>2723572.2153294692</v>
      </c>
      <c r="AW201" s="235"/>
      <c r="AX201" s="354"/>
      <c r="AY201" s="14"/>
      <c r="AZ201" s="14">
        <f t="shared" si="23"/>
        <v>9879.9296688624745</v>
      </c>
      <c r="BA201" s="14">
        <f t="shared" si="22"/>
        <v>0.22263144805619328</v>
      </c>
      <c r="BB201" s="14">
        <f t="shared" si="2"/>
        <v>44377.960773846877</v>
      </c>
      <c r="BC201" s="14"/>
      <c r="BD201" s="14"/>
      <c r="BE201" s="14"/>
      <c r="BF201" s="14"/>
      <c r="BG201" s="14"/>
      <c r="BH201" s="14"/>
      <c r="BI201" s="14"/>
      <c r="BJ201" s="14"/>
      <c r="BK201" s="14"/>
      <c r="BL201" s="14"/>
      <c r="BM201" s="14"/>
      <c r="BN201" s="14"/>
      <c r="BO201" s="14"/>
      <c r="BP201" s="14"/>
      <c r="BQ201" s="14"/>
      <c r="BR201" s="14"/>
      <c r="BS201" s="14"/>
      <c r="BT201" s="14"/>
      <c r="BU201" s="14"/>
      <c r="BV201" s="14"/>
      <c r="BW201" s="14"/>
      <c r="BX201" s="14"/>
      <c r="BY201" s="14"/>
      <c r="BZ201" s="14"/>
      <c r="CA201" s="14"/>
      <c r="CB201" s="14"/>
      <c r="CC201" s="14"/>
      <c r="CD201" s="14"/>
      <c r="CE201" s="14"/>
      <c r="CF201" s="14"/>
      <c r="CG201" s="14"/>
      <c r="CH201" s="14"/>
      <c r="CI201" s="14"/>
      <c r="CJ201" s="14"/>
      <c r="CK201" s="14"/>
      <c r="CL201" s="14"/>
      <c r="CM201" s="14"/>
      <c r="CN201" s="14"/>
      <c r="CO201" s="14"/>
      <c r="CP201" s="14"/>
      <c r="CQ201" s="14"/>
      <c r="CR201" s="14"/>
      <c r="CS201" s="3"/>
      <c r="CT201" s="3"/>
      <c r="CU201" s="3"/>
      <c r="CV201" s="3"/>
      <c r="CW201" s="3"/>
    </row>
    <row r="202" spans="1:101" ht="14.25" customHeight="1" x14ac:dyDescent="0.2">
      <c r="A202" s="328"/>
      <c r="B202" s="52">
        <v>0.13910627108607199</v>
      </c>
      <c r="C202" s="330">
        <v>0.76696990376608565</v>
      </c>
      <c r="D202" s="330">
        <v>1.5648367808430264E-2</v>
      </c>
      <c r="E202" s="330">
        <v>1.6752870221486083E-2</v>
      </c>
      <c r="F202" s="331">
        <v>0.77161582872040591</v>
      </c>
      <c r="G202" s="94">
        <v>0.4933262716035921</v>
      </c>
      <c r="H202" s="330">
        <v>0.41002724370269744</v>
      </c>
      <c r="I202" s="330">
        <v>1.7881875058324059E-2</v>
      </c>
      <c r="J202" s="330">
        <v>0.99106813440548636</v>
      </c>
      <c r="K202" s="330">
        <v>0.78134336642550006</v>
      </c>
      <c r="L202" s="332">
        <v>16275.573017487161</v>
      </c>
      <c r="M202" s="330">
        <v>0</v>
      </c>
      <c r="N202" s="330">
        <v>17060.673609443893</v>
      </c>
      <c r="O202" s="330">
        <v>1176.485835976486</v>
      </c>
      <c r="P202" s="330">
        <v>43359.615505317997</v>
      </c>
      <c r="Q202" s="333">
        <v>88792.295592996117</v>
      </c>
      <c r="R202" s="330">
        <v>20147.0692002258</v>
      </c>
      <c r="S202" s="330">
        <v>6149.2802039651633</v>
      </c>
      <c r="T202" s="332">
        <v>0.81324476149593894</v>
      </c>
      <c r="U202" s="330">
        <v>0.91236751798284721</v>
      </c>
      <c r="V202" s="330">
        <v>0.63986756760141283</v>
      </c>
      <c r="W202" s="330">
        <v>1.3832826559565308E-3</v>
      </c>
      <c r="X202" s="330">
        <v>0.9992311683079742</v>
      </c>
      <c r="Y202" s="330">
        <v>0</v>
      </c>
      <c r="Z202" s="331">
        <v>0</v>
      </c>
      <c r="AA202" s="235"/>
      <c r="AB202" s="52">
        <v>69702.637577799396</v>
      </c>
      <c r="AC202" s="330">
        <v>4.854732279584594</v>
      </c>
      <c r="AD202" s="330">
        <v>57590.995712501317</v>
      </c>
      <c r="AE202" s="330">
        <v>4.8670739452571885</v>
      </c>
      <c r="AF202" s="330">
        <v>12111.641865298079</v>
      </c>
      <c r="AG202" s="331">
        <v>-1.2341665672594537E-2</v>
      </c>
      <c r="AH202" s="235"/>
      <c r="AI202" s="208">
        <f t="shared" si="18"/>
        <v>4542293.0280275652</v>
      </c>
      <c r="AJ202" s="208">
        <f t="shared" si="19"/>
        <v>4566129.2522818279</v>
      </c>
      <c r="AK202" s="208">
        <f t="shared" si="20"/>
        <v>-23836.224254262888</v>
      </c>
      <c r="AL202" s="235"/>
      <c r="AM202" s="52">
        <f t="shared" si="4"/>
        <v>0</v>
      </c>
      <c r="AN202" s="52">
        <f t="shared" si="5"/>
        <v>1</v>
      </c>
      <c r="AO202" s="52">
        <f t="shared" si="6"/>
        <v>0</v>
      </c>
      <c r="AP202" s="235"/>
      <c r="AQ202" s="3"/>
      <c r="AR202" s="3"/>
      <c r="AS202" s="3"/>
      <c r="AT202" s="3"/>
      <c r="AU202" s="235"/>
      <c r="AV202" s="360">
        <f t="shared" si="21"/>
        <v>4566129.2522818279</v>
      </c>
      <c r="AW202" s="235"/>
      <c r="AX202" s="354"/>
      <c r="AY202" s="14"/>
      <c r="AZ202" s="14">
        <f t="shared" si="23"/>
        <v>12111.641865298079</v>
      </c>
      <c r="BA202" s="14">
        <f t="shared" si="22"/>
        <v>-1.2341665672594537E-2</v>
      </c>
      <c r="BB202" s="14">
        <f t="shared" si="2"/>
        <v>-981362.01276240684</v>
      </c>
      <c r="BC202" s="14"/>
      <c r="BD202" s="14"/>
      <c r="BE202" s="14"/>
      <c r="BF202" s="14"/>
      <c r="BG202" s="14"/>
      <c r="BH202" s="14"/>
      <c r="BI202" s="14"/>
      <c r="BJ202" s="14"/>
      <c r="BK202" s="14"/>
      <c r="BL202" s="14"/>
      <c r="BM202" s="14"/>
      <c r="BN202" s="14"/>
      <c r="BO202" s="14"/>
      <c r="BP202" s="14"/>
      <c r="BQ202" s="14"/>
      <c r="BR202" s="14"/>
      <c r="BS202" s="14"/>
      <c r="BT202" s="14"/>
      <c r="BU202" s="14"/>
      <c r="BV202" s="14"/>
      <c r="BW202" s="14"/>
      <c r="BX202" s="14"/>
      <c r="BY202" s="14"/>
      <c r="BZ202" s="14"/>
      <c r="CA202" s="14"/>
      <c r="CB202" s="14"/>
      <c r="CC202" s="14"/>
      <c r="CD202" s="14"/>
      <c r="CE202" s="14"/>
      <c r="CF202" s="14"/>
      <c r="CG202" s="14"/>
      <c r="CH202" s="14"/>
      <c r="CI202" s="14"/>
      <c r="CJ202" s="14"/>
      <c r="CK202" s="14"/>
      <c r="CL202" s="14"/>
      <c r="CM202" s="14"/>
      <c r="CN202" s="14"/>
      <c r="CO202" s="14"/>
      <c r="CP202" s="14"/>
      <c r="CQ202" s="14"/>
      <c r="CR202" s="14"/>
      <c r="CS202" s="3"/>
      <c r="CT202" s="3"/>
      <c r="CU202" s="3"/>
      <c r="CV202" s="3"/>
      <c r="CW202" s="3"/>
    </row>
    <row r="203" spans="1:101" ht="14.25" customHeight="1" x14ac:dyDescent="0.2">
      <c r="A203" s="328"/>
      <c r="B203" s="52">
        <v>0.17398998954010259</v>
      </c>
      <c r="C203" s="330">
        <v>4.4507036000815932E-3</v>
      </c>
      <c r="D203" s="330">
        <v>1.2935109053839388E-2</v>
      </c>
      <c r="E203" s="330">
        <v>1.6684836561721927E-2</v>
      </c>
      <c r="F203" s="331">
        <v>0.7476557861315275</v>
      </c>
      <c r="G203" s="94">
        <v>0.39565630476310454</v>
      </c>
      <c r="H203" s="330">
        <v>0.12121274939009355</v>
      </c>
      <c r="I203" s="330">
        <v>3.1153920285752923E-2</v>
      </c>
      <c r="J203" s="330">
        <v>0.16658964014119443</v>
      </c>
      <c r="K203" s="330">
        <v>0.71287027278378812</v>
      </c>
      <c r="L203" s="332">
        <v>18341.248135629736</v>
      </c>
      <c r="M203" s="330">
        <v>0</v>
      </c>
      <c r="N203" s="330">
        <v>12655.538711953603</v>
      </c>
      <c r="O203" s="330">
        <v>1054.4801764017957</v>
      </c>
      <c r="P203" s="330">
        <v>41489.362582986374</v>
      </c>
      <c r="Q203" s="333">
        <v>96238.706315583942</v>
      </c>
      <c r="R203" s="330">
        <v>21668.450463070858</v>
      </c>
      <c r="S203" s="330">
        <v>9504.8274793566325</v>
      </c>
      <c r="T203" s="332">
        <v>0.37587674529117654</v>
      </c>
      <c r="U203" s="330">
        <v>0.98110948727757807</v>
      </c>
      <c r="V203" s="330">
        <v>0.98637196697010887</v>
      </c>
      <c r="W203" s="330">
        <v>0.87927495155782653</v>
      </c>
      <c r="X203" s="330">
        <v>0.97252077971782569</v>
      </c>
      <c r="Y203" s="330">
        <v>0</v>
      </c>
      <c r="Z203" s="331">
        <v>0</v>
      </c>
      <c r="AA203" s="235"/>
      <c r="AB203" s="52">
        <v>95019.892845827955</v>
      </c>
      <c r="AC203" s="330">
        <v>4.4347017286455825</v>
      </c>
      <c r="AD203" s="330">
        <v>75434.358198703107</v>
      </c>
      <c r="AE203" s="330">
        <v>4.5226049462479265</v>
      </c>
      <c r="AF203" s="330">
        <v>19585.534647124849</v>
      </c>
      <c r="AG203" s="331">
        <v>-8.7903217602343986E-2</v>
      </c>
      <c r="AH203" s="235"/>
      <c r="AI203" s="208">
        <f t="shared" si="18"/>
        <v>4117946.7493674755</v>
      </c>
      <c r="AJ203" s="208">
        <f t="shared" si="19"/>
        <v>4221040.3407368269</v>
      </c>
      <c r="AK203" s="208">
        <f t="shared" si="20"/>
        <v>-103093.59136935163</v>
      </c>
      <c r="AL203" s="235"/>
      <c r="AM203" s="52">
        <f t="shared" si="4"/>
        <v>0</v>
      </c>
      <c r="AN203" s="52">
        <f t="shared" si="5"/>
        <v>1</v>
      </c>
      <c r="AO203" s="52">
        <f t="shared" si="6"/>
        <v>0</v>
      </c>
      <c r="AP203" s="235"/>
      <c r="AQ203" s="3"/>
      <c r="AR203" s="3"/>
      <c r="AS203" s="3"/>
      <c r="AT203" s="3"/>
      <c r="AU203" s="235"/>
      <c r="AV203" s="360">
        <f t="shared" si="21"/>
        <v>4221040.3407368269</v>
      </c>
      <c r="AW203" s="235"/>
      <c r="AX203" s="354"/>
      <c r="AY203" s="14"/>
      <c r="AZ203" s="14">
        <f t="shared" si="23"/>
        <v>19585.534647124849</v>
      </c>
      <c r="BA203" s="14">
        <f t="shared" si="22"/>
        <v>-8.7903217602343986E-2</v>
      </c>
      <c r="BB203" s="14">
        <f t="shared" si="2"/>
        <v>-222807.93788147511</v>
      </c>
      <c r="BC203" s="14"/>
      <c r="BD203" s="14"/>
      <c r="BE203" s="14"/>
      <c r="BF203" s="14"/>
      <c r="BG203" s="14"/>
      <c r="BH203" s="14"/>
      <c r="BI203" s="14"/>
      <c r="BJ203" s="14"/>
      <c r="BK203" s="14"/>
      <c r="BL203" s="14"/>
      <c r="BM203" s="14"/>
      <c r="BN203" s="14"/>
      <c r="BO203" s="14"/>
      <c r="BP203" s="14"/>
      <c r="BQ203" s="14"/>
      <c r="BR203" s="14"/>
      <c r="BS203" s="14"/>
      <c r="BT203" s="14"/>
      <c r="BU203" s="14"/>
      <c r="BV203" s="14"/>
      <c r="BW203" s="14"/>
      <c r="BX203" s="14"/>
      <c r="BY203" s="14"/>
      <c r="BZ203" s="14"/>
      <c r="CA203" s="14"/>
      <c r="CB203" s="14"/>
      <c r="CC203" s="14"/>
      <c r="CD203" s="14"/>
      <c r="CE203" s="14"/>
      <c r="CF203" s="14"/>
      <c r="CG203" s="14"/>
      <c r="CH203" s="14"/>
      <c r="CI203" s="14"/>
      <c r="CJ203" s="14"/>
      <c r="CK203" s="14"/>
      <c r="CL203" s="14"/>
      <c r="CM203" s="14"/>
      <c r="CN203" s="14"/>
      <c r="CO203" s="14"/>
      <c r="CP203" s="14"/>
      <c r="CQ203" s="14"/>
      <c r="CR203" s="14"/>
      <c r="CS203" s="3"/>
      <c r="CT203" s="3"/>
      <c r="CU203" s="3"/>
      <c r="CV203" s="3"/>
      <c r="CW203" s="3"/>
    </row>
    <row r="204" spans="1:101" ht="14.25" customHeight="1" x14ac:dyDescent="0.2">
      <c r="A204" s="328"/>
      <c r="B204" s="52">
        <v>0.17077887040851103</v>
      </c>
      <c r="C204" s="330">
        <v>0.34067824656221946</v>
      </c>
      <c r="D204" s="330">
        <v>1.3129733808903468E-2</v>
      </c>
      <c r="E204" s="330">
        <v>1.4189531945743076E-2</v>
      </c>
      <c r="F204" s="331">
        <v>0.77098604743856158</v>
      </c>
      <c r="G204" s="94">
        <v>0.36928717965266711</v>
      </c>
      <c r="H204" s="330">
        <v>0.76608606932033363</v>
      </c>
      <c r="I204" s="330">
        <v>2.7076919497285412E-2</v>
      </c>
      <c r="J204" s="330">
        <v>0.89226176324745898</v>
      </c>
      <c r="K204" s="330">
        <v>0.7113001916244106</v>
      </c>
      <c r="L204" s="332">
        <v>10139.073728584892</v>
      </c>
      <c r="M204" s="330">
        <v>0</v>
      </c>
      <c r="N204" s="330">
        <v>23785.539124186176</v>
      </c>
      <c r="O204" s="330">
        <v>1361.0421073044502</v>
      </c>
      <c r="P204" s="330">
        <v>53458.530393355737</v>
      </c>
      <c r="Q204" s="333">
        <v>84427.025666467074</v>
      </c>
      <c r="R204" s="330">
        <v>26884.090961511778</v>
      </c>
      <c r="S204" s="330">
        <v>8922.0878486689126</v>
      </c>
      <c r="T204" s="332">
        <v>0.83494273708947031</v>
      </c>
      <c r="U204" s="330">
        <v>0.90156151356829528</v>
      </c>
      <c r="V204" s="330">
        <v>0.96315919248493786</v>
      </c>
      <c r="W204" s="330">
        <v>0.92400299369212058</v>
      </c>
      <c r="X204" s="330">
        <v>0.99992192021490323</v>
      </c>
      <c r="Y204" s="330">
        <v>0</v>
      </c>
      <c r="Z204" s="331">
        <v>0</v>
      </c>
      <c r="AA204" s="235"/>
      <c r="AB204" s="52">
        <v>85945.461509358211</v>
      </c>
      <c r="AC204" s="330">
        <v>4.786504029541006</v>
      </c>
      <c r="AD204" s="330">
        <v>77630.711318377682</v>
      </c>
      <c r="AE204" s="330">
        <v>4.50773764710625</v>
      </c>
      <c r="AF204" s="330">
        <v>8314.7501909805287</v>
      </c>
      <c r="AG204" s="331">
        <v>0.27876638243475593</v>
      </c>
      <c r="AH204" s="235"/>
      <c r="AI204" s="208">
        <f t="shared" si="18"/>
        <v>4461233.3665545974</v>
      </c>
      <c r="AJ204" s="208">
        <f t="shared" si="19"/>
        <v>4204720.0534325605</v>
      </c>
      <c r="AK204" s="208">
        <f t="shared" si="20"/>
        <v>256513.31312203759</v>
      </c>
      <c r="AL204" s="235"/>
      <c r="AM204" s="52">
        <f t="shared" si="4"/>
        <v>1</v>
      </c>
      <c r="AN204" s="52">
        <f t="shared" si="5"/>
        <v>0</v>
      </c>
      <c r="AO204" s="52">
        <f t="shared" si="6"/>
        <v>1</v>
      </c>
      <c r="AP204" s="235"/>
      <c r="AQ204" s="3"/>
      <c r="AR204" s="3"/>
      <c r="AS204" s="3"/>
      <c r="AT204" s="3"/>
      <c r="AU204" s="235"/>
      <c r="AV204" s="360">
        <f t="shared" si="21"/>
        <v>4461233.3665545974</v>
      </c>
      <c r="AW204" s="235"/>
      <c r="AX204" s="354"/>
      <c r="AY204" s="14"/>
      <c r="AZ204" s="14">
        <f t="shared" si="23"/>
        <v>8314.7501909805287</v>
      </c>
      <c r="BA204" s="14">
        <f t="shared" si="22"/>
        <v>0.27876638243475593</v>
      </c>
      <c r="BB204" s="14">
        <f t="shared" si="2"/>
        <v>29826.947275202958</v>
      </c>
      <c r="BC204" s="14"/>
      <c r="BD204" s="14"/>
      <c r="BE204" s="14"/>
      <c r="BF204" s="14"/>
      <c r="BG204" s="14"/>
      <c r="BH204" s="14"/>
      <c r="BI204" s="14"/>
      <c r="BJ204" s="14"/>
      <c r="BK204" s="14"/>
      <c r="BL204" s="14"/>
      <c r="BM204" s="14"/>
      <c r="BN204" s="14"/>
      <c r="BO204" s="14"/>
      <c r="BP204" s="14"/>
      <c r="BQ204" s="14"/>
      <c r="BR204" s="14"/>
      <c r="BS204" s="14"/>
      <c r="BT204" s="14"/>
      <c r="BU204" s="14"/>
      <c r="BV204" s="14"/>
      <c r="BW204" s="14"/>
      <c r="BX204" s="14"/>
      <c r="BY204" s="14"/>
      <c r="BZ204" s="14"/>
      <c r="CA204" s="14"/>
      <c r="CB204" s="14"/>
      <c r="CC204" s="14"/>
      <c r="CD204" s="14"/>
      <c r="CE204" s="14"/>
      <c r="CF204" s="14"/>
      <c r="CG204" s="14"/>
      <c r="CH204" s="14"/>
      <c r="CI204" s="14"/>
      <c r="CJ204" s="14"/>
      <c r="CK204" s="14"/>
      <c r="CL204" s="14"/>
      <c r="CM204" s="14"/>
      <c r="CN204" s="14"/>
      <c r="CO204" s="14"/>
      <c r="CP204" s="14"/>
      <c r="CQ204" s="14"/>
      <c r="CR204" s="14"/>
      <c r="CS204" s="3"/>
      <c r="CT204" s="3"/>
      <c r="CU204" s="3"/>
      <c r="CV204" s="3"/>
      <c r="CW204" s="3"/>
    </row>
    <row r="205" spans="1:101" ht="14.25" customHeight="1" x14ac:dyDescent="0.2">
      <c r="A205" s="328"/>
      <c r="B205" s="52">
        <v>0.1605604769206237</v>
      </c>
      <c r="C205" s="330">
        <v>0.88789194744378874</v>
      </c>
      <c r="D205" s="330">
        <v>8.5086036261831088E-3</v>
      </c>
      <c r="E205" s="330">
        <v>8.9914876320718474E-3</v>
      </c>
      <c r="F205" s="331">
        <v>0.79833119085322901</v>
      </c>
      <c r="G205" s="94">
        <v>0.36417823021334134</v>
      </c>
      <c r="H205" s="330">
        <v>0.61629352078612232</v>
      </c>
      <c r="I205" s="330">
        <v>2.1695563363145598E-2</v>
      </c>
      <c r="J205" s="330">
        <v>0.9999750289637821</v>
      </c>
      <c r="K205" s="330">
        <v>0.79028927458604947</v>
      </c>
      <c r="L205" s="332">
        <v>10864.779484778683</v>
      </c>
      <c r="M205" s="330">
        <v>0</v>
      </c>
      <c r="N205" s="330">
        <v>17031.811100973853</v>
      </c>
      <c r="O205" s="330">
        <v>1218.5725647098523</v>
      </c>
      <c r="P205" s="330">
        <v>52910.88454770403</v>
      </c>
      <c r="Q205" s="333">
        <v>83349.113414228559</v>
      </c>
      <c r="R205" s="330">
        <v>24619.431283349197</v>
      </c>
      <c r="S205" s="330">
        <v>6180.5125218269086</v>
      </c>
      <c r="T205" s="332">
        <v>0.92934693513660882</v>
      </c>
      <c r="U205" s="330">
        <v>0.97814039115372653</v>
      </c>
      <c r="V205" s="330">
        <v>0.93874238902322349</v>
      </c>
      <c r="W205" s="330">
        <v>0.33060798004173025</v>
      </c>
      <c r="X205" s="330">
        <v>0.97550275518773732</v>
      </c>
      <c r="Y205" s="330">
        <v>0</v>
      </c>
      <c r="Z205" s="331">
        <v>0</v>
      </c>
      <c r="AA205" s="235"/>
      <c r="AB205" s="52">
        <v>67633.8395549329</v>
      </c>
      <c r="AC205" s="330">
        <v>4.8888355465986892</v>
      </c>
      <c r="AD205" s="330">
        <v>59648.911797902692</v>
      </c>
      <c r="AE205" s="330">
        <v>5.0170966101128389</v>
      </c>
      <c r="AF205" s="330">
        <v>7984.9277570302074</v>
      </c>
      <c r="AG205" s="331">
        <v>-0.12826106351414968</v>
      </c>
      <c r="AH205" s="235"/>
      <c r="AI205" s="208">
        <f t="shared" si="18"/>
        <v>4576759.929713822</v>
      </c>
      <c r="AJ205" s="208">
        <f t="shared" si="19"/>
        <v>4706592.8678092947</v>
      </c>
      <c r="AK205" s="208">
        <f t="shared" si="20"/>
        <v>-129832.9380954724</v>
      </c>
      <c r="AL205" s="235"/>
      <c r="AM205" s="52">
        <f t="shared" si="4"/>
        <v>0</v>
      </c>
      <c r="AN205" s="52">
        <f t="shared" si="5"/>
        <v>1</v>
      </c>
      <c r="AO205" s="52">
        <f t="shared" si="6"/>
        <v>0</v>
      </c>
      <c r="AP205" s="235"/>
      <c r="AQ205" s="3"/>
      <c r="AR205" s="3"/>
      <c r="AS205" s="3"/>
      <c r="AT205" s="3"/>
      <c r="AU205" s="235"/>
      <c r="AV205" s="360">
        <f t="shared" si="21"/>
        <v>4706592.8678092947</v>
      </c>
      <c r="AW205" s="235"/>
      <c r="AX205" s="354"/>
      <c r="AY205" s="14"/>
      <c r="AZ205" s="14">
        <f t="shared" si="23"/>
        <v>7984.9277570302074</v>
      </c>
      <c r="BA205" s="14">
        <f t="shared" si="22"/>
        <v>-0.12826106351414968</v>
      </c>
      <c r="BB205" s="14">
        <f t="shared" si="2"/>
        <v>-62255.274814163036</v>
      </c>
      <c r="BC205" s="14"/>
      <c r="BD205" s="14"/>
      <c r="BE205" s="14"/>
      <c r="BF205" s="14"/>
      <c r="BG205" s="14"/>
      <c r="BH205" s="14"/>
      <c r="BI205" s="14"/>
      <c r="BJ205" s="14"/>
      <c r="BK205" s="14"/>
      <c r="BL205" s="14"/>
      <c r="BM205" s="14"/>
      <c r="BN205" s="14"/>
      <c r="BO205" s="14"/>
      <c r="BP205" s="14"/>
      <c r="BQ205" s="14"/>
      <c r="BR205" s="14"/>
      <c r="BS205" s="14"/>
      <c r="BT205" s="14"/>
      <c r="BU205" s="14"/>
      <c r="BV205" s="14"/>
      <c r="BW205" s="14"/>
      <c r="BX205" s="14"/>
      <c r="BY205" s="14"/>
      <c r="BZ205" s="14"/>
      <c r="CA205" s="14"/>
      <c r="CB205" s="14"/>
      <c r="CC205" s="14"/>
      <c r="CD205" s="14"/>
      <c r="CE205" s="14"/>
      <c r="CF205" s="14"/>
      <c r="CG205" s="14"/>
      <c r="CH205" s="14"/>
      <c r="CI205" s="14"/>
      <c r="CJ205" s="14"/>
      <c r="CK205" s="14"/>
      <c r="CL205" s="14"/>
      <c r="CM205" s="14"/>
      <c r="CN205" s="14"/>
      <c r="CO205" s="14"/>
      <c r="CP205" s="14"/>
      <c r="CQ205" s="14"/>
      <c r="CR205" s="14"/>
      <c r="CS205" s="3"/>
      <c r="CT205" s="3"/>
      <c r="CU205" s="3"/>
      <c r="CV205" s="3"/>
      <c r="CW205" s="3"/>
    </row>
    <row r="206" spans="1:101" ht="14.25" customHeight="1" x14ac:dyDescent="0.2">
      <c r="A206" s="328"/>
      <c r="B206" s="52">
        <v>0.15337662112216818</v>
      </c>
      <c r="C206" s="330">
        <v>0.92378153763131288</v>
      </c>
      <c r="D206" s="330">
        <v>2.1745218366574615E-2</v>
      </c>
      <c r="E206" s="330">
        <v>1.2221348799205263E-2</v>
      </c>
      <c r="F206" s="331">
        <v>0.80305695858541848</v>
      </c>
      <c r="G206" s="94">
        <v>0.42539512339761731</v>
      </c>
      <c r="H206" s="330">
        <v>0.83519728455510633</v>
      </c>
      <c r="I206" s="330">
        <v>4.1432178857042423E-2</v>
      </c>
      <c r="J206" s="330">
        <v>3.6274419664520407E-3</v>
      </c>
      <c r="K206" s="330">
        <v>0.78227729292678538</v>
      </c>
      <c r="L206" s="332">
        <v>14001.685629575331</v>
      </c>
      <c r="M206" s="330">
        <v>0</v>
      </c>
      <c r="N206" s="330">
        <v>27536.092379302532</v>
      </c>
      <c r="O206" s="330">
        <v>786.20306544350785</v>
      </c>
      <c r="P206" s="330">
        <v>44255.276844967499</v>
      </c>
      <c r="Q206" s="333">
        <v>89931.449126568914</v>
      </c>
      <c r="R206" s="330">
        <v>17596.228318431509</v>
      </c>
      <c r="S206" s="330">
        <v>10860.713380231351</v>
      </c>
      <c r="T206" s="332">
        <v>0.9682947628207641</v>
      </c>
      <c r="U206" s="330">
        <v>0.92784095238925701</v>
      </c>
      <c r="V206" s="330">
        <v>0.8329606680340752</v>
      </c>
      <c r="W206" s="330">
        <v>0.96333747404537629</v>
      </c>
      <c r="X206" s="330">
        <v>0.99204793327914209</v>
      </c>
      <c r="Y206" s="330">
        <v>0</v>
      </c>
      <c r="Z206" s="331">
        <v>0</v>
      </c>
      <c r="AA206" s="235"/>
      <c r="AB206" s="52">
        <v>110513.63160972497</v>
      </c>
      <c r="AC206" s="330">
        <v>4.8720871666240662</v>
      </c>
      <c r="AD206" s="330">
        <v>99376.800566386009</v>
      </c>
      <c r="AE206" s="330">
        <v>4.9254779878734354</v>
      </c>
      <c r="AF206" s="330">
        <v>11136.831043338956</v>
      </c>
      <c r="AG206" s="331">
        <v>-5.3390821249369225E-2</v>
      </c>
      <c r="AH206" s="235"/>
      <c r="AI206" s="208">
        <f t="shared" ref="AI206:AI269" si="24">AC206*cRatio-AB206</f>
        <v>4517969.1766831381</v>
      </c>
      <c r="AJ206" s="208">
        <f t="shared" ref="AJ206:AJ269" si="25">AE206*cRatio-AD206</f>
        <v>4579827.2879133774</v>
      </c>
      <c r="AK206" s="208">
        <f t="shared" ref="AK206:AK269" si="26">AG206*cRatio-AF206</f>
        <v>-61858.111230239716</v>
      </c>
      <c r="AL206" s="235"/>
      <c r="AM206" s="52">
        <f t="shared" si="4"/>
        <v>0</v>
      </c>
      <c r="AN206" s="52">
        <f t="shared" si="5"/>
        <v>1</v>
      </c>
      <c r="AO206" s="52">
        <f t="shared" si="6"/>
        <v>0</v>
      </c>
      <c r="AP206" s="235"/>
      <c r="AQ206" s="3"/>
      <c r="AR206" s="3"/>
      <c r="AS206" s="3"/>
      <c r="AT206" s="3"/>
      <c r="AU206" s="235"/>
      <c r="AV206" s="360">
        <f t="shared" si="21"/>
        <v>4579827.2879133774</v>
      </c>
      <c r="AW206" s="235"/>
      <c r="AX206" s="354"/>
      <c r="AY206" s="14"/>
      <c r="AZ206" s="14">
        <f t="shared" si="23"/>
        <v>11136.831043338956</v>
      </c>
      <c r="BA206" s="14">
        <f t="shared" si="22"/>
        <v>-5.3390821249369225E-2</v>
      </c>
      <c r="BB206" s="14">
        <f t="shared" si="2"/>
        <v>-208590.74242973045</v>
      </c>
      <c r="BC206" s="14"/>
      <c r="BD206" s="14"/>
      <c r="BE206" s="14"/>
      <c r="BF206" s="14"/>
      <c r="BG206" s="14"/>
      <c r="BH206" s="14"/>
      <c r="BI206" s="14"/>
      <c r="BJ206" s="14"/>
      <c r="BK206" s="14"/>
      <c r="BL206" s="14"/>
      <c r="BM206" s="14"/>
      <c r="BN206" s="14"/>
      <c r="BO206" s="14"/>
      <c r="BP206" s="14"/>
      <c r="BQ206" s="14"/>
      <c r="BR206" s="14"/>
      <c r="BS206" s="14"/>
      <c r="BT206" s="14"/>
      <c r="BU206" s="14"/>
      <c r="BV206" s="14"/>
      <c r="BW206" s="14"/>
      <c r="BX206" s="14"/>
      <c r="BY206" s="14"/>
      <c r="BZ206" s="14"/>
      <c r="CA206" s="14"/>
      <c r="CB206" s="14"/>
      <c r="CC206" s="14"/>
      <c r="CD206" s="14"/>
      <c r="CE206" s="14"/>
      <c r="CF206" s="14"/>
      <c r="CG206" s="14"/>
      <c r="CH206" s="14"/>
      <c r="CI206" s="14"/>
      <c r="CJ206" s="14"/>
      <c r="CK206" s="14"/>
      <c r="CL206" s="14"/>
      <c r="CM206" s="14"/>
      <c r="CN206" s="14"/>
      <c r="CO206" s="14"/>
      <c r="CP206" s="14"/>
      <c r="CQ206" s="14"/>
      <c r="CR206" s="14"/>
      <c r="CS206" s="3"/>
      <c r="CT206" s="3"/>
      <c r="CU206" s="3"/>
      <c r="CV206" s="3"/>
      <c r="CW206" s="3"/>
    </row>
    <row r="207" spans="1:101" ht="14.25" customHeight="1" x14ac:dyDescent="0.2">
      <c r="A207" s="328"/>
      <c r="B207" s="52">
        <v>0.15562865396797115</v>
      </c>
      <c r="C207" s="330">
        <v>8.1992206255506295E-2</v>
      </c>
      <c r="D207" s="330">
        <v>1.608850281365537E-2</v>
      </c>
      <c r="E207" s="330">
        <v>1.5388249184227099E-2</v>
      </c>
      <c r="F207" s="331">
        <v>0.78215966091340738</v>
      </c>
      <c r="G207" s="94">
        <v>0.43851578848653217</v>
      </c>
      <c r="H207" s="330">
        <v>0.25422302927156482</v>
      </c>
      <c r="I207" s="330">
        <v>1.9938689142688149E-2</v>
      </c>
      <c r="J207" s="330">
        <v>0.96775994118807263</v>
      </c>
      <c r="K207" s="330">
        <v>0.71328691820996637</v>
      </c>
      <c r="L207" s="332">
        <v>11437.171715031718</v>
      </c>
      <c r="M207" s="330">
        <v>0</v>
      </c>
      <c r="N207" s="330">
        <v>19563.393511046965</v>
      </c>
      <c r="O207" s="330">
        <v>1186.0670303348268</v>
      </c>
      <c r="P207" s="330">
        <v>57907.499870813415</v>
      </c>
      <c r="Q207" s="333">
        <v>93650.190206210536</v>
      </c>
      <c r="R207" s="330">
        <v>18580.047758728102</v>
      </c>
      <c r="S207" s="330">
        <v>8246.675584216604</v>
      </c>
      <c r="T207" s="332">
        <v>0.96127754825735701</v>
      </c>
      <c r="U207" s="330">
        <v>0.99989254950004769</v>
      </c>
      <c r="V207" s="330">
        <v>0.99931913223897095</v>
      </c>
      <c r="W207" s="330">
        <v>0.98694044661517566</v>
      </c>
      <c r="X207" s="330">
        <v>0.99011301719003841</v>
      </c>
      <c r="Y207" s="330">
        <v>0</v>
      </c>
      <c r="Z207" s="331">
        <v>0</v>
      </c>
      <c r="AA207" s="235"/>
      <c r="AB207" s="52">
        <v>81315.084824344565</v>
      </c>
      <c r="AC207" s="330">
        <v>5.0548923546753022</v>
      </c>
      <c r="AD207" s="330">
        <v>67161.535728985196</v>
      </c>
      <c r="AE207" s="330">
        <v>4.3827489572288467</v>
      </c>
      <c r="AF207" s="330">
        <v>14153.549095359369</v>
      </c>
      <c r="AG207" s="331">
        <v>0.67214339744645546</v>
      </c>
      <c r="AH207" s="235"/>
      <c r="AI207" s="208">
        <f t="shared" si="24"/>
        <v>4720832.6521171927</v>
      </c>
      <c r="AJ207" s="208">
        <f t="shared" si="25"/>
        <v>4096449.9736384195</v>
      </c>
      <c r="AK207" s="208">
        <f t="shared" si="26"/>
        <v>624382.67847877333</v>
      </c>
      <c r="AL207" s="235"/>
      <c r="AM207" s="52">
        <f t="shared" si="4"/>
        <v>1</v>
      </c>
      <c r="AN207" s="52">
        <f t="shared" si="5"/>
        <v>0</v>
      </c>
      <c r="AO207" s="52">
        <f t="shared" si="6"/>
        <v>1</v>
      </c>
      <c r="AP207" s="235"/>
      <c r="AQ207" s="3"/>
      <c r="AR207" s="3"/>
      <c r="AS207" s="3"/>
      <c r="AT207" s="3"/>
      <c r="AU207" s="235"/>
      <c r="AV207" s="360">
        <f t="shared" ref="AV207:AV270" si="27">MAX(AI207:AJ207)</f>
        <v>4720832.6521171927</v>
      </c>
      <c r="AW207" s="235"/>
      <c r="AX207" s="354"/>
      <c r="AY207" s="14"/>
      <c r="AZ207" s="14">
        <f t="shared" si="23"/>
        <v>14153.549095359369</v>
      </c>
      <c r="BA207" s="14">
        <f t="shared" ref="BA207:BA270" si="28">AG207</f>
        <v>0.67214339744645546</v>
      </c>
      <c r="BB207" s="14">
        <f t="shared" si="2"/>
        <v>21057.335605958808</v>
      </c>
      <c r="BC207" s="14"/>
      <c r="BD207" s="14"/>
      <c r="BE207" s="14"/>
      <c r="BF207" s="14"/>
      <c r="BG207" s="14"/>
      <c r="BH207" s="14"/>
      <c r="BI207" s="14"/>
      <c r="BJ207" s="14"/>
      <c r="BK207" s="14"/>
      <c r="BL207" s="14"/>
      <c r="BM207" s="14"/>
      <c r="BN207" s="14"/>
      <c r="BO207" s="14"/>
      <c r="BP207" s="14"/>
      <c r="BQ207" s="14"/>
      <c r="BR207" s="14"/>
      <c r="BS207" s="14"/>
      <c r="BT207" s="14"/>
      <c r="BU207" s="14"/>
      <c r="BV207" s="14"/>
      <c r="BW207" s="14"/>
      <c r="BX207" s="14"/>
      <c r="BY207" s="14"/>
      <c r="BZ207" s="14"/>
      <c r="CA207" s="14"/>
      <c r="CB207" s="14"/>
      <c r="CC207" s="14"/>
      <c r="CD207" s="14"/>
      <c r="CE207" s="14"/>
      <c r="CF207" s="14"/>
      <c r="CG207" s="14"/>
      <c r="CH207" s="14"/>
      <c r="CI207" s="14"/>
      <c r="CJ207" s="14"/>
      <c r="CK207" s="14"/>
      <c r="CL207" s="14"/>
      <c r="CM207" s="14"/>
      <c r="CN207" s="14"/>
      <c r="CO207" s="14"/>
      <c r="CP207" s="14"/>
      <c r="CQ207" s="14"/>
      <c r="CR207" s="14"/>
      <c r="CS207" s="3"/>
      <c r="CT207" s="3"/>
      <c r="CU207" s="3"/>
      <c r="CV207" s="3"/>
      <c r="CW207" s="3"/>
    </row>
    <row r="208" spans="1:101" ht="14.25" customHeight="1" x14ac:dyDescent="0.2">
      <c r="A208" s="328"/>
      <c r="B208" s="52">
        <v>0.14549482553791274</v>
      </c>
      <c r="C208" s="330">
        <v>0.58328557428802119</v>
      </c>
      <c r="D208" s="330">
        <v>8.6707976200286214E-3</v>
      </c>
      <c r="E208" s="330">
        <v>2.3102774930272352E-2</v>
      </c>
      <c r="F208" s="331">
        <v>0.75796618444545893</v>
      </c>
      <c r="G208" s="94">
        <v>0.4113285217370628</v>
      </c>
      <c r="H208" s="330">
        <v>0.33337802792991006</v>
      </c>
      <c r="I208" s="330">
        <v>3.3734586630041807E-2</v>
      </c>
      <c r="J208" s="330">
        <v>0.99816083467359484</v>
      </c>
      <c r="K208" s="330">
        <v>0.74420680929442384</v>
      </c>
      <c r="L208" s="332">
        <v>15075.085587765487</v>
      </c>
      <c r="M208" s="330">
        <v>0</v>
      </c>
      <c r="N208" s="330">
        <v>21652.067946353731</v>
      </c>
      <c r="O208" s="330">
        <v>909.15791601667468</v>
      </c>
      <c r="P208" s="330">
        <v>59266.2335787665</v>
      </c>
      <c r="Q208" s="333">
        <v>113488.38972769273</v>
      </c>
      <c r="R208" s="330">
        <v>19069.996959897861</v>
      </c>
      <c r="S208" s="330">
        <v>7501.4808194206107</v>
      </c>
      <c r="T208" s="332">
        <v>0.46449965889566569</v>
      </c>
      <c r="U208" s="330">
        <v>0.99878522866298813</v>
      </c>
      <c r="V208" s="330">
        <v>0.70069234103780598</v>
      </c>
      <c r="W208" s="330">
        <v>9.681492593687524E-2</v>
      </c>
      <c r="X208" s="330">
        <v>0.27049176348413834</v>
      </c>
      <c r="Y208" s="330">
        <v>0</v>
      </c>
      <c r="Z208" s="331">
        <v>0</v>
      </c>
      <c r="AA208" s="235"/>
      <c r="AB208" s="52">
        <v>77987.642681404468</v>
      </c>
      <c r="AC208" s="330">
        <v>1.3842209821026483</v>
      </c>
      <c r="AD208" s="330">
        <v>65659.383727527413</v>
      </c>
      <c r="AE208" s="330">
        <v>1.4454614429970054</v>
      </c>
      <c r="AF208" s="330">
        <v>12328.258953877055</v>
      </c>
      <c r="AG208" s="331">
        <v>-6.1240460894357085E-2</v>
      </c>
      <c r="AH208" s="235"/>
      <c r="AI208" s="208">
        <f t="shared" si="24"/>
        <v>1237022.2903161114</v>
      </c>
      <c r="AJ208" s="208">
        <f t="shared" si="25"/>
        <v>1307528.9871196277</v>
      </c>
      <c r="AK208" s="208">
        <f t="shared" si="26"/>
        <v>-70506.696803516286</v>
      </c>
      <c r="AL208" s="235"/>
      <c r="AM208" s="52">
        <f t="shared" si="4"/>
        <v>0</v>
      </c>
      <c r="AN208" s="52">
        <f t="shared" si="5"/>
        <v>1</v>
      </c>
      <c r="AO208" s="52">
        <f t="shared" si="6"/>
        <v>0</v>
      </c>
      <c r="AP208" s="235"/>
      <c r="AQ208" s="3"/>
      <c r="AR208" s="3"/>
      <c r="AS208" s="3"/>
      <c r="AT208" s="3"/>
      <c r="AU208" s="235"/>
      <c r="AV208" s="360">
        <f t="shared" si="27"/>
        <v>1307528.9871196277</v>
      </c>
      <c r="AW208" s="235"/>
      <c r="AX208" s="354"/>
      <c r="AY208" s="14"/>
      <c r="AZ208" s="14">
        <f t="shared" ref="AZ208:AZ271" si="29">AF208</f>
        <v>12328.258953877055</v>
      </c>
      <c r="BA208" s="14">
        <f t="shared" si="28"/>
        <v>-6.1240460894357085E-2</v>
      </c>
      <c r="BB208" s="14">
        <f t="shared" si="2"/>
        <v>-201309.04917818843</v>
      </c>
      <c r="BC208" s="14"/>
      <c r="BD208" s="14"/>
      <c r="BE208" s="14"/>
      <c r="BF208" s="14"/>
      <c r="BG208" s="14"/>
      <c r="BH208" s="14"/>
      <c r="BI208" s="14"/>
      <c r="BJ208" s="14"/>
      <c r="BK208" s="14"/>
      <c r="BL208" s="14"/>
      <c r="BM208" s="14"/>
      <c r="BN208" s="14"/>
      <c r="BO208" s="14"/>
      <c r="BP208" s="14"/>
      <c r="BQ208" s="14"/>
      <c r="BR208" s="14"/>
      <c r="BS208" s="14"/>
      <c r="BT208" s="14"/>
      <c r="BU208" s="14"/>
      <c r="BV208" s="14"/>
      <c r="BW208" s="14"/>
      <c r="BX208" s="14"/>
      <c r="BY208" s="14"/>
      <c r="BZ208" s="14"/>
      <c r="CA208" s="14"/>
      <c r="CB208" s="14"/>
      <c r="CC208" s="14"/>
      <c r="CD208" s="14"/>
      <c r="CE208" s="14"/>
      <c r="CF208" s="14"/>
      <c r="CG208" s="14"/>
      <c r="CH208" s="14"/>
      <c r="CI208" s="14"/>
      <c r="CJ208" s="14"/>
      <c r="CK208" s="14"/>
      <c r="CL208" s="14"/>
      <c r="CM208" s="14"/>
      <c r="CN208" s="14"/>
      <c r="CO208" s="14"/>
      <c r="CP208" s="14"/>
      <c r="CQ208" s="14"/>
      <c r="CR208" s="14"/>
      <c r="CS208" s="3"/>
      <c r="CT208" s="3"/>
      <c r="CU208" s="3"/>
      <c r="CV208" s="3"/>
      <c r="CW208" s="3"/>
    </row>
    <row r="209" spans="1:101" ht="14.25" customHeight="1" x14ac:dyDescent="0.2">
      <c r="A209" s="328"/>
      <c r="B209" s="52">
        <v>0.1775609347953031</v>
      </c>
      <c r="C209" s="330">
        <v>0.3909477909063438</v>
      </c>
      <c r="D209" s="330">
        <v>2.4097963432690772E-2</v>
      </c>
      <c r="E209" s="330">
        <v>9.6716624645004409E-3</v>
      </c>
      <c r="F209" s="331">
        <v>0.74230677761763919</v>
      </c>
      <c r="G209" s="94">
        <v>0.45014408338052136</v>
      </c>
      <c r="H209" s="330">
        <v>0.35743763706166642</v>
      </c>
      <c r="I209" s="330">
        <v>3.0405478406950071E-2</v>
      </c>
      <c r="J209" s="330">
        <v>0.99999999918575488</v>
      </c>
      <c r="K209" s="330">
        <v>0.78596461089061576</v>
      </c>
      <c r="L209" s="332">
        <v>12382.24696309693</v>
      </c>
      <c r="M209" s="330">
        <v>0</v>
      </c>
      <c r="N209" s="330">
        <v>15812.753634163311</v>
      </c>
      <c r="O209" s="330">
        <v>1185.43455622642</v>
      </c>
      <c r="P209" s="330">
        <v>55094.043513984841</v>
      </c>
      <c r="Q209" s="333">
        <v>92139.682976343756</v>
      </c>
      <c r="R209" s="330">
        <v>21905.602788248616</v>
      </c>
      <c r="S209" s="330">
        <v>13307.8386706683</v>
      </c>
      <c r="T209" s="332">
        <v>0.99984882159134592</v>
      </c>
      <c r="U209" s="330">
        <v>0.83835073909886004</v>
      </c>
      <c r="V209" s="330">
        <v>0.95153959187531745</v>
      </c>
      <c r="W209" s="330">
        <v>0.9966937626360951</v>
      </c>
      <c r="X209" s="330">
        <v>0.33789330879735757</v>
      </c>
      <c r="Y209" s="330">
        <v>0</v>
      </c>
      <c r="Z209" s="331">
        <v>0</v>
      </c>
      <c r="AA209" s="235"/>
      <c r="AB209" s="52">
        <v>120518.9988635199</v>
      </c>
      <c r="AC209" s="330">
        <v>1.6431179189966123</v>
      </c>
      <c r="AD209" s="330">
        <v>118543.04147180714</v>
      </c>
      <c r="AE209" s="330">
        <v>1.6418233005279386</v>
      </c>
      <c r="AF209" s="330">
        <v>1975.9573917127564</v>
      </c>
      <c r="AG209" s="331">
        <v>1.2946184686737361E-3</v>
      </c>
      <c r="AH209" s="235"/>
      <c r="AI209" s="208">
        <f t="shared" si="24"/>
        <v>1440443.0241832619</v>
      </c>
      <c r="AJ209" s="208">
        <f t="shared" si="25"/>
        <v>1441189.0940297346</v>
      </c>
      <c r="AK209" s="208">
        <f t="shared" si="26"/>
        <v>-746.06984647270701</v>
      </c>
      <c r="AL209" s="235"/>
      <c r="AM209" s="52">
        <f t="shared" si="4"/>
        <v>0</v>
      </c>
      <c r="AN209" s="52">
        <f t="shared" si="5"/>
        <v>1</v>
      </c>
      <c r="AO209" s="52">
        <f t="shared" si="6"/>
        <v>0</v>
      </c>
      <c r="AP209" s="235"/>
      <c r="AQ209" s="3"/>
      <c r="AR209" s="3"/>
      <c r="AS209" s="3"/>
      <c r="AT209" s="3"/>
      <c r="AU209" s="235"/>
      <c r="AV209" s="360">
        <f t="shared" si="27"/>
        <v>1441189.0940297346</v>
      </c>
      <c r="AW209" s="235"/>
      <c r="AX209" s="354"/>
      <c r="AY209" s="14"/>
      <c r="AZ209" s="14">
        <f t="shared" si="29"/>
        <v>1975.9573917127564</v>
      </c>
      <c r="BA209" s="14">
        <f t="shared" si="28"/>
        <v>1.2946184686737361E-3</v>
      </c>
      <c r="BB209" s="14">
        <f t="shared" si="2"/>
        <v>1526285.4960944699</v>
      </c>
      <c r="BC209" s="14"/>
      <c r="BD209" s="14"/>
      <c r="BE209" s="14"/>
      <c r="BF209" s="14"/>
      <c r="BG209" s="14"/>
      <c r="BH209" s="14"/>
      <c r="BI209" s="14"/>
      <c r="BJ209" s="14"/>
      <c r="BK209" s="14"/>
      <c r="BL209" s="14"/>
      <c r="BM209" s="14"/>
      <c r="BN209" s="14"/>
      <c r="BO209" s="14"/>
      <c r="BP209" s="14"/>
      <c r="BQ209" s="14"/>
      <c r="BR209" s="14"/>
      <c r="BS209" s="14"/>
      <c r="BT209" s="14"/>
      <c r="BU209" s="14"/>
      <c r="BV209" s="14"/>
      <c r="BW209" s="14"/>
      <c r="BX209" s="14"/>
      <c r="BY209" s="14"/>
      <c r="BZ209" s="14"/>
      <c r="CA209" s="14"/>
      <c r="CB209" s="14"/>
      <c r="CC209" s="14"/>
      <c r="CD209" s="14"/>
      <c r="CE209" s="14"/>
      <c r="CF209" s="14"/>
      <c r="CG209" s="14"/>
      <c r="CH209" s="14"/>
      <c r="CI209" s="14"/>
      <c r="CJ209" s="14"/>
      <c r="CK209" s="14"/>
      <c r="CL209" s="14"/>
      <c r="CM209" s="14"/>
      <c r="CN209" s="14"/>
      <c r="CO209" s="14"/>
      <c r="CP209" s="14"/>
      <c r="CQ209" s="14"/>
      <c r="CR209" s="14"/>
      <c r="CS209" s="3"/>
      <c r="CT209" s="3"/>
      <c r="CU209" s="3"/>
      <c r="CV209" s="3"/>
      <c r="CW209" s="3"/>
    </row>
    <row r="210" spans="1:101" ht="14.25" customHeight="1" x14ac:dyDescent="0.2">
      <c r="A210" s="328"/>
      <c r="B210" s="52">
        <v>0.16446574766802258</v>
      </c>
      <c r="C210" s="330">
        <v>0.58054602799000077</v>
      </c>
      <c r="D210" s="330">
        <v>1.1528769938209575E-2</v>
      </c>
      <c r="E210" s="330">
        <v>1.717328286419062E-2</v>
      </c>
      <c r="F210" s="331">
        <v>0.79049763723722988</v>
      </c>
      <c r="G210" s="94">
        <v>0.38423855177298183</v>
      </c>
      <c r="H210" s="330">
        <v>0.967497746095203</v>
      </c>
      <c r="I210" s="330">
        <v>7.529409560579169E-3</v>
      </c>
      <c r="J210" s="330">
        <v>0.99999815224575006</v>
      </c>
      <c r="K210" s="330">
        <v>0.73090219136313017</v>
      </c>
      <c r="L210" s="332">
        <v>13847.528674727764</v>
      </c>
      <c r="M210" s="330">
        <v>0</v>
      </c>
      <c r="N210" s="330">
        <v>17739.061786014678</v>
      </c>
      <c r="O210" s="330">
        <v>1161.4248841117917</v>
      </c>
      <c r="P210" s="330">
        <v>51070.010459650759</v>
      </c>
      <c r="Q210" s="333">
        <v>95160.390843464178</v>
      </c>
      <c r="R210" s="330">
        <v>26483.985718952852</v>
      </c>
      <c r="S210" s="330">
        <v>10792.861156633933</v>
      </c>
      <c r="T210" s="332">
        <v>0.97268658945516218</v>
      </c>
      <c r="U210" s="330">
        <v>0.25513879018836422</v>
      </c>
      <c r="V210" s="330">
        <v>0.62752452842831352</v>
      </c>
      <c r="W210" s="330">
        <v>0.85038091218732803</v>
      </c>
      <c r="X210" s="330">
        <v>0.98789410424633151</v>
      </c>
      <c r="Y210" s="330">
        <v>0</v>
      </c>
      <c r="Z210" s="331">
        <v>0</v>
      </c>
      <c r="AA210" s="235"/>
      <c r="AB210" s="52">
        <v>108305.8867139895</v>
      </c>
      <c r="AC210" s="330">
        <v>5.0099980697603446</v>
      </c>
      <c r="AD210" s="330">
        <v>95390.009150597456</v>
      </c>
      <c r="AE210" s="330">
        <v>4.3784562192391752</v>
      </c>
      <c r="AF210" s="330">
        <v>12915.877563392045</v>
      </c>
      <c r="AG210" s="331">
        <v>0.6315418505211694</v>
      </c>
      <c r="AH210" s="235"/>
      <c r="AI210" s="208">
        <f t="shared" si="24"/>
        <v>4651192.2795583382</v>
      </c>
      <c r="AJ210" s="208">
        <f t="shared" si="25"/>
        <v>4064143.3991266191</v>
      </c>
      <c r="AK210" s="208">
        <f t="shared" si="26"/>
        <v>587048.88043171889</v>
      </c>
      <c r="AL210" s="235"/>
      <c r="AM210" s="52">
        <f t="shared" si="4"/>
        <v>1</v>
      </c>
      <c r="AN210" s="52">
        <f t="shared" si="5"/>
        <v>0</v>
      </c>
      <c r="AO210" s="52">
        <f t="shared" si="6"/>
        <v>1</v>
      </c>
      <c r="AP210" s="235"/>
      <c r="AQ210" s="3"/>
      <c r="AR210" s="3"/>
      <c r="AS210" s="3"/>
      <c r="AT210" s="3"/>
      <c r="AU210" s="235"/>
      <c r="AV210" s="360">
        <f t="shared" si="27"/>
        <v>4651192.2795583382</v>
      </c>
      <c r="AW210" s="235"/>
      <c r="AX210" s="354"/>
      <c r="AY210" s="14"/>
      <c r="AZ210" s="14">
        <f t="shared" si="29"/>
        <v>12915.877563392045</v>
      </c>
      <c r="BA210" s="14">
        <f t="shared" si="28"/>
        <v>0.6315418505211694</v>
      </c>
      <c r="BB210" s="14">
        <f t="shared" si="2"/>
        <v>20451.340719120089</v>
      </c>
      <c r="BC210" s="14"/>
      <c r="BD210" s="14"/>
      <c r="BE210" s="14"/>
      <c r="BF210" s="14"/>
      <c r="BG210" s="14"/>
      <c r="BH210" s="14"/>
      <c r="BI210" s="14"/>
      <c r="BJ210" s="14"/>
      <c r="BK210" s="14"/>
      <c r="BL210" s="14"/>
      <c r="BM210" s="14"/>
      <c r="BN210" s="14"/>
      <c r="BO210" s="14"/>
      <c r="BP210" s="14"/>
      <c r="BQ210" s="14"/>
      <c r="BR210" s="14"/>
      <c r="BS210" s="14"/>
      <c r="BT210" s="14"/>
      <c r="BU210" s="14"/>
      <c r="BV210" s="14"/>
      <c r="BW210" s="14"/>
      <c r="BX210" s="14"/>
      <c r="BY210" s="14"/>
      <c r="BZ210" s="14"/>
      <c r="CA210" s="14"/>
      <c r="CB210" s="14"/>
      <c r="CC210" s="14"/>
      <c r="CD210" s="14"/>
      <c r="CE210" s="14"/>
      <c r="CF210" s="14"/>
      <c r="CG210" s="14"/>
      <c r="CH210" s="14"/>
      <c r="CI210" s="14"/>
      <c r="CJ210" s="14"/>
      <c r="CK210" s="14"/>
      <c r="CL210" s="14"/>
      <c r="CM210" s="14"/>
      <c r="CN210" s="14"/>
      <c r="CO210" s="14"/>
      <c r="CP210" s="14"/>
      <c r="CQ210" s="14"/>
      <c r="CR210" s="14"/>
      <c r="CS210" s="3"/>
      <c r="CT210" s="3"/>
      <c r="CU210" s="3"/>
      <c r="CV210" s="3"/>
      <c r="CW210" s="3"/>
    </row>
    <row r="211" spans="1:101" ht="14.25" customHeight="1" x14ac:dyDescent="0.2">
      <c r="A211" s="328"/>
      <c r="B211" s="52">
        <v>0.16662387219644115</v>
      </c>
      <c r="C211" s="330">
        <v>0.36827077023809829</v>
      </c>
      <c r="D211" s="330">
        <v>1.6380221473762835E-2</v>
      </c>
      <c r="E211" s="330">
        <v>1.4664339218442346E-2</v>
      </c>
      <c r="F211" s="331">
        <v>0.81829562271720779</v>
      </c>
      <c r="G211" s="94">
        <v>0.45876974557130434</v>
      </c>
      <c r="H211" s="330">
        <v>0.48543211546334031</v>
      </c>
      <c r="I211" s="330">
        <v>7.5582961831538661E-3</v>
      </c>
      <c r="J211" s="330">
        <v>2.6602108154378054E-4</v>
      </c>
      <c r="K211" s="330">
        <v>0.75159274807693299</v>
      </c>
      <c r="L211" s="332">
        <v>9146.1898751049248</v>
      </c>
      <c r="M211" s="330">
        <v>0</v>
      </c>
      <c r="N211" s="330">
        <v>21132.426411454897</v>
      </c>
      <c r="O211" s="330">
        <v>1370.7904390244732</v>
      </c>
      <c r="P211" s="330">
        <v>63241.038950743627</v>
      </c>
      <c r="Q211" s="333">
        <v>93107.741010669793</v>
      </c>
      <c r="R211" s="330">
        <v>26060.607746120641</v>
      </c>
      <c r="S211" s="330">
        <v>10030.787406661646</v>
      </c>
      <c r="T211" s="332">
        <v>0.72540315530959398</v>
      </c>
      <c r="U211" s="330">
        <v>0.34374824213030536</v>
      </c>
      <c r="V211" s="330">
        <v>0.95263771553265553</v>
      </c>
      <c r="W211" s="330">
        <v>0.9684654300303619</v>
      </c>
      <c r="X211" s="330">
        <v>0.99114504677178905</v>
      </c>
      <c r="Y211" s="330">
        <v>0</v>
      </c>
      <c r="Z211" s="331">
        <v>0</v>
      </c>
      <c r="AA211" s="235"/>
      <c r="AB211" s="52">
        <v>99314.794674979319</v>
      </c>
      <c r="AC211" s="330">
        <v>5.1309382808100192</v>
      </c>
      <c r="AD211" s="330">
        <v>87648.430933654265</v>
      </c>
      <c r="AE211" s="330">
        <v>4.5398865990723074</v>
      </c>
      <c r="AF211" s="330">
        <v>11666.363741325054</v>
      </c>
      <c r="AG211" s="331">
        <v>0.59105168173771183</v>
      </c>
      <c r="AH211" s="235"/>
      <c r="AI211" s="208">
        <f t="shared" si="24"/>
        <v>4775076.5720945392</v>
      </c>
      <c r="AJ211" s="208">
        <f t="shared" si="25"/>
        <v>4225243.8381850375</v>
      </c>
      <c r="AK211" s="208">
        <f t="shared" si="26"/>
        <v>549832.73390950111</v>
      </c>
      <c r="AL211" s="235"/>
      <c r="AM211" s="52">
        <f t="shared" si="4"/>
        <v>1</v>
      </c>
      <c r="AN211" s="52">
        <f t="shared" si="5"/>
        <v>0</v>
      </c>
      <c r="AO211" s="52">
        <f t="shared" si="6"/>
        <v>1</v>
      </c>
      <c r="AP211" s="235"/>
      <c r="AQ211" s="3"/>
      <c r="AR211" s="3"/>
      <c r="AS211" s="3"/>
      <c r="AT211" s="3"/>
      <c r="AU211" s="235"/>
      <c r="AV211" s="360">
        <f t="shared" si="27"/>
        <v>4775076.5720945392</v>
      </c>
      <c r="AW211" s="235"/>
      <c r="AX211" s="354"/>
      <c r="AY211" s="14"/>
      <c r="AZ211" s="14">
        <f t="shared" si="29"/>
        <v>11666.363741325054</v>
      </c>
      <c r="BA211" s="14">
        <f t="shared" si="28"/>
        <v>0.59105168173771183</v>
      </c>
      <c r="BB211" s="14">
        <f t="shared" si="2"/>
        <v>19738.314096367263</v>
      </c>
      <c r="BC211" s="14"/>
      <c r="BD211" s="14"/>
      <c r="BE211" s="14"/>
      <c r="BF211" s="14"/>
      <c r="BG211" s="14"/>
      <c r="BH211" s="14"/>
      <c r="BI211" s="14"/>
      <c r="BJ211" s="14"/>
      <c r="BK211" s="14"/>
      <c r="BL211" s="14"/>
      <c r="BM211" s="14"/>
      <c r="BN211" s="14"/>
      <c r="BO211" s="14"/>
      <c r="BP211" s="14"/>
      <c r="BQ211" s="14"/>
      <c r="BR211" s="14"/>
      <c r="BS211" s="14"/>
      <c r="BT211" s="14"/>
      <c r="BU211" s="14"/>
      <c r="BV211" s="14"/>
      <c r="BW211" s="14"/>
      <c r="BX211" s="14"/>
      <c r="BY211" s="14"/>
      <c r="BZ211" s="14"/>
      <c r="CA211" s="14"/>
      <c r="CB211" s="14"/>
      <c r="CC211" s="14"/>
      <c r="CD211" s="14"/>
      <c r="CE211" s="14"/>
      <c r="CF211" s="14"/>
      <c r="CG211" s="14"/>
      <c r="CH211" s="14"/>
      <c r="CI211" s="14"/>
      <c r="CJ211" s="14"/>
      <c r="CK211" s="14"/>
      <c r="CL211" s="14"/>
      <c r="CM211" s="14"/>
      <c r="CN211" s="14"/>
      <c r="CO211" s="14"/>
      <c r="CP211" s="14"/>
      <c r="CQ211" s="14"/>
      <c r="CR211" s="14"/>
      <c r="CS211" s="3"/>
      <c r="CT211" s="3"/>
      <c r="CU211" s="3"/>
      <c r="CV211" s="3"/>
      <c r="CW211" s="3"/>
    </row>
    <row r="212" spans="1:101" ht="14.25" customHeight="1" x14ac:dyDescent="0.2">
      <c r="A212" s="328"/>
      <c r="B212" s="52">
        <v>0.15839707943471576</v>
      </c>
      <c r="C212" s="330">
        <v>9.6863432490146839E-2</v>
      </c>
      <c r="D212" s="330">
        <v>1.2264977381540676E-2</v>
      </c>
      <c r="E212" s="330">
        <v>1.6218243437178259E-2</v>
      </c>
      <c r="F212" s="331">
        <v>0.78960975641448206</v>
      </c>
      <c r="G212" s="94">
        <v>0.37513305342189379</v>
      </c>
      <c r="H212" s="330">
        <v>0.20819313362467315</v>
      </c>
      <c r="I212" s="330">
        <v>2.2286412788750876E-2</v>
      </c>
      <c r="J212" s="330">
        <v>0.99999030003681399</v>
      </c>
      <c r="K212" s="330">
        <v>0.76074780202129311</v>
      </c>
      <c r="L212" s="332">
        <v>11347.506102521342</v>
      </c>
      <c r="M212" s="330">
        <v>0</v>
      </c>
      <c r="N212" s="330">
        <v>14251.990847068937</v>
      </c>
      <c r="O212" s="330">
        <v>980.95167983080171</v>
      </c>
      <c r="P212" s="330">
        <v>34148.867587151894</v>
      </c>
      <c r="Q212" s="333">
        <v>87247.066026477129</v>
      </c>
      <c r="R212" s="330">
        <v>29396.043361459528</v>
      </c>
      <c r="S212" s="330">
        <v>7378.1303558446461</v>
      </c>
      <c r="T212" s="332">
        <v>0.13852951349068293</v>
      </c>
      <c r="U212" s="330">
        <v>0.62782083174033787</v>
      </c>
      <c r="V212" s="330">
        <v>0.65082357179863171</v>
      </c>
      <c r="W212" s="330">
        <v>0.99772270359933279</v>
      </c>
      <c r="X212" s="330">
        <v>0.92233537418241207</v>
      </c>
      <c r="Y212" s="330">
        <v>0</v>
      </c>
      <c r="Z212" s="331">
        <v>0</v>
      </c>
      <c r="AA212" s="235"/>
      <c r="AB212" s="52">
        <v>74643.405409214844</v>
      </c>
      <c r="AC212" s="330">
        <v>4.4025974739109142</v>
      </c>
      <c r="AD212" s="330">
        <v>64003.814354040427</v>
      </c>
      <c r="AE212" s="330">
        <v>4.422547098068347</v>
      </c>
      <c r="AF212" s="330">
        <v>10639.591055174416</v>
      </c>
      <c r="AG212" s="331">
        <v>-1.9949624157432844E-2</v>
      </c>
      <c r="AH212" s="235"/>
      <c r="AI212" s="208">
        <f t="shared" si="24"/>
        <v>4107824.1948061534</v>
      </c>
      <c r="AJ212" s="208">
        <f t="shared" si="25"/>
        <v>4137415.9288108889</v>
      </c>
      <c r="AK212" s="208">
        <f t="shared" si="26"/>
        <v>-29591.734004735619</v>
      </c>
      <c r="AL212" s="235"/>
      <c r="AM212" s="52">
        <f t="shared" si="4"/>
        <v>0</v>
      </c>
      <c r="AN212" s="52">
        <f t="shared" si="5"/>
        <v>1</v>
      </c>
      <c r="AO212" s="52">
        <f t="shared" si="6"/>
        <v>0</v>
      </c>
      <c r="AP212" s="235"/>
      <c r="AQ212" s="3"/>
      <c r="AR212" s="3"/>
      <c r="AS212" s="3"/>
      <c r="AT212" s="3"/>
      <c r="AU212" s="235"/>
      <c r="AV212" s="360">
        <f t="shared" si="27"/>
        <v>4137415.9288108889</v>
      </c>
      <c r="AW212" s="235"/>
      <c r="AX212" s="354"/>
      <c r="AY212" s="14"/>
      <c r="AZ212" s="14">
        <f t="shared" si="29"/>
        <v>10639.591055174416</v>
      </c>
      <c r="BA212" s="14">
        <f t="shared" si="28"/>
        <v>-1.9949624157432844E-2</v>
      </c>
      <c r="BB212" s="14">
        <f t="shared" si="2"/>
        <v>-533322.88223637093</v>
      </c>
      <c r="BC212" s="14"/>
      <c r="BD212" s="14"/>
      <c r="BE212" s="14"/>
      <c r="BF212" s="14"/>
      <c r="BG212" s="14"/>
      <c r="BH212" s="14"/>
      <c r="BI212" s="14"/>
      <c r="BJ212" s="14"/>
      <c r="BK212" s="14"/>
      <c r="BL212" s="14"/>
      <c r="BM212" s="14"/>
      <c r="BN212" s="14"/>
      <c r="BO212" s="14"/>
      <c r="BP212" s="14"/>
      <c r="BQ212" s="14"/>
      <c r="BR212" s="14"/>
      <c r="BS212" s="14"/>
      <c r="BT212" s="14"/>
      <c r="BU212" s="14"/>
      <c r="BV212" s="14"/>
      <c r="BW212" s="14"/>
      <c r="BX212" s="14"/>
      <c r="BY212" s="14"/>
      <c r="BZ212" s="14"/>
      <c r="CA212" s="14"/>
      <c r="CB212" s="14"/>
      <c r="CC212" s="14"/>
      <c r="CD212" s="14"/>
      <c r="CE212" s="14"/>
      <c r="CF212" s="14"/>
      <c r="CG212" s="14"/>
      <c r="CH212" s="14"/>
      <c r="CI212" s="14"/>
      <c r="CJ212" s="14"/>
      <c r="CK212" s="14"/>
      <c r="CL212" s="14"/>
      <c r="CM212" s="14"/>
      <c r="CN212" s="14"/>
      <c r="CO212" s="14"/>
      <c r="CP212" s="14"/>
      <c r="CQ212" s="14"/>
      <c r="CR212" s="14"/>
      <c r="CS212" s="3"/>
      <c r="CT212" s="3"/>
      <c r="CU212" s="3"/>
      <c r="CV212" s="3"/>
      <c r="CW212" s="3"/>
    </row>
    <row r="213" spans="1:101" ht="14.25" customHeight="1" x14ac:dyDescent="0.2">
      <c r="A213" s="328"/>
      <c r="B213" s="52">
        <v>0.14589419186449232</v>
      </c>
      <c r="C213" s="330">
        <v>0.42812810817057889</v>
      </c>
      <c r="D213" s="330">
        <v>3.4333971286645615E-2</v>
      </c>
      <c r="E213" s="330">
        <v>1.1187169559743925E-2</v>
      </c>
      <c r="F213" s="331">
        <v>0.75931904093909819</v>
      </c>
      <c r="G213" s="94">
        <v>0.47477334090755918</v>
      </c>
      <c r="H213" s="330">
        <v>0.97709830837651301</v>
      </c>
      <c r="I213" s="330">
        <v>8.2617789625636338E-3</v>
      </c>
      <c r="J213" s="330">
        <v>0.99999999780506332</v>
      </c>
      <c r="K213" s="330">
        <v>0.74638487383963226</v>
      </c>
      <c r="L213" s="332">
        <v>12196.428971215926</v>
      </c>
      <c r="M213" s="330">
        <v>0</v>
      </c>
      <c r="N213" s="330">
        <v>24771.861460078053</v>
      </c>
      <c r="O213" s="330">
        <v>1321.1621750142065</v>
      </c>
      <c r="P213" s="330">
        <v>42934.678592864111</v>
      </c>
      <c r="Q213" s="333">
        <v>72801.065364984155</v>
      </c>
      <c r="R213" s="330">
        <v>25422.246667807511</v>
      </c>
      <c r="S213" s="330">
        <v>8594.4447708051994</v>
      </c>
      <c r="T213" s="332">
        <v>0.451939183641758</v>
      </c>
      <c r="U213" s="330">
        <v>0.89342671236292648</v>
      </c>
      <c r="V213" s="330">
        <v>0.64923901031397258</v>
      </c>
      <c r="W213" s="330">
        <v>0.23491315505772364</v>
      </c>
      <c r="X213" s="330">
        <v>0.99999020137777095</v>
      </c>
      <c r="Y213" s="330">
        <v>0</v>
      </c>
      <c r="Z213" s="331">
        <v>0</v>
      </c>
      <c r="AA213" s="235"/>
      <c r="AB213" s="52">
        <v>84376.768470232622</v>
      </c>
      <c r="AC213" s="330">
        <v>4.6650796726264758</v>
      </c>
      <c r="AD213" s="330">
        <v>81755.345068815514</v>
      </c>
      <c r="AE213" s="330">
        <v>4.6626659113490199</v>
      </c>
      <c r="AF213" s="330">
        <v>2621.4234014171088</v>
      </c>
      <c r="AG213" s="331">
        <v>2.4137612774559614E-3</v>
      </c>
      <c r="AH213" s="235"/>
      <c r="AI213" s="208">
        <f t="shared" si="24"/>
        <v>4347448.9205249194</v>
      </c>
      <c r="AJ213" s="208">
        <f t="shared" si="25"/>
        <v>4347777.2707127538</v>
      </c>
      <c r="AK213" s="208">
        <f t="shared" si="26"/>
        <v>-328.35018783394571</v>
      </c>
      <c r="AL213" s="235"/>
      <c r="AM213" s="52">
        <f t="shared" si="4"/>
        <v>0</v>
      </c>
      <c r="AN213" s="52">
        <f t="shared" si="5"/>
        <v>1</v>
      </c>
      <c r="AO213" s="52">
        <f t="shared" si="6"/>
        <v>0</v>
      </c>
      <c r="AP213" s="235"/>
      <c r="AQ213" s="3"/>
      <c r="AR213" s="3"/>
      <c r="AS213" s="3"/>
      <c r="AT213" s="3"/>
      <c r="AU213" s="235"/>
      <c r="AV213" s="360">
        <f t="shared" si="27"/>
        <v>4347777.2707127538</v>
      </c>
      <c r="AW213" s="235"/>
      <c r="AX213" s="354"/>
      <c r="AY213" s="14"/>
      <c r="AZ213" s="14">
        <f t="shared" si="29"/>
        <v>2621.4234014171088</v>
      </c>
      <c r="BA213" s="14">
        <f t="shared" si="28"/>
        <v>2.4137612774559614E-3</v>
      </c>
      <c r="BB213" s="14">
        <f t="shared" si="2"/>
        <v>1086032.5856996172</v>
      </c>
      <c r="BC213" s="14"/>
      <c r="BD213" s="14"/>
      <c r="BE213" s="14"/>
      <c r="BF213" s="14"/>
      <c r="BG213" s="14"/>
      <c r="BH213" s="14"/>
      <c r="BI213" s="14"/>
      <c r="BJ213" s="14"/>
      <c r="BK213" s="14"/>
      <c r="BL213" s="14"/>
      <c r="BM213" s="14"/>
      <c r="BN213" s="14"/>
      <c r="BO213" s="14"/>
      <c r="BP213" s="14"/>
      <c r="BQ213" s="14"/>
      <c r="BR213" s="14"/>
      <c r="BS213" s="14"/>
      <c r="BT213" s="14"/>
      <c r="BU213" s="14"/>
      <c r="BV213" s="14"/>
      <c r="BW213" s="14"/>
      <c r="BX213" s="14"/>
      <c r="BY213" s="14"/>
      <c r="BZ213" s="14"/>
      <c r="CA213" s="14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</row>
    <row r="214" spans="1:101" ht="14.25" customHeight="1" x14ac:dyDescent="0.2">
      <c r="A214" s="328"/>
      <c r="B214" s="52">
        <v>0.13063970507082659</v>
      </c>
      <c r="C214" s="330">
        <v>0.41791594297336376</v>
      </c>
      <c r="D214" s="330">
        <v>2.2411646299739352E-2</v>
      </c>
      <c r="E214" s="330">
        <v>1.988875035919091E-2</v>
      </c>
      <c r="F214" s="331">
        <v>0.77604920495940288</v>
      </c>
      <c r="G214" s="94">
        <v>0.38422488980747305</v>
      </c>
      <c r="H214" s="330">
        <v>0.37958333988483878</v>
      </c>
      <c r="I214" s="330">
        <v>2.0988343581669566E-2</v>
      </c>
      <c r="J214" s="330">
        <v>0.99999996107608458</v>
      </c>
      <c r="K214" s="330">
        <v>0.73623571539169952</v>
      </c>
      <c r="L214" s="332">
        <v>14164.15670347448</v>
      </c>
      <c r="M214" s="330">
        <v>0</v>
      </c>
      <c r="N214" s="330">
        <v>20396.998286465005</v>
      </c>
      <c r="O214" s="330">
        <v>1144.7155896000111</v>
      </c>
      <c r="P214" s="330">
        <v>52963.444305226018</v>
      </c>
      <c r="Q214" s="333">
        <v>124218.28580954131</v>
      </c>
      <c r="R214" s="330">
        <v>27409.314556262409</v>
      </c>
      <c r="S214" s="330">
        <v>9950.318875838504</v>
      </c>
      <c r="T214" s="332">
        <v>0.5655992260150664</v>
      </c>
      <c r="U214" s="330">
        <v>0.50641348993456115</v>
      </c>
      <c r="V214" s="330">
        <v>0.88250747406193786</v>
      </c>
      <c r="W214" s="330">
        <v>0.93286150360677689</v>
      </c>
      <c r="X214" s="330">
        <v>0.99982955442776889</v>
      </c>
      <c r="Y214" s="330">
        <v>0</v>
      </c>
      <c r="Z214" s="331">
        <v>0</v>
      </c>
      <c r="AA214" s="235"/>
      <c r="AB214" s="52">
        <v>99044.009216351988</v>
      </c>
      <c r="AC214" s="330">
        <v>4.7846439179268847</v>
      </c>
      <c r="AD214" s="330">
        <v>84653.786570324359</v>
      </c>
      <c r="AE214" s="330">
        <v>4.603125631891638</v>
      </c>
      <c r="AF214" s="330">
        <v>14390.222646027629</v>
      </c>
      <c r="AG214" s="331">
        <v>0.18151828603524667</v>
      </c>
      <c r="AH214" s="235"/>
      <c r="AI214" s="208">
        <f t="shared" si="24"/>
        <v>4446367.7128141886</v>
      </c>
      <c r="AJ214" s="208">
        <f t="shared" si="25"/>
        <v>4288315.5637267316</v>
      </c>
      <c r="AK214" s="208">
        <f t="shared" si="26"/>
        <v>158052.1490874567</v>
      </c>
      <c r="AL214" s="235"/>
      <c r="AM214" s="52">
        <f t="shared" si="4"/>
        <v>1</v>
      </c>
      <c r="AN214" s="52">
        <f t="shared" si="5"/>
        <v>0</v>
      </c>
      <c r="AO214" s="52">
        <f t="shared" si="6"/>
        <v>1</v>
      </c>
      <c r="AP214" s="235"/>
      <c r="AQ214" s="3"/>
      <c r="AR214" s="3"/>
      <c r="AS214" s="3"/>
      <c r="AT214" s="3"/>
      <c r="AU214" s="235"/>
      <c r="AV214" s="360">
        <f t="shared" si="27"/>
        <v>4446367.7128141886</v>
      </c>
      <c r="AW214" s="235"/>
      <c r="AX214" s="354"/>
      <c r="AY214" s="14"/>
      <c r="AZ214" s="14">
        <f t="shared" si="29"/>
        <v>14390.222646027629</v>
      </c>
      <c r="BA214" s="14">
        <f t="shared" si="28"/>
        <v>0.18151828603524667</v>
      </c>
      <c r="BB214" s="14">
        <f t="shared" si="2"/>
        <v>79276.986139200206</v>
      </c>
      <c r="BC214" s="14"/>
      <c r="BD214" s="14"/>
      <c r="BE214" s="14"/>
      <c r="BF214" s="14"/>
      <c r="BG214" s="14"/>
      <c r="BH214" s="14"/>
      <c r="BI214" s="14"/>
      <c r="BJ214" s="14"/>
      <c r="BK214" s="14"/>
      <c r="BL214" s="14"/>
      <c r="BM214" s="14"/>
      <c r="BN214" s="14"/>
      <c r="BO214" s="14"/>
      <c r="BP214" s="14"/>
      <c r="BQ214" s="14"/>
      <c r="BR214" s="14"/>
      <c r="BS214" s="14"/>
      <c r="BT214" s="14"/>
      <c r="BU214" s="14"/>
      <c r="BV214" s="14"/>
      <c r="BW214" s="14"/>
      <c r="BX214" s="14"/>
      <c r="BY214" s="14"/>
      <c r="BZ214" s="14"/>
      <c r="CA214" s="14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</row>
    <row r="215" spans="1:101" ht="14.25" customHeight="1" x14ac:dyDescent="0.2">
      <c r="A215" s="328"/>
      <c r="B215" s="52">
        <v>0.13310985887546398</v>
      </c>
      <c r="C215" s="330">
        <v>0.17485078075260529</v>
      </c>
      <c r="D215" s="330">
        <v>1.2627656826703007E-2</v>
      </c>
      <c r="E215" s="330">
        <v>5.8366370075779951E-3</v>
      </c>
      <c r="F215" s="331">
        <v>0.78623625532714536</v>
      </c>
      <c r="G215" s="94">
        <v>0.38985484913543467</v>
      </c>
      <c r="H215" s="330">
        <v>0.26021227446878542</v>
      </c>
      <c r="I215" s="330">
        <v>2.3283688819107029E-2</v>
      </c>
      <c r="J215" s="330">
        <v>0.91979664061069699</v>
      </c>
      <c r="K215" s="330">
        <v>0.79804218449647912</v>
      </c>
      <c r="L215" s="332">
        <v>8066.9734085584723</v>
      </c>
      <c r="M215" s="330">
        <v>0</v>
      </c>
      <c r="N215" s="330">
        <v>24593.650206505834</v>
      </c>
      <c r="O215" s="330">
        <v>1507.5430544075498</v>
      </c>
      <c r="P215" s="330">
        <v>46978.507706741024</v>
      </c>
      <c r="Q215" s="333">
        <v>88882.52387070957</v>
      </c>
      <c r="R215" s="330">
        <v>16128.347148541612</v>
      </c>
      <c r="S215" s="330">
        <v>7383.1419371941083</v>
      </c>
      <c r="T215" s="332">
        <v>0.98044948645919527</v>
      </c>
      <c r="U215" s="330">
        <v>0.98610980081976629</v>
      </c>
      <c r="V215" s="330">
        <v>0.77983813782777989</v>
      </c>
      <c r="W215" s="330">
        <v>2.2323208564854657E-2</v>
      </c>
      <c r="X215" s="330">
        <v>5.995289650307171E-3</v>
      </c>
      <c r="Y215" s="330">
        <v>0</v>
      </c>
      <c r="Z215" s="331">
        <v>0</v>
      </c>
      <c r="AA215" s="235"/>
      <c r="AB215" s="52">
        <v>71086.77962596374</v>
      </c>
      <c r="AC215" s="330">
        <v>0.1985558836074722</v>
      </c>
      <c r="AD215" s="330">
        <v>66844.793460662841</v>
      </c>
      <c r="AE215" s="330">
        <v>6.6114792860983956E-2</v>
      </c>
      <c r="AF215" s="330">
        <v>4241.9861653008993</v>
      </c>
      <c r="AG215" s="331">
        <v>0.13244109074648824</v>
      </c>
      <c r="AH215" s="235"/>
      <c r="AI215" s="208">
        <f t="shared" si="24"/>
        <v>117541.30980113486</v>
      </c>
      <c r="AJ215" s="208">
        <f t="shared" si="25"/>
        <v>-4035.7402427280831</v>
      </c>
      <c r="AK215" s="208">
        <f t="shared" si="26"/>
        <v>121577.05004386294</v>
      </c>
      <c r="AL215" s="235"/>
      <c r="AM215" s="52">
        <f t="shared" si="4"/>
        <v>1</v>
      </c>
      <c r="AN215" s="52">
        <f t="shared" si="5"/>
        <v>0</v>
      </c>
      <c r="AO215" s="52">
        <f t="shared" si="6"/>
        <v>1</v>
      </c>
      <c r="AP215" s="235"/>
      <c r="AQ215" s="3"/>
      <c r="AR215" s="3"/>
      <c r="AS215" s="3"/>
      <c r="AT215" s="3"/>
      <c r="AU215" s="235"/>
      <c r="AV215" s="360">
        <f t="shared" si="27"/>
        <v>117541.30980113486</v>
      </c>
      <c r="AW215" s="235"/>
      <c r="AX215" s="354"/>
      <c r="AY215" s="14"/>
      <c r="AZ215" s="14">
        <f t="shared" si="29"/>
        <v>4241.9861653008993</v>
      </c>
      <c r="BA215" s="14">
        <f t="shared" si="28"/>
        <v>0.13244109074648824</v>
      </c>
      <c r="BB215" s="14">
        <f t="shared" si="2"/>
        <v>32029.230062901592</v>
      </c>
      <c r="BC215" s="14"/>
      <c r="BD215" s="14"/>
      <c r="BE215" s="14"/>
      <c r="BF215" s="14"/>
      <c r="BG215" s="14"/>
      <c r="BH215" s="14"/>
      <c r="BI215" s="14"/>
      <c r="BJ215" s="14"/>
      <c r="BK215" s="14"/>
      <c r="BL215" s="14"/>
      <c r="BM215" s="14"/>
      <c r="BN215" s="14"/>
      <c r="BO215" s="14"/>
      <c r="BP215" s="14"/>
      <c r="BQ215" s="14"/>
      <c r="BR215" s="14"/>
      <c r="BS215" s="14"/>
      <c r="BT215" s="14"/>
      <c r="BU215" s="14"/>
      <c r="BV215" s="14"/>
      <c r="BW215" s="14"/>
      <c r="BX215" s="14"/>
      <c r="BY215" s="14"/>
      <c r="BZ215" s="14"/>
      <c r="CA215" s="14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</row>
    <row r="216" spans="1:101" ht="14.25" customHeight="1" x14ac:dyDescent="0.2">
      <c r="A216" s="328"/>
      <c r="B216" s="52">
        <v>0.17451155467731161</v>
      </c>
      <c r="C216" s="330">
        <v>0.36002124164735316</v>
      </c>
      <c r="D216" s="330">
        <v>7.209248030000324E-3</v>
      </c>
      <c r="E216" s="330">
        <v>1.1168902598542944E-2</v>
      </c>
      <c r="F216" s="331">
        <v>0.79938346459281151</v>
      </c>
      <c r="G216" s="94">
        <v>0.40537647220903528</v>
      </c>
      <c r="H216" s="330">
        <v>0.9152770778932926</v>
      </c>
      <c r="I216" s="330">
        <v>1.6588813067514807E-2</v>
      </c>
      <c r="J216" s="330">
        <v>0.99793225982315048</v>
      </c>
      <c r="K216" s="330">
        <v>0.78700512084491725</v>
      </c>
      <c r="L216" s="332">
        <v>13085.263846170525</v>
      </c>
      <c r="M216" s="330">
        <v>0</v>
      </c>
      <c r="N216" s="330">
        <v>21200.302531823309</v>
      </c>
      <c r="O216" s="330">
        <v>1542.5770530738698</v>
      </c>
      <c r="P216" s="330">
        <v>53576.796095926664</v>
      </c>
      <c r="Q216" s="333">
        <v>87309.478216845149</v>
      </c>
      <c r="R216" s="330">
        <v>21876.788078635687</v>
      </c>
      <c r="S216" s="330">
        <v>9336.0063950933709</v>
      </c>
      <c r="T216" s="332">
        <v>5.2778980600189658E-2</v>
      </c>
      <c r="U216" s="330">
        <v>0.99454458226512144</v>
      </c>
      <c r="V216" s="330">
        <v>7.4754416229740148E-2</v>
      </c>
      <c r="W216" s="330">
        <v>0.98574922363940898</v>
      </c>
      <c r="X216" s="330">
        <v>0.13606576075437762</v>
      </c>
      <c r="Y216" s="330">
        <v>0</v>
      </c>
      <c r="Z216" s="331">
        <v>0</v>
      </c>
      <c r="AA216" s="235"/>
      <c r="AB216" s="52">
        <v>94927.534122827507</v>
      </c>
      <c r="AC216" s="330">
        <v>0.65806532265175666</v>
      </c>
      <c r="AD216" s="330">
        <v>88597.127091643793</v>
      </c>
      <c r="AE216" s="330">
        <v>0.69268792773364651</v>
      </c>
      <c r="AF216" s="330">
        <v>6330.4070311837131</v>
      </c>
      <c r="AG216" s="331">
        <v>-3.4622605081889857E-2</v>
      </c>
      <c r="AH216" s="235"/>
      <c r="AI216" s="208">
        <f t="shared" si="24"/>
        <v>530234.52239634132</v>
      </c>
      <c r="AJ216" s="208">
        <f t="shared" si="25"/>
        <v>569456.40425532043</v>
      </c>
      <c r="AK216" s="208">
        <f t="shared" si="26"/>
        <v>-39221.881858979075</v>
      </c>
      <c r="AL216" s="235"/>
      <c r="AM216" s="52">
        <f t="shared" si="4"/>
        <v>0</v>
      </c>
      <c r="AN216" s="52">
        <f t="shared" si="5"/>
        <v>1</v>
      </c>
      <c r="AO216" s="52">
        <f t="shared" si="6"/>
        <v>0</v>
      </c>
      <c r="AP216" s="235"/>
      <c r="AQ216" s="3"/>
      <c r="AR216" s="3"/>
      <c r="AS216" s="3"/>
      <c r="AT216" s="3"/>
      <c r="AU216" s="235"/>
      <c r="AV216" s="360">
        <f t="shared" si="27"/>
        <v>569456.40425532043</v>
      </c>
      <c r="AW216" s="235"/>
      <c r="AX216" s="354"/>
      <c r="AY216" s="14"/>
      <c r="AZ216" s="14">
        <f t="shared" si="29"/>
        <v>6330.4070311837131</v>
      </c>
      <c r="BA216" s="14">
        <f t="shared" si="28"/>
        <v>-3.4622605081889857E-2</v>
      </c>
      <c r="BB216" s="14">
        <f t="shared" si="2"/>
        <v>-182840.2864605638</v>
      </c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</row>
    <row r="217" spans="1:101" ht="14.25" customHeight="1" x14ac:dyDescent="0.2">
      <c r="A217" s="328"/>
      <c r="B217" s="52">
        <v>0.13922076634535363</v>
      </c>
      <c r="C217" s="330">
        <v>0.76669064723890279</v>
      </c>
      <c r="D217" s="330">
        <v>9.1133305208797068E-3</v>
      </c>
      <c r="E217" s="330">
        <v>1.7872732933832958E-2</v>
      </c>
      <c r="F217" s="331">
        <v>0.79624815572803209</v>
      </c>
      <c r="G217" s="94">
        <v>0.39897452636337671</v>
      </c>
      <c r="H217" s="330">
        <v>0.1010099936938042</v>
      </c>
      <c r="I217" s="330">
        <v>8.0618262778406943E-3</v>
      </c>
      <c r="J217" s="330">
        <v>0.99995923580519697</v>
      </c>
      <c r="K217" s="330">
        <v>0.76723652474922921</v>
      </c>
      <c r="L217" s="332">
        <v>15702.329328953521</v>
      </c>
      <c r="M217" s="330">
        <v>0</v>
      </c>
      <c r="N217" s="330">
        <v>22946.536214599364</v>
      </c>
      <c r="O217" s="330">
        <v>1303.1011558572775</v>
      </c>
      <c r="P217" s="330">
        <v>45468.024136606022</v>
      </c>
      <c r="Q217" s="333">
        <v>93867.077322873971</v>
      </c>
      <c r="R217" s="330">
        <v>29561.615911456749</v>
      </c>
      <c r="S217" s="330">
        <v>11109.986218539005</v>
      </c>
      <c r="T217" s="332">
        <v>0.84297966262000845</v>
      </c>
      <c r="U217" s="330">
        <v>0.73909032643507933</v>
      </c>
      <c r="V217" s="330">
        <v>0.99536656765643383</v>
      </c>
      <c r="W217" s="330">
        <v>0.99999415675118275</v>
      </c>
      <c r="X217" s="330">
        <v>0.7774388571736075</v>
      </c>
      <c r="Y217" s="330">
        <v>0</v>
      </c>
      <c r="Z217" s="331">
        <v>0</v>
      </c>
      <c r="AA217" s="235"/>
      <c r="AB217" s="52">
        <v>114091.53569285759</v>
      </c>
      <c r="AC217" s="330">
        <v>3.7864414316912542</v>
      </c>
      <c r="AD217" s="330">
        <v>93769.3871730643</v>
      </c>
      <c r="AE217" s="330">
        <v>3.6859698020109568</v>
      </c>
      <c r="AF217" s="330">
        <v>20322.148519793293</v>
      </c>
      <c r="AG217" s="331">
        <v>0.10047162968029744</v>
      </c>
      <c r="AH217" s="235"/>
      <c r="AI217" s="208">
        <f t="shared" si="24"/>
        <v>3483027.8244138341</v>
      </c>
      <c r="AJ217" s="208">
        <f t="shared" si="25"/>
        <v>3407901.9247373445</v>
      </c>
      <c r="AK217" s="208">
        <f t="shared" si="26"/>
        <v>75125.899676489265</v>
      </c>
      <c r="AL217" s="235"/>
      <c r="AM217" s="52">
        <f t="shared" si="4"/>
        <v>1</v>
      </c>
      <c r="AN217" s="52">
        <f t="shared" si="5"/>
        <v>0</v>
      </c>
      <c r="AO217" s="52">
        <f t="shared" si="6"/>
        <v>1</v>
      </c>
      <c r="AP217" s="235"/>
      <c r="AQ217" s="3"/>
      <c r="AR217" s="3"/>
      <c r="AS217" s="3"/>
      <c r="AT217" s="3"/>
      <c r="AU217" s="235"/>
      <c r="AV217" s="360">
        <f t="shared" si="27"/>
        <v>3483027.8244138341</v>
      </c>
      <c r="AW217" s="235"/>
      <c r="AX217" s="354"/>
      <c r="AY217" s="14"/>
      <c r="AZ217" s="14">
        <f t="shared" si="29"/>
        <v>20322.148519793293</v>
      </c>
      <c r="BA217" s="14">
        <f t="shared" si="28"/>
        <v>0.10047162968029744</v>
      </c>
      <c r="BB217" s="14">
        <f t="shared" si="2"/>
        <v>202267.53148584074</v>
      </c>
      <c r="BC217" s="14"/>
      <c r="BD217" s="14"/>
      <c r="BE217" s="14"/>
      <c r="BF217" s="14"/>
      <c r="BG217" s="14"/>
      <c r="BH217" s="14"/>
      <c r="BI217" s="14"/>
      <c r="BJ217" s="14"/>
      <c r="BK217" s="14"/>
      <c r="BL217" s="14"/>
      <c r="BM217" s="14"/>
      <c r="BN217" s="14"/>
      <c r="BO217" s="14"/>
      <c r="BP217" s="14"/>
      <c r="BQ217" s="14"/>
      <c r="BR217" s="14"/>
      <c r="BS217" s="14"/>
      <c r="BT217" s="14"/>
      <c r="BU217" s="14"/>
      <c r="BV217" s="14"/>
      <c r="BW217" s="14"/>
      <c r="BX217" s="14"/>
      <c r="BY217" s="14"/>
      <c r="BZ217" s="14"/>
      <c r="CA217" s="14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</row>
    <row r="218" spans="1:101" ht="14.25" customHeight="1" x14ac:dyDescent="0.2">
      <c r="A218" s="328"/>
      <c r="B218" s="52">
        <v>0.17850027920306066</v>
      </c>
      <c r="C218" s="330">
        <v>0.78357394175390938</v>
      </c>
      <c r="D218" s="330">
        <v>3.2018919191679207E-2</v>
      </c>
      <c r="E218" s="330">
        <v>1.4946817975659221E-2</v>
      </c>
      <c r="F218" s="331">
        <v>0.76861581837545012</v>
      </c>
      <c r="G218" s="94">
        <v>0.37810285203461308</v>
      </c>
      <c r="H218" s="330">
        <v>0.28815882929773623</v>
      </c>
      <c r="I218" s="330">
        <v>3.5757836873874016E-2</v>
      </c>
      <c r="J218" s="330">
        <v>4.2929292395064801E-2</v>
      </c>
      <c r="K218" s="330">
        <v>0.75942305740407656</v>
      </c>
      <c r="L218" s="332">
        <v>7714.7255698278268</v>
      </c>
      <c r="M218" s="330">
        <v>0</v>
      </c>
      <c r="N218" s="330">
        <v>21108.546549942068</v>
      </c>
      <c r="O218" s="330">
        <v>1382.0963175634265</v>
      </c>
      <c r="P218" s="330">
        <v>42886.10571727372</v>
      </c>
      <c r="Q218" s="333">
        <v>58073.869092679794</v>
      </c>
      <c r="R218" s="330">
        <v>21138.812030118475</v>
      </c>
      <c r="S218" s="330">
        <v>10680.478898037121</v>
      </c>
      <c r="T218" s="332">
        <v>0.96461107852799222</v>
      </c>
      <c r="U218" s="330">
        <v>0.99972123069597996</v>
      </c>
      <c r="V218" s="330">
        <v>0.75534223343791396</v>
      </c>
      <c r="W218" s="330">
        <v>0.46818083745076705</v>
      </c>
      <c r="X218" s="330">
        <v>0.97663804504051377</v>
      </c>
      <c r="Y218" s="330">
        <v>0</v>
      </c>
      <c r="Z218" s="331">
        <v>0</v>
      </c>
      <c r="AA218" s="235"/>
      <c r="AB218" s="52">
        <v>99350.12159716626</v>
      </c>
      <c r="AC218" s="330">
        <v>4.8397211375533775</v>
      </c>
      <c r="AD218" s="330">
        <v>90830.662964217889</v>
      </c>
      <c r="AE218" s="330">
        <v>4.6901021464929036</v>
      </c>
      <c r="AF218" s="330">
        <v>8519.4586329483718</v>
      </c>
      <c r="AG218" s="331">
        <v>0.14961899106047394</v>
      </c>
      <c r="AH218" s="235"/>
      <c r="AI218" s="208">
        <f t="shared" si="24"/>
        <v>4498384.9590785429</v>
      </c>
      <c r="AJ218" s="208">
        <f t="shared" si="25"/>
        <v>4364766.3762040399</v>
      </c>
      <c r="AK218" s="208">
        <f t="shared" si="26"/>
        <v>133618.58287450188</v>
      </c>
      <c r="AL218" s="235"/>
      <c r="AM218" s="52">
        <f t="shared" si="4"/>
        <v>1</v>
      </c>
      <c r="AN218" s="52">
        <f t="shared" si="5"/>
        <v>0</v>
      </c>
      <c r="AO218" s="52">
        <f t="shared" si="6"/>
        <v>1</v>
      </c>
      <c r="AP218" s="235"/>
      <c r="AQ218" s="3"/>
      <c r="AR218" s="3"/>
      <c r="AS218" s="3"/>
      <c r="AT218" s="3"/>
      <c r="AU218" s="235"/>
      <c r="AV218" s="360">
        <f t="shared" si="27"/>
        <v>4498384.9590785429</v>
      </c>
      <c r="AW218" s="235"/>
      <c r="AX218" s="354"/>
      <c r="AY218" s="14"/>
      <c r="AZ218" s="14">
        <f t="shared" si="29"/>
        <v>8519.4586329483718</v>
      </c>
      <c r="BA218" s="14">
        <f t="shared" si="28"/>
        <v>0.14961899106047394</v>
      </c>
      <c r="BB218" s="14">
        <f t="shared" si="2"/>
        <v>56941.024482011941</v>
      </c>
      <c r="BC218" s="14"/>
      <c r="BD218" s="14"/>
      <c r="BE218" s="14"/>
      <c r="BF218" s="14"/>
      <c r="BG218" s="14"/>
      <c r="BH218" s="14"/>
      <c r="BI218" s="14"/>
      <c r="BJ218" s="14"/>
      <c r="BK218" s="14"/>
      <c r="BL218" s="14"/>
      <c r="BM218" s="14"/>
      <c r="BN218" s="14"/>
      <c r="BO218" s="14"/>
      <c r="BP218" s="14"/>
      <c r="BQ218" s="14"/>
      <c r="BR218" s="14"/>
      <c r="BS218" s="14"/>
      <c r="BT218" s="14"/>
      <c r="BU218" s="14"/>
      <c r="BV218" s="14"/>
      <c r="BW218" s="14"/>
      <c r="BX218" s="14"/>
      <c r="BY218" s="14"/>
      <c r="BZ218" s="14"/>
      <c r="CA218" s="14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</row>
    <row r="219" spans="1:101" ht="14.25" customHeight="1" x14ac:dyDescent="0.2">
      <c r="A219" s="328"/>
      <c r="B219" s="52">
        <v>0.14524122173032894</v>
      </c>
      <c r="C219" s="330">
        <v>3.6051475158384111E-2</v>
      </c>
      <c r="D219" s="330">
        <v>5.4525874142642618E-3</v>
      </c>
      <c r="E219" s="330">
        <v>4.1247870697915023E-2</v>
      </c>
      <c r="F219" s="331">
        <v>0.79618332419406679</v>
      </c>
      <c r="G219" s="94">
        <v>0.38509710944199627</v>
      </c>
      <c r="H219" s="330">
        <v>0.59064811799987238</v>
      </c>
      <c r="I219" s="330">
        <v>2.0970250243391719E-2</v>
      </c>
      <c r="J219" s="330">
        <v>0.8991018810454795</v>
      </c>
      <c r="K219" s="330">
        <v>0.82340087764938774</v>
      </c>
      <c r="L219" s="332">
        <v>11023.476774504315</v>
      </c>
      <c r="M219" s="330">
        <v>0</v>
      </c>
      <c r="N219" s="330">
        <v>23768.210663662183</v>
      </c>
      <c r="O219" s="330">
        <v>1393.2703597261996</v>
      </c>
      <c r="P219" s="330">
        <v>36702.574177302486</v>
      </c>
      <c r="Q219" s="333">
        <v>105709.3623432804</v>
      </c>
      <c r="R219" s="330">
        <v>24829.242747061682</v>
      </c>
      <c r="S219" s="330">
        <v>6127.4859128002263</v>
      </c>
      <c r="T219" s="332">
        <v>0.87971638669181995</v>
      </c>
      <c r="U219" s="330">
        <v>0.60085913130360324</v>
      </c>
      <c r="V219" s="330">
        <v>0.76114498630196692</v>
      </c>
      <c r="W219" s="330">
        <v>0.99254506058680791</v>
      </c>
      <c r="X219" s="330">
        <v>0.97405067764141673</v>
      </c>
      <c r="Y219" s="330">
        <v>0</v>
      </c>
      <c r="Z219" s="331">
        <v>0</v>
      </c>
      <c r="AA219" s="235"/>
      <c r="AB219" s="52">
        <v>63794.945267268267</v>
      </c>
      <c r="AC219" s="330">
        <v>5.0864004215090217</v>
      </c>
      <c r="AD219" s="330">
        <v>61508.76373952096</v>
      </c>
      <c r="AE219" s="330">
        <v>4.9274839084897559</v>
      </c>
      <c r="AF219" s="330">
        <v>2286.181527747307</v>
      </c>
      <c r="AG219" s="331">
        <v>0.15891651301926579</v>
      </c>
      <c r="AH219" s="235"/>
      <c r="AI219" s="208">
        <f t="shared" si="24"/>
        <v>4768285.4551663026</v>
      </c>
      <c r="AJ219" s="208">
        <f t="shared" si="25"/>
        <v>4619600.9493257478</v>
      </c>
      <c r="AK219" s="208">
        <f t="shared" si="26"/>
        <v>148684.50584055518</v>
      </c>
      <c r="AL219" s="235"/>
      <c r="AM219" s="52">
        <f t="shared" si="4"/>
        <v>1</v>
      </c>
      <c r="AN219" s="52">
        <f t="shared" si="5"/>
        <v>0</v>
      </c>
      <c r="AO219" s="52">
        <f t="shared" si="6"/>
        <v>1</v>
      </c>
      <c r="AP219" s="235"/>
      <c r="AQ219" s="3"/>
      <c r="AR219" s="3"/>
      <c r="AS219" s="3"/>
      <c r="AT219" s="3"/>
      <c r="AU219" s="235"/>
      <c r="AV219" s="360">
        <f t="shared" si="27"/>
        <v>4768285.4551663026</v>
      </c>
      <c r="AW219" s="235"/>
      <c r="AX219" s="354"/>
      <c r="AY219" s="14"/>
      <c r="AZ219" s="14">
        <f t="shared" si="29"/>
        <v>2286.181527747307</v>
      </c>
      <c r="BA219" s="14">
        <f t="shared" si="28"/>
        <v>0.15891651301926579</v>
      </c>
      <c r="BB219" s="14">
        <f t="shared" si="2"/>
        <v>14386.053936824981</v>
      </c>
      <c r="BC219" s="14"/>
      <c r="BD219" s="14"/>
      <c r="BE219" s="14"/>
      <c r="BF219" s="14"/>
      <c r="BG219" s="14"/>
      <c r="BH219" s="14"/>
      <c r="BI219" s="14"/>
      <c r="BJ219" s="14"/>
      <c r="BK219" s="14"/>
      <c r="BL219" s="14"/>
      <c r="BM219" s="14"/>
      <c r="BN219" s="14"/>
      <c r="BO219" s="14"/>
      <c r="BP219" s="14"/>
      <c r="BQ219" s="14"/>
      <c r="BR219" s="14"/>
      <c r="BS219" s="14"/>
      <c r="BT219" s="14"/>
      <c r="BU219" s="14"/>
      <c r="BV219" s="14"/>
      <c r="BW219" s="14"/>
      <c r="BX219" s="14"/>
      <c r="BY219" s="14"/>
      <c r="BZ219" s="14"/>
      <c r="CA219" s="14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</row>
    <row r="220" spans="1:101" ht="14.25" customHeight="1" x14ac:dyDescent="0.2">
      <c r="A220" s="328"/>
      <c r="B220" s="52">
        <v>0.19477346946751939</v>
      </c>
      <c r="C220" s="330">
        <v>0.65204077149811823</v>
      </c>
      <c r="D220" s="330">
        <v>6.5954464495054481E-3</v>
      </c>
      <c r="E220" s="330">
        <v>7.624981318458437E-3</v>
      </c>
      <c r="F220" s="331">
        <v>0.78904974068879496</v>
      </c>
      <c r="G220" s="94">
        <v>0.44716255258992177</v>
      </c>
      <c r="H220" s="330">
        <v>0.94471045595616832</v>
      </c>
      <c r="I220" s="330">
        <v>1.0400078922446912E-2</v>
      </c>
      <c r="J220" s="330">
        <v>0.99950236270446413</v>
      </c>
      <c r="K220" s="330">
        <v>0.78313908760008633</v>
      </c>
      <c r="L220" s="332">
        <v>14562.487703655775</v>
      </c>
      <c r="M220" s="330">
        <v>0</v>
      </c>
      <c r="N220" s="330">
        <v>18920.028667394708</v>
      </c>
      <c r="O220" s="330">
        <v>956.80084242891951</v>
      </c>
      <c r="P220" s="330">
        <v>28835.928185687142</v>
      </c>
      <c r="Q220" s="333">
        <v>137929.22227216137</v>
      </c>
      <c r="R220" s="330">
        <v>16746.411162611286</v>
      </c>
      <c r="S220" s="330">
        <v>9355.2546590936017</v>
      </c>
      <c r="T220" s="332">
        <v>0.9031424720438288</v>
      </c>
      <c r="U220" s="330">
        <v>0.63532460174955085</v>
      </c>
      <c r="V220" s="330">
        <v>0.97557788744267637</v>
      </c>
      <c r="W220" s="330">
        <v>0.99999925267429512</v>
      </c>
      <c r="X220" s="330">
        <v>0.84377477508915522</v>
      </c>
      <c r="Y220" s="330">
        <v>0</v>
      </c>
      <c r="Z220" s="331">
        <v>0</v>
      </c>
      <c r="AA220" s="235"/>
      <c r="AB220" s="52">
        <v>96268.686869426645</v>
      </c>
      <c r="AC220" s="330">
        <v>4.1952246254885326</v>
      </c>
      <c r="AD220" s="330">
        <v>86964.81196628671</v>
      </c>
      <c r="AE220" s="330">
        <v>4.0425097130930912</v>
      </c>
      <c r="AF220" s="330">
        <v>9303.8749031399348</v>
      </c>
      <c r="AG220" s="331">
        <v>0.15271491239544144</v>
      </c>
      <c r="AH220" s="235"/>
      <c r="AI220" s="208">
        <f t="shared" si="24"/>
        <v>3889194.7073446792</v>
      </c>
      <c r="AJ220" s="208">
        <f t="shared" si="25"/>
        <v>3753419.4154721503</v>
      </c>
      <c r="AK220" s="208">
        <f t="shared" si="26"/>
        <v>135775.29187252943</v>
      </c>
      <c r="AL220" s="235"/>
      <c r="AM220" s="52">
        <f t="shared" si="4"/>
        <v>1</v>
      </c>
      <c r="AN220" s="52">
        <f t="shared" si="5"/>
        <v>0</v>
      </c>
      <c r="AO220" s="52">
        <f t="shared" si="6"/>
        <v>1</v>
      </c>
      <c r="AP220" s="235"/>
      <c r="AQ220" s="3"/>
      <c r="AR220" s="3"/>
      <c r="AS220" s="3"/>
      <c r="AT220" s="3"/>
      <c r="AU220" s="235"/>
      <c r="AV220" s="360">
        <f t="shared" si="27"/>
        <v>3889194.7073446792</v>
      </c>
      <c r="AW220" s="235"/>
      <c r="AX220" s="354"/>
      <c r="AY220" s="14"/>
      <c r="AZ220" s="14">
        <f t="shared" si="29"/>
        <v>9303.8749031399348</v>
      </c>
      <c r="BA220" s="14">
        <f t="shared" si="28"/>
        <v>0.15271491239544144</v>
      </c>
      <c r="BB220" s="14">
        <f t="shared" si="2"/>
        <v>60923.159089063898</v>
      </c>
      <c r="BC220" s="14"/>
      <c r="BD220" s="14"/>
      <c r="BE220" s="14"/>
      <c r="BF220" s="14"/>
      <c r="BG220" s="14"/>
      <c r="BH220" s="14"/>
      <c r="BI220" s="14"/>
      <c r="BJ220" s="14"/>
      <c r="BK220" s="14"/>
      <c r="BL220" s="14"/>
      <c r="BM220" s="14"/>
      <c r="BN220" s="14"/>
      <c r="BO220" s="14"/>
      <c r="BP220" s="14"/>
      <c r="BQ220" s="14"/>
      <c r="BR220" s="14"/>
      <c r="BS220" s="14"/>
      <c r="BT220" s="14"/>
      <c r="BU220" s="14"/>
      <c r="BV220" s="14"/>
      <c r="BW220" s="14"/>
      <c r="BX220" s="14"/>
      <c r="BY220" s="14"/>
      <c r="BZ220" s="14"/>
      <c r="CA220" s="14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</row>
    <row r="221" spans="1:101" ht="14.25" customHeight="1" x14ac:dyDescent="0.2">
      <c r="A221" s="328"/>
      <c r="B221" s="52">
        <v>0.15949326536548958</v>
      </c>
      <c r="C221" s="330">
        <v>0.58259334450729683</v>
      </c>
      <c r="D221" s="330">
        <v>1.3944442306380171E-2</v>
      </c>
      <c r="E221" s="330">
        <v>2.2646596334929825E-2</v>
      </c>
      <c r="F221" s="331">
        <v>0.79694764503987714</v>
      </c>
      <c r="G221" s="94">
        <v>0.36439165790099554</v>
      </c>
      <c r="H221" s="330">
        <v>0.21359681656134974</v>
      </c>
      <c r="I221" s="330">
        <v>1.8698722428343473E-2</v>
      </c>
      <c r="J221" s="330">
        <v>0.99999714167219755</v>
      </c>
      <c r="K221" s="330">
        <v>0.76019687136823999</v>
      </c>
      <c r="L221" s="332">
        <v>12962.886046528058</v>
      </c>
      <c r="M221" s="330">
        <v>0</v>
      </c>
      <c r="N221" s="330">
        <v>18522.375895895435</v>
      </c>
      <c r="O221" s="330">
        <v>1117.2067581177448</v>
      </c>
      <c r="P221" s="330">
        <v>44161.217630514162</v>
      </c>
      <c r="Q221" s="333">
        <v>87518.028672101529</v>
      </c>
      <c r="R221" s="330">
        <v>27956.816617521501</v>
      </c>
      <c r="S221" s="330">
        <v>9888.3497761854142</v>
      </c>
      <c r="T221" s="332">
        <v>7.6727480833046327E-2</v>
      </c>
      <c r="U221" s="330">
        <v>0.99553828565285241</v>
      </c>
      <c r="V221" s="330">
        <v>0.9722799409322509</v>
      </c>
      <c r="W221" s="330">
        <v>0.99649936638137637</v>
      </c>
      <c r="X221" s="330">
        <v>0.94426436343406039</v>
      </c>
      <c r="Y221" s="330">
        <v>0</v>
      </c>
      <c r="Z221" s="331">
        <v>0</v>
      </c>
      <c r="AA221" s="235"/>
      <c r="AB221" s="52">
        <v>100504.05019864373</v>
      </c>
      <c r="AC221" s="330">
        <v>4.5542391144787846</v>
      </c>
      <c r="AD221" s="330">
        <v>84344.430495004519</v>
      </c>
      <c r="AE221" s="330">
        <v>4.7409285023674732</v>
      </c>
      <c r="AF221" s="330">
        <v>16159.619703639211</v>
      </c>
      <c r="AG221" s="331">
        <v>-0.18668938788868861</v>
      </c>
      <c r="AH221" s="235"/>
      <c r="AI221" s="208">
        <f t="shared" si="24"/>
        <v>4226023.1085562017</v>
      </c>
      <c r="AJ221" s="208">
        <f t="shared" si="25"/>
        <v>4419537.6467540953</v>
      </c>
      <c r="AK221" s="208">
        <f t="shared" si="26"/>
        <v>-193514.53819789339</v>
      </c>
      <c r="AL221" s="235"/>
      <c r="AM221" s="52">
        <f t="shared" si="4"/>
        <v>0</v>
      </c>
      <c r="AN221" s="52">
        <f t="shared" si="5"/>
        <v>1</v>
      </c>
      <c r="AO221" s="52">
        <f t="shared" si="6"/>
        <v>0</v>
      </c>
      <c r="AP221" s="235"/>
      <c r="AQ221" s="3"/>
      <c r="AR221" s="3"/>
      <c r="AS221" s="3"/>
      <c r="AT221" s="3"/>
      <c r="AU221" s="235"/>
      <c r="AV221" s="360">
        <f t="shared" si="27"/>
        <v>4419537.6467540953</v>
      </c>
      <c r="AW221" s="235"/>
      <c r="AX221" s="354"/>
      <c r="AY221" s="14"/>
      <c r="AZ221" s="14">
        <f t="shared" si="29"/>
        <v>16159.619703639211</v>
      </c>
      <c r="BA221" s="14">
        <f t="shared" si="28"/>
        <v>-0.18668938788868861</v>
      </c>
      <c r="BB221" s="14">
        <f t="shared" si="2"/>
        <v>-86558.855253594797</v>
      </c>
      <c r="BC221" s="14"/>
      <c r="BD221" s="14"/>
      <c r="BE221" s="14"/>
      <c r="BF221" s="14"/>
      <c r="BG221" s="14"/>
      <c r="BH221" s="14"/>
      <c r="BI221" s="14"/>
      <c r="BJ221" s="14"/>
      <c r="BK221" s="14"/>
      <c r="BL221" s="14"/>
      <c r="BM221" s="14"/>
      <c r="BN221" s="14"/>
      <c r="BO221" s="14"/>
      <c r="BP221" s="14"/>
      <c r="BQ221" s="14"/>
      <c r="BR221" s="14"/>
      <c r="BS221" s="14"/>
      <c r="BT221" s="14"/>
      <c r="BU221" s="14"/>
      <c r="BV221" s="14"/>
      <c r="BW221" s="14"/>
      <c r="BX221" s="14"/>
      <c r="BY221" s="14"/>
      <c r="BZ221" s="14"/>
      <c r="CA221" s="14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</row>
    <row r="222" spans="1:101" ht="14.25" customHeight="1" x14ac:dyDescent="0.2">
      <c r="A222" s="328"/>
      <c r="B222" s="52">
        <v>0.15349788336130327</v>
      </c>
      <c r="C222" s="330">
        <v>0.75020388372765234</v>
      </c>
      <c r="D222" s="330">
        <v>7.9076954816411776E-3</v>
      </c>
      <c r="E222" s="330">
        <v>2.9069677994932208E-2</v>
      </c>
      <c r="F222" s="331">
        <v>0.8040760520901612</v>
      </c>
      <c r="G222" s="94">
        <v>0.36423202327390808</v>
      </c>
      <c r="H222" s="330">
        <v>0.83809189534807882</v>
      </c>
      <c r="I222" s="330">
        <v>1.9936991596051445E-2</v>
      </c>
      <c r="J222" s="330">
        <v>0.94224006747503952</v>
      </c>
      <c r="K222" s="330">
        <v>0.78138676279026265</v>
      </c>
      <c r="L222" s="332">
        <v>11206.024030714392</v>
      </c>
      <c r="M222" s="330">
        <v>0</v>
      </c>
      <c r="N222" s="330">
        <v>18370.245960560595</v>
      </c>
      <c r="O222" s="330">
        <v>1170.3048331908667</v>
      </c>
      <c r="P222" s="330">
        <v>39433.997386367533</v>
      </c>
      <c r="Q222" s="333">
        <v>96958.937765412789</v>
      </c>
      <c r="R222" s="330">
        <v>16746.695263034941</v>
      </c>
      <c r="S222" s="330">
        <v>7472.041433115136</v>
      </c>
      <c r="T222" s="332">
        <v>0.98235506181448207</v>
      </c>
      <c r="U222" s="330">
        <v>0.96870366282028231</v>
      </c>
      <c r="V222" s="330">
        <v>0.96706867865478086</v>
      </c>
      <c r="W222" s="330">
        <v>0.99853067424028352</v>
      </c>
      <c r="X222" s="330">
        <v>0.99230062513962114</v>
      </c>
      <c r="Y222" s="330">
        <v>0</v>
      </c>
      <c r="Z222" s="331">
        <v>0</v>
      </c>
      <c r="AA222" s="235"/>
      <c r="AB222" s="52">
        <v>77908.052709951386</v>
      </c>
      <c r="AC222" s="330">
        <v>5.3021591225989324</v>
      </c>
      <c r="AD222" s="330">
        <v>69282.142525841628</v>
      </c>
      <c r="AE222" s="330">
        <v>4.800016032743927</v>
      </c>
      <c r="AF222" s="330">
        <v>8625.9101841097581</v>
      </c>
      <c r="AG222" s="331">
        <v>0.50214308985500544</v>
      </c>
      <c r="AH222" s="235"/>
      <c r="AI222" s="208">
        <f t="shared" si="24"/>
        <v>4959143.1137590343</v>
      </c>
      <c r="AJ222" s="208">
        <f t="shared" si="25"/>
        <v>4490733.0885808887</v>
      </c>
      <c r="AK222" s="208">
        <f t="shared" si="26"/>
        <v>468410.02517814538</v>
      </c>
      <c r="AL222" s="235"/>
      <c r="AM222" s="52">
        <f t="shared" si="4"/>
        <v>1</v>
      </c>
      <c r="AN222" s="52">
        <f t="shared" si="5"/>
        <v>0</v>
      </c>
      <c r="AO222" s="52">
        <f t="shared" si="6"/>
        <v>1</v>
      </c>
      <c r="AP222" s="235"/>
      <c r="AQ222" s="3"/>
      <c r="AR222" s="3"/>
      <c r="AS222" s="3"/>
      <c r="AT222" s="3"/>
      <c r="AU222" s="235"/>
      <c r="AV222" s="360">
        <f t="shared" si="27"/>
        <v>4959143.1137590343</v>
      </c>
      <c r="AW222" s="235"/>
      <c r="AX222" s="354"/>
      <c r="AY222" s="14"/>
      <c r="AZ222" s="14">
        <f t="shared" si="29"/>
        <v>8625.9101841097581</v>
      </c>
      <c r="BA222" s="14">
        <f t="shared" si="28"/>
        <v>0.50214308985500544</v>
      </c>
      <c r="BB222" s="14">
        <f t="shared" si="2"/>
        <v>17178.191552134078</v>
      </c>
      <c r="BC222" s="14"/>
      <c r="BD222" s="14"/>
      <c r="BE222" s="14"/>
      <c r="BF222" s="14"/>
      <c r="BG222" s="14"/>
      <c r="BH222" s="14"/>
      <c r="BI222" s="14"/>
      <c r="BJ222" s="14"/>
      <c r="BK222" s="14"/>
      <c r="BL222" s="14"/>
      <c r="BM222" s="14"/>
      <c r="BN222" s="14"/>
      <c r="BO222" s="14"/>
      <c r="BP222" s="14"/>
      <c r="BQ222" s="14"/>
      <c r="BR222" s="14"/>
      <c r="BS222" s="14"/>
      <c r="BT222" s="14"/>
      <c r="BU222" s="14"/>
      <c r="BV222" s="14"/>
      <c r="BW222" s="14"/>
      <c r="BX222" s="14"/>
      <c r="BY222" s="14"/>
      <c r="BZ222" s="14"/>
      <c r="CA222" s="14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</row>
    <row r="223" spans="1:101" ht="14.25" customHeight="1" x14ac:dyDescent="0.2">
      <c r="A223" s="328"/>
      <c r="B223" s="52">
        <v>0.18528207688874598</v>
      </c>
      <c r="C223" s="330">
        <v>0.48430716381820327</v>
      </c>
      <c r="D223" s="330">
        <v>2.0111793431318747E-2</v>
      </c>
      <c r="E223" s="330">
        <v>9.9118650482996097E-3</v>
      </c>
      <c r="F223" s="331">
        <v>0.76872528132079743</v>
      </c>
      <c r="G223" s="94">
        <v>0.42851321564732192</v>
      </c>
      <c r="H223" s="330">
        <v>0.21503313394417647</v>
      </c>
      <c r="I223" s="330">
        <v>1.4250813318583556E-2</v>
      </c>
      <c r="J223" s="330">
        <v>0.99999996329687924</v>
      </c>
      <c r="K223" s="330">
        <v>0.74958346984356705</v>
      </c>
      <c r="L223" s="332">
        <v>16854.017213376323</v>
      </c>
      <c r="M223" s="330">
        <v>0</v>
      </c>
      <c r="N223" s="330">
        <v>18967.558182175384</v>
      </c>
      <c r="O223" s="330">
        <v>1093.1402085019738</v>
      </c>
      <c r="P223" s="330">
        <v>50642.217412351718</v>
      </c>
      <c r="Q223" s="333">
        <v>89519.992425259319</v>
      </c>
      <c r="R223" s="330">
        <v>25788.694282825276</v>
      </c>
      <c r="S223" s="330">
        <v>9426.5873014647004</v>
      </c>
      <c r="T223" s="332">
        <v>0.99998743080782648</v>
      </c>
      <c r="U223" s="330">
        <v>0.70858956080035052</v>
      </c>
      <c r="V223" s="330">
        <v>0.9992427476152157</v>
      </c>
      <c r="W223" s="330">
        <v>0.65027134586990964</v>
      </c>
      <c r="X223" s="330">
        <v>0.63812490436263325</v>
      </c>
      <c r="Y223" s="330">
        <v>0</v>
      </c>
      <c r="Z223" s="331">
        <v>0</v>
      </c>
      <c r="AA223" s="235"/>
      <c r="AB223" s="52">
        <v>97470.213965506686</v>
      </c>
      <c r="AC223" s="330">
        <v>3.1987049164857226</v>
      </c>
      <c r="AD223" s="330">
        <v>79685.900703778083</v>
      </c>
      <c r="AE223" s="330">
        <v>3.0022950863511375</v>
      </c>
      <c r="AF223" s="330">
        <v>17784.313261728603</v>
      </c>
      <c r="AG223" s="331">
        <v>0.19640983013458513</v>
      </c>
      <c r="AH223" s="235"/>
      <c r="AI223" s="208">
        <f t="shared" si="24"/>
        <v>2941299.4566959296</v>
      </c>
      <c r="AJ223" s="208">
        <f t="shared" si="25"/>
        <v>2772494.4313298026</v>
      </c>
      <c r="AK223" s="208">
        <f t="shared" si="26"/>
        <v>168805.02536612726</v>
      </c>
      <c r="AL223" s="235"/>
      <c r="AM223" s="52">
        <f t="shared" si="4"/>
        <v>1</v>
      </c>
      <c r="AN223" s="52">
        <f t="shared" si="5"/>
        <v>0</v>
      </c>
      <c r="AO223" s="52">
        <f t="shared" si="6"/>
        <v>1</v>
      </c>
      <c r="AP223" s="235"/>
      <c r="AQ223" s="3"/>
      <c r="AR223" s="3"/>
      <c r="AS223" s="3"/>
      <c r="AT223" s="3"/>
      <c r="AU223" s="235"/>
      <c r="AV223" s="360">
        <f t="shared" si="27"/>
        <v>2941299.4566959296</v>
      </c>
      <c r="AW223" s="235"/>
      <c r="AX223" s="354"/>
      <c r="AY223" s="14"/>
      <c r="AZ223" s="14">
        <f t="shared" si="29"/>
        <v>17784.313261728603</v>
      </c>
      <c r="BA223" s="14">
        <f t="shared" si="28"/>
        <v>0.19640983013458513</v>
      </c>
      <c r="BB223" s="14">
        <f t="shared" si="2"/>
        <v>90546.961165550267</v>
      </c>
      <c r="BC223" s="14"/>
      <c r="BD223" s="14"/>
      <c r="BE223" s="14"/>
      <c r="BF223" s="14"/>
      <c r="BG223" s="14"/>
      <c r="BH223" s="14"/>
      <c r="BI223" s="14"/>
      <c r="BJ223" s="14"/>
      <c r="BK223" s="14"/>
      <c r="BL223" s="14"/>
      <c r="BM223" s="14"/>
      <c r="BN223" s="14"/>
      <c r="BO223" s="14"/>
      <c r="BP223" s="14"/>
      <c r="BQ223" s="14"/>
      <c r="BR223" s="14"/>
      <c r="BS223" s="14"/>
      <c r="BT223" s="14"/>
      <c r="BU223" s="14"/>
      <c r="BV223" s="14"/>
      <c r="BW223" s="14"/>
      <c r="BX223" s="14"/>
      <c r="BY223" s="14"/>
      <c r="BZ223" s="14"/>
      <c r="CA223" s="14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</row>
    <row r="224" spans="1:101" ht="14.25" customHeight="1" x14ac:dyDescent="0.2">
      <c r="A224" s="328"/>
      <c r="B224" s="52">
        <v>0.13120016274743004</v>
      </c>
      <c r="C224" s="330">
        <v>0.67365171975890181</v>
      </c>
      <c r="D224" s="330">
        <v>2.0048166087800023E-2</v>
      </c>
      <c r="E224" s="330">
        <v>2.4203732738331873E-2</v>
      </c>
      <c r="F224" s="331">
        <v>0.7831148998343811</v>
      </c>
      <c r="G224" s="94">
        <v>0.39012957091555495</v>
      </c>
      <c r="H224" s="330">
        <v>0.35247957654276491</v>
      </c>
      <c r="I224" s="330">
        <v>1.8731467284904046E-2</v>
      </c>
      <c r="J224" s="330">
        <v>1</v>
      </c>
      <c r="K224" s="330">
        <v>0.69305937572238108</v>
      </c>
      <c r="L224" s="332">
        <v>12396.54802950603</v>
      </c>
      <c r="M224" s="330">
        <v>0</v>
      </c>
      <c r="N224" s="330">
        <v>16515.503288764707</v>
      </c>
      <c r="O224" s="330">
        <v>1115.9388835976295</v>
      </c>
      <c r="P224" s="330">
        <v>34006.015619441976</v>
      </c>
      <c r="Q224" s="333">
        <v>94702.770039046824</v>
      </c>
      <c r="R224" s="330">
        <v>19409.336417901981</v>
      </c>
      <c r="S224" s="330">
        <v>8622.6194941399044</v>
      </c>
      <c r="T224" s="332">
        <v>0.94469681577910436</v>
      </c>
      <c r="U224" s="330">
        <v>0.87397109834756359</v>
      </c>
      <c r="V224" s="330">
        <v>0.93616483303775322</v>
      </c>
      <c r="W224" s="330">
        <v>0.99666468077926818</v>
      </c>
      <c r="X224" s="330">
        <v>0.49520906552899152</v>
      </c>
      <c r="Y224" s="330">
        <v>0</v>
      </c>
      <c r="Z224" s="331">
        <v>0</v>
      </c>
      <c r="AA224" s="235"/>
      <c r="AB224" s="52">
        <v>86973.392680619523</v>
      </c>
      <c r="AC224" s="330">
        <v>2.7586892968094325</v>
      </c>
      <c r="AD224" s="330">
        <v>68340.90247484365</v>
      </c>
      <c r="AE224" s="330">
        <v>2.1637181738955369</v>
      </c>
      <c r="AF224" s="330">
        <v>18632.490205775874</v>
      </c>
      <c r="AG224" s="331">
        <v>0.59497112291389564</v>
      </c>
      <c r="AH224" s="235"/>
      <c r="AI224" s="208">
        <f t="shared" si="24"/>
        <v>2533781.4392883414</v>
      </c>
      <c r="AJ224" s="208">
        <f t="shared" si="25"/>
        <v>1987191.3627259163</v>
      </c>
      <c r="AK224" s="208">
        <f t="shared" si="26"/>
        <v>546590.07656242501</v>
      </c>
      <c r="AL224" s="235"/>
      <c r="AM224" s="52">
        <f t="shared" si="4"/>
        <v>1</v>
      </c>
      <c r="AN224" s="52">
        <f t="shared" si="5"/>
        <v>0</v>
      </c>
      <c r="AO224" s="52">
        <f t="shared" si="6"/>
        <v>1</v>
      </c>
      <c r="AP224" s="235"/>
      <c r="AQ224" s="3"/>
      <c r="AR224" s="3"/>
      <c r="AS224" s="3"/>
      <c r="AT224" s="3"/>
      <c r="AU224" s="235"/>
      <c r="AV224" s="360">
        <f t="shared" si="27"/>
        <v>2533781.4392883414</v>
      </c>
      <c r="AW224" s="235"/>
      <c r="AX224" s="354"/>
      <c r="AY224" s="14"/>
      <c r="AZ224" s="14">
        <f t="shared" si="29"/>
        <v>18632.490205775874</v>
      </c>
      <c r="BA224" s="14">
        <f t="shared" si="28"/>
        <v>0.59497112291389564</v>
      </c>
      <c r="BB224" s="14">
        <f t="shared" si="2"/>
        <v>31316.629476944163</v>
      </c>
      <c r="BC224" s="14"/>
      <c r="BD224" s="14"/>
      <c r="BE224" s="14"/>
      <c r="BF224" s="14"/>
      <c r="BG224" s="14"/>
      <c r="BH224" s="14"/>
      <c r="BI224" s="14"/>
      <c r="BJ224" s="14"/>
      <c r="BK224" s="14"/>
      <c r="BL224" s="14"/>
      <c r="BM224" s="14"/>
      <c r="BN224" s="14"/>
      <c r="BO224" s="14"/>
      <c r="BP224" s="14"/>
      <c r="BQ224" s="14"/>
      <c r="BR224" s="14"/>
      <c r="BS224" s="14"/>
      <c r="BT224" s="14"/>
      <c r="BU224" s="14"/>
      <c r="BV224" s="14"/>
      <c r="BW224" s="14"/>
      <c r="BX224" s="14"/>
      <c r="BY224" s="14"/>
      <c r="BZ224" s="14"/>
      <c r="CA224" s="14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</row>
    <row r="225" spans="1:101" ht="14.25" customHeight="1" x14ac:dyDescent="0.2">
      <c r="A225" s="328"/>
      <c r="B225" s="52">
        <v>0.1140274059030148</v>
      </c>
      <c r="C225" s="330">
        <v>6.2359437675219724E-2</v>
      </c>
      <c r="D225" s="330">
        <v>1.0261377816281619E-2</v>
      </c>
      <c r="E225" s="330">
        <v>1.9989605980975766E-2</v>
      </c>
      <c r="F225" s="331">
        <v>0.75315386716752952</v>
      </c>
      <c r="G225" s="94">
        <v>0.49475262278306431</v>
      </c>
      <c r="H225" s="330">
        <v>0.19857343319214379</v>
      </c>
      <c r="I225" s="330">
        <v>1.9567791177352745E-2</v>
      </c>
      <c r="J225" s="330">
        <v>0.99999794727701818</v>
      </c>
      <c r="K225" s="330">
        <v>0.75087236788460776</v>
      </c>
      <c r="L225" s="332">
        <v>14774.324689275432</v>
      </c>
      <c r="M225" s="330">
        <v>0</v>
      </c>
      <c r="N225" s="330">
        <v>17442.658041978055</v>
      </c>
      <c r="O225" s="330">
        <v>1422.2395577765185</v>
      </c>
      <c r="P225" s="330">
        <v>45169.693076238691</v>
      </c>
      <c r="Q225" s="333">
        <v>99067.786011585995</v>
      </c>
      <c r="R225" s="330">
        <v>27052.815058067616</v>
      </c>
      <c r="S225" s="330">
        <v>5403.6591011486298</v>
      </c>
      <c r="T225" s="332">
        <v>0.99981696991079128</v>
      </c>
      <c r="U225" s="330">
        <v>0.69315446834006134</v>
      </c>
      <c r="V225" s="330">
        <v>0.98685921928637854</v>
      </c>
      <c r="W225" s="330">
        <v>0.99998010651888902</v>
      </c>
      <c r="X225" s="330">
        <v>3.2583335110791451E-3</v>
      </c>
      <c r="Y225" s="330">
        <v>0</v>
      </c>
      <c r="Z225" s="331">
        <v>0</v>
      </c>
      <c r="AA225" s="235"/>
      <c r="AB225" s="52">
        <v>58920.067387199531</v>
      </c>
      <c r="AC225" s="330">
        <v>6.5376968581101869E-2</v>
      </c>
      <c r="AD225" s="330">
        <v>48432.560702910348</v>
      </c>
      <c r="AE225" s="330">
        <v>0.16695707600997248</v>
      </c>
      <c r="AF225" s="330">
        <v>10487.506684289183</v>
      </c>
      <c r="AG225" s="331">
        <v>-0.10158010742887061</v>
      </c>
      <c r="AH225" s="235"/>
      <c r="AI225" s="208">
        <f t="shared" si="24"/>
        <v>3188.0527648472416</v>
      </c>
      <c r="AJ225" s="208">
        <f t="shared" si="25"/>
        <v>110176.66150656348</v>
      </c>
      <c r="AK225" s="208">
        <f t="shared" si="26"/>
        <v>-106988.60874171626</v>
      </c>
      <c r="AL225" s="235"/>
      <c r="AM225" s="52">
        <f t="shared" si="4"/>
        <v>0</v>
      </c>
      <c r="AN225" s="52">
        <f t="shared" si="5"/>
        <v>1</v>
      </c>
      <c r="AO225" s="52">
        <f t="shared" si="6"/>
        <v>0</v>
      </c>
      <c r="AP225" s="235"/>
      <c r="AQ225" s="3"/>
      <c r="AR225" s="3"/>
      <c r="AS225" s="3"/>
      <c r="AT225" s="3"/>
      <c r="AU225" s="235"/>
      <c r="AV225" s="360">
        <f t="shared" si="27"/>
        <v>110176.66150656348</v>
      </c>
      <c r="AW225" s="235"/>
      <c r="AX225" s="354"/>
      <c r="AY225" s="14"/>
      <c r="AZ225" s="14">
        <f t="shared" si="29"/>
        <v>10487.506684289183</v>
      </c>
      <c r="BA225" s="14">
        <f t="shared" si="28"/>
        <v>-0.10158010742887061</v>
      </c>
      <c r="BB225" s="14">
        <f t="shared" si="2"/>
        <v>-103243.70538427363</v>
      </c>
      <c r="BC225" s="14"/>
      <c r="BD225" s="14"/>
      <c r="BE225" s="14"/>
      <c r="BF225" s="14"/>
      <c r="BG225" s="14"/>
      <c r="BH225" s="14"/>
      <c r="BI225" s="14"/>
      <c r="BJ225" s="14"/>
      <c r="BK225" s="14"/>
      <c r="BL225" s="14"/>
      <c r="BM225" s="14"/>
      <c r="BN225" s="14"/>
      <c r="BO225" s="14"/>
      <c r="BP225" s="14"/>
      <c r="BQ225" s="14"/>
      <c r="BR225" s="14"/>
      <c r="BS225" s="14"/>
      <c r="BT225" s="14"/>
      <c r="BU225" s="14"/>
      <c r="BV225" s="14"/>
      <c r="BW225" s="14"/>
      <c r="BX225" s="14"/>
      <c r="BY225" s="14"/>
      <c r="BZ225" s="14"/>
      <c r="CA225" s="14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</row>
    <row r="226" spans="1:101" ht="14.25" customHeight="1" x14ac:dyDescent="0.2">
      <c r="A226" s="328"/>
      <c r="B226" s="52">
        <v>0.14220209046782456</v>
      </c>
      <c r="C226" s="330">
        <v>0.15366533332693297</v>
      </c>
      <c r="D226" s="330">
        <v>4.8462908787363146E-2</v>
      </c>
      <c r="E226" s="330">
        <v>9.3649588481187485E-3</v>
      </c>
      <c r="F226" s="331">
        <v>0.77307811566669338</v>
      </c>
      <c r="G226" s="94">
        <v>0.39155884271853852</v>
      </c>
      <c r="H226" s="330">
        <v>0.60697277960421281</v>
      </c>
      <c r="I226" s="330">
        <v>3.0501052367610137E-2</v>
      </c>
      <c r="J226" s="330">
        <v>0.99909479659292988</v>
      </c>
      <c r="K226" s="330">
        <v>0.74937324614823775</v>
      </c>
      <c r="L226" s="332">
        <v>12298.459450992845</v>
      </c>
      <c r="M226" s="330">
        <v>0</v>
      </c>
      <c r="N226" s="330">
        <v>15512.496227491352</v>
      </c>
      <c r="O226" s="330">
        <v>1103.420421152817</v>
      </c>
      <c r="P226" s="330">
        <v>39439.528445024851</v>
      </c>
      <c r="Q226" s="333">
        <v>102384.90870948607</v>
      </c>
      <c r="R226" s="330">
        <v>27563.993782041704</v>
      </c>
      <c r="S226" s="330">
        <v>10135.875933113834</v>
      </c>
      <c r="T226" s="332">
        <v>0.99999904620922453</v>
      </c>
      <c r="U226" s="330">
        <v>0.99951238388891639</v>
      </c>
      <c r="V226" s="330">
        <v>0.89590992403960956</v>
      </c>
      <c r="W226" s="330">
        <v>0.99999988441797782</v>
      </c>
      <c r="X226" s="330">
        <v>0.8955008523156569</v>
      </c>
      <c r="Y226" s="330">
        <v>0</v>
      </c>
      <c r="Z226" s="331">
        <v>0</v>
      </c>
      <c r="AA226" s="235"/>
      <c r="AB226" s="52">
        <v>97854.856654916017</v>
      </c>
      <c r="AC226" s="330">
        <v>4.7169296383844088</v>
      </c>
      <c r="AD226" s="330">
        <v>90221.962636028227</v>
      </c>
      <c r="AE226" s="330">
        <v>4.3204274857451015</v>
      </c>
      <c r="AF226" s="330">
        <v>7632.8940188877896</v>
      </c>
      <c r="AG226" s="331">
        <v>0.39650215263930733</v>
      </c>
      <c r="AH226" s="235"/>
      <c r="AI226" s="208">
        <f t="shared" si="24"/>
        <v>4383228.2998102726</v>
      </c>
      <c r="AJ226" s="208">
        <f t="shared" si="25"/>
        <v>4014184.1488218182</v>
      </c>
      <c r="AK226" s="208">
        <f t="shared" si="26"/>
        <v>369044.15098845417</v>
      </c>
      <c r="AL226" s="235"/>
      <c r="AM226" s="52">
        <f t="shared" si="4"/>
        <v>1</v>
      </c>
      <c r="AN226" s="52">
        <f t="shared" si="5"/>
        <v>0</v>
      </c>
      <c r="AO226" s="52">
        <f t="shared" si="6"/>
        <v>1</v>
      </c>
      <c r="AP226" s="235"/>
      <c r="AQ226" s="3"/>
      <c r="AR226" s="3"/>
      <c r="AS226" s="3"/>
      <c r="AT226" s="3"/>
      <c r="AU226" s="235"/>
      <c r="AV226" s="360">
        <f t="shared" si="27"/>
        <v>4383228.2998102726</v>
      </c>
      <c r="AW226" s="235"/>
      <c r="AX226" s="354"/>
      <c r="AY226" s="14"/>
      <c r="AZ226" s="14">
        <f t="shared" si="29"/>
        <v>7632.8940188877896</v>
      </c>
      <c r="BA226" s="14">
        <f t="shared" si="28"/>
        <v>0.39650215263930733</v>
      </c>
      <c r="BB226" s="14">
        <f t="shared" si="2"/>
        <v>19250.57397060674</v>
      </c>
      <c r="BC226" s="14"/>
      <c r="BD226" s="14"/>
      <c r="BE226" s="14"/>
      <c r="BF226" s="14"/>
      <c r="BG226" s="14"/>
      <c r="BH226" s="14"/>
      <c r="BI226" s="14"/>
      <c r="BJ226" s="14"/>
      <c r="BK226" s="14"/>
      <c r="BL226" s="14"/>
      <c r="BM226" s="14"/>
      <c r="BN226" s="14"/>
      <c r="BO226" s="14"/>
      <c r="BP226" s="14"/>
      <c r="BQ226" s="14"/>
      <c r="BR226" s="14"/>
      <c r="BS226" s="14"/>
      <c r="BT226" s="14"/>
      <c r="BU226" s="14"/>
      <c r="BV226" s="14"/>
      <c r="BW226" s="14"/>
      <c r="BX226" s="14"/>
      <c r="BY226" s="14"/>
      <c r="BZ226" s="14"/>
      <c r="CA226" s="14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</row>
    <row r="227" spans="1:101" ht="14.25" customHeight="1" x14ac:dyDescent="0.2">
      <c r="A227" s="328"/>
      <c r="B227" s="52">
        <v>0.1514503804058199</v>
      </c>
      <c r="C227" s="330">
        <v>6.8389169398564292E-2</v>
      </c>
      <c r="D227" s="330">
        <v>2.1182458056351883E-2</v>
      </c>
      <c r="E227" s="330">
        <v>6.0522347338859642E-3</v>
      </c>
      <c r="F227" s="331">
        <v>0.84245082125823845</v>
      </c>
      <c r="G227" s="94">
        <v>0.3862572802996867</v>
      </c>
      <c r="H227" s="330">
        <v>3.9720547564312182E-2</v>
      </c>
      <c r="I227" s="330">
        <v>1.0644026643367258E-2</v>
      </c>
      <c r="J227" s="330">
        <v>3.0486904582771161E-3</v>
      </c>
      <c r="K227" s="330">
        <v>0.79085328527161824</v>
      </c>
      <c r="L227" s="332">
        <v>13985.424231358515</v>
      </c>
      <c r="M227" s="330">
        <v>0</v>
      </c>
      <c r="N227" s="330">
        <v>16132.694330861366</v>
      </c>
      <c r="O227" s="330">
        <v>1169.8668115191172</v>
      </c>
      <c r="P227" s="330">
        <v>37244.199414418865</v>
      </c>
      <c r="Q227" s="333">
        <v>76113.815112905548</v>
      </c>
      <c r="R227" s="330">
        <v>26969.049445518831</v>
      </c>
      <c r="S227" s="330">
        <v>7335.4007803144277</v>
      </c>
      <c r="T227" s="332">
        <v>0.99776601625479655</v>
      </c>
      <c r="U227" s="330">
        <v>0.98935087563227375</v>
      </c>
      <c r="V227" s="330">
        <v>0.94743508059959014</v>
      </c>
      <c r="W227" s="330">
        <v>0.99999986936000262</v>
      </c>
      <c r="X227" s="330">
        <v>0.81626828130646156</v>
      </c>
      <c r="Y227" s="330">
        <v>0</v>
      </c>
      <c r="Z227" s="331">
        <v>0</v>
      </c>
      <c r="AA227" s="235"/>
      <c r="AB227" s="52">
        <v>81003.095703708183</v>
      </c>
      <c r="AC227" s="330">
        <v>4.6025653749996476</v>
      </c>
      <c r="AD227" s="330">
        <v>63436.710977904957</v>
      </c>
      <c r="AE227" s="330">
        <v>4.3326316805446243</v>
      </c>
      <c r="AF227" s="330">
        <v>17566.384725803226</v>
      </c>
      <c r="AG227" s="331">
        <v>0.26993369445502324</v>
      </c>
      <c r="AH227" s="235"/>
      <c r="AI227" s="208">
        <f t="shared" si="24"/>
        <v>4291434.0105459569</v>
      </c>
      <c r="AJ227" s="208">
        <f t="shared" si="25"/>
        <v>4052563.3855394879</v>
      </c>
      <c r="AK227" s="208">
        <f t="shared" si="26"/>
        <v>238870.62500646885</v>
      </c>
      <c r="AL227" s="235"/>
      <c r="AM227" s="52">
        <f t="shared" si="4"/>
        <v>1</v>
      </c>
      <c r="AN227" s="52">
        <f t="shared" si="5"/>
        <v>0</v>
      </c>
      <c r="AO227" s="52">
        <f t="shared" si="6"/>
        <v>1</v>
      </c>
      <c r="AP227" s="235"/>
      <c r="AQ227" s="3"/>
      <c r="AR227" s="3"/>
      <c r="AS227" s="3"/>
      <c r="AT227" s="3"/>
      <c r="AU227" s="235"/>
      <c r="AV227" s="360">
        <f t="shared" si="27"/>
        <v>4291434.0105459569</v>
      </c>
      <c r="AW227" s="235"/>
      <c r="AX227" s="354"/>
      <c r="AY227" s="14"/>
      <c r="AZ227" s="14">
        <f t="shared" si="29"/>
        <v>17566.384725803226</v>
      </c>
      <c r="BA227" s="14">
        <f t="shared" si="28"/>
        <v>0.26993369445502324</v>
      </c>
      <c r="BB227" s="14">
        <f t="shared" si="2"/>
        <v>65076.665442854384</v>
      </c>
      <c r="BC227" s="14"/>
      <c r="BD227" s="14"/>
      <c r="BE227" s="14"/>
      <c r="BF227" s="14"/>
      <c r="BG227" s="14"/>
      <c r="BH227" s="14"/>
      <c r="BI227" s="14"/>
      <c r="BJ227" s="14"/>
      <c r="BK227" s="14"/>
      <c r="BL227" s="14"/>
      <c r="BM227" s="14"/>
      <c r="BN227" s="14"/>
      <c r="BO227" s="14"/>
      <c r="BP227" s="14"/>
      <c r="BQ227" s="14"/>
      <c r="BR227" s="14"/>
      <c r="BS227" s="14"/>
      <c r="BT227" s="14"/>
      <c r="BU227" s="14"/>
      <c r="BV227" s="14"/>
      <c r="BW227" s="14"/>
      <c r="BX227" s="14"/>
      <c r="BY227" s="14"/>
      <c r="BZ227" s="14"/>
      <c r="CA227" s="14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</row>
    <row r="228" spans="1:101" ht="14.25" customHeight="1" x14ac:dyDescent="0.2">
      <c r="A228" s="328"/>
      <c r="B228" s="52">
        <v>0.17636476949570901</v>
      </c>
      <c r="C228" s="330">
        <v>3.5381709637984461E-2</v>
      </c>
      <c r="D228" s="330">
        <v>2.8127050510724727E-2</v>
      </c>
      <c r="E228" s="330">
        <v>2.6025400366274432E-2</v>
      </c>
      <c r="F228" s="331">
        <v>0.788723320794948</v>
      </c>
      <c r="G228" s="94">
        <v>0.36578187204982116</v>
      </c>
      <c r="H228" s="330">
        <v>0.70230762035860017</v>
      </c>
      <c r="I228" s="330">
        <v>1.6053118624091756E-2</v>
      </c>
      <c r="J228" s="330">
        <v>0.9998825480636897</v>
      </c>
      <c r="K228" s="330">
        <v>0.74287268179590138</v>
      </c>
      <c r="L228" s="332">
        <v>10201.275269689913</v>
      </c>
      <c r="M228" s="330">
        <v>0</v>
      </c>
      <c r="N228" s="330">
        <v>17213.560386228837</v>
      </c>
      <c r="O228" s="330">
        <v>1074.0131884792934</v>
      </c>
      <c r="P228" s="330">
        <v>44867.636286920024</v>
      </c>
      <c r="Q228" s="333">
        <v>115107.46256905487</v>
      </c>
      <c r="R228" s="330">
        <v>22152.2855266185</v>
      </c>
      <c r="S228" s="330">
        <v>7717.1091045108278</v>
      </c>
      <c r="T228" s="332">
        <v>0.94980756705144687</v>
      </c>
      <c r="U228" s="330">
        <v>0.43321430545705947</v>
      </c>
      <c r="V228" s="330">
        <v>0.84552554209527753</v>
      </c>
      <c r="W228" s="330">
        <v>0.97953478075578138</v>
      </c>
      <c r="X228" s="330">
        <v>0.93485722512608915</v>
      </c>
      <c r="Y228" s="330">
        <v>0</v>
      </c>
      <c r="Z228" s="331">
        <v>0</v>
      </c>
      <c r="AA228" s="235"/>
      <c r="AB228" s="52">
        <v>76425.343041205168</v>
      </c>
      <c r="AC228" s="330">
        <v>4.9238601725422688</v>
      </c>
      <c r="AD228" s="330">
        <v>68557.552389581528</v>
      </c>
      <c r="AE228" s="330">
        <v>4.2503289371480166</v>
      </c>
      <c r="AF228" s="330">
        <v>7867.7906516236399</v>
      </c>
      <c r="AG228" s="331">
        <v>0.67353123539425219</v>
      </c>
      <c r="AH228" s="235"/>
      <c r="AI228" s="208">
        <f t="shared" si="24"/>
        <v>4601241.8208739506</v>
      </c>
      <c r="AJ228" s="208">
        <f t="shared" si="25"/>
        <v>3969254.937901034</v>
      </c>
      <c r="AK228" s="208">
        <f t="shared" si="26"/>
        <v>631986.88297291601</v>
      </c>
      <c r="AL228" s="235"/>
      <c r="AM228" s="52">
        <f t="shared" si="4"/>
        <v>1</v>
      </c>
      <c r="AN228" s="52">
        <f t="shared" si="5"/>
        <v>0</v>
      </c>
      <c r="AO228" s="52">
        <f t="shared" si="6"/>
        <v>1</v>
      </c>
      <c r="AP228" s="235"/>
      <c r="AQ228" s="3"/>
      <c r="AR228" s="3"/>
      <c r="AS228" s="3"/>
      <c r="AT228" s="3"/>
      <c r="AU228" s="235"/>
      <c r="AV228" s="360">
        <f t="shared" si="27"/>
        <v>4601241.8208739506</v>
      </c>
      <c r="AW228" s="235"/>
      <c r="AX228" s="354"/>
      <c r="AY228" s="14"/>
      <c r="AZ228" s="14">
        <f t="shared" si="29"/>
        <v>7867.7906516236399</v>
      </c>
      <c r="BA228" s="14">
        <f t="shared" si="28"/>
        <v>0.67353123539425219</v>
      </c>
      <c r="BB228" s="14">
        <f t="shared" si="2"/>
        <v>11681.404273727885</v>
      </c>
      <c r="BC228" s="14"/>
      <c r="BD228" s="14"/>
      <c r="BE228" s="14"/>
      <c r="BF228" s="14"/>
      <c r="BG228" s="14"/>
      <c r="BH228" s="14"/>
      <c r="BI228" s="14"/>
      <c r="BJ228" s="14"/>
      <c r="BK228" s="14"/>
      <c r="BL228" s="14"/>
      <c r="BM228" s="14"/>
      <c r="BN228" s="14"/>
      <c r="BO228" s="14"/>
      <c r="BP228" s="14"/>
      <c r="BQ228" s="14"/>
      <c r="BR228" s="14"/>
      <c r="BS228" s="14"/>
      <c r="BT228" s="14"/>
      <c r="BU228" s="14"/>
      <c r="BV228" s="14"/>
      <c r="BW228" s="14"/>
      <c r="BX228" s="14"/>
      <c r="BY228" s="14"/>
      <c r="BZ228" s="14"/>
      <c r="CA228" s="14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</row>
    <row r="229" spans="1:101" ht="14.25" customHeight="1" x14ac:dyDescent="0.2">
      <c r="A229" s="328"/>
      <c r="B229" s="52">
        <v>0.16431572322930821</v>
      </c>
      <c r="C229" s="330">
        <v>0.47163528575699687</v>
      </c>
      <c r="D229" s="330">
        <v>1.0873477429871117E-2</v>
      </c>
      <c r="E229" s="330">
        <v>2.3722951553138083E-2</v>
      </c>
      <c r="F229" s="331">
        <v>0.81238335123742866</v>
      </c>
      <c r="G229" s="94">
        <v>0.35350275593451902</v>
      </c>
      <c r="H229" s="330">
        <v>0.99904065266307351</v>
      </c>
      <c r="I229" s="330">
        <v>2.7475423913745023E-2</v>
      </c>
      <c r="J229" s="330">
        <v>0.98560025839147014</v>
      </c>
      <c r="K229" s="330">
        <v>0.77002586065859113</v>
      </c>
      <c r="L229" s="332">
        <v>15201.408999336989</v>
      </c>
      <c r="M229" s="330">
        <v>0</v>
      </c>
      <c r="N229" s="330">
        <v>16633.34051655298</v>
      </c>
      <c r="O229" s="330">
        <v>1190.180906172212</v>
      </c>
      <c r="P229" s="330">
        <v>52779.030837607868</v>
      </c>
      <c r="Q229" s="333">
        <v>95144.987655473728</v>
      </c>
      <c r="R229" s="330">
        <v>28236.025491437547</v>
      </c>
      <c r="S229" s="330">
        <v>7139.0272352775528</v>
      </c>
      <c r="T229" s="332">
        <v>0.85539337537424021</v>
      </c>
      <c r="U229" s="330">
        <v>0.52801823687463445</v>
      </c>
      <c r="V229" s="330">
        <v>0.98822510834672783</v>
      </c>
      <c r="W229" s="330">
        <v>0.27530749795554504</v>
      </c>
      <c r="X229" s="330">
        <v>0.60885965120108099</v>
      </c>
      <c r="Y229" s="330">
        <v>0</v>
      </c>
      <c r="Z229" s="331">
        <v>0</v>
      </c>
      <c r="AA229" s="235"/>
      <c r="AB229" s="52">
        <v>79995.257604224767</v>
      </c>
      <c r="AC229" s="330">
        <v>3.0268629001027625</v>
      </c>
      <c r="AD229" s="330">
        <v>70828.71493624401</v>
      </c>
      <c r="AE229" s="330">
        <v>2.9725965495466147</v>
      </c>
      <c r="AF229" s="330">
        <v>9166.542667980757</v>
      </c>
      <c r="AG229" s="331">
        <v>5.4266350556147813E-2</v>
      </c>
      <c r="AH229" s="235"/>
      <c r="AI229" s="208">
        <f t="shared" si="24"/>
        <v>2795524.4974933998</v>
      </c>
      <c r="AJ229" s="208">
        <f t="shared" si="25"/>
        <v>2753138.0071330401</v>
      </c>
      <c r="AK229" s="208">
        <f t="shared" si="26"/>
        <v>42386.490360359669</v>
      </c>
      <c r="AL229" s="235"/>
      <c r="AM229" s="52">
        <f t="shared" si="4"/>
        <v>1</v>
      </c>
      <c r="AN229" s="52">
        <f t="shared" si="5"/>
        <v>0</v>
      </c>
      <c r="AO229" s="52">
        <f t="shared" si="6"/>
        <v>1</v>
      </c>
      <c r="AP229" s="235"/>
      <c r="AQ229" s="3"/>
      <c r="AR229" s="3"/>
      <c r="AS229" s="3"/>
      <c r="AT229" s="3"/>
      <c r="AU229" s="235"/>
      <c r="AV229" s="360">
        <f t="shared" si="27"/>
        <v>2795524.4974933998</v>
      </c>
      <c r="AW229" s="235"/>
      <c r="AX229" s="354"/>
      <c r="AY229" s="14"/>
      <c r="AZ229" s="14">
        <f t="shared" si="29"/>
        <v>9166.542667980757</v>
      </c>
      <c r="BA229" s="14">
        <f t="shared" si="28"/>
        <v>5.4266350556147813E-2</v>
      </c>
      <c r="BB229" s="14">
        <f t="shared" si="2"/>
        <v>168917.61789834019</v>
      </c>
      <c r="BC229" s="14"/>
      <c r="BD229" s="14"/>
      <c r="BE229" s="14"/>
      <c r="BF229" s="14"/>
      <c r="BG229" s="14"/>
      <c r="BH229" s="14"/>
      <c r="BI229" s="14"/>
      <c r="BJ229" s="14"/>
      <c r="BK229" s="14"/>
      <c r="BL229" s="14"/>
      <c r="BM229" s="14"/>
      <c r="BN229" s="14"/>
      <c r="BO229" s="14"/>
      <c r="BP229" s="14"/>
      <c r="BQ229" s="14"/>
      <c r="BR229" s="14"/>
      <c r="BS229" s="14"/>
      <c r="BT229" s="14"/>
      <c r="BU229" s="14"/>
      <c r="BV229" s="14"/>
      <c r="BW229" s="14"/>
      <c r="BX229" s="14"/>
      <c r="BY229" s="14"/>
      <c r="BZ229" s="14"/>
      <c r="CA229" s="14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</row>
    <row r="230" spans="1:101" ht="14.25" customHeight="1" x14ac:dyDescent="0.2">
      <c r="A230" s="328"/>
      <c r="B230" s="52">
        <v>0.16767850188875144</v>
      </c>
      <c r="C230" s="330">
        <v>0.36309436538229378</v>
      </c>
      <c r="D230" s="330">
        <v>7.0641436210694044E-3</v>
      </c>
      <c r="E230" s="330">
        <v>1.4692067860011981E-2</v>
      </c>
      <c r="F230" s="331">
        <v>0.80687053653344254</v>
      </c>
      <c r="G230" s="94">
        <v>0.43899336212619877</v>
      </c>
      <c r="H230" s="330">
        <v>0.83106480643406688</v>
      </c>
      <c r="I230" s="330">
        <v>2.2354174381536862E-2</v>
      </c>
      <c r="J230" s="330">
        <v>0.99696584744392669</v>
      </c>
      <c r="K230" s="330">
        <v>0.75861682100304451</v>
      </c>
      <c r="L230" s="332">
        <v>13311.283302222626</v>
      </c>
      <c r="M230" s="330">
        <v>0</v>
      </c>
      <c r="N230" s="330">
        <v>14999.121418081189</v>
      </c>
      <c r="O230" s="330">
        <v>1474.3648993110082</v>
      </c>
      <c r="P230" s="330">
        <v>41707.847264176904</v>
      </c>
      <c r="Q230" s="333">
        <v>87274.476593884348</v>
      </c>
      <c r="R230" s="330">
        <v>27243.076721817866</v>
      </c>
      <c r="S230" s="330">
        <v>12517.777299929767</v>
      </c>
      <c r="T230" s="332">
        <v>0.95320233876699156</v>
      </c>
      <c r="U230" s="330">
        <v>0.9937380238807425</v>
      </c>
      <c r="V230" s="330">
        <v>0.95729350231732846</v>
      </c>
      <c r="W230" s="330">
        <v>0.53544582553265063</v>
      </c>
      <c r="X230" s="330">
        <v>0.93851800397432827</v>
      </c>
      <c r="Y230" s="330">
        <v>0</v>
      </c>
      <c r="Z230" s="331">
        <v>0</v>
      </c>
      <c r="AA230" s="235"/>
      <c r="AB230" s="52">
        <v>123709.36775610065</v>
      </c>
      <c r="AC230" s="330">
        <v>4.8548714715516494</v>
      </c>
      <c r="AD230" s="330">
        <v>113778.40059886441</v>
      </c>
      <c r="AE230" s="330">
        <v>4.419522394716231</v>
      </c>
      <c r="AF230" s="330">
        <v>9930.9671572362422</v>
      </c>
      <c r="AG230" s="331">
        <v>0.43534907683541846</v>
      </c>
      <c r="AH230" s="235"/>
      <c r="AI230" s="208">
        <f t="shared" si="24"/>
        <v>4488418.530217967</v>
      </c>
      <c r="AJ230" s="208">
        <f t="shared" si="25"/>
        <v>4084767.8743815548</v>
      </c>
      <c r="AK230" s="208">
        <f t="shared" si="26"/>
        <v>403650.65583641129</v>
      </c>
      <c r="AL230" s="235"/>
      <c r="AM230" s="52">
        <f t="shared" si="4"/>
        <v>1</v>
      </c>
      <c r="AN230" s="52">
        <f t="shared" si="5"/>
        <v>0</v>
      </c>
      <c r="AO230" s="52">
        <f t="shared" si="6"/>
        <v>1</v>
      </c>
      <c r="AP230" s="235"/>
      <c r="AQ230" s="3"/>
      <c r="AR230" s="3"/>
      <c r="AS230" s="3"/>
      <c r="AT230" s="3"/>
      <c r="AU230" s="235"/>
      <c r="AV230" s="360">
        <f t="shared" si="27"/>
        <v>4488418.530217967</v>
      </c>
      <c r="AW230" s="235"/>
      <c r="AX230" s="354"/>
      <c r="AY230" s="14"/>
      <c r="AZ230" s="14">
        <f t="shared" si="29"/>
        <v>9930.9671572362422</v>
      </c>
      <c r="BA230" s="14">
        <f t="shared" si="28"/>
        <v>0.43534907683541846</v>
      </c>
      <c r="BB230" s="14">
        <f t="shared" si="2"/>
        <v>22811.503884251015</v>
      </c>
      <c r="BC230" s="14"/>
      <c r="BD230" s="14"/>
      <c r="BE230" s="14"/>
      <c r="BF230" s="14"/>
      <c r="BG230" s="14"/>
      <c r="BH230" s="14"/>
      <c r="BI230" s="14"/>
      <c r="BJ230" s="14"/>
      <c r="BK230" s="14"/>
      <c r="BL230" s="14"/>
      <c r="BM230" s="14"/>
      <c r="BN230" s="14"/>
      <c r="BO230" s="14"/>
      <c r="BP230" s="14"/>
      <c r="BQ230" s="14"/>
      <c r="BR230" s="14"/>
      <c r="BS230" s="14"/>
      <c r="BT230" s="14"/>
      <c r="BU230" s="14"/>
      <c r="BV230" s="14"/>
      <c r="BW230" s="14"/>
      <c r="BX230" s="14"/>
      <c r="BY230" s="14"/>
      <c r="BZ230" s="14"/>
      <c r="CA230" s="14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</row>
    <row r="231" spans="1:101" ht="14.25" customHeight="1" x14ac:dyDescent="0.2">
      <c r="A231" s="328"/>
      <c r="B231" s="52">
        <v>0.1315700668478163</v>
      </c>
      <c r="C231" s="330">
        <v>0.18601222528338934</v>
      </c>
      <c r="D231" s="330">
        <v>1.4495814326419887E-2</v>
      </c>
      <c r="E231" s="330">
        <v>7.4905155065011272E-3</v>
      </c>
      <c r="F231" s="331">
        <v>0.78991349132947364</v>
      </c>
      <c r="G231" s="94">
        <v>0.38599419612267472</v>
      </c>
      <c r="H231" s="330">
        <v>0.78815655513514637</v>
      </c>
      <c r="I231" s="330">
        <v>5.3058067444341096E-3</v>
      </c>
      <c r="J231" s="330">
        <v>0.95256084524948514</v>
      </c>
      <c r="K231" s="330">
        <v>0.77476129656853632</v>
      </c>
      <c r="L231" s="332">
        <v>9835.7294312636004</v>
      </c>
      <c r="M231" s="330">
        <v>0</v>
      </c>
      <c r="N231" s="330">
        <v>19281.560710695427</v>
      </c>
      <c r="O231" s="330">
        <v>1211.6190220031754</v>
      </c>
      <c r="P231" s="330">
        <v>52308.139264174584</v>
      </c>
      <c r="Q231" s="333">
        <v>84332.502551615573</v>
      </c>
      <c r="R231" s="330">
        <v>18842.217308422729</v>
      </c>
      <c r="S231" s="330">
        <v>6547.1714651948505</v>
      </c>
      <c r="T231" s="332">
        <v>0.95908331771527233</v>
      </c>
      <c r="U231" s="330">
        <v>0.95456108703328535</v>
      </c>
      <c r="V231" s="330">
        <v>0.33077818456498098</v>
      </c>
      <c r="W231" s="330">
        <v>0.48553855828039083</v>
      </c>
      <c r="X231" s="330">
        <v>0.90415849449847263</v>
      </c>
      <c r="Y231" s="330">
        <v>0</v>
      </c>
      <c r="Z231" s="331">
        <v>0</v>
      </c>
      <c r="AA231" s="235"/>
      <c r="AB231" s="52">
        <v>66116.841655737197</v>
      </c>
      <c r="AC231" s="330">
        <v>4.4750576408608174</v>
      </c>
      <c r="AD231" s="330">
        <v>60923.186242294461</v>
      </c>
      <c r="AE231" s="330">
        <v>4.6120345543446728</v>
      </c>
      <c r="AF231" s="330">
        <v>5193.6554134427352</v>
      </c>
      <c r="AG231" s="331">
        <v>-0.13697691348385543</v>
      </c>
      <c r="AH231" s="235"/>
      <c r="AI231" s="208">
        <f t="shared" si="24"/>
        <v>4185187.9171620389</v>
      </c>
      <c r="AJ231" s="208">
        <f t="shared" si="25"/>
        <v>4320509.6403851444</v>
      </c>
      <c r="AK231" s="208">
        <f t="shared" si="26"/>
        <v>-135321.72322310539</v>
      </c>
      <c r="AL231" s="235"/>
      <c r="AM231" s="52">
        <f t="shared" si="4"/>
        <v>0</v>
      </c>
      <c r="AN231" s="52">
        <f t="shared" si="5"/>
        <v>1</v>
      </c>
      <c r="AO231" s="52">
        <f t="shared" si="6"/>
        <v>0</v>
      </c>
      <c r="AP231" s="235"/>
      <c r="AQ231" s="3"/>
      <c r="AR231" s="3"/>
      <c r="AS231" s="3"/>
      <c r="AT231" s="3"/>
      <c r="AU231" s="235"/>
      <c r="AV231" s="360">
        <f t="shared" si="27"/>
        <v>4320509.6403851444</v>
      </c>
      <c r="AW231" s="235"/>
      <c r="AX231" s="354"/>
      <c r="AY231" s="14"/>
      <c r="AZ231" s="14">
        <f t="shared" si="29"/>
        <v>5193.6554134427352</v>
      </c>
      <c r="BA231" s="14">
        <f t="shared" si="28"/>
        <v>-0.13697691348385543</v>
      </c>
      <c r="BB231" s="14">
        <f t="shared" si="2"/>
        <v>-37916.282980451862</v>
      </c>
      <c r="BC231" s="14"/>
      <c r="BD231" s="14"/>
      <c r="BE231" s="14"/>
      <c r="BF231" s="14"/>
      <c r="BG231" s="14"/>
      <c r="BH231" s="14"/>
      <c r="BI231" s="14"/>
      <c r="BJ231" s="14"/>
      <c r="BK231" s="14"/>
      <c r="BL231" s="14"/>
      <c r="BM231" s="14"/>
      <c r="BN231" s="14"/>
      <c r="BO231" s="14"/>
      <c r="BP231" s="14"/>
      <c r="BQ231" s="14"/>
      <c r="BR231" s="14"/>
      <c r="BS231" s="14"/>
      <c r="BT231" s="14"/>
      <c r="BU231" s="14"/>
      <c r="BV231" s="14"/>
      <c r="BW231" s="14"/>
      <c r="BX231" s="14"/>
      <c r="BY231" s="14"/>
      <c r="BZ231" s="14"/>
      <c r="CA231" s="14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</row>
    <row r="232" spans="1:101" ht="14.25" customHeight="1" x14ac:dyDescent="0.2">
      <c r="A232" s="328"/>
      <c r="B232" s="52">
        <v>0.17539106357270617</v>
      </c>
      <c r="C232" s="330">
        <v>0.4997862187375256</v>
      </c>
      <c r="D232" s="330">
        <v>9.0504575921210792E-3</v>
      </c>
      <c r="E232" s="330">
        <v>1.3668365750526294E-2</v>
      </c>
      <c r="F232" s="331">
        <v>0.77591526544050471</v>
      </c>
      <c r="G232" s="94">
        <v>0.32500621006246733</v>
      </c>
      <c r="H232" s="330">
        <v>0.79635345988738715</v>
      </c>
      <c r="I232" s="330">
        <v>1.4892588502003553E-2</v>
      </c>
      <c r="J232" s="330">
        <v>0.89444530671004896</v>
      </c>
      <c r="K232" s="330">
        <v>0.74680182247808524</v>
      </c>
      <c r="L232" s="332">
        <v>12273.64148659185</v>
      </c>
      <c r="M232" s="330">
        <v>0</v>
      </c>
      <c r="N232" s="330">
        <v>24595.01902901868</v>
      </c>
      <c r="O232" s="330">
        <v>1596.4481186843111</v>
      </c>
      <c r="P232" s="330">
        <v>33568.715950467697</v>
      </c>
      <c r="Q232" s="333">
        <v>102667.04420187986</v>
      </c>
      <c r="R232" s="330">
        <v>24115.978240925175</v>
      </c>
      <c r="S232" s="330">
        <v>9442.2424820532924</v>
      </c>
      <c r="T232" s="332">
        <v>0.99620126082077531</v>
      </c>
      <c r="U232" s="330">
        <v>0.74563272423186722</v>
      </c>
      <c r="V232" s="330">
        <v>0.68105785910116234</v>
      </c>
      <c r="W232" s="330">
        <v>0.99638735163610614</v>
      </c>
      <c r="X232" s="330">
        <v>0.95684252129977276</v>
      </c>
      <c r="Y232" s="330">
        <v>0</v>
      </c>
      <c r="Z232" s="331">
        <v>0</v>
      </c>
      <c r="AA232" s="235"/>
      <c r="AB232" s="52">
        <v>93452.91506022359</v>
      </c>
      <c r="AC232" s="330">
        <v>4.4871460882122776</v>
      </c>
      <c r="AD232" s="330">
        <v>83145.770575530725</v>
      </c>
      <c r="AE232" s="330">
        <v>4.4759938287156169</v>
      </c>
      <c r="AF232" s="330">
        <v>10307.144484692864</v>
      </c>
      <c r="AG232" s="331">
        <v>1.1152259496660655E-2</v>
      </c>
      <c r="AH232" s="235"/>
      <c r="AI232" s="208">
        <f t="shared" si="24"/>
        <v>4169335.8687414401</v>
      </c>
      <c r="AJ232" s="208">
        <f t="shared" si="25"/>
        <v>4169048.3667043056</v>
      </c>
      <c r="AK232" s="208">
        <f t="shared" si="26"/>
        <v>287.50203713475821</v>
      </c>
      <c r="AL232" s="235"/>
      <c r="AM232" s="52">
        <f t="shared" si="4"/>
        <v>1</v>
      </c>
      <c r="AN232" s="52">
        <f t="shared" si="5"/>
        <v>0</v>
      </c>
      <c r="AO232" s="52">
        <f t="shared" si="6"/>
        <v>1</v>
      </c>
      <c r="AP232" s="235"/>
      <c r="AQ232" s="3"/>
      <c r="AR232" s="3"/>
      <c r="AS232" s="3"/>
      <c r="AT232" s="3"/>
      <c r="AU232" s="235"/>
      <c r="AV232" s="360">
        <f t="shared" si="27"/>
        <v>4169335.8687414401</v>
      </c>
      <c r="AW232" s="235"/>
      <c r="AX232" s="354"/>
      <c r="AY232" s="14"/>
      <c r="AZ232" s="14">
        <f t="shared" si="29"/>
        <v>10307.144484692864</v>
      </c>
      <c r="BA232" s="14">
        <f t="shared" si="28"/>
        <v>1.1152259496660655E-2</v>
      </c>
      <c r="BB232" s="14">
        <f t="shared" si="2"/>
        <v>924220.28807517933</v>
      </c>
      <c r="BC232" s="14"/>
      <c r="BD232" s="14"/>
      <c r="BE232" s="14"/>
      <c r="BF232" s="14"/>
      <c r="BG232" s="14"/>
      <c r="BH232" s="14"/>
      <c r="BI232" s="14"/>
      <c r="BJ232" s="14"/>
      <c r="BK232" s="14"/>
      <c r="BL232" s="14"/>
      <c r="BM232" s="14"/>
      <c r="BN232" s="14"/>
      <c r="BO232" s="14"/>
      <c r="BP232" s="14"/>
      <c r="BQ232" s="14"/>
      <c r="BR232" s="14"/>
      <c r="BS232" s="14"/>
      <c r="BT232" s="14"/>
      <c r="BU232" s="14"/>
      <c r="BV232" s="14"/>
      <c r="BW232" s="14"/>
      <c r="BX232" s="14"/>
      <c r="BY232" s="14"/>
      <c r="BZ232" s="14"/>
      <c r="CA232" s="14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</row>
    <row r="233" spans="1:101" ht="14.25" customHeight="1" x14ac:dyDescent="0.2">
      <c r="A233" s="328"/>
      <c r="B233" s="52">
        <v>0.1777387165447829</v>
      </c>
      <c r="C233" s="330">
        <v>0.21236091306957647</v>
      </c>
      <c r="D233" s="330">
        <v>1.4495761195321366E-2</v>
      </c>
      <c r="E233" s="330">
        <v>2.0630603058807817E-2</v>
      </c>
      <c r="F233" s="331">
        <v>0.77917920546606001</v>
      </c>
      <c r="G233" s="94">
        <v>0.45541368480312328</v>
      </c>
      <c r="H233" s="330">
        <v>0.98164335963945581</v>
      </c>
      <c r="I233" s="330">
        <v>1.6302226835909317E-2</v>
      </c>
      <c r="J233" s="330">
        <v>0.99494561322569874</v>
      </c>
      <c r="K233" s="330">
        <v>0.77555253292838455</v>
      </c>
      <c r="L233" s="332">
        <v>13746.834012969473</v>
      </c>
      <c r="M233" s="330">
        <v>0</v>
      </c>
      <c r="N233" s="330">
        <v>18991.94566159595</v>
      </c>
      <c r="O233" s="330">
        <v>1007.9916811286527</v>
      </c>
      <c r="P233" s="330">
        <v>56019.529002799754</v>
      </c>
      <c r="Q233" s="333">
        <v>96163.371915868614</v>
      </c>
      <c r="R233" s="330">
        <v>22155.377145819839</v>
      </c>
      <c r="S233" s="330">
        <v>11485.774335689019</v>
      </c>
      <c r="T233" s="332">
        <v>0.48609024320802535</v>
      </c>
      <c r="U233" s="330">
        <v>0.99677635552383015</v>
      </c>
      <c r="V233" s="330">
        <v>0.70789273046615098</v>
      </c>
      <c r="W233" s="330">
        <v>0.46269766894698078</v>
      </c>
      <c r="X233" s="330">
        <v>0.99480945841049162</v>
      </c>
      <c r="Y233" s="330">
        <v>0</v>
      </c>
      <c r="Z233" s="331">
        <v>0</v>
      </c>
      <c r="AA233" s="235"/>
      <c r="AB233" s="52">
        <v>111052.89282908702</v>
      </c>
      <c r="AC233" s="330">
        <v>4.6955623733238063</v>
      </c>
      <c r="AD233" s="330">
        <v>107097.08468445548</v>
      </c>
      <c r="AE233" s="330">
        <v>4.9135251505024655</v>
      </c>
      <c r="AF233" s="330">
        <v>3955.8081446315482</v>
      </c>
      <c r="AG233" s="331">
        <v>-0.21796277717865919</v>
      </c>
      <c r="AH233" s="235"/>
      <c r="AI233" s="208">
        <f t="shared" si="24"/>
        <v>4349731.3618285293</v>
      </c>
      <c r="AJ233" s="208">
        <f t="shared" si="25"/>
        <v>4560751.8082928862</v>
      </c>
      <c r="AK233" s="208">
        <f t="shared" si="26"/>
        <v>-211020.44646435778</v>
      </c>
      <c r="AL233" s="235"/>
      <c r="AM233" s="52">
        <f t="shared" si="4"/>
        <v>0</v>
      </c>
      <c r="AN233" s="52">
        <f t="shared" si="5"/>
        <v>1</v>
      </c>
      <c r="AO233" s="52">
        <f t="shared" si="6"/>
        <v>0</v>
      </c>
      <c r="AP233" s="235"/>
      <c r="AQ233" s="3"/>
      <c r="AR233" s="3"/>
      <c r="AS233" s="3"/>
      <c r="AT233" s="3"/>
      <c r="AU233" s="235"/>
      <c r="AV233" s="360">
        <f t="shared" si="27"/>
        <v>4560751.8082928862</v>
      </c>
      <c r="AW233" s="235"/>
      <c r="AX233" s="354"/>
      <c r="AY233" s="14"/>
      <c r="AZ233" s="14">
        <f t="shared" si="29"/>
        <v>3955.8081446315482</v>
      </c>
      <c r="BA233" s="14">
        <f t="shared" si="28"/>
        <v>-0.21796277717865919</v>
      </c>
      <c r="BB233" s="14">
        <f t="shared" si="2"/>
        <v>-18149.007806911275</v>
      </c>
      <c r="BC233" s="14"/>
      <c r="BD233" s="14"/>
      <c r="BE233" s="14"/>
      <c r="BF233" s="14"/>
      <c r="BG233" s="14"/>
      <c r="BH233" s="14"/>
      <c r="BI233" s="14"/>
      <c r="BJ233" s="14"/>
      <c r="BK233" s="14"/>
      <c r="BL233" s="14"/>
      <c r="BM233" s="14"/>
      <c r="BN233" s="14"/>
      <c r="BO233" s="14"/>
      <c r="BP233" s="14"/>
      <c r="BQ233" s="14"/>
      <c r="BR233" s="14"/>
      <c r="BS233" s="14"/>
      <c r="BT233" s="14"/>
      <c r="BU233" s="14"/>
      <c r="BV233" s="14"/>
      <c r="BW233" s="14"/>
      <c r="BX233" s="14"/>
      <c r="BY233" s="14"/>
      <c r="BZ233" s="14"/>
      <c r="CA233" s="14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</row>
    <row r="234" spans="1:101" ht="14.25" customHeight="1" x14ac:dyDescent="0.2">
      <c r="A234" s="328"/>
      <c r="B234" s="52">
        <v>0.16781518386643479</v>
      </c>
      <c r="C234" s="330">
        <v>0.20107738350166213</v>
      </c>
      <c r="D234" s="330">
        <v>1.1208122905891809E-2</v>
      </c>
      <c r="E234" s="330">
        <v>3.7765797810214607E-2</v>
      </c>
      <c r="F234" s="331">
        <v>0.79172372835387739</v>
      </c>
      <c r="G234" s="94">
        <v>0.36840951343073414</v>
      </c>
      <c r="H234" s="330">
        <v>0.97471763877074014</v>
      </c>
      <c r="I234" s="330">
        <v>1.9982906310036963E-2</v>
      </c>
      <c r="J234" s="330">
        <v>0.99998961519044494</v>
      </c>
      <c r="K234" s="330">
        <v>0.7983721077048731</v>
      </c>
      <c r="L234" s="332">
        <v>11494.768437311708</v>
      </c>
      <c r="M234" s="330">
        <v>0</v>
      </c>
      <c r="N234" s="330">
        <v>18707.46025652899</v>
      </c>
      <c r="O234" s="330">
        <v>1210.9067739153634</v>
      </c>
      <c r="P234" s="330">
        <v>54330.279476316267</v>
      </c>
      <c r="Q234" s="333">
        <v>90960.018805045896</v>
      </c>
      <c r="R234" s="330">
        <v>31434.034432540473</v>
      </c>
      <c r="S234" s="330">
        <v>10870.360817052022</v>
      </c>
      <c r="T234" s="332">
        <v>0.65649670686855655</v>
      </c>
      <c r="U234" s="330">
        <v>0.93332744753611885</v>
      </c>
      <c r="V234" s="330">
        <v>0.38697267410555158</v>
      </c>
      <c r="W234" s="330">
        <v>0.82620353408476099</v>
      </c>
      <c r="X234" s="330">
        <v>0.98383565583833754</v>
      </c>
      <c r="Y234" s="330">
        <v>0</v>
      </c>
      <c r="Z234" s="331">
        <v>0</v>
      </c>
      <c r="AA234" s="235"/>
      <c r="AB234" s="52">
        <v>105291.39432649589</v>
      </c>
      <c r="AC234" s="330">
        <v>4.7980869619458204</v>
      </c>
      <c r="AD234" s="330">
        <v>105894.20650369005</v>
      </c>
      <c r="AE234" s="330">
        <v>5.1078161085403524</v>
      </c>
      <c r="AF234" s="330">
        <v>-602.81217719415145</v>
      </c>
      <c r="AG234" s="331">
        <v>-0.30972914659453199</v>
      </c>
      <c r="AH234" s="235"/>
      <c r="AI234" s="208">
        <f t="shared" si="24"/>
        <v>4452891.2195220338</v>
      </c>
      <c r="AJ234" s="208">
        <f t="shared" si="25"/>
        <v>4746531.0966096446</v>
      </c>
      <c r="AK234" s="208">
        <f t="shared" si="26"/>
        <v>-293639.87708761124</v>
      </c>
      <c r="AL234" s="235"/>
      <c r="AM234" s="52">
        <f t="shared" si="4"/>
        <v>0</v>
      </c>
      <c r="AN234" s="52">
        <f t="shared" si="5"/>
        <v>1</v>
      </c>
      <c r="AO234" s="52">
        <f t="shared" si="6"/>
        <v>0</v>
      </c>
      <c r="AP234" s="235"/>
      <c r="AQ234" s="3"/>
      <c r="AR234" s="3"/>
      <c r="AS234" s="3"/>
      <c r="AT234" s="3"/>
      <c r="AU234" s="235"/>
      <c r="AV234" s="360">
        <f t="shared" si="27"/>
        <v>4746531.0966096446</v>
      </c>
      <c r="AW234" s="235"/>
      <c r="AX234" s="354"/>
      <c r="AY234" s="14"/>
      <c r="AZ234" s="14">
        <f t="shared" si="29"/>
        <v>-602.81217719415145</v>
      </c>
      <c r="BA234" s="14">
        <f t="shared" si="28"/>
        <v>-0.30972914659453199</v>
      </c>
      <c r="BB234" s="14">
        <f t="shared" si="2"/>
        <v>1946.255894293655</v>
      </c>
      <c r="BC234" s="14"/>
      <c r="BD234" s="14"/>
      <c r="BE234" s="14"/>
      <c r="BF234" s="14"/>
      <c r="BG234" s="14"/>
      <c r="BH234" s="14"/>
      <c r="BI234" s="14"/>
      <c r="BJ234" s="14"/>
      <c r="BK234" s="14"/>
      <c r="BL234" s="14"/>
      <c r="BM234" s="14"/>
      <c r="BN234" s="14"/>
      <c r="BO234" s="14"/>
      <c r="BP234" s="14"/>
      <c r="BQ234" s="14"/>
      <c r="BR234" s="14"/>
      <c r="BS234" s="14"/>
      <c r="BT234" s="14"/>
      <c r="BU234" s="14"/>
      <c r="BV234" s="14"/>
      <c r="BW234" s="14"/>
      <c r="BX234" s="14"/>
      <c r="BY234" s="14"/>
      <c r="BZ234" s="14"/>
      <c r="CA234" s="14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</row>
    <row r="235" spans="1:101" ht="14.25" customHeight="1" x14ac:dyDescent="0.2">
      <c r="A235" s="328"/>
      <c r="B235" s="52">
        <v>0.17274593586906084</v>
      </c>
      <c r="C235" s="330">
        <v>5.8672810639251276E-2</v>
      </c>
      <c r="D235" s="330">
        <v>1.2391658782102114E-2</v>
      </c>
      <c r="E235" s="330">
        <v>1.8248496752028442E-2</v>
      </c>
      <c r="F235" s="331">
        <v>0.77409181033956109</v>
      </c>
      <c r="G235" s="94">
        <v>0.37578668923519987</v>
      </c>
      <c r="H235" s="330">
        <v>0.61424889477515066</v>
      </c>
      <c r="I235" s="330">
        <v>8.6224526183477715E-3</v>
      </c>
      <c r="J235" s="330">
        <v>1</v>
      </c>
      <c r="K235" s="330">
        <v>0.81084025480543431</v>
      </c>
      <c r="L235" s="332">
        <v>10098.237138423134</v>
      </c>
      <c r="M235" s="330">
        <v>0</v>
      </c>
      <c r="N235" s="330">
        <v>21289.6127310343</v>
      </c>
      <c r="O235" s="330">
        <v>1380.459768381972</v>
      </c>
      <c r="P235" s="330">
        <v>43298.465369788319</v>
      </c>
      <c r="Q235" s="333">
        <v>80177.505379309659</v>
      </c>
      <c r="R235" s="330">
        <v>21153.302519801968</v>
      </c>
      <c r="S235" s="330">
        <v>9621.7834419920928</v>
      </c>
      <c r="T235" s="332">
        <v>0.14823036908224033</v>
      </c>
      <c r="U235" s="330">
        <v>0.38270680262862239</v>
      </c>
      <c r="V235" s="330">
        <v>0.96225001600590321</v>
      </c>
      <c r="W235" s="330">
        <v>0.55030369757761322</v>
      </c>
      <c r="X235" s="330">
        <v>0.87748565274681067</v>
      </c>
      <c r="Y235" s="330">
        <v>0</v>
      </c>
      <c r="Z235" s="331">
        <v>0</v>
      </c>
      <c r="AA235" s="235"/>
      <c r="AB235" s="52">
        <v>90653.009973043692</v>
      </c>
      <c r="AC235" s="330">
        <v>4.1284465656929905</v>
      </c>
      <c r="AD235" s="330">
        <v>89554.654413861543</v>
      </c>
      <c r="AE235" s="330">
        <v>4.4235259579939994</v>
      </c>
      <c r="AF235" s="330">
        <v>1098.3555591821496</v>
      </c>
      <c r="AG235" s="331">
        <v>-0.29507939230100888</v>
      </c>
      <c r="AH235" s="235"/>
      <c r="AI235" s="208">
        <f t="shared" si="24"/>
        <v>3831371.2274352973</v>
      </c>
      <c r="AJ235" s="208">
        <f t="shared" si="25"/>
        <v>4112795.0056804377</v>
      </c>
      <c r="AK235" s="208">
        <f t="shared" si="26"/>
        <v>-281423.77824514057</v>
      </c>
      <c r="AL235" s="235"/>
      <c r="AM235" s="52">
        <f t="shared" si="4"/>
        <v>0</v>
      </c>
      <c r="AN235" s="52">
        <f t="shared" si="5"/>
        <v>1</v>
      </c>
      <c r="AO235" s="52">
        <f t="shared" si="6"/>
        <v>0</v>
      </c>
      <c r="AP235" s="235"/>
      <c r="AQ235" s="3"/>
      <c r="AR235" s="3"/>
      <c r="AS235" s="3"/>
      <c r="AT235" s="3"/>
      <c r="AU235" s="235"/>
      <c r="AV235" s="360">
        <f t="shared" si="27"/>
        <v>4112795.0056804377</v>
      </c>
      <c r="AW235" s="235"/>
      <c r="AX235" s="354"/>
      <c r="AY235" s="14"/>
      <c r="AZ235" s="14">
        <f t="shared" si="29"/>
        <v>1098.3555591821496</v>
      </c>
      <c r="BA235" s="14">
        <f t="shared" si="28"/>
        <v>-0.29507939230100888</v>
      </c>
      <c r="BB235" s="14">
        <f t="shared" si="2"/>
        <v>-3722.2374311443718</v>
      </c>
      <c r="BC235" s="14"/>
      <c r="BD235" s="14"/>
      <c r="BE235" s="14"/>
      <c r="BF235" s="14"/>
      <c r="BG235" s="14"/>
      <c r="BH235" s="14"/>
      <c r="BI235" s="14"/>
      <c r="BJ235" s="14"/>
      <c r="BK235" s="14"/>
      <c r="BL235" s="14"/>
      <c r="BM235" s="14"/>
      <c r="BN235" s="14"/>
      <c r="BO235" s="14"/>
      <c r="BP235" s="14"/>
      <c r="BQ235" s="14"/>
      <c r="BR235" s="14"/>
      <c r="BS235" s="14"/>
      <c r="BT235" s="14"/>
      <c r="BU235" s="14"/>
      <c r="BV235" s="14"/>
      <c r="BW235" s="14"/>
      <c r="BX235" s="14"/>
      <c r="BY235" s="14"/>
      <c r="BZ235" s="14"/>
      <c r="CA235" s="14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</row>
    <row r="236" spans="1:101" ht="14.25" customHeight="1" x14ac:dyDescent="0.2">
      <c r="A236" s="328"/>
      <c r="B236" s="52">
        <v>0.12670746393794094</v>
      </c>
      <c r="C236" s="330">
        <v>0.55177981963132117</v>
      </c>
      <c r="D236" s="330">
        <v>7.8737707468999572E-3</v>
      </c>
      <c r="E236" s="330">
        <v>1.0787750662964567E-2</v>
      </c>
      <c r="F236" s="331">
        <v>0.82547727008460825</v>
      </c>
      <c r="G236" s="94">
        <v>0.33289360440299576</v>
      </c>
      <c r="H236" s="330">
        <v>0.7391883755328742</v>
      </c>
      <c r="I236" s="330">
        <v>1.9855834175124043E-2</v>
      </c>
      <c r="J236" s="330">
        <v>0.99999999973147324</v>
      </c>
      <c r="K236" s="330">
        <v>0.78434130195568774</v>
      </c>
      <c r="L236" s="332">
        <v>15728.804491062056</v>
      </c>
      <c r="M236" s="330">
        <v>0</v>
      </c>
      <c r="N236" s="330">
        <v>15340.274407304376</v>
      </c>
      <c r="O236" s="330">
        <v>1417.4710777842126</v>
      </c>
      <c r="P236" s="330">
        <v>55627.081588552945</v>
      </c>
      <c r="Q236" s="333">
        <v>107001.85966783398</v>
      </c>
      <c r="R236" s="330">
        <v>14735.919872376608</v>
      </c>
      <c r="S236" s="330">
        <v>8474.3041501631687</v>
      </c>
      <c r="T236" s="332">
        <v>0.9993306478870585</v>
      </c>
      <c r="U236" s="330">
        <v>0.99876476149103466</v>
      </c>
      <c r="V236" s="330">
        <v>0.91995516585275472</v>
      </c>
      <c r="W236" s="330">
        <v>0.72915280023497331</v>
      </c>
      <c r="X236" s="330">
        <v>0.56451176231842926</v>
      </c>
      <c r="Y236" s="330">
        <v>0</v>
      </c>
      <c r="Z236" s="331">
        <v>0</v>
      </c>
      <c r="AA236" s="235"/>
      <c r="AB236" s="52">
        <v>92114.850697481495</v>
      </c>
      <c r="AC236" s="330">
        <v>3.3382011347104763</v>
      </c>
      <c r="AD236" s="330">
        <v>76583.82850878367</v>
      </c>
      <c r="AE236" s="330">
        <v>3.0424588831055894</v>
      </c>
      <c r="AF236" s="330">
        <v>15531.022188697825</v>
      </c>
      <c r="AG236" s="331">
        <v>0.29574225160488687</v>
      </c>
      <c r="AH236" s="235"/>
      <c r="AI236" s="208">
        <f t="shared" si="24"/>
        <v>3079176.2272774708</v>
      </c>
      <c r="AJ236" s="208">
        <f t="shared" si="25"/>
        <v>2813752.1104415264</v>
      </c>
      <c r="AK236" s="208">
        <f t="shared" si="26"/>
        <v>265424.1168359447</v>
      </c>
      <c r="AL236" s="235"/>
      <c r="AM236" s="52">
        <f t="shared" si="4"/>
        <v>1</v>
      </c>
      <c r="AN236" s="52">
        <f t="shared" si="5"/>
        <v>0</v>
      </c>
      <c r="AO236" s="52">
        <f t="shared" si="6"/>
        <v>1</v>
      </c>
      <c r="AP236" s="235"/>
      <c r="AQ236" s="3"/>
      <c r="AR236" s="3"/>
      <c r="AS236" s="3"/>
      <c r="AT236" s="3"/>
      <c r="AU236" s="235"/>
      <c r="AV236" s="360">
        <f t="shared" si="27"/>
        <v>3079176.2272774708</v>
      </c>
      <c r="AW236" s="235"/>
      <c r="AX236" s="354"/>
      <c r="AY236" s="14"/>
      <c r="AZ236" s="14">
        <f t="shared" si="29"/>
        <v>15531.022188697825</v>
      </c>
      <c r="BA236" s="14">
        <f t="shared" si="28"/>
        <v>0.29574225160488687</v>
      </c>
      <c r="BB236" s="14">
        <f t="shared" si="2"/>
        <v>52515.398474234069</v>
      </c>
      <c r="BC236" s="14"/>
      <c r="BD236" s="14"/>
      <c r="BE236" s="14"/>
      <c r="BF236" s="14"/>
      <c r="BG236" s="14"/>
      <c r="BH236" s="14"/>
      <c r="BI236" s="14"/>
      <c r="BJ236" s="14"/>
      <c r="BK236" s="14"/>
      <c r="BL236" s="14"/>
      <c r="BM236" s="14"/>
      <c r="BN236" s="14"/>
      <c r="BO236" s="14"/>
      <c r="BP236" s="14"/>
      <c r="BQ236" s="14"/>
      <c r="BR236" s="14"/>
      <c r="BS236" s="14"/>
      <c r="BT236" s="14"/>
      <c r="BU236" s="14"/>
      <c r="BV236" s="14"/>
      <c r="BW236" s="14"/>
      <c r="BX236" s="14"/>
      <c r="BY236" s="14"/>
      <c r="BZ236" s="14"/>
      <c r="CA236" s="14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</row>
    <row r="237" spans="1:101" ht="14.25" customHeight="1" x14ac:dyDescent="0.2">
      <c r="A237" s="328"/>
      <c r="B237" s="52">
        <v>0.16758723123664199</v>
      </c>
      <c r="C237" s="330">
        <v>0.33825903815575209</v>
      </c>
      <c r="D237" s="330">
        <v>1.5620180973404563E-2</v>
      </c>
      <c r="E237" s="330">
        <v>1.58140967230046E-2</v>
      </c>
      <c r="F237" s="331">
        <v>0.80272554978888633</v>
      </c>
      <c r="G237" s="94">
        <v>0.44954785216388859</v>
      </c>
      <c r="H237" s="330">
        <v>6.7128393762068819E-2</v>
      </c>
      <c r="I237" s="330">
        <v>1.6676848550488899E-2</v>
      </c>
      <c r="J237" s="330">
        <v>0.99999989006708712</v>
      </c>
      <c r="K237" s="330">
        <v>0.77693097591138849</v>
      </c>
      <c r="L237" s="332">
        <v>11197.989603782009</v>
      </c>
      <c r="M237" s="330">
        <v>0</v>
      </c>
      <c r="N237" s="330">
        <v>18693.393374435469</v>
      </c>
      <c r="O237" s="330">
        <v>1042.1026218218535</v>
      </c>
      <c r="P237" s="330">
        <v>40377.369587542817</v>
      </c>
      <c r="Q237" s="333">
        <v>95115.001380725793</v>
      </c>
      <c r="R237" s="330">
        <v>27975.785827351476</v>
      </c>
      <c r="S237" s="330">
        <v>5509.9490867483919</v>
      </c>
      <c r="T237" s="332">
        <v>0.68800363497026706</v>
      </c>
      <c r="U237" s="330">
        <v>0.77137554114049478</v>
      </c>
      <c r="V237" s="330">
        <v>0.99909102199698729</v>
      </c>
      <c r="W237" s="330">
        <v>2.5356017355484955E-2</v>
      </c>
      <c r="X237" s="330">
        <v>0.95067565585251146</v>
      </c>
      <c r="Y237" s="330">
        <v>0</v>
      </c>
      <c r="Z237" s="331">
        <v>0</v>
      </c>
      <c r="AA237" s="235"/>
      <c r="AB237" s="52">
        <v>60673.941245823356</v>
      </c>
      <c r="AC237" s="330">
        <v>4.9607859948063968</v>
      </c>
      <c r="AD237" s="330">
        <v>48464.307649723196</v>
      </c>
      <c r="AE237" s="330">
        <v>4.6514306198314825</v>
      </c>
      <c r="AF237" s="330">
        <v>12209.633596100161</v>
      </c>
      <c r="AG237" s="331">
        <v>0.30935537497491428</v>
      </c>
      <c r="AH237" s="235"/>
      <c r="AI237" s="208">
        <f t="shared" si="24"/>
        <v>4652072.7538202535</v>
      </c>
      <c r="AJ237" s="208">
        <f t="shared" si="25"/>
        <v>4370394.7811901849</v>
      </c>
      <c r="AK237" s="208">
        <f t="shared" si="26"/>
        <v>281677.97263006843</v>
      </c>
      <c r="AL237" s="235"/>
      <c r="AM237" s="52">
        <f t="shared" si="4"/>
        <v>1</v>
      </c>
      <c r="AN237" s="52">
        <f t="shared" si="5"/>
        <v>0</v>
      </c>
      <c r="AO237" s="52">
        <f t="shared" si="6"/>
        <v>1</v>
      </c>
      <c r="AP237" s="235"/>
      <c r="AQ237" s="3"/>
      <c r="AR237" s="3"/>
      <c r="AS237" s="3"/>
      <c r="AT237" s="3"/>
      <c r="AU237" s="235"/>
      <c r="AV237" s="360">
        <f t="shared" si="27"/>
        <v>4652072.7538202535</v>
      </c>
      <c r="AW237" s="235"/>
      <c r="AX237" s="354"/>
      <c r="AY237" s="14"/>
      <c r="AZ237" s="14">
        <f t="shared" si="29"/>
        <v>12209.633596100161</v>
      </c>
      <c r="BA237" s="14">
        <f t="shared" si="28"/>
        <v>0.30935537497491428</v>
      </c>
      <c r="BB237" s="14">
        <f t="shared" si="2"/>
        <v>39467.985959805104</v>
      </c>
      <c r="BC237" s="14"/>
      <c r="BD237" s="14"/>
      <c r="BE237" s="14"/>
      <c r="BF237" s="14"/>
      <c r="BG237" s="14"/>
      <c r="BH237" s="14"/>
      <c r="BI237" s="14"/>
      <c r="BJ237" s="14"/>
      <c r="BK237" s="14"/>
      <c r="BL237" s="14"/>
      <c r="BM237" s="14"/>
      <c r="BN237" s="14"/>
      <c r="BO237" s="14"/>
      <c r="BP237" s="14"/>
      <c r="BQ237" s="14"/>
      <c r="BR237" s="14"/>
      <c r="BS237" s="14"/>
      <c r="BT237" s="14"/>
      <c r="BU237" s="14"/>
      <c r="BV237" s="14"/>
      <c r="BW237" s="14"/>
      <c r="BX237" s="14"/>
      <c r="BY237" s="14"/>
      <c r="BZ237" s="14"/>
      <c r="CA237" s="14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</row>
    <row r="238" spans="1:101" ht="14.25" customHeight="1" x14ac:dyDescent="0.2">
      <c r="A238" s="328"/>
      <c r="B238" s="52">
        <v>0.14109137947800074</v>
      </c>
      <c r="C238" s="330">
        <v>5.7000554804053624E-2</v>
      </c>
      <c r="D238" s="330">
        <v>1.8279687926771593E-2</v>
      </c>
      <c r="E238" s="330">
        <v>1.2117229905908106E-2</v>
      </c>
      <c r="F238" s="331">
        <v>0.78981447371514968</v>
      </c>
      <c r="G238" s="94">
        <v>0.37922687900457958</v>
      </c>
      <c r="H238" s="330">
        <v>0.11686118210348537</v>
      </c>
      <c r="I238" s="330">
        <v>3.2792068101347827E-2</v>
      </c>
      <c r="J238" s="330">
        <v>0.99999817640845479</v>
      </c>
      <c r="K238" s="330">
        <v>0.73774949558498171</v>
      </c>
      <c r="L238" s="332">
        <v>11975.090911958883</v>
      </c>
      <c r="M238" s="330">
        <v>0</v>
      </c>
      <c r="N238" s="330">
        <v>20195.96580174359</v>
      </c>
      <c r="O238" s="330">
        <v>1839.2097906556774</v>
      </c>
      <c r="P238" s="330">
        <v>45165.867615471128</v>
      </c>
      <c r="Q238" s="333">
        <v>84149.525846912933</v>
      </c>
      <c r="R238" s="330">
        <v>28012.734081395825</v>
      </c>
      <c r="S238" s="330">
        <v>8410.2445445619724</v>
      </c>
      <c r="T238" s="332">
        <v>0.19420062852554429</v>
      </c>
      <c r="U238" s="330">
        <v>0.96431356900552889</v>
      </c>
      <c r="V238" s="330">
        <v>0.3077987264959714</v>
      </c>
      <c r="W238" s="330">
        <v>0.94242792395105546</v>
      </c>
      <c r="X238" s="330">
        <v>0.84078966547699419</v>
      </c>
      <c r="Y238" s="330">
        <v>0</v>
      </c>
      <c r="Z238" s="331">
        <v>0</v>
      </c>
      <c r="AA238" s="235"/>
      <c r="AB238" s="52">
        <v>83961.503701184018</v>
      </c>
      <c r="AC238" s="330">
        <v>4.0434204927318431</v>
      </c>
      <c r="AD238" s="330">
        <v>70360.903062982543</v>
      </c>
      <c r="AE238" s="330">
        <v>4.0445236573560006</v>
      </c>
      <c r="AF238" s="330">
        <v>13600.600638201475</v>
      </c>
      <c r="AG238" s="331">
        <v>-1.1031646241574933E-3</v>
      </c>
      <c r="AH238" s="235"/>
      <c r="AI238" s="208">
        <f t="shared" si="24"/>
        <v>3757287.9643940669</v>
      </c>
      <c r="AJ238" s="208">
        <f t="shared" si="25"/>
        <v>3771936.5714252181</v>
      </c>
      <c r="AK238" s="208">
        <f t="shared" si="26"/>
        <v>-14648.607031151094</v>
      </c>
      <c r="AL238" s="235"/>
      <c r="AM238" s="52">
        <f t="shared" si="4"/>
        <v>0</v>
      </c>
      <c r="AN238" s="52">
        <f t="shared" si="5"/>
        <v>1</v>
      </c>
      <c r="AO238" s="52">
        <f t="shared" si="6"/>
        <v>0</v>
      </c>
      <c r="AP238" s="235"/>
      <c r="AQ238" s="3"/>
      <c r="AR238" s="3"/>
      <c r="AS238" s="3"/>
      <c r="AT238" s="3"/>
      <c r="AU238" s="235"/>
      <c r="AV238" s="360">
        <f t="shared" si="27"/>
        <v>3771936.5714252181</v>
      </c>
      <c r="AW238" s="235"/>
      <c r="AX238" s="354"/>
      <c r="AY238" s="14"/>
      <c r="AZ238" s="14">
        <f t="shared" si="29"/>
        <v>13600.600638201475</v>
      </c>
      <c r="BA238" s="14">
        <f t="shared" si="28"/>
        <v>-1.1031646241574933E-3</v>
      </c>
      <c r="BB238" s="14">
        <f t="shared" si="2"/>
        <v>-12328713.53954855</v>
      </c>
      <c r="BC238" s="14"/>
      <c r="BD238" s="14"/>
      <c r="BE238" s="14"/>
      <c r="BF238" s="14"/>
      <c r="BG238" s="14"/>
      <c r="BH238" s="14"/>
      <c r="BI238" s="14"/>
      <c r="BJ238" s="14"/>
      <c r="BK238" s="14"/>
      <c r="BL238" s="14"/>
      <c r="BM238" s="14"/>
      <c r="BN238" s="14"/>
      <c r="BO238" s="14"/>
      <c r="BP238" s="14"/>
      <c r="BQ238" s="14"/>
      <c r="BR238" s="14"/>
      <c r="BS238" s="14"/>
      <c r="BT238" s="14"/>
      <c r="BU238" s="14"/>
      <c r="BV238" s="14"/>
      <c r="BW238" s="14"/>
      <c r="BX238" s="14"/>
      <c r="BY238" s="14"/>
      <c r="BZ238" s="14"/>
      <c r="CA238" s="14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</row>
    <row r="239" spans="1:101" ht="14.25" customHeight="1" x14ac:dyDescent="0.2">
      <c r="A239" s="328"/>
      <c r="B239" s="52">
        <v>0.15163277865929223</v>
      </c>
      <c r="C239" s="330">
        <v>0.41098296484105656</v>
      </c>
      <c r="D239" s="330">
        <v>1.3963928527918175E-2</v>
      </c>
      <c r="E239" s="330">
        <v>1.3201558140460113E-2</v>
      </c>
      <c r="F239" s="331">
        <v>0.79208128067990602</v>
      </c>
      <c r="G239" s="94">
        <v>0.4217638169241128</v>
      </c>
      <c r="H239" s="330">
        <v>0.21959467734116586</v>
      </c>
      <c r="I239" s="330">
        <v>1.4116712064309507E-2</v>
      </c>
      <c r="J239" s="330">
        <v>0.98114195522754055</v>
      </c>
      <c r="K239" s="330">
        <v>0.82989072047047663</v>
      </c>
      <c r="L239" s="332">
        <v>10159.242634354301</v>
      </c>
      <c r="M239" s="330">
        <v>0</v>
      </c>
      <c r="N239" s="330">
        <v>19347.309795220746</v>
      </c>
      <c r="O239" s="330">
        <v>1628.503088127213</v>
      </c>
      <c r="P239" s="330">
        <v>38059.151402686221</v>
      </c>
      <c r="Q239" s="333">
        <v>117288.87759142733</v>
      </c>
      <c r="R239" s="330">
        <v>16962.165451831206</v>
      </c>
      <c r="S239" s="330">
        <v>6106.5822572142961</v>
      </c>
      <c r="T239" s="332">
        <v>0.98093878196351736</v>
      </c>
      <c r="U239" s="330">
        <v>0.92030821393480911</v>
      </c>
      <c r="V239" s="330">
        <v>0.99084493463895451</v>
      </c>
      <c r="W239" s="330">
        <v>0.99154306029174633</v>
      </c>
      <c r="X239" s="330">
        <v>0.99931941307049066</v>
      </c>
      <c r="Y239" s="330">
        <v>0</v>
      </c>
      <c r="Z239" s="331">
        <v>0</v>
      </c>
      <c r="AA239" s="235"/>
      <c r="AB239" s="52">
        <v>63619.178926106797</v>
      </c>
      <c r="AC239" s="330">
        <v>5.1227630264376387</v>
      </c>
      <c r="AD239" s="330">
        <v>57694.525237326336</v>
      </c>
      <c r="AE239" s="330">
        <v>5.1266381083366843</v>
      </c>
      <c r="AF239" s="330">
        <v>5924.6536887804614</v>
      </c>
      <c r="AG239" s="331">
        <v>-3.8750818990456182E-3</v>
      </c>
      <c r="AH239" s="235"/>
      <c r="AI239" s="208">
        <f t="shared" si="24"/>
        <v>4803005.6961896503</v>
      </c>
      <c r="AJ239" s="208">
        <f t="shared" si="25"/>
        <v>4812611.6776825236</v>
      </c>
      <c r="AK239" s="208">
        <f t="shared" si="26"/>
        <v>-9605.9814928737978</v>
      </c>
      <c r="AL239" s="235"/>
      <c r="AM239" s="52">
        <f t="shared" si="4"/>
        <v>0</v>
      </c>
      <c r="AN239" s="52">
        <f t="shared" si="5"/>
        <v>1</v>
      </c>
      <c r="AO239" s="52">
        <f t="shared" si="6"/>
        <v>0</v>
      </c>
      <c r="AP239" s="235"/>
      <c r="AQ239" s="3"/>
      <c r="AR239" s="3"/>
      <c r="AS239" s="3"/>
      <c r="AT239" s="3"/>
      <c r="AU239" s="235"/>
      <c r="AV239" s="360">
        <f t="shared" si="27"/>
        <v>4812611.6776825236</v>
      </c>
      <c r="AW239" s="235"/>
      <c r="AX239" s="354"/>
      <c r="AY239" s="14"/>
      <c r="AZ239" s="14">
        <f t="shared" si="29"/>
        <v>5924.6536887804614</v>
      </c>
      <c r="BA239" s="14">
        <f t="shared" si="28"/>
        <v>-3.8750818990456182E-3</v>
      </c>
      <c r="BB239" s="14">
        <f t="shared" si="2"/>
        <v>-1528910.5735390072</v>
      </c>
      <c r="BC239" s="14"/>
      <c r="BD239" s="14"/>
      <c r="BE239" s="14"/>
      <c r="BF239" s="14"/>
      <c r="BG239" s="14"/>
      <c r="BH239" s="14"/>
      <c r="BI239" s="14"/>
      <c r="BJ239" s="14"/>
      <c r="BK239" s="14"/>
      <c r="BL239" s="14"/>
      <c r="BM239" s="14"/>
      <c r="BN239" s="14"/>
      <c r="BO239" s="14"/>
      <c r="BP239" s="14"/>
      <c r="BQ239" s="14"/>
      <c r="BR239" s="14"/>
      <c r="BS239" s="14"/>
      <c r="BT239" s="14"/>
      <c r="BU239" s="14"/>
      <c r="BV239" s="14"/>
      <c r="BW239" s="14"/>
      <c r="BX239" s="14"/>
      <c r="BY239" s="14"/>
      <c r="BZ239" s="14"/>
      <c r="CA239" s="14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</row>
    <row r="240" spans="1:101" ht="14.25" customHeight="1" x14ac:dyDescent="0.2">
      <c r="A240" s="328"/>
      <c r="B240" s="52">
        <v>0.1621260041116056</v>
      </c>
      <c r="C240" s="330">
        <v>0.72239802127318953</v>
      </c>
      <c r="D240" s="330">
        <v>7.6967672381975192E-3</v>
      </c>
      <c r="E240" s="330">
        <v>1.6266492875719241E-2</v>
      </c>
      <c r="F240" s="331">
        <v>0.78685227228871069</v>
      </c>
      <c r="G240" s="94">
        <v>0.37061616972453476</v>
      </c>
      <c r="H240" s="330">
        <v>3.360618023772656E-2</v>
      </c>
      <c r="I240" s="330">
        <v>1.3393940603559831E-2</v>
      </c>
      <c r="J240" s="330">
        <v>2.2237933924779351E-3</v>
      </c>
      <c r="K240" s="330">
        <v>0.73409397163756063</v>
      </c>
      <c r="L240" s="332">
        <v>18285.363699287471</v>
      </c>
      <c r="M240" s="330">
        <v>0</v>
      </c>
      <c r="N240" s="330">
        <v>18570.321458658083</v>
      </c>
      <c r="O240" s="330">
        <v>1429.1958661811334</v>
      </c>
      <c r="P240" s="330">
        <v>42917.60788567883</v>
      </c>
      <c r="Q240" s="333">
        <v>96606.225774829742</v>
      </c>
      <c r="R240" s="330">
        <v>21245.564031641832</v>
      </c>
      <c r="S240" s="330">
        <v>6382.8657254915834</v>
      </c>
      <c r="T240" s="332">
        <v>0.74030023310640569</v>
      </c>
      <c r="U240" s="330">
        <v>0.99853240251843922</v>
      </c>
      <c r="V240" s="330">
        <v>0.98762719104287955</v>
      </c>
      <c r="W240" s="330">
        <v>0.99643102670309336</v>
      </c>
      <c r="X240" s="330">
        <v>0.99357579680344799</v>
      </c>
      <c r="Y240" s="330">
        <v>0</v>
      </c>
      <c r="Z240" s="331">
        <v>0</v>
      </c>
      <c r="AA240" s="235"/>
      <c r="AB240" s="52">
        <v>75023.381001314032</v>
      </c>
      <c r="AC240" s="330">
        <v>4.9816242180826782</v>
      </c>
      <c r="AD240" s="330">
        <v>51629.67855597895</v>
      </c>
      <c r="AE240" s="330">
        <v>4.5034755410215217</v>
      </c>
      <c r="AF240" s="330">
        <v>23393.702445335082</v>
      </c>
      <c r="AG240" s="331">
        <v>0.47814867706115649</v>
      </c>
      <c r="AH240" s="235"/>
      <c r="AI240" s="208">
        <f t="shared" si="24"/>
        <v>4657519.6261772299</v>
      </c>
      <c r="AJ240" s="208">
        <f t="shared" si="25"/>
        <v>4226672.0854144664</v>
      </c>
      <c r="AK240" s="208">
        <f t="shared" si="26"/>
        <v>430847.54076276359</v>
      </c>
      <c r="AL240" s="235"/>
      <c r="AM240" s="52">
        <f t="shared" si="4"/>
        <v>1</v>
      </c>
      <c r="AN240" s="52">
        <f t="shared" si="5"/>
        <v>0</v>
      </c>
      <c r="AO240" s="52">
        <f t="shared" si="6"/>
        <v>1</v>
      </c>
      <c r="AP240" s="235"/>
      <c r="AQ240" s="3"/>
      <c r="AR240" s="3"/>
      <c r="AS240" s="3"/>
      <c r="AT240" s="3"/>
      <c r="AU240" s="235"/>
      <c r="AV240" s="360">
        <f t="shared" si="27"/>
        <v>4657519.6261772299</v>
      </c>
      <c r="AW240" s="235"/>
      <c r="AX240" s="354"/>
      <c r="AY240" s="14"/>
      <c r="AZ240" s="14">
        <f t="shared" si="29"/>
        <v>23393.702445335082</v>
      </c>
      <c r="BA240" s="14">
        <f t="shared" si="28"/>
        <v>0.47814867706115649</v>
      </c>
      <c r="BB240" s="14">
        <f t="shared" si="2"/>
        <v>48925.5822877514</v>
      </c>
      <c r="BC240" s="14"/>
      <c r="BD240" s="14"/>
      <c r="BE240" s="14"/>
      <c r="BF240" s="14"/>
      <c r="BG240" s="14"/>
      <c r="BH240" s="14"/>
      <c r="BI240" s="14"/>
      <c r="BJ240" s="14"/>
      <c r="BK240" s="14"/>
      <c r="BL240" s="14"/>
      <c r="BM240" s="14"/>
      <c r="BN240" s="14"/>
      <c r="BO240" s="14"/>
      <c r="BP240" s="14"/>
      <c r="BQ240" s="14"/>
      <c r="BR240" s="14"/>
      <c r="BS240" s="14"/>
      <c r="BT240" s="14"/>
      <c r="BU240" s="14"/>
      <c r="BV240" s="14"/>
      <c r="BW240" s="14"/>
      <c r="BX240" s="14"/>
      <c r="BY240" s="14"/>
      <c r="BZ240" s="14"/>
      <c r="CA240" s="14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</row>
    <row r="241" spans="1:101" ht="14.25" customHeight="1" x14ac:dyDescent="0.2">
      <c r="A241" s="328"/>
      <c r="B241" s="52">
        <v>0.16180129802779264</v>
      </c>
      <c r="C241" s="330">
        <v>0.18434303260799631</v>
      </c>
      <c r="D241" s="330">
        <v>1.6381679934426074E-2</v>
      </c>
      <c r="E241" s="330">
        <v>2.219514064934125E-2</v>
      </c>
      <c r="F241" s="331">
        <v>0.75941845420080833</v>
      </c>
      <c r="G241" s="94">
        <v>0.38511674229970627</v>
      </c>
      <c r="H241" s="330">
        <v>0.45419901822776387</v>
      </c>
      <c r="I241" s="330">
        <v>2.8484009396030352E-2</v>
      </c>
      <c r="J241" s="330">
        <v>0.79362010154016371</v>
      </c>
      <c r="K241" s="330">
        <v>0.72596872421019987</v>
      </c>
      <c r="L241" s="332">
        <v>12993.50243424347</v>
      </c>
      <c r="M241" s="330">
        <v>0</v>
      </c>
      <c r="N241" s="330">
        <v>18180.085160415274</v>
      </c>
      <c r="O241" s="330">
        <v>1463.6208660767384</v>
      </c>
      <c r="P241" s="330">
        <v>52394.022286429514</v>
      </c>
      <c r="Q241" s="333">
        <v>116673.700490416</v>
      </c>
      <c r="R241" s="330">
        <v>17425.125997454033</v>
      </c>
      <c r="S241" s="330">
        <v>9327.1686588193897</v>
      </c>
      <c r="T241" s="332">
        <v>0.95227326034943516</v>
      </c>
      <c r="U241" s="330">
        <v>0.95513077005806435</v>
      </c>
      <c r="V241" s="330">
        <v>0.99998867556467641</v>
      </c>
      <c r="W241" s="330">
        <v>0.84904583966794533</v>
      </c>
      <c r="X241" s="330">
        <v>0.26437131921033286</v>
      </c>
      <c r="Y241" s="330">
        <v>0</v>
      </c>
      <c r="Z241" s="331">
        <v>0</v>
      </c>
      <c r="AA241" s="235"/>
      <c r="AB241" s="52">
        <v>90075.175875333225</v>
      </c>
      <c r="AC241" s="330">
        <v>1.3998031182962645</v>
      </c>
      <c r="AD241" s="330">
        <v>78118.016212583534</v>
      </c>
      <c r="AE241" s="330">
        <v>1.181703243726292</v>
      </c>
      <c r="AF241" s="330">
        <v>11957.159662749691</v>
      </c>
      <c r="AG241" s="331">
        <v>0.21809987456997249</v>
      </c>
      <c r="AH241" s="235"/>
      <c r="AI241" s="208">
        <f t="shared" si="24"/>
        <v>1239737.786506118</v>
      </c>
      <c r="AJ241" s="208">
        <f t="shared" si="25"/>
        <v>1044500.0653273938</v>
      </c>
      <c r="AK241" s="208">
        <f t="shared" si="26"/>
        <v>195237.7211787242</v>
      </c>
      <c r="AL241" s="235"/>
      <c r="AM241" s="52">
        <f t="shared" si="4"/>
        <v>1</v>
      </c>
      <c r="AN241" s="52">
        <f t="shared" si="5"/>
        <v>0</v>
      </c>
      <c r="AO241" s="52">
        <f t="shared" si="6"/>
        <v>1</v>
      </c>
      <c r="AP241" s="235"/>
      <c r="AQ241" s="3"/>
      <c r="AR241" s="3"/>
      <c r="AS241" s="3"/>
      <c r="AT241" s="3"/>
      <c r="AU241" s="235"/>
      <c r="AV241" s="360">
        <f t="shared" si="27"/>
        <v>1239737.786506118</v>
      </c>
      <c r="AW241" s="235"/>
      <c r="AX241" s="354"/>
      <c r="AY241" s="14"/>
      <c r="AZ241" s="14">
        <f t="shared" si="29"/>
        <v>11957.159662749691</v>
      </c>
      <c r="BA241" s="14">
        <f t="shared" si="28"/>
        <v>0.21809987456997249</v>
      </c>
      <c r="BB241" s="14">
        <f t="shared" si="2"/>
        <v>54824.239061694199</v>
      </c>
      <c r="BC241" s="14"/>
      <c r="BD241" s="14"/>
      <c r="BE241" s="14"/>
      <c r="BF241" s="14"/>
      <c r="BG241" s="14"/>
      <c r="BH241" s="14"/>
      <c r="BI241" s="14"/>
      <c r="BJ241" s="14"/>
      <c r="BK241" s="14"/>
      <c r="BL241" s="14"/>
      <c r="BM241" s="14"/>
      <c r="BN241" s="14"/>
      <c r="BO241" s="14"/>
      <c r="BP241" s="14"/>
      <c r="BQ241" s="14"/>
      <c r="BR241" s="14"/>
      <c r="BS241" s="14"/>
      <c r="BT241" s="14"/>
      <c r="BU241" s="14"/>
      <c r="BV241" s="14"/>
      <c r="BW241" s="14"/>
      <c r="BX241" s="14"/>
      <c r="BY241" s="14"/>
      <c r="BZ241" s="14"/>
      <c r="CA241" s="14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</row>
    <row r="242" spans="1:101" ht="14.25" customHeight="1" x14ac:dyDescent="0.2">
      <c r="A242" s="328"/>
      <c r="B242" s="52">
        <v>0.17811884465143402</v>
      </c>
      <c r="C242" s="330">
        <v>2.1737959835950543E-2</v>
      </c>
      <c r="D242" s="330">
        <v>1.5427732502616753E-2</v>
      </c>
      <c r="E242" s="330">
        <v>1.0723172719768023E-2</v>
      </c>
      <c r="F242" s="331">
        <v>0.74239948927712285</v>
      </c>
      <c r="G242" s="94">
        <v>0.42733588638669928</v>
      </c>
      <c r="H242" s="330">
        <v>0.26985428291998503</v>
      </c>
      <c r="I242" s="330">
        <v>2.4653713381184716E-2</v>
      </c>
      <c r="J242" s="330">
        <v>1</v>
      </c>
      <c r="K242" s="330">
        <v>0.75009625216772091</v>
      </c>
      <c r="L242" s="332">
        <v>11775.260004773141</v>
      </c>
      <c r="M242" s="330">
        <v>0</v>
      </c>
      <c r="N242" s="330">
        <v>15759.389318390016</v>
      </c>
      <c r="O242" s="330">
        <v>1204.9214035480102</v>
      </c>
      <c r="P242" s="330">
        <v>44660.116524440804</v>
      </c>
      <c r="Q242" s="333">
        <v>102273.42879771133</v>
      </c>
      <c r="R242" s="330">
        <v>29696.261566248275</v>
      </c>
      <c r="S242" s="330">
        <v>8326.0704155226085</v>
      </c>
      <c r="T242" s="332">
        <v>0.99996092268653358</v>
      </c>
      <c r="U242" s="330">
        <v>0.97856147811585803</v>
      </c>
      <c r="V242" s="330">
        <v>0.83649996797225368</v>
      </c>
      <c r="W242" s="330">
        <v>4.7067768910612658E-2</v>
      </c>
      <c r="X242" s="330">
        <v>0.99863980827971688</v>
      </c>
      <c r="Y242" s="330">
        <v>0</v>
      </c>
      <c r="Z242" s="331">
        <v>0</v>
      </c>
      <c r="AA242" s="235"/>
      <c r="AB242" s="52">
        <v>78720.328530766827</v>
      </c>
      <c r="AC242" s="330">
        <v>4.5037957864294089</v>
      </c>
      <c r="AD242" s="330">
        <v>72596.18408187374</v>
      </c>
      <c r="AE242" s="330">
        <v>4.8998696982146646</v>
      </c>
      <c r="AF242" s="330">
        <v>6124.1444488930865</v>
      </c>
      <c r="AG242" s="331">
        <v>-0.39607391178525564</v>
      </c>
      <c r="AH242" s="235"/>
      <c r="AI242" s="208">
        <f t="shared" si="24"/>
        <v>4199885.6685771719</v>
      </c>
      <c r="AJ242" s="208">
        <f t="shared" si="25"/>
        <v>4582280.0292220572</v>
      </c>
      <c r="AK242" s="208">
        <f t="shared" si="26"/>
        <v>-382394.36064488592</v>
      </c>
      <c r="AL242" s="235"/>
      <c r="AM242" s="52">
        <f t="shared" si="4"/>
        <v>0</v>
      </c>
      <c r="AN242" s="52">
        <f t="shared" si="5"/>
        <v>1</v>
      </c>
      <c r="AO242" s="52">
        <f t="shared" si="6"/>
        <v>0</v>
      </c>
      <c r="AP242" s="235"/>
      <c r="AQ242" s="3"/>
      <c r="AR242" s="3"/>
      <c r="AS242" s="3"/>
      <c r="AT242" s="3"/>
      <c r="AU242" s="235"/>
      <c r="AV242" s="360">
        <f t="shared" si="27"/>
        <v>4582280.0292220572</v>
      </c>
      <c r="AW242" s="235"/>
      <c r="AX242" s="354"/>
      <c r="AY242" s="14"/>
      <c r="AZ242" s="14">
        <f t="shared" si="29"/>
        <v>6124.1444488930865</v>
      </c>
      <c r="BA242" s="14">
        <f t="shared" si="28"/>
        <v>-0.39607391178525564</v>
      </c>
      <c r="BB242" s="14">
        <f t="shared" si="2"/>
        <v>-15462.125291941698</v>
      </c>
      <c r="BC242" s="14"/>
      <c r="BD242" s="14"/>
      <c r="BE242" s="14"/>
      <c r="BF242" s="14"/>
      <c r="BG242" s="14"/>
      <c r="BH242" s="14"/>
      <c r="BI242" s="14"/>
      <c r="BJ242" s="14"/>
      <c r="BK242" s="14"/>
      <c r="BL242" s="14"/>
      <c r="BM242" s="14"/>
      <c r="BN242" s="14"/>
      <c r="BO242" s="14"/>
      <c r="BP242" s="14"/>
      <c r="BQ242" s="14"/>
      <c r="BR242" s="14"/>
      <c r="BS242" s="14"/>
      <c r="BT242" s="14"/>
      <c r="BU242" s="14"/>
      <c r="BV242" s="14"/>
      <c r="BW242" s="14"/>
      <c r="BX242" s="14"/>
      <c r="BY242" s="14"/>
      <c r="BZ242" s="14"/>
      <c r="CA242" s="14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</row>
    <row r="243" spans="1:101" ht="14.25" customHeight="1" x14ac:dyDescent="0.2">
      <c r="A243" s="328"/>
      <c r="B243" s="52">
        <v>0.12973733116028441</v>
      </c>
      <c r="C243" s="330">
        <v>0.69838912942657771</v>
      </c>
      <c r="D243" s="330">
        <v>9.790194250489364E-3</v>
      </c>
      <c r="E243" s="330">
        <v>7.7183580300008115E-3</v>
      </c>
      <c r="F243" s="331">
        <v>0.81035877867473838</v>
      </c>
      <c r="G243" s="94">
        <v>0.41194087750675212</v>
      </c>
      <c r="H243" s="330">
        <v>0.91824902848477663</v>
      </c>
      <c r="I243" s="330">
        <v>1.3244984407546324E-2</v>
      </c>
      <c r="J243" s="330">
        <v>0.99819311171717384</v>
      </c>
      <c r="K243" s="330">
        <v>0.78569808856829582</v>
      </c>
      <c r="L243" s="332">
        <v>11888.079624265116</v>
      </c>
      <c r="M243" s="330">
        <v>0</v>
      </c>
      <c r="N243" s="330">
        <v>21767.132243054257</v>
      </c>
      <c r="O243" s="330">
        <v>1657.7680067512374</v>
      </c>
      <c r="P243" s="330">
        <v>61150.970289664692</v>
      </c>
      <c r="Q243" s="333">
        <v>86950.861326020502</v>
      </c>
      <c r="R243" s="330">
        <v>28789.963808894488</v>
      </c>
      <c r="S243" s="330">
        <v>5779.5493372304381</v>
      </c>
      <c r="T243" s="332">
        <v>0.28130422148565432</v>
      </c>
      <c r="U243" s="330">
        <v>0.99999766260884426</v>
      </c>
      <c r="V243" s="330">
        <v>0.99992588627162782</v>
      </c>
      <c r="W243" s="330">
        <v>0.99812584743333699</v>
      </c>
      <c r="X243" s="330">
        <v>0.2160391120823556</v>
      </c>
      <c r="Y243" s="330">
        <v>0</v>
      </c>
      <c r="Z243" s="331">
        <v>0</v>
      </c>
      <c r="AA243" s="235"/>
      <c r="AB243" s="52">
        <v>65082.797533712277</v>
      </c>
      <c r="AC243" s="330">
        <v>1.124130356203437</v>
      </c>
      <c r="AD243" s="330">
        <v>61194.911166374972</v>
      </c>
      <c r="AE243" s="330">
        <v>1.4187702265670734</v>
      </c>
      <c r="AF243" s="330">
        <v>3887.8863673373053</v>
      </c>
      <c r="AG243" s="331">
        <v>-0.29463987036363637</v>
      </c>
      <c r="AH243" s="235"/>
      <c r="AI243" s="208">
        <f t="shared" si="24"/>
        <v>1002841.0408595529</v>
      </c>
      <c r="AJ243" s="208">
        <f t="shared" si="25"/>
        <v>1286636.8040723447</v>
      </c>
      <c r="AK243" s="208">
        <f t="shared" si="26"/>
        <v>-283795.76321279188</v>
      </c>
      <c r="AL243" s="235"/>
      <c r="AM243" s="52">
        <f t="shared" si="4"/>
        <v>0</v>
      </c>
      <c r="AN243" s="52">
        <f t="shared" si="5"/>
        <v>1</v>
      </c>
      <c r="AO243" s="52">
        <f t="shared" si="6"/>
        <v>0</v>
      </c>
      <c r="AP243" s="235"/>
      <c r="AQ243" s="3"/>
      <c r="AR243" s="3"/>
      <c r="AS243" s="3"/>
      <c r="AT243" s="3"/>
      <c r="AU243" s="235"/>
      <c r="AV243" s="360">
        <f t="shared" si="27"/>
        <v>1286636.8040723447</v>
      </c>
      <c r="AW243" s="235"/>
      <c r="AX243" s="354"/>
      <c r="AY243" s="14"/>
      <c r="AZ243" s="14">
        <f t="shared" si="29"/>
        <v>3887.8863673373053</v>
      </c>
      <c r="BA243" s="14">
        <f t="shared" si="28"/>
        <v>-0.29463987036363637</v>
      </c>
      <c r="BB243" s="14">
        <f t="shared" si="2"/>
        <v>-13195.384462187631</v>
      </c>
      <c r="BC243" s="14"/>
      <c r="BD243" s="14"/>
      <c r="BE243" s="14"/>
      <c r="BF243" s="14"/>
      <c r="BG243" s="14"/>
      <c r="BH243" s="14"/>
      <c r="BI243" s="14"/>
      <c r="BJ243" s="14"/>
      <c r="BK243" s="14"/>
      <c r="BL243" s="14"/>
      <c r="BM243" s="14"/>
      <c r="BN243" s="14"/>
      <c r="BO243" s="14"/>
      <c r="BP243" s="14"/>
      <c r="BQ243" s="14"/>
      <c r="BR243" s="14"/>
      <c r="BS243" s="14"/>
      <c r="BT243" s="14"/>
      <c r="BU243" s="14"/>
      <c r="BV243" s="14"/>
      <c r="BW243" s="14"/>
      <c r="BX243" s="14"/>
      <c r="BY243" s="14"/>
      <c r="BZ243" s="14"/>
      <c r="CA243" s="14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</row>
    <row r="244" spans="1:101" ht="14.25" customHeight="1" x14ac:dyDescent="0.2">
      <c r="A244" s="328"/>
      <c r="B244" s="52">
        <v>0.14426328413806916</v>
      </c>
      <c r="C244" s="330">
        <v>6.3196271099590889E-2</v>
      </c>
      <c r="D244" s="330">
        <v>2.173273236152895E-2</v>
      </c>
      <c r="E244" s="330">
        <v>1.7492790506078992E-2</v>
      </c>
      <c r="F244" s="331">
        <v>0.81895446375860514</v>
      </c>
      <c r="G244" s="94">
        <v>0.42517281885258151</v>
      </c>
      <c r="H244" s="330">
        <v>0.2875540411586115</v>
      </c>
      <c r="I244" s="330">
        <v>1.8077265847419532E-2</v>
      </c>
      <c r="J244" s="330">
        <v>0.95478921241972403</v>
      </c>
      <c r="K244" s="330">
        <v>0.74402313055234137</v>
      </c>
      <c r="L244" s="332">
        <v>15302.185715506501</v>
      </c>
      <c r="M244" s="330">
        <v>0</v>
      </c>
      <c r="N244" s="330">
        <v>18555.63620621134</v>
      </c>
      <c r="O244" s="330">
        <v>1432.9581349520834</v>
      </c>
      <c r="P244" s="330">
        <v>42635.233335593126</v>
      </c>
      <c r="Q244" s="333">
        <v>78809.877536752887</v>
      </c>
      <c r="R244" s="330">
        <v>16029.213031830146</v>
      </c>
      <c r="S244" s="330">
        <v>7885.2013143910272</v>
      </c>
      <c r="T244" s="332">
        <v>0.99756467419387418</v>
      </c>
      <c r="U244" s="330">
        <v>0.99288477723867063</v>
      </c>
      <c r="V244" s="330">
        <v>0.99996699139997169</v>
      </c>
      <c r="W244" s="330">
        <v>0.98957175737728331</v>
      </c>
      <c r="X244" s="330">
        <v>0.97119552134548126</v>
      </c>
      <c r="Y244" s="330">
        <v>0</v>
      </c>
      <c r="Z244" s="331">
        <v>0</v>
      </c>
      <c r="AA244" s="235"/>
      <c r="AB244" s="52">
        <v>85203.711617404115</v>
      </c>
      <c r="AC244" s="330">
        <v>4.8353548727567501</v>
      </c>
      <c r="AD244" s="330">
        <v>66553.814442360279</v>
      </c>
      <c r="AE244" s="330">
        <v>4.7666432816352682</v>
      </c>
      <c r="AF244" s="330">
        <v>18649.897175043836</v>
      </c>
      <c r="AG244" s="331">
        <v>6.8711591121481952E-2</v>
      </c>
      <c r="AH244" s="235"/>
      <c r="AI244" s="208">
        <f t="shared" si="24"/>
        <v>4508383.4175015092</v>
      </c>
      <c r="AJ244" s="208">
        <f t="shared" si="25"/>
        <v>4461757.3031111453</v>
      </c>
      <c r="AK244" s="208">
        <f t="shared" si="26"/>
        <v>46626.114390364019</v>
      </c>
      <c r="AL244" s="235"/>
      <c r="AM244" s="52">
        <f t="shared" si="4"/>
        <v>1</v>
      </c>
      <c r="AN244" s="52">
        <f t="shared" si="5"/>
        <v>0</v>
      </c>
      <c r="AO244" s="52">
        <f t="shared" si="6"/>
        <v>1</v>
      </c>
      <c r="AP244" s="235"/>
      <c r="AQ244" s="3"/>
      <c r="AR244" s="3"/>
      <c r="AS244" s="3"/>
      <c r="AT244" s="3"/>
      <c r="AU244" s="235"/>
      <c r="AV244" s="360">
        <f t="shared" si="27"/>
        <v>4508383.4175015092</v>
      </c>
      <c r="AW244" s="235"/>
      <c r="AX244" s="354"/>
      <c r="AY244" s="14"/>
      <c r="AZ244" s="14">
        <f t="shared" si="29"/>
        <v>18649.897175043836</v>
      </c>
      <c r="BA244" s="14">
        <f t="shared" si="28"/>
        <v>6.8711591121481952E-2</v>
      </c>
      <c r="BB244" s="14">
        <f t="shared" si="2"/>
        <v>271422.86869868659</v>
      </c>
      <c r="BC244" s="14"/>
      <c r="BD244" s="14"/>
      <c r="BE244" s="14"/>
      <c r="BF244" s="14"/>
      <c r="BG244" s="14"/>
      <c r="BH244" s="14"/>
      <c r="BI244" s="14"/>
      <c r="BJ244" s="14"/>
      <c r="BK244" s="14"/>
      <c r="BL244" s="14"/>
      <c r="BM244" s="14"/>
      <c r="BN244" s="14"/>
      <c r="BO244" s="14"/>
      <c r="BP244" s="14"/>
      <c r="BQ244" s="14"/>
      <c r="BR244" s="14"/>
      <c r="BS244" s="14"/>
      <c r="BT244" s="14"/>
      <c r="BU244" s="14"/>
      <c r="BV244" s="14"/>
      <c r="BW244" s="14"/>
      <c r="BX244" s="14"/>
      <c r="BY244" s="14"/>
      <c r="BZ244" s="14"/>
      <c r="CA244" s="14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</row>
    <row r="245" spans="1:101" ht="14.25" customHeight="1" x14ac:dyDescent="0.2">
      <c r="A245" s="328"/>
      <c r="B245" s="52">
        <v>0.17784869173542028</v>
      </c>
      <c r="C245" s="330">
        <v>0.54654683732713072</v>
      </c>
      <c r="D245" s="330">
        <v>1.0732030706502372E-2</v>
      </c>
      <c r="E245" s="330">
        <v>7.9238648577977158E-3</v>
      </c>
      <c r="F245" s="331">
        <v>0.76888114294509224</v>
      </c>
      <c r="G245" s="94">
        <v>0.34020960986086501</v>
      </c>
      <c r="H245" s="330">
        <v>0.47176836832226388</v>
      </c>
      <c r="I245" s="330">
        <v>2.1097301455822226E-2</v>
      </c>
      <c r="J245" s="330">
        <v>0.86984119881834043</v>
      </c>
      <c r="K245" s="330">
        <v>0.77236717058651183</v>
      </c>
      <c r="L245" s="332">
        <v>13915.482433706875</v>
      </c>
      <c r="M245" s="330">
        <v>0</v>
      </c>
      <c r="N245" s="330">
        <v>17142.279360554829</v>
      </c>
      <c r="O245" s="330">
        <v>1494.1203731601749</v>
      </c>
      <c r="P245" s="330">
        <v>42700.82225925204</v>
      </c>
      <c r="Q245" s="333">
        <v>85841.67679992663</v>
      </c>
      <c r="R245" s="330">
        <v>20796.177159223687</v>
      </c>
      <c r="S245" s="330">
        <v>6529.3102479035579</v>
      </c>
      <c r="T245" s="332">
        <v>0.99917693161789345</v>
      </c>
      <c r="U245" s="330">
        <v>0.98575110437388647</v>
      </c>
      <c r="V245" s="330">
        <v>0.84639358188124025</v>
      </c>
      <c r="W245" s="330">
        <v>0.89140748171587747</v>
      </c>
      <c r="X245" s="330">
        <v>0.87421389558239793</v>
      </c>
      <c r="Y245" s="330">
        <v>0</v>
      </c>
      <c r="Z245" s="331">
        <v>0</v>
      </c>
      <c r="AA245" s="235"/>
      <c r="AB245" s="52">
        <v>70241.011220466593</v>
      </c>
      <c r="AC245" s="330">
        <v>4.3965467764032722</v>
      </c>
      <c r="AD245" s="330">
        <v>58964.878242225925</v>
      </c>
      <c r="AE245" s="330">
        <v>4.0875175547354505</v>
      </c>
      <c r="AF245" s="330">
        <v>11276.132978240668</v>
      </c>
      <c r="AG245" s="331">
        <v>0.30902922166782165</v>
      </c>
      <c r="AH245" s="235"/>
      <c r="AI245" s="208">
        <f t="shared" si="24"/>
        <v>4106478.4263626416</v>
      </c>
      <c r="AJ245" s="208">
        <f t="shared" si="25"/>
        <v>3824176.7987564523</v>
      </c>
      <c r="AK245" s="208">
        <f t="shared" si="26"/>
        <v>282301.62760618993</v>
      </c>
      <c r="AL245" s="235"/>
      <c r="AM245" s="52">
        <f t="shared" si="4"/>
        <v>1</v>
      </c>
      <c r="AN245" s="52">
        <f t="shared" si="5"/>
        <v>0</v>
      </c>
      <c r="AO245" s="52">
        <f t="shared" si="6"/>
        <v>1</v>
      </c>
      <c r="AP245" s="235"/>
      <c r="AQ245" s="3"/>
      <c r="AR245" s="3"/>
      <c r="AS245" s="3"/>
      <c r="AT245" s="3"/>
      <c r="AU245" s="235"/>
      <c r="AV245" s="360">
        <f t="shared" si="27"/>
        <v>4106478.4263626416</v>
      </c>
      <c r="AW245" s="235"/>
      <c r="AX245" s="354"/>
      <c r="AY245" s="14"/>
      <c r="AZ245" s="14">
        <f t="shared" si="29"/>
        <v>11276.132978240668</v>
      </c>
      <c r="BA245" s="14">
        <f t="shared" si="28"/>
        <v>0.30902922166782165</v>
      </c>
      <c r="BB245" s="14">
        <f t="shared" si="2"/>
        <v>36488.889035747845</v>
      </c>
      <c r="BC245" s="14"/>
      <c r="BD245" s="14"/>
      <c r="BE245" s="14"/>
      <c r="BF245" s="14"/>
      <c r="BG245" s="14"/>
      <c r="BH245" s="14"/>
      <c r="BI245" s="14"/>
      <c r="BJ245" s="14"/>
      <c r="BK245" s="14"/>
      <c r="BL245" s="14"/>
      <c r="BM245" s="14"/>
      <c r="BN245" s="14"/>
      <c r="BO245" s="14"/>
      <c r="BP245" s="14"/>
      <c r="BQ245" s="14"/>
      <c r="BR245" s="14"/>
      <c r="BS245" s="14"/>
      <c r="BT245" s="14"/>
      <c r="BU245" s="14"/>
      <c r="BV245" s="14"/>
      <c r="BW245" s="14"/>
      <c r="BX245" s="14"/>
      <c r="BY245" s="14"/>
      <c r="BZ245" s="14"/>
      <c r="CA245" s="14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</row>
    <row r="246" spans="1:101" ht="14.25" customHeight="1" x14ac:dyDescent="0.2">
      <c r="A246" s="328"/>
      <c r="B246" s="52">
        <v>0.1710047120760354</v>
      </c>
      <c r="C246" s="330">
        <v>0.64252950951749155</v>
      </c>
      <c r="D246" s="330">
        <v>2.2941897160216218E-2</v>
      </c>
      <c r="E246" s="330">
        <v>1.5098345343843578E-2</v>
      </c>
      <c r="F246" s="331">
        <v>0.80869045964072783</v>
      </c>
      <c r="G246" s="94">
        <v>0.40987685603678914</v>
      </c>
      <c r="H246" s="330">
        <v>9.7186166007151353E-2</v>
      </c>
      <c r="I246" s="330">
        <v>3.6177266471047909E-2</v>
      </c>
      <c r="J246" s="330">
        <v>0.9999999931700404</v>
      </c>
      <c r="K246" s="330">
        <v>0.83536135584810678</v>
      </c>
      <c r="L246" s="332">
        <v>13363.563467423259</v>
      </c>
      <c r="M246" s="330">
        <v>0</v>
      </c>
      <c r="N246" s="330">
        <v>14972.409866515038</v>
      </c>
      <c r="O246" s="330">
        <v>2079.2011885010634</v>
      </c>
      <c r="P246" s="330">
        <v>54394.53406279075</v>
      </c>
      <c r="Q246" s="333">
        <v>98541.767171134343</v>
      </c>
      <c r="R246" s="330">
        <v>19523.337373346618</v>
      </c>
      <c r="S246" s="330">
        <v>11790.82124460152</v>
      </c>
      <c r="T246" s="332">
        <v>0.74798557407386379</v>
      </c>
      <c r="U246" s="330">
        <v>0.99999498777526008</v>
      </c>
      <c r="V246" s="330">
        <v>0.92612890954141425</v>
      </c>
      <c r="W246" s="330">
        <v>0.93377128891866046</v>
      </c>
      <c r="X246" s="330">
        <v>0.87738788873168305</v>
      </c>
      <c r="Y246" s="330">
        <v>0</v>
      </c>
      <c r="Z246" s="331">
        <v>0</v>
      </c>
      <c r="AA246" s="235"/>
      <c r="AB246" s="52">
        <v>118578.5876159739</v>
      </c>
      <c r="AC246" s="330">
        <v>4.5523590800592819</v>
      </c>
      <c r="AD246" s="330">
        <v>109975.87620716789</v>
      </c>
      <c r="AE246" s="330">
        <v>4.5353788505029966</v>
      </c>
      <c r="AF246" s="330">
        <v>8602.7114088060043</v>
      </c>
      <c r="AG246" s="331">
        <v>1.6980229556285309E-2</v>
      </c>
      <c r="AH246" s="235"/>
      <c r="AI246" s="208">
        <f t="shared" si="24"/>
        <v>4206162.5384403439</v>
      </c>
      <c r="AJ246" s="208">
        <f t="shared" si="25"/>
        <v>4198634.0317706782</v>
      </c>
      <c r="AK246" s="208">
        <f t="shared" si="26"/>
        <v>7528.5066696650392</v>
      </c>
      <c r="AL246" s="235"/>
      <c r="AM246" s="52">
        <f t="shared" si="4"/>
        <v>1</v>
      </c>
      <c r="AN246" s="52">
        <f t="shared" si="5"/>
        <v>0</v>
      </c>
      <c r="AO246" s="52">
        <f t="shared" si="6"/>
        <v>1</v>
      </c>
      <c r="AP246" s="235"/>
      <c r="AQ246" s="3"/>
      <c r="AR246" s="3"/>
      <c r="AS246" s="3"/>
      <c r="AT246" s="3"/>
      <c r="AU246" s="235"/>
      <c r="AV246" s="360">
        <f t="shared" si="27"/>
        <v>4206162.5384403439</v>
      </c>
      <c r="AW246" s="235"/>
      <c r="AX246" s="354"/>
      <c r="AY246" s="14"/>
      <c r="AZ246" s="14">
        <f t="shared" si="29"/>
        <v>8602.7114088060043</v>
      </c>
      <c r="BA246" s="14">
        <f t="shared" si="28"/>
        <v>1.6980229556285309E-2</v>
      </c>
      <c r="BB246" s="14">
        <f t="shared" si="2"/>
        <v>506631.04290140013</v>
      </c>
      <c r="BC246" s="14"/>
      <c r="BD246" s="14"/>
      <c r="BE246" s="14"/>
      <c r="BF246" s="14"/>
      <c r="BG246" s="14"/>
      <c r="BH246" s="14"/>
      <c r="BI246" s="14"/>
      <c r="BJ246" s="14"/>
      <c r="BK246" s="14"/>
      <c r="BL246" s="14"/>
      <c r="BM246" s="14"/>
      <c r="BN246" s="14"/>
      <c r="BO246" s="14"/>
      <c r="BP246" s="14"/>
      <c r="BQ246" s="14"/>
      <c r="BR246" s="14"/>
      <c r="BS246" s="14"/>
      <c r="BT246" s="14"/>
      <c r="BU246" s="14"/>
      <c r="BV246" s="14"/>
      <c r="BW246" s="14"/>
      <c r="BX246" s="14"/>
      <c r="BY246" s="14"/>
      <c r="BZ246" s="14"/>
      <c r="CA246" s="14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</row>
    <row r="247" spans="1:101" ht="14.25" customHeight="1" x14ac:dyDescent="0.2">
      <c r="A247" s="328"/>
      <c r="B247" s="52">
        <v>0.15872446776649099</v>
      </c>
      <c r="C247" s="330">
        <v>0.38136121979154347</v>
      </c>
      <c r="D247" s="330">
        <v>1.5652159281866806E-2</v>
      </c>
      <c r="E247" s="330">
        <v>1.9742957395894378E-2</v>
      </c>
      <c r="F247" s="331">
        <v>0.76045647891061374</v>
      </c>
      <c r="G247" s="94">
        <v>0.39383309368387376</v>
      </c>
      <c r="H247" s="330">
        <v>0.90323821756703759</v>
      </c>
      <c r="I247" s="330">
        <v>1.4112443761799893E-2</v>
      </c>
      <c r="J247" s="330">
        <v>0.99968387209209852</v>
      </c>
      <c r="K247" s="330">
        <v>0.73723865338060257</v>
      </c>
      <c r="L247" s="332">
        <v>10710.978109070507</v>
      </c>
      <c r="M247" s="330">
        <v>0</v>
      </c>
      <c r="N247" s="330">
        <v>18649.357913739594</v>
      </c>
      <c r="O247" s="330">
        <v>1330.2701072534728</v>
      </c>
      <c r="P247" s="330">
        <v>66034.800806728497</v>
      </c>
      <c r="Q247" s="333">
        <v>116652.31018978221</v>
      </c>
      <c r="R247" s="330">
        <v>21618.133685420278</v>
      </c>
      <c r="S247" s="330">
        <v>8310.9536750091684</v>
      </c>
      <c r="T247" s="332">
        <v>0.99200156037881482</v>
      </c>
      <c r="U247" s="330">
        <v>0.36720020887024662</v>
      </c>
      <c r="V247" s="330">
        <v>0.68098727889731114</v>
      </c>
      <c r="W247" s="330">
        <v>0.23989904509992915</v>
      </c>
      <c r="X247" s="330">
        <v>0.80147405452071097</v>
      </c>
      <c r="Y247" s="330">
        <v>0</v>
      </c>
      <c r="Z247" s="331">
        <v>0</v>
      </c>
      <c r="AA247" s="235"/>
      <c r="AB247" s="52">
        <v>80347.315929886827</v>
      </c>
      <c r="AC247" s="330">
        <v>4.0704435170055744</v>
      </c>
      <c r="AD247" s="330">
        <v>75022.112358310056</v>
      </c>
      <c r="AE247" s="330">
        <v>3.6146573569887517</v>
      </c>
      <c r="AF247" s="330">
        <v>5325.2035715767706</v>
      </c>
      <c r="AG247" s="331">
        <v>0.45578616001682271</v>
      </c>
      <c r="AH247" s="235"/>
      <c r="AI247" s="208">
        <f t="shared" si="24"/>
        <v>3786574.0252254088</v>
      </c>
      <c r="AJ247" s="208">
        <f t="shared" si="25"/>
        <v>3358902.376781004</v>
      </c>
      <c r="AK247" s="208">
        <f t="shared" si="26"/>
        <v>427671.64844440483</v>
      </c>
      <c r="AL247" s="235"/>
      <c r="AM247" s="52">
        <f t="shared" si="4"/>
        <v>1</v>
      </c>
      <c r="AN247" s="52">
        <f t="shared" si="5"/>
        <v>0</v>
      </c>
      <c r="AO247" s="52">
        <f t="shared" si="6"/>
        <v>1</v>
      </c>
      <c r="AP247" s="235"/>
      <c r="AQ247" s="3"/>
      <c r="AR247" s="3"/>
      <c r="AS247" s="3"/>
      <c r="AT247" s="3"/>
      <c r="AU247" s="235"/>
      <c r="AV247" s="360">
        <f t="shared" si="27"/>
        <v>3786574.0252254088</v>
      </c>
      <c r="AW247" s="235"/>
      <c r="AX247" s="354"/>
      <c r="AY247" s="14"/>
      <c r="AZ247" s="14">
        <f t="shared" si="29"/>
        <v>5325.2035715767706</v>
      </c>
      <c r="BA247" s="14">
        <f t="shared" si="28"/>
        <v>0.45578616001682271</v>
      </c>
      <c r="BB247" s="14">
        <f t="shared" si="2"/>
        <v>11683.556980712669</v>
      </c>
      <c r="BC247" s="14"/>
      <c r="BD247" s="14"/>
      <c r="BE247" s="14"/>
      <c r="BF247" s="14"/>
      <c r="BG247" s="14"/>
      <c r="BH247" s="14"/>
      <c r="BI247" s="14"/>
      <c r="BJ247" s="14"/>
      <c r="BK247" s="14"/>
      <c r="BL247" s="14"/>
      <c r="BM247" s="14"/>
      <c r="BN247" s="14"/>
      <c r="BO247" s="14"/>
      <c r="BP247" s="14"/>
      <c r="BQ247" s="14"/>
      <c r="BR247" s="14"/>
      <c r="BS247" s="14"/>
      <c r="BT247" s="14"/>
      <c r="BU247" s="14"/>
      <c r="BV247" s="14"/>
      <c r="BW247" s="14"/>
      <c r="BX247" s="14"/>
      <c r="BY247" s="14"/>
      <c r="BZ247" s="14"/>
      <c r="CA247" s="14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</row>
    <row r="248" spans="1:101" ht="14.25" customHeight="1" x14ac:dyDescent="0.2">
      <c r="A248" s="328"/>
      <c r="B248" s="52">
        <v>0.18244235004486697</v>
      </c>
      <c r="C248" s="330">
        <v>0.36486338241646143</v>
      </c>
      <c r="D248" s="330">
        <v>1.0542365281303189E-2</v>
      </c>
      <c r="E248" s="330">
        <v>1.6007938864346483E-2</v>
      </c>
      <c r="F248" s="331">
        <v>0.79637965562781798</v>
      </c>
      <c r="G248" s="94">
        <v>0.39538063889193115</v>
      </c>
      <c r="H248" s="330">
        <v>0.6641446772932984</v>
      </c>
      <c r="I248" s="330">
        <v>2.22251654534803E-2</v>
      </c>
      <c r="J248" s="330">
        <v>0.99999940316677371</v>
      </c>
      <c r="K248" s="330">
        <v>0.72922241195059978</v>
      </c>
      <c r="L248" s="332">
        <v>9423.895415616882</v>
      </c>
      <c r="M248" s="330">
        <v>0</v>
      </c>
      <c r="N248" s="330">
        <v>20511.533069051828</v>
      </c>
      <c r="O248" s="330">
        <v>1477.2293977958911</v>
      </c>
      <c r="P248" s="330">
        <v>36420.631620514825</v>
      </c>
      <c r="Q248" s="333">
        <v>92918.391633239589</v>
      </c>
      <c r="R248" s="330">
        <v>20203.465662567389</v>
      </c>
      <c r="S248" s="330">
        <v>4974.746322906426</v>
      </c>
      <c r="T248" s="332">
        <v>0.29586644817815422</v>
      </c>
      <c r="U248" s="330">
        <v>0.99535078840715907</v>
      </c>
      <c r="V248" s="330">
        <v>0.99242820894580408</v>
      </c>
      <c r="W248" s="330">
        <v>0.86284317567883118</v>
      </c>
      <c r="X248" s="330">
        <v>0.81839913518414753</v>
      </c>
      <c r="Y248" s="330">
        <v>0</v>
      </c>
      <c r="Z248" s="331">
        <v>0</v>
      </c>
      <c r="AA248" s="235"/>
      <c r="AB248" s="52">
        <v>53733.599002851835</v>
      </c>
      <c r="AC248" s="330">
        <v>4.069871709339564</v>
      </c>
      <c r="AD248" s="330">
        <v>46082.608453765533</v>
      </c>
      <c r="AE248" s="330">
        <v>3.9768309198136391</v>
      </c>
      <c r="AF248" s="330">
        <v>7650.9905490863021</v>
      </c>
      <c r="AG248" s="331">
        <v>9.3040789525924872E-2</v>
      </c>
      <c r="AH248" s="235"/>
      <c r="AI248" s="208">
        <f t="shared" si="24"/>
        <v>3812644.524869734</v>
      </c>
      <c r="AJ248" s="208">
        <f t="shared" si="25"/>
        <v>3731906.7653691918</v>
      </c>
      <c r="AK248" s="208">
        <f t="shared" si="26"/>
        <v>80737.759500542321</v>
      </c>
      <c r="AL248" s="235"/>
      <c r="AM248" s="52">
        <f t="shared" si="4"/>
        <v>1</v>
      </c>
      <c r="AN248" s="52">
        <f t="shared" si="5"/>
        <v>0</v>
      </c>
      <c r="AO248" s="52">
        <f t="shared" si="6"/>
        <v>1</v>
      </c>
      <c r="AP248" s="235"/>
      <c r="AQ248" s="3"/>
      <c r="AR248" s="3"/>
      <c r="AS248" s="3"/>
      <c r="AT248" s="3"/>
      <c r="AU248" s="235"/>
      <c r="AV248" s="360">
        <f t="shared" si="27"/>
        <v>3812644.524869734</v>
      </c>
      <c r="AW248" s="235"/>
      <c r="AX248" s="354"/>
      <c r="AY248" s="14"/>
      <c r="AZ248" s="14">
        <f t="shared" si="29"/>
        <v>7650.9905490863021</v>
      </c>
      <c r="BA248" s="14">
        <f t="shared" si="28"/>
        <v>9.3040789525924872E-2</v>
      </c>
      <c r="BB248" s="14">
        <f t="shared" si="2"/>
        <v>82232.648584247348</v>
      </c>
      <c r="BC248" s="14"/>
      <c r="BD248" s="14"/>
      <c r="BE248" s="14"/>
      <c r="BF248" s="14"/>
      <c r="BG248" s="14"/>
      <c r="BH248" s="14"/>
      <c r="BI248" s="14"/>
      <c r="BJ248" s="14"/>
      <c r="BK248" s="14"/>
      <c r="BL248" s="14"/>
      <c r="BM248" s="14"/>
      <c r="BN248" s="14"/>
      <c r="BO248" s="14"/>
      <c r="BP248" s="14"/>
      <c r="BQ248" s="14"/>
      <c r="BR248" s="14"/>
      <c r="BS248" s="14"/>
      <c r="BT248" s="14"/>
      <c r="BU248" s="14"/>
      <c r="BV248" s="14"/>
      <c r="BW248" s="14"/>
      <c r="BX248" s="14"/>
      <c r="BY248" s="14"/>
      <c r="BZ248" s="14"/>
      <c r="CA248" s="14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</row>
    <row r="249" spans="1:101" ht="14.25" customHeight="1" x14ac:dyDescent="0.2">
      <c r="A249" s="328"/>
      <c r="B249" s="52">
        <v>0.13915454613809569</v>
      </c>
      <c r="C249" s="330">
        <v>0.20721157391132494</v>
      </c>
      <c r="D249" s="330">
        <v>1.0070388929832539E-2</v>
      </c>
      <c r="E249" s="330">
        <v>1.6275543020312977E-2</v>
      </c>
      <c r="F249" s="331">
        <v>0.8015574000115262</v>
      </c>
      <c r="G249" s="94">
        <v>0.39078373387251047</v>
      </c>
      <c r="H249" s="330">
        <v>0.11821415751007842</v>
      </c>
      <c r="I249" s="330">
        <v>1.3009579961135742E-2</v>
      </c>
      <c r="J249" s="330">
        <v>0.99411584897275462</v>
      </c>
      <c r="K249" s="330">
        <v>0.75600725147514714</v>
      </c>
      <c r="L249" s="332">
        <v>16648.453716456836</v>
      </c>
      <c r="M249" s="330">
        <v>0</v>
      </c>
      <c r="N249" s="330">
        <v>15694.541292718684</v>
      </c>
      <c r="O249" s="330">
        <v>1083.1963459033043</v>
      </c>
      <c r="P249" s="330">
        <v>56612.84347892231</v>
      </c>
      <c r="Q249" s="333">
        <v>74466.22607751975</v>
      </c>
      <c r="R249" s="330">
        <v>20608.999329496633</v>
      </c>
      <c r="S249" s="330">
        <v>9180.5177875829122</v>
      </c>
      <c r="T249" s="332">
        <v>0.69149175151472753</v>
      </c>
      <c r="U249" s="330">
        <v>0.71595550552140308</v>
      </c>
      <c r="V249" s="330">
        <v>0.98751406989683099</v>
      </c>
      <c r="W249" s="330">
        <v>0.61790473119365108</v>
      </c>
      <c r="X249" s="330">
        <v>0.99616579834564445</v>
      </c>
      <c r="Y249" s="330">
        <v>0</v>
      </c>
      <c r="Z249" s="331">
        <v>0</v>
      </c>
      <c r="AA249" s="235"/>
      <c r="AB249" s="52">
        <v>96467.475908276218</v>
      </c>
      <c r="AC249" s="330">
        <v>5.1749263408268078</v>
      </c>
      <c r="AD249" s="330">
        <v>76609.219722291178</v>
      </c>
      <c r="AE249" s="330">
        <v>4.720768668724916</v>
      </c>
      <c r="AF249" s="330">
        <v>19858.256185985039</v>
      </c>
      <c r="AG249" s="331">
        <v>0.45415767210189184</v>
      </c>
      <c r="AH249" s="235"/>
      <c r="AI249" s="208">
        <f t="shared" si="24"/>
        <v>4819712.5478771906</v>
      </c>
      <c r="AJ249" s="208">
        <f t="shared" si="25"/>
        <v>4408121.0155663788</v>
      </c>
      <c r="AK249" s="208">
        <f t="shared" si="26"/>
        <v>411591.53231081221</v>
      </c>
      <c r="AL249" s="235"/>
      <c r="AM249" s="52">
        <f t="shared" si="4"/>
        <v>1</v>
      </c>
      <c r="AN249" s="52">
        <f t="shared" si="5"/>
        <v>0</v>
      </c>
      <c r="AO249" s="52">
        <f t="shared" si="6"/>
        <v>1</v>
      </c>
      <c r="AP249" s="235"/>
      <c r="AQ249" s="3"/>
      <c r="AR249" s="3"/>
      <c r="AS249" s="3"/>
      <c r="AT249" s="3"/>
      <c r="AU249" s="235"/>
      <c r="AV249" s="360">
        <f t="shared" si="27"/>
        <v>4819712.5478771906</v>
      </c>
      <c r="AW249" s="235"/>
      <c r="AX249" s="354"/>
      <c r="AY249" s="14"/>
      <c r="AZ249" s="14">
        <f t="shared" si="29"/>
        <v>19858.256185985039</v>
      </c>
      <c r="BA249" s="14">
        <f t="shared" si="28"/>
        <v>0.45415767210189184</v>
      </c>
      <c r="BB249" s="14">
        <f t="shared" si="2"/>
        <v>43725.466739511052</v>
      </c>
      <c r="BC249" s="14"/>
      <c r="BD249" s="14"/>
      <c r="BE249" s="14"/>
      <c r="BF249" s="14"/>
      <c r="BG249" s="14"/>
      <c r="BH249" s="14"/>
      <c r="BI249" s="14"/>
      <c r="BJ249" s="14"/>
      <c r="BK249" s="14"/>
      <c r="BL249" s="14"/>
      <c r="BM249" s="14"/>
      <c r="BN249" s="14"/>
      <c r="BO249" s="14"/>
      <c r="BP249" s="14"/>
      <c r="BQ249" s="14"/>
      <c r="BR249" s="14"/>
      <c r="BS249" s="14"/>
      <c r="BT249" s="14"/>
      <c r="BU249" s="14"/>
      <c r="BV249" s="14"/>
      <c r="BW249" s="14"/>
      <c r="BX249" s="14"/>
      <c r="BY249" s="14"/>
      <c r="BZ249" s="14"/>
      <c r="CA249" s="14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</row>
    <row r="250" spans="1:101" ht="14.25" customHeight="1" x14ac:dyDescent="0.2">
      <c r="A250" s="328"/>
      <c r="B250" s="52">
        <v>0.19382452085640078</v>
      </c>
      <c r="C250" s="330">
        <v>0.5574208808905714</v>
      </c>
      <c r="D250" s="330">
        <v>1.7735032025100406E-2</v>
      </c>
      <c r="E250" s="330">
        <v>1.2888017033015288E-2</v>
      </c>
      <c r="F250" s="331">
        <v>0.78951066597797548</v>
      </c>
      <c r="G250" s="94">
        <v>0.3578608003155655</v>
      </c>
      <c r="H250" s="330">
        <v>0.47193892850324043</v>
      </c>
      <c r="I250" s="330">
        <v>1.7507618644711509E-2</v>
      </c>
      <c r="J250" s="330">
        <v>0.99999952723409569</v>
      </c>
      <c r="K250" s="330">
        <v>0.749180525668667</v>
      </c>
      <c r="L250" s="332">
        <v>13986.003023452695</v>
      </c>
      <c r="M250" s="330">
        <v>0</v>
      </c>
      <c r="N250" s="330">
        <v>14482.232801664997</v>
      </c>
      <c r="O250" s="330">
        <v>1576.7305722276578</v>
      </c>
      <c r="P250" s="330">
        <v>66448.454897436415</v>
      </c>
      <c r="Q250" s="333">
        <v>110423.97942066143</v>
      </c>
      <c r="R250" s="330">
        <v>30949.596174894556</v>
      </c>
      <c r="S250" s="330">
        <v>8456.2280057194712</v>
      </c>
      <c r="T250" s="332">
        <v>0.61929565789545826</v>
      </c>
      <c r="U250" s="330">
        <v>0.97602537276799428</v>
      </c>
      <c r="V250" s="330">
        <v>6.0910675827251681E-2</v>
      </c>
      <c r="W250" s="330">
        <v>0.99949371871102932</v>
      </c>
      <c r="X250" s="330">
        <v>0.25332717740458105</v>
      </c>
      <c r="Y250" s="330">
        <v>0</v>
      </c>
      <c r="Z250" s="331">
        <v>0</v>
      </c>
      <c r="AA250" s="235"/>
      <c r="AB250" s="52">
        <v>89663.357712519646</v>
      </c>
      <c r="AC250" s="330">
        <v>1.212174524160494</v>
      </c>
      <c r="AD250" s="330">
        <v>74991.687156745698</v>
      </c>
      <c r="AE250" s="330">
        <v>1.4326375679348633</v>
      </c>
      <c r="AF250" s="330">
        <v>14671.670555773948</v>
      </c>
      <c r="AG250" s="331">
        <v>-0.22046304377436932</v>
      </c>
      <c r="AH250" s="235"/>
      <c r="AI250" s="208">
        <f t="shared" si="24"/>
        <v>1061902.4402399496</v>
      </c>
      <c r="AJ250" s="208">
        <f t="shared" si="25"/>
        <v>1286014.0023813744</v>
      </c>
      <c r="AK250" s="208">
        <f t="shared" si="26"/>
        <v>-224111.5621414248</v>
      </c>
      <c r="AL250" s="235"/>
      <c r="AM250" s="52">
        <f t="shared" si="4"/>
        <v>0</v>
      </c>
      <c r="AN250" s="52">
        <f t="shared" si="5"/>
        <v>1</v>
      </c>
      <c r="AO250" s="52">
        <f t="shared" si="6"/>
        <v>0</v>
      </c>
      <c r="AP250" s="235"/>
      <c r="AQ250" s="3"/>
      <c r="AR250" s="3"/>
      <c r="AS250" s="3"/>
      <c r="AT250" s="3"/>
      <c r="AU250" s="235"/>
      <c r="AV250" s="360">
        <f t="shared" si="27"/>
        <v>1286014.0023813744</v>
      </c>
      <c r="AW250" s="235"/>
      <c r="AX250" s="354"/>
      <c r="AY250" s="14"/>
      <c r="AZ250" s="14">
        <f t="shared" si="29"/>
        <v>14671.670555773948</v>
      </c>
      <c r="BA250" s="14">
        <f t="shared" si="28"/>
        <v>-0.22046304377436932</v>
      </c>
      <c r="BB250" s="14">
        <f t="shared" si="2"/>
        <v>-66549.342259782643</v>
      </c>
      <c r="BC250" s="14"/>
      <c r="BD250" s="14"/>
      <c r="BE250" s="14"/>
      <c r="BF250" s="14"/>
      <c r="BG250" s="14"/>
      <c r="BH250" s="14"/>
      <c r="BI250" s="14"/>
      <c r="BJ250" s="14"/>
      <c r="BK250" s="14"/>
      <c r="BL250" s="14"/>
      <c r="BM250" s="14"/>
      <c r="BN250" s="14"/>
      <c r="BO250" s="14"/>
      <c r="BP250" s="14"/>
      <c r="BQ250" s="14"/>
      <c r="BR250" s="14"/>
      <c r="BS250" s="14"/>
      <c r="BT250" s="14"/>
      <c r="BU250" s="14"/>
      <c r="BV250" s="14"/>
      <c r="BW250" s="14"/>
      <c r="BX250" s="14"/>
      <c r="BY250" s="14"/>
      <c r="BZ250" s="14"/>
      <c r="CA250" s="14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</row>
    <row r="251" spans="1:101" ht="14.25" customHeight="1" x14ac:dyDescent="0.2">
      <c r="A251" s="328"/>
      <c r="B251" s="52">
        <v>0.11693925862403597</v>
      </c>
      <c r="C251" s="330">
        <v>0.68312731869232945</v>
      </c>
      <c r="D251" s="330">
        <v>2.3840400813185503E-2</v>
      </c>
      <c r="E251" s="330">
        <v>1.3517299062089755E-2</v>
      </c>
      <c r="F251" s="331">
        <v>0.80673140683101441</v>
      </c>
      <c r="G251" s="94">
        <v>0.42225800032619143</v>
      </c>
      <c r="H251" s="330">
        <v>0.5416790283659072</v>
      </c>
      <c r="I251" s="330">
        <v>2.2069521024074112E-2</v>
      </c>
      <c r="J251" s="330">
        <v>0.9999997192479273</v>
      </c>
      <c r="K251" s="330">
        <v>0.78265694462287305</v>
      </c>
      <c r="L251" s="332">
        <v>14735.035043067579</v>
      </c>
      <c r="M251" s="330">
        <v>0</v>
      </c>
      <c r="N251" s="330">
        <v>14589.884838175281</v>
      </c>
      <c r="O251" s="330">
        <v>1231.8359997221462</v>
      </c>
      <c r="P251" s="330">
        <v>60011.623761973198</v>
      </c>
      <c r="Q251" s="333">
        <v>90711.716855398263</v>
      </c>
      <c r="R251" s="330">
        <v>29672.777737279481</v>
      </c>
      <c r="S251" s="330">
        <v>7929.83937624992</v>
      </c>
      <c r="T251" s="332">
        <v>0.48595846577683888</v>
      </c>
      <c r="U251" s="330">
        <v>0.89265559283999762</v>
      </c>
      <c r="V251" s="330">
        <v>0.72714001106775705</v>
      </c>
      <c r="W251" s="330">
        <v>0.98167774367799021</v>
      </c>
      <c r="X251" s="330">
        <v>0.81436059674127492</v>
      </c>
      <c r="Y251" s="330">
        <v>0</v>
      </c>
      <c r="Z251" s="331">
        <v>0</v>
      </c>
      <c r="AA251" s="235"/>
      <c r="AB251" s="52">
        <v>86155.556112361155</v>
      </c>
      <c r="AC251" s="330">
        <v>4.0145389284605892</v>
      </c>
      <c r="AD251" s="330">
        <v>75488.540524335476</v>
      </c>
      <c r="AE251" s="330">
        <v>3.9321677808943876</v>
      </c>
      <c r="AF251" s="330">
        <v>10667.015588025679</v>
      </c>
      <c r="AG251" s="331">
        <v>8.2371147566201675E-2</v>
      </c>
      <c r="AH251" s="235"/>
      <c r="AI251" s="208">
        <f t="shared" si="24"/>
        <v>3727656.4259251985</v>
      </c>
      <c r="AJ251" s="208">
        <f t="shared" si="25"/>
        <v>3660070.8513253327</v>
      </c>
      <c r="AK251" s="208">
        <f t="shared" si="26"/>
        <v>67585.574599865911</v>
      </c>
      <c r="AL251" s="235"/>
      <c r="AM251" s="52">
        <f t="shared" si="4"/>
        <v>1</v>
      </c>
      <c r="AN251" s="52">
        <f t="shared" si="5"/>
        <v>0</v>
      </c>
      <c r="AO251" s="52">
        <f t="shared" si="6"/>
        <v>1</v>
      </c>
      <c r="AP251" s="235"/>
      <c r="AQ251" s="3"/>
      <c r="AR251" s="3"/>
      <c r="AS251" s="3"/>
      <c r="AT251" s="3"/>
      <c r="AU251" s="235"/>
      <c r="AV251" s="360">
        <f t="shared" si="27"/>
        <v>3727656.4259251985</v>
      </c>
      <c r="AW251" s="235"/>
      <c r="AX251" s="354"/>
      <c r="AY251" s="14"/>
      <c r="AZ251" s="14">
        <f t="shared" si="29"/>
        <v>10667.015588025679</v>
      </c>
      <c r="BA251" s="14">
        <f t="shared" si="28"/>
        <v>8.2371147566201675E-2</v>
      </c>
      <c r="BB251" s="14">
        <f t="shared" si="2"/>
        <v>129499.41700706063</v>
      </c>
      <c r="BC251" s="14"/>
      <c r="BD251" s="14"/>
      <c r="BE251" s="14"/>
      <c r="BF251" s="14"/>
      <c r="BG251" s="14"/>
      <c r="BH251" s="14"/>
      <c r="BI251" s="14"/>
      <c r="BJ251" s="14"/>
      <c r="BK251" s="14"/>
      <c r="BL251" s="14"/>
      <c r="BM251" s="14"/>
      <c r="BN251" s="14"/>
      <c r="BO251" s="14"/>
      <c r="BP251" s="14"/>
      <c r="BQ251" s="14"/>
      <c r="BR251" s="14"/>
      <c r="BS251" s="14"/>
      <c r="BT251" s="14"/>
      <c r="BU251" s="14"/>
      <c r="BV251" s="14"/>
      <c r="BW251" s="14"/>
      <c r="BX251" s="14"/>
      <c r="BY251" s="14"/>
      <c r="BZ251" s="14"/>
      <c r="CA251" s="14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</row>
    <row r="252" spans="1:101" ht="14.25" customHeight="1" x14ac:dyDescent="0.2">
      <c r="A252" s="328"/>
      <c r="B252" s="52">
        <v>0.14613539997529612</v>
      </c>
      <c r="C252" s="330">
        <v>0.11098938059890572</v>
      </c>
      <c r="D252" s="330">
        <v>1.1735861387866284E-2</v>
      </c>
      <c r="E252" s="330">
        <v>1.7361229733428574E-2</v>
      </c>
      <c r="F252" s="331">
        <v>0.76945894439523066</v>
      </c>
      <c r="G252" s="94">
        <v>0.42171244640869932</v>
      </c>
      <c r="H252" s="330">
        <v>0.81782157214944462</v>
      </c>
      <c r="I252" s="330">
        <v>1.7584144242954292E-2</v>
      </c>
      <c r="J252" s="330">
        <v>0.99636695651869156</v>
      </c>
      <c r="K252" s="330">
        <v>0.75579975954469891</v>
      </c>
      <c r="L252" s="332">
        <v>14663.530194899407</v>
      </c>
      <c r="M252" s="330">
        <v>0</v>
      </c>
      <c r="N252" s="330">
        <v>21488.673893640913</v>
      </c>
      <c r="O252" s="330">
        <v>1356.3313791095845</v>
      </c>
      <c r="P252" s="330">
        <v>43746.05454996819</v>
      </c>
      <c r="Q252" s="333">
        <v>73174.864845327262</v>
      </c>
      <c r="R252" s="330">
        <v>22491.107617540656</v>
      </c>
      <c r="S252" s="330">
        <v>9350.417667168691</v>
      </c>
      <c r="T252" s="332">
        <v>0.81989592029237168</v>
      </c>
      <c r="U252" s="330">
        <v>0.98595354114544531</v>
      </c>
      <c r="V252" s="330">
        <v>0.58724679042267103</v>
      </c>
      <c r="W252" s="330">
        <v>0.94263403283579983</v>
      </c>
      <c r="X252" s="330">
        <v>0.31043600184295295</v>
      </c>
      <c r="Y252" s="330">
        <v>0</v>
      </c>
      <c r="Z252" s="331">
        <v>0</v>
      </c>
      <c r="AA252" s="235"/>
      <c r="AB252" s="52">
        <v>92562.6317337285</v>
      </c>
      <c r="AC252" s="330">
        <v>1.6329067159513024</v>
      </c>
      <c r="AD252" s="330">
        <v>85073.642527752309</v>
      </c>
      <c r="AE252" s="330">
        <v>1.6610629683853664</v>
      </c>
      <c r="AF252" s="330">
        <v>7488.9892059761914</v>
      </c>
      <c r="AG252" s="331">
        <v>-2.8156252434063944E-2</v>
      </c>
      <c r="AH252" s="235"/>
      <c r="AI252" s="208">
        <f t="shared" si="24"/>
        <v>1458698.7484200087</v>
      </c>
      <c r="AJ252" s="208">
        <f t="shared" si="25"/>
        <v>1492936.1774383457</v>
      </c>
      <c r="AK252" s="208">
        <f t="shared" si="26"/>
        <v>-34237.429018336938</v>
      </c>
      <c r="AL252" s="235"/>
      <c r="AM252" s="52">
        <f t="shared" si="4"/>
        <v>0</v>
      </c>
      <c r="AN252" s="52">
        <f t="shared" si="5"/>
        <v>1</v>
      </c>
      <c r="AO252" s="52">
        <f t="shared" si="6"/>
        <v>0</v>
      </c>
      <c r="AP252" s="235"/>
      <c r="AQ252" s="3"/>
      <c r="AR252" s="3"/>
      <c r="AS252" s="3"/>
      <c r="AT252" s="3"/>
      <c r="AU252" s="235"/>
      <c r="AV252" s="360">
        <f t="shared" si="27"/>
        <v>1492936.1774383457</v>
      </c>
      <c r="AW252" s="235"/>
      <c r="AX252" s="354"/>
      <c r="AY252" s="14"/>
      <c r="AZ252" s="14">
        <f t="shared" si="29"/>
        <v>7488.9892059761914</v>
      </c>
      <c r="BA252" s="14">
        <f t="shared" si="28"/>
        <v>-2.8156252434063944E-2</v>
      </c>
      <c r="BB252" s="14">
        <f t="shared" si="2"/>
        <v>-265979.61584247899</v>
      </c>
      <c r="BC252" s="14"/>
      <c r="BD252" s="14"/>
      <c r="BE252" s="14"/>
      <c r="BF252" s="14"/>
      <c r="BG252" s="14"/>
      <c r="BH252" s="14"/>
      <c r="BI252" s="14"/>
      <c r="BJ252" s="14"/>
      <c r="BK252" s="14"/>
      <c r="BL252" s="14"/>
      <c r="BM252" s="14"/>
      <c r="BN252" s="14"/>
      <c r="BO252" s="14"/>
      <c r="BP252" s="14"/>
      <c r="BQ252" s="14"/>
      <c r="BR252" s="14"/>
      <c r="BS252" s="14"/>
      <c r="BT252" s="14"/>
      <c r="BU252" s="14"/>
      <c r="BV252" s="14"/>
      <c r="BW252" s="14"/>
      <c r="BX252" s="14"/>
      <c r="BY252" s="14"/>
      <c r="BZ252" s="14"/>
      <c r="CA252" s="14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</row>
    <row r="253" spans="1:101" ht="14.25" customHeight="1" x14ac:dyDescent="0.2">
      <c r="A253" s="328"/>
      <c r="B253" s="52">
        <v>0.14416052342677549</v>
      </c>
      <c r="C253" s="330">
        <v>0.2751608780009146</v>
      </c>
      <c r="D253" s="330">
        <v>1.3556652575753591E-2</v>
      </c>
      <c r="E253" s="330">
        <v>2.6290150195726336E-2</v>
      </c>
      <c r="F253" s="331">
        <v>0.80341379549048075</v>
      </c>
      <c r="G253" s="94">
        <v>0.37617021077672036</v>
      </c>
      <c r="H253" s="330">
        <v>0.6172238702245636</v>
      </c>
      <c r="I253" s="330">
        <v>8.3647957630189618E-3</v>
      </c>
      <c r="J253" s="330">
        <v>0.99719973732508438</v>
      </c>
      <c r="K253" s="330">
        <v>0.76635396253488941</v>
      </c>
      <c r="L253" s="332">
        <v>11129.753737010647</v>
      </c>
      <c r="M253" s="330">
        <v>0</v>
      </c>
      <c r="N253" s="330">
        <v>20081.91950260297</v>
      </c>
      <c r="O253" s="330">
        <v>1176.8026761642777</v>
      </c>
      <c r="P253" s="330">
        <v>49482.324831669866</v>
      </c>
      <c r="Q253" s="333">
        <v>101515.61983816103</v>
      </c>
      <c r="R253" s="330">
        <v>14813.367320816791</v>
      </c>
      <c r="S253" s="330">
        <v>5714.9612471764713</v>
      </c>
      <c r="T253" s="332">
        <v>9.8111472988619469E-2</v>
      </c>
      <c r="U253" s="330">
        <v>0.98783452313623776</v>
      </c>
      <c r="V253" s="330">
        <v>0.9999014341206709</v>
      </c>
      <c r="W253" s="330">
        <v>0.98993503040064845</v>
      </c>
      <c r="X253" s="330">
        <v>0.84033474113435003</v>
      </c>
      <c r="Y253" s="330">
        <v>0</v>
      </c>
      <c r="Z253" s="331">
        <v>0</v>
      </c>
      <c r="AA253" s="235"/>
      <c r="AB253" s="52">
        <v>61361.198569482978</v>
      </c>
      <c r="AC253" s="330">
        <v>4.0820923349655382</v>
      </c>
      <c r="AD253" s="330">
        <v>51403.217940408707</v>
      </c>
      <c r="AE253" s="330">
        <v>4.2322814191217066</v>
      </c>
      <c r="AF253" s="330">
        <v>9957.9806290742708</v>
      </c>
      <c r="AG253" s="331">
        <v>-0.15018908415616838</v>
      </c>
      <c r="AH253" s="235"/>
      <c r="AI253" s="208">
        <f t="shared" si="24"/>
        <v>3816626.519647778</v>
      </c>
      <c r="AJ253" s="208">
        <f t="shared" si="25"/>
        <v>3969264.1302252128</v>
      </c>
      <c r="AK253" s="208">
        <f t="shared" si="26"/>
        <v>-152637.61057743424</v>
      </c>
      <c r="AL253" s="235"/>
      <c r="AM253" s="52">
        <f t="shared" si="4"/>
        <v>0</v>
      </c>
      <c r="AN253" s="52">
        <f t="shared" si="5"/>
        <v>1</v>
      </c>
      <c r="AO253" s="52">
        <f t="shared" si="6"/>
        <v>0</v>
      </c>
      <c r="AP253" s="235"/>
      <c r="AQ253" s="3"/>
      <c r="AR253" s="3"/>
      <c r="AS253" s="3"/>
      <c r="AT253" s="3"/>
      <c r="AU253" s="235"/>
      <c r="AV253" s="360">
        <f t="shared" si="27"/>
        <v>3969264.1302252128</v>
      </c>
      <c r="AW253" s="235"/>
      <c r="AX253" s="354"/>
      <c r="AY253" s="14"/>
      <c r="AZ253" s="14">
        <f t="shared" si="29"/>
        <v>9957.9806290742708</v>
      </c>
      <c r="BA253" s="14">
        <f t="shared" si="28"/>
        <v>-0.15018908415616838</v>
      </c>
      <c r="BB253" s="14">
        <f t="shared" si="2"/>
        <v>-66302.958600638682</v>
      </c>
      <c r="BC253" s="14"/>
      <c r="BD253" s="14"/>
      <c r="BE253" s="14"/>
      <c r="BF253" s="14"/>
      <c r="BG253" s="14"/>
      <c r="BH253" s="14"/>
      <c r="BI253" s="14"/>
      <c r="BJ253" s="14"/>
      <c r="BK253" s="14"/>
      <c r="BL253" s="14"/>
      <c r="BM253" s="14"/>
      <c r="BN253" s="14"/>
      <c r="BO253" s="14"/>
      <c r="BP253" s="14"/>
      <c r="BQ253" s="14"/>
      <c r="BR253" s="14"/>
      <c r="BS253" s="14"/>
      <c r="BT253" s="14"/>
      <c r="BU253" s="14"/>
      <c r="BV253" s="14"/>
      <c r="BW253" s="14"/>
      <c r="BX253" s="14"/>
      <c r="BY253" s="14"/>
      <c r="BZ253" s="14"/>
      <c r="CA253" s="14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</row>
    <row r="254" spans="1:101" ht="14.25" customHeight="1" x14ac:dyDescent="0.2">
      <c r="A254" s="328"/>
      <c r="B254" s="52">
        <v>0.14599213535637814</v>
      </c>
      <c r="C254" s="330">
        <v>2.5576417339937551E-2</v>
      </c>
      <c r="D254" s="330">
        <v>2.0679381770654204E-2</v>
      </c>
      <c r="E254" s="330">
        <v>2.751165975669434E-2</v>
      </c>
      <c r="F254" s="331">
        <v>0.78778986019858876</v>
      </c>
      <c r="G254" s="94">
        <v>0.358624877293237</v>
      </c>
      <c r="H254" s="330">
        <v>0.78328957828642243</v>
      </c>
      <c r="I254" s="330">
        <v>1.2246458406735074E-2</v>
      </c>
      <c r="J254" s="330">
        <v>1</v>
      </c>
      <c r="K254" s="330">
        <v>0.76094576108643652</v>
      </c>
      <c r="L254" s="332">
        <v>11032.556237666522</v>
      </c>
      <c r="M254" s="330">
        <v>0</v>
      </c>
      <c r="N254" s="330">
        <v>21127.782172571115</v>
      </c>
      <c r="O254" s="330">
        <v>917.19365568897558</v>
      </c>
      <c r="P254" s="330">
        <v>35282.513195123065</v>
      </c>
      <c r="Q254" s="333">
        <v>116713.97043335029</v>
      </c>
      <c r="R254" s="330">
        <v>16904.825010521396</v>
      </c>
      <c r="S254" s="330">
        <v>7742.718576608665</v>
      </c>
      <c r="T254" s="332">
        <v>0.99233593775691253</v>
      </c>
      <c r="U254" s="330">
        <v>0.54677114788261427</v>
      </c>
      <c r="V254" s="330">
        <v>0.93571349669834814</v>
      </c>
      <c r="W254" s="330">
        <v>0.89910555348354415</v>
      </c>
      <c r="X254" s="330">
        <v>0.97185937102734599</v>
      </c>
      <c r="Y254" s="330">
        <v>0</v>
      </c>
      <c r="Z254" s="331">
        <v>0</v>
      </c>
      <c r="AA254" s="235"/>
      <c r="AB254" s="52">
        <v>77043.225011614471</v>
      </c>
      <c r="AC254" s="330">
        <v>4.7297070723390959</v>
      </c>
      <c r="AD254" s="330">
        <v>69007.849523772573</v>
      </c>
      <c r="AE254" s="330">
        <v>4.5815541018111583</v>
      </c>
      <c r="AF254" s="330">
        <v>8035.3754878418986</v>
      </c>
      <c r="AG254" s="331">
        <v>0.14815297052793763</v>
      </c>
      <c r="AH254" s="235"/>
      <c r="AI254" s="208">
        <f t="shared" si="24"/>
        <v>4416178.4937105272</v>
      </c>
      <c r="AJ254" s="208">
        <f t="shared" si="25"/>
        <v>4283468.5471968278</v>
      </c>
      <c r="AK254" s="208">
        <f t="shared" si="26"/>
        <v>132709.94651369884</v>
      </c>
      <c r="AL254" s="235"/>
      <c r="AM254" s="52">
        <f t="shared" si="4"/>
        <v>1</v>
      </c>
      <c r="AN254" s="52">
        <f t="shared" si="5"/>
        <v>0</v>
      </c>
      <c r="AO254" s="52">
        <f t="shared" si="6"/>
        <v>1</v>
      </c>
      <c r="AP254" s="235"/>
      <c r="AQ254" s="3"/>
      <c r="AR254" s="3"/>
      <c r="AS254" s="3"/>
      <c r="AT254" s="3"/>
      <c r="AU254" s="235"/>
      <c r="AV254" s="360">
        <f t="shared" si="27"/>
        <v>4416178.4937105272</v>
      </c>
      <c r="AW254" s="235"/>
      <c r="AX254" s="354"/>
      <c r="AY254" s="14"/>
      <c r="AZ254" s="14">
        <f t="shared" si="29"/>
        <v>8035.3754878418986</v>
      </c>
      <c r="BA254" s="14">
        <f t="shared" si="28"/>
        <v>0.14815297052793763</v>
      </c>
      <c r="BB254" s="14">
        <f t="shared" si="2"/>
        <v>54237.019070276721</v>
      </c>
      <c r="BC254" s="14"/>
      <c r="BD254" s="14"/>
      <c r="BE254" s="14"/>
      <c r="BF254" s="14"/>
      <c r="BG254" s="14"/>
      <c r="BH254" s="14"/>
      <c r="BI254" s="14"/>
      <c r="BJ254" s="14"/>
      <c r="BK254" s="14"/>
      <c r="BL254" s="14"/>
      <c r="BM254" s="14"/>
      <c r="BN254" s="14"/>
      <c r="BO254" s="14"/>
      <c r="BP254" s="14"/>
      <c r="BQ254" s="14"/>
      <c r="BR254" s="14"/>
      <c r="BS254" s="14"/>
      <c r="BT254" s="14"/>
      <c r="BU254" s="14"/>
      <c r="BV254" s="14"/>
      <c r="BW254" s="14"/>
      <c r="BX254" s="14"/>
      <c r="BY254" s="14"/>
      <c r="BZ254" s="14"/>
      <c r="CA254" s="14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</row>
    <row r="255" spans="1:101" ht="14.25" customHeight="1" x14ac:dyDescent="0.2">
      <c r="A255" s="328"/>
      <c r="B255" s="52">
        <v>0.1334406616236446</v>
      </c>
      <c r="C255" s="330">
        <v>6.2303198340395499E-3</v>
      </c>
      <c r="D255" s="330">
        <v>1.7604544755735363E-2</v>
      </c>
      <c r="E255" s="330">
        <v>1.1807729691696654E-2</v>
      </c>
      <c r="F255" s="331">
        <v>0.79099917117185659</v>
      </c>
      <c r="G255" s="94">
        <v>0.36168111896879113</v>
      </c>
      <c r="H255" s="330">
        <v>0.12624400676584654</v>
      </c>
      <c r="I255" s="330">
        <v>3.053210378339259E-3</v>
      </c>
      <c r="J255" s="330">
        <v>0.99999999999970868</v>
      </c>
      <c r="K255" s="330">
        <v>0.70045219684422633</v>
      </c>
      <c r="L255" s="332">
        <v>10435.592227656954</v>
      </c>
      <c r="M255" s="330">
        <v>0</v>
      </c>
      <c r="N255" s="330">
        <v>14411.288840888623</v>
      </c>
      <c r="O255" s="330">
        <v>1200.5991969246143</v>
      </c>
      <c r="P255" s="330">
        <v>54380.854613056159</v>
      </c>
      <c r="Q255" s="333">
        <v>77807.965717251616</v>
      </c>
      <c r="R255" s="330">
        <v>14790.756153795779</v>
      </c>
      <c r="S255" s="330">
        <v>7442.0706155002545</v>
      </c>
      <c r="T255" s="332">
        <v>0.84848291419522182</v>
      </c>
      <c r="U255" s="330">
        <v>0.50270676453798957</v>
      </c>
      <c r="V255" s="330">
        <v>0.99867118929805465</v>
      </c>
      <c r="W255" s="330">
        <v>0.58506516340007231</v>
      </c>
      <c r="X255" s="330">
        <v>0.9304919816036441</v>
      </c>
      <c r="Y255" s="330">
        <v>0</v>
      </c>
      <c r="Z255" s="331">
        <v>0</v>
      </c>
      <c r="AA255" s="235"/>
      <c r="AB255" s="52">
        <v>73964.024708203302</v>
      </c>
      <c r="AC255" s="330">
        <v>4.5144689120755181</v>
      </c>
      <c r="AD255" s="330">
        <v>57209.429938259673</v>
      </c>
      <c r="AE255" s="330">
        <v>3.9443440505942093</v>
      </c>
      <c r="AF255" s="330">
        <v>16754.594769943629</v>
      </c>
      <c r="AG255" s="331">
        <v>0.57012486148130881</v>
      </c>
      <c r="AH255" s="235"/>
      <c r="AI255" s="208">
        <f t="shared" si="24"/>
        <v>4214781.4417635389</v>
      </c>
      <c r="AJ255" s="208">
        <f t="shared" si="25"/>
        <v>3689917.4181262394</v>
      </c>
      <c r="AK255" s="208">
        <f t="shared" si="26"/>
        <v>524864.02363729978</v>
      </c>
      <c r="AL255" s="235"/>
      <c r="AM255" s="52">
        <f t="shared" si="4"/>
        <v>1</v>
      </c>
      <c r="AN255" s="52">
        <f t="shared" si="5"/>
        <v>0</v>
      </c>
      <c r="AO255" s="52">
        <f t="shared" si="6"/>
        <v>1</v>
      </c>
      <c r="AP255" s="235"/>
      <c r="AQ255" s="3"/>
      <c r="AR255" s="3"/>
      <c r="AS255" s="3"/>
      <c r="AT255" s="3"/>
      <c r="AU255" s="235"/>
      <c r="AV255" s="360">
        <f t="shared" si="27"/>
        <v>4214781.4417635389</v>
      </c>
      <c r="AW255" s="235"/>
      <c r="AX255" s="354"/>
      <c r="AY255" s="14"/>
      <c r="AZ255" s="14">
        <f t="shared" si="29"/>
        <v>16754.594769943629</v>
      </c>
      <c r="BA255" s="14">
        <f t="shared" si="28"/>
        <v>0.57012486148130881</v>
      </c>
      <c r="BB255" s="14">
        <f t="shared" si="2"/>
        <v>29387.588407233347</v>
      </c>
      <c r="BC255" s="14"/>
      <c r="BD255" s="14"/>
      <c r="BE255" s="14"/>
      <c r="BF255" s="14"/>
      <c r="BG255" s="14"/>
      <c r="BH255" s="14"/>
      <c r="BI255" s="14"/>
      <c r="BJ255" s="14"/>
      <c r="BK255" s="14"/>
      <c r="BL255" s="14"/>
      <c r="BM255" s="14"/>
      <c r="BN255" s="14"/>
      <c r="BO255" s="14"/>
      <c r="BP255" s="14"/>
      <c r="BQ255" s="14"/>
      <c r="BR255" s="14"/>
      <c r="BS255" s="14"/>
      <c r="BT255" s="14"/>
      <c r="BU255" s="14"/>
      <c r="BV255" s="14"/>
      <c r="BW255" s="14"/>
      <c r="BX255" s="14"/>
      <c r="BY255" s="14"/>
      <c r="BZ255" s="14"/>
      <c r="CA255" s="14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</row>
    <row r="256" spans="1:101" ht="14.25" customHeight="1" x14ac:dyDescent="0.2">
      <c r="A256" s="328"/>
      <c r="B256" s="52">
        <v>0.1552058611422352</v>
      </c>
      <c r="C256" s="330">
        <v>0.39760744824408156</v>
      </c>
      <c r="D256" s="330">
        <v>1.001757408679679E-2</v>
      </c>
      <c r="E256" s="330">
        <v>1.4364624995539668E-2</v>
      </c>
      <c r="F256" s="331">
        <v>0.77257337818564897</v>
      </c>
      <c r="G256" s="94">
        <v>0.36359527826876292</v>
      </c>
      <c r="H256" s="330">
        <v>0.38036325576078689</v>
      </c>
      <c r="I256" s="330">
        <v>3.0034273055279059E-2</v>
      </c>
      <c r="J256" s="330">
        <v>1</v>
      </c>
      <c r="K256" s="330">
        <v>0.74900536477613133</v>
      </c>
      <c r="L256" s="332">
        <v>14386.099496782101</v>
      </c>
      <c r="M256" s="330">
        <v>0</v>
      </c>
      <c r="N256" s="330">
        <v>12155.534609377737</v>
      </c>
      <c r="O256" s="330">
        <v>1375.8384490904261</v>
      </c>
      <c r="P256" s="330">
        <v>43898.555719789103</v>
      </c>
      <c r="Q256" s="333">
        <v>105111.75031061635</v>
      </c>
      <c r="R256" s="330">
        <v>33693.042763732876</v>
      </c>
      <c r="S256" s="330">
        <v>6328.9230492558763</v>
      </c>
      <c r="T256" s="332">
        <v>0.21510163727743903</v>
      </c>
      <c r="U256" s="330">
        <v>0.25750950513950338</v>
      </c>
      <c r="V256" s="330">
        <v>0.67006279444619299</v>
      </c>
      <c r="W256" s="330">
        <v>0.68855974226322803</v>
      </c>
      <c r="X256" s="330">
        <v>9.223478897583888E-2</v>
      </c>
      <c r="Y256" s="330">
        <v>0</v>
      </c>
      <c r="Z256" s="331">
        <v>0</v>
      </c>
      <c r="AA256" s="235"/>
      <c r="AB256" s="52">
        <v>69314.519405446728</v>
      </c>
      <c r="AC256" s="330">
        <v>0.51210900342391652</v>
      </c>
      <c r="AD256" s="330">
        <v>57796.565631516445</v>
      </c>
      <c r="AE256" s="330">
        <v>0.47658002031874058</v>
      </c>
      <c r="AF256" s="330">
        <v>11517.953773930283</v>
      </c>
      <c r="AG256" s="331">
        <v>3.5528983105175937E-2</v>
      </c>
      <c r="AH256" s="235"/>
      <c r="AI256" s="208">
        <f t="shared" si="24"/>
        <v>417189.03384727397</v>
      </c>
      <c r="AJ256" s="208">
        <f t="shared" si="25"/>
        <v>394954.4536712871</v>
      </c>
      <c r="AK256" s="208">
        <f t="shared" si="26"/>
        <v>22234.580175986855</v>
      </c>
      <c r="AL256" s="235"/>
      <c r="AM256" s="52">
        <f t="shared" si="4"/>
        <v>1</v>
      </c>
      <c r="AN256" s="52">
        <f t="shared" si="5"/>
        <v>0</v>
      </c>
      <c r="AO256" s="52">
        <f t="shared" si="6"/>
        <v>1</v>
      </c>
      <c r="AP256" s="235"/>
      <c r="AQ256" s="3"/>
      <c r="AR256" s="3"/>
      <c r="AS256" s="3"/>
      <c r="AT256" s="3"/>
      <c r="AU256" s="235"/>
      <c r="AV256" s="360">
        <f t="shared" si="27"/>
        <v>417189.03384727397</v>
      </c>
      <c r="AW256" s="235"/>
      <c r="AX256" s="354"/>
      <c r="AY256" s="14"/>
      <c r="AZ256" s="14">
        <f t="shared" si="29"/>
        <v>11517.953773930283</v>
      </c>
      <c r="BA256" s="14">
        <f t="shared" si="28"/>
        <v>3.5528983105175937E-2</v>
      </c>
      <c r="BB256" s="14">
        <f t="shared" si="2"/>
        <v>324184.72940342396</v>
      </c>
      <c r="BC256" s="14"/>
      <c r="BD256" s="14"/>
      <c r="BE256" s="14"/>
      <c r="BF256" s="14"/>
      <c r="BG256" s="14"/>
      <c r="BH256" s="14"/>
      <c r="BI256" s="14"/>
      <c r="BJ256" s="14"/>
      <c r="BK256" s="14"/>
      <c r="BL256" s="14"/>
      <c r="BM256" s="14"/>
      <c r="BN256" s="14"/>
      <c r="BO256" s="14"/>
      <c r="BP256" s="14"/>
      <c r="BQ256" s="14"/>
      <c r="BR256" s="14"/>
      <c r="BS256" s="14"/>
      <c r="BT256" s="14"/>
      <c r="BU256" s="14"/>
      <c r="BV256" s="14"/>
      <c r="BW256" s="14"/>
      <c r="BX256" s="14"/>
      <c r="BY256" s="14"/>
      <c r="BZ256" s="14"/>
      <c r="CA256" s="14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</row>
    <row r="257" spans="1:101" ht="14.25" customHeight="1" x14ac:dyDescent="0.2">
      <c r="A257" s="328"/>
      <c r="B257" s="52">
        <v>0.21945501466038619</v>
      </c>
      <c r="C257" s="330">
        <v>0.86255193423185406</v>
      </c>
      <c r="D257" s="330">
        <v>1.2711335344089919E-2</v>
      </c>
      <c r="E257" s="330">
        <v>1.0293060741281565E-2</v>
      </c>
      <c r="F257" s="331">
        <v>0.78299264885202424</v>
      </c>
      <c r="G257" s="94">
        <v>0.36501817091746924</v>
      </c>
      <c r="H257" s="330">
        <v>0.16585412092408131</v>
      </c>
      <c r="I257" s="330">
        <v>6.3689888205796068E-3</v>
      </c>
      <c r="J257" s="330">
        <v>0.99842804244861871</v>
      </c>
      <c r="K257" s="330">
        <v>0.76438840228812621</v>
      </c>
      <c r="L257" s="332">
        <v>8274.6544083098379</v>
      </c>
      <c r="M257" s="330">
        <v>0</v>
      </c>
      <c r="N257" s="330">
        <v>18906.437553993546</v>
      </c>
      <c r="O257" s="330">
        <v>962.31581449800751</v>
      </c>
      <c r="P257" s="330">
        <v>43099.204007128275</v>
      </c>
      <c r="Q257" s="333">
        <v>82739.215551490663</v>
      </c>
      <c r="R257" s="330">
        <v>28855.460503531267</v>
      </c>
      <c r="S257" s="330">
        <v>8263.3071288187657</v>
      </c>
      <c r="T257" s="332">
        <v>0.98024639549166159</v>
      </c>
      <c r="U257" s="330">
        <v>0.70536897675831078</v>
      </c>
      <c r="V257" s="330">
        <v>0.74146623429008462</v>
      </c>
      <c r="W257" s="330">
        <v>0.98989075847774788</v>
      </c>
      <c r="X257" s="330">
        <v>0.47276397434856926</v>
      </c>
      <c r="Y257" s="330">
        <v>0</v>
      </c>
      <c r="Z257" s="331">
        <v>0</v>
      </c>
      <c r="AA257" s="235"/>
      <c r="AB257" s="52">
        <v>83612.748562886671</v>
      </c>
      <c r="AC257" s="330">
        <v>2.6170665301109954</v>
      </c>
      <c r="AD257" s="330">
        <v>70263.671133808035</v>
      </c>
      <c r="AE257" s="330">
        <v>2.4269693560038639</v>
      </c>
      <c r="AF257" s="330">
        <v>13349.077429078636</v>
      </c>
      <c r="AG257" s="331">
        <v>0.19009717410713156</v>
      </c>
      <c r="AH257" s="235"/>
      <c r="AI257" s="208">
        <f t="shared" si="24"/>
        <v>2402600.4550425587</v>
      </c>
      <c r="AJ257" s="208">
        <f t="shared" si="25"/>
        <v>2235357.2170698629</v>
      </c>
      <c r="AK257" s="208">
        <f t="shared" si="26"/>
        <v>167243.23797269634</v>
      </c>
      <c r="AL257" s="235"/>
      <c r="AM257" s="52">
        <f t="shared" si="4"/>
        <v>1</v>
      </c>
      <c r="AN257" s="52">
        <f t="shared" si="5"/>
        <v>0</v>
      </c>
      <c r="AO257" s="52">
        <f t="shared" si="6"/>
        <v>1</v>
      </c>
      <c r="AP257" s="235"/>
      <c r="AQ257" s="3"/>
      <c r="AR257" s="3"/>
      <c r="AS257" s="3"/>
      <c r="AT257" s="3"/>
      <c r="AU257" s="235"/>
      <c r="AV257" s="360">
        <f t="shared" si="27"/>
        <v>2402600.4550425587</v>
      </c>
      <c r="AW257" s="235"/>
      <c r="AX257" s="354"/>
      <c r="AY257" s="14"/>
      <c r="AZ257" s="14">
        <f t="shared" si="29"/>
        <v>13349.077429078636</v>
      </c>
      <c r="BA257" s="14">
        <f t="shared" si="28"/>
        <v>0.19009717410713156</v>
      </c>
      <c r="BB257" s="14">
        <f t="shared" si="2"/>
        <v>70222.387532997207</v>
      </c>
      <c r="BC257" s="14"/>
      <c r="BD257" s="14"/>
      <c r="BE257" s="14"/>
      <c r="BF257" s="14"/>
      <c r="BG257" s="14"/>
      <c r="BH257" s="14"/>
      <c r="BI257" s="14"/>
      <c r="BJ257" s="14"/>
      <c r="BK257" s="14"/>
      <c r="BL257" s="14"/>
      <c r="BM257" s="14"/>
      <c r="BN257" s="14"/>
      <c r="BO257" s="14"/>
      <c r="BP257" s="14"/>
      <c r="BQ257" s="14"/>
      <c r="BR257" s="14"/>
      <c r="BS257" s="14"/>
      <c r="BT257" s="14"/>
      <c r="BU257" s="14"/>
      <c r="BV257" s="14"/>
      <c r="BW257" s="14"/>
      <c r="BX257" s="14"/>
      <c r="BY257" s="14"/>
      <c r="BZ257" s="14"/>
      <c r="CA257" s="14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</row>
    <row r="258" spans="1:101" ht="14.25" customHeight="1" x14ac:dyDescent="0.2">
      <c r="A258" s="328"/>
      <c r="B258" s="52">
        <v>0.14168675934337932</v>
      </c>
      <c r="C258" s="330">
        <v>4.5796521164090283E-2</v>
      </c>
      <c r="D258" s="330">
        <v>1.5342576500311789E-2</v>
      </c>
      <c r="E258" s="330">
        <v>1.0502940716982089E-2</v>
      </c>
      <c r="F258" s="331">
        <v>0.77235354879022511</v>
      </c>
      <c r="G258" s="94">
        <v>0.37513027887630873</v>
      </c>
      <c r="H258" s="330">
        <v>0.37918067055749177</v>
      </c>
      <c r="I258" s="330">
        <v>1.3017192836800836E-2</v>
      </c>
      <c r="J258" s="330">
        <v>0.89046772371270166</v>
      </c>
      <c r="K258" s="330">
        <v>0.76670630171179033</v>
      </c>
      <c r="L258" s="332">
        <v>16713.243444410749</v>
      </c>
      <c r="M258" s="330">
        <v>0</v>
      </c>
      <c r="N258" s="330">
        <v>13865.09744242723</v>
      </c>
      <c r="O258" s="330">
        <v>1066.972679672233</v>
      </c>
      <c r="P258" s="330">
        <v>45068.321147704977</v>
      </c>
      <c r="Q258" s="333">
        <v>97529.905918239034</v>
      </c>
      <c r="R258" s="330">
        <v>26550.603352471553</v>
      </c>
      <c r="S258" s="330">
        <v>8632.8008219906078</v>
      </c>
      <c r="T258" s="332">
        <v>0.74787046586048755</v>
      </c>
      <c r="U258" s="330">
        <v>0.24370477051517431</v>
      </c>
      <c r="V258" s="330">
        <v>0.62132613468322928</v>
      </c>
      <c r="W258" s="330">
        <v>0.15092687952241574</v>
      </c>
      <c r="X258" s="330">
        <v>0.96174937848250208</v>
      </c>
      <c r="Y258" s="330">
        <v>0</v>
      </c>
      <c r="Z258" s="331">
        <v>0</v>
      </c>
      <c r="AA258" s="235"/>
      <c r="AB258" s="52">
        <v>88801.342203489679</v>
      </c>
      <c r="AC258" s="330">
        <v>4.6920684748247092</v>
      </c>
      <c r="AD258" s="330">
        <v>75894.275010431942</v>
      </c>
      <c r="AE258" s="330">
        <v>4.5233566880391258</v>
      </c>
      <c r="AF258" s="330">
        <v>12907.067193057737</v>
      </c>
      <c r="AG258" s="331">
        <v>0.16871178678558341</v>
      </c>
      <c r="AH258" s="235"/>
      <c r="AI258" s="208">
        <f t="shared" si="24"/>
        <v>4368663.708879984</v>
      </c>
      <c r="AJ258" s="208">
        <f t="shared" si="25"/>
        <v>4221294.578626737</v>
      </c>
      <c r="AK258" s="208">
        <f t="shared" si="26"/>
        <v>147369.13025324649</v>
      </c>
      <c r="AL258" s="235"/>
      <c r="AM258" s="52">
        <f t="shared" si="4"/>
        <v>1</v>
      </c>
      <c r="AN258" s="52">
        <f t="shared" si="5"/>
        <v>0</v>
      </c>
      <c r="AO258" s="52">
        <f t="shared" si="6"/>
        <v>1</v>
      </c>
      <c r="AP258" s="235"/>
      <c r="AQ258" s="3"/>
      <c r="AR258" s="3"/>
      <c r="AS258" s="3"/>
      <c r="AT258" s="3"/>
      <c r="AU258" s="235"/>
      <c r="AV258" s="360">
        <f t="shared" si="27"/>
        <v>4368663.708879984</v>
      </c>
      <c r="AW258" s="235"/>
      <c r="AX258" s="354"/>
      <c r="AY258" s="14"/>
      <c r="AZ258" s="14">
        <f t="shared" si="29"/>
        <v>12907.067193057737</v>
      </c>
      <c r="BA258" s="14">
        <f t="shared" si="28"/>
        <v>0.16871178678558341</v>
      </c>
      <c r="BB258" s="14">
        <f t="shared" si="2"/>
        <v>76503.648257020643</v>
      </c>
      <c r="BC258" s="14"/>
      <c r="BD258" s="14"/>
      <c r="BE258" s="14"/>
      <c r="BF258" s="14"/>
      <c r="BG258" s="14"/>
      <c r="BH258" s="14"/>
      <c r="BI258" s="14"/>
      <c r="BJ258" s="14"/>
      <c r="BK258" s="14"/>
      <c r="BL258" s="14"/>
      <c r="BM258" s="14"/>
      <c r="BN258" s="14"/>
      <c r="BO258" s="14"/>
      <c r="BP258" s="14"/>
      <c r="BQ258" s="14"/>
      <c r="BR258" s="14"/>
      <c r="BS258" s="14"/>
      <c r="BT258" s="14"/>
      <c r="BU258" s="14"/>
      <c r="BV258" s="14"/>
      <c r="BW258" s="14"/>
      <c r="BX258" s="14"/>
      <c r="BY258" s="14"/>
      <c r="BZ258" s="14"/>
      <c r="CA258" s="14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</row>
    <row r="259" spans="1:101" ht="14.25" customHeight="1" x14ac:dyDescent="0.2">
      <c r="A259" s="328"/>
      <c r="B259" s="52">
        <v>0.17973832126211819</v>
      </c>
      <c r="C259" s="330">
        <v>0.87678995331536391</v>
      </c>
      <c r="D259" s="330">
        <v>2.060595058183412E-2</v>
      </c>
      <c r="E259" s="330">
        <v>7.2795270623214319E-3</v>
      </c>
      <c r="F259" s="331">
        <v>0.77627621036632111</v>
      </c>
      <c r="G259" s="94">
        <v>0.41011004251757632</v>
      </c>
      <c r="H259" s="330">
        <v>0.38251447025934371</v>
      </c>
      <c r="I259" s="330">
        <v>1.4507049363254185E-2</v>
      </c>
      <c r="J259" s="330">
        <v>1</v>
      </c>
      <c r="K259" s="330">
        <v>0.81325871075749001</v>
      </c>
      <c r="L259" s="332">
        <v>12560.935467014837</v>
      </c>
      <c r="M259" s="330">
        <v>0</v>
      </c>
      <c r="N259" s="330">
        <v>14694.707384039051</v>
      </c>
      <c r="O259" s="330">
        <v>800.83627797437066</v>
      </c>
      <c r="P259" s="330">
        <v>53579.148405467051</v>
      </c>
      <c r="Q259" s="333">
        <v>90728.06618856531</v>
      </c>
      <c r="R259" s="330">
        <v>26584.076402785759</v>
      </c>
      <c r="S259" s="330">
        <v>8631.3571565317434</v>
      </c>
      <c r="T259" s="332">
        <v>0.28922669565214054</v>
      </c>
      <c r="U259" s="330">
        <v>0.66272300965589515</v>
      </c>
      <c r="V259" s="330">
        <v>0.94203332103051851</v>
      </c>
      <c r="W259" s="330">
        <v>0.97265932249334663</v>
      </c>
      <c r="X259" s="330">
        <v>2.9726216995434297E-2</v>
      </c>
      <c r="Y259" s="330">
        <v>0</v>
      </c>
      <c r="Z259" s="331">
        <v>0</v>
      </c>
      <c r="AA259" s="235"/>
      <c r="AB259" s="52">
        <v>89134.856352924588</v>
      </c>
      <c r="AC259" s="330">
        <v>0.16021654089060539</v>
      </c>
      <c r="AD259" s="330">
        <v>80851.071867972831</v>
      </c>
      <c r="AE259" s="330">
        <v>0.22998749748646985</v>
      </c>
      <c r="AF259" s="330">
        <v>8283.7844849517569</v>
      </c>
      <c r="AG259" s="331">
        <v>-6.9770956595864464E-2</v>
      </c>
      <c r="AH259" s="235"/>
      <c r="AI259" s="208">
        <f t="shared" si="24"/>
        <v>63070.857493150528</v>
      </c>
      <c r="AJ259" s="208">
        <f t="shared" si="25"/>
        <v>137637.05074417352</v>
      </c>
      <c r="AK259" s="208">
        <f t="shared" si="26"/>
        <v>-74566.193251022996</v>
      </c>
      <c r="AL259" s="235"/>
      <c r="AM259" s="52">
        <f t="shared" si="4"/>
        <v>0</v>
      </c>
      <c r="AN259" s="52">
        <f t="shared" si="5"/>
        <v>1</v>
      </c>
      <c r="AO259" s="52">
        <f t="shared" si="6"/>
        <v>0</v>
      </c>
      <c r="AP259" s="235"/>
      <c r="AQ259" s="3"/>
      <c r="AR259" s="3"/>
      <c r="AS259" s="3"/>
      <c r="AT259" s="3"/>
      <c r="AU259" s="235"/>
      <c r="AV259" s="360">
        <f t="shared" si="27"/>
        <v>137637.05074417352</v>
      </c>
      <c r="AW259" s="235"/>
      <c r="AX259" s="354"/>
      <c r="AY259" s="14"/>
      <c r="AZ259" s="14">
        <f t="shared" si="29"/>
        <v>8283.7844849517569</v>
      </c>
      <c r="BA259" s="14">
        <f t="shared" si="28"/>
        <v>-6.9770956595864464E-2</v>
      </c>
      <c r="BB259" s="14">
        <f t="shared" si="2"/>
        <v>-118728.26300682771</v>
      </c>
      <c r="BC259" s="14"/>
      <c r="BD259" s="14"/>
      <c r="BE259" s="14"/>
      <c r="BF259" s="14"/>
      <c r="BG259" s="14"/>
      <c r="BH259" s="14"/>
      <c r="BI259" s="14"/>
      <c r="BJ259" s="14"/>
      <c r="BK259" s="14"/>
      <c r="BL259" s="14"/>
      <c r="BM259" s="14"/>
      <c r="BN259" s="14"/>
      <c r="BO259" s="14"/>
      <c r="BP259" s="14"/>
      <c r="BQ259" s="14"/>
      <c r="BR259" s="14"/>
      <c r="BS259" s="14"/>
      <c r="BT259" s="14"/>
      <c r="BU259" s="14"/>
      <c r="BV259" s="14"/>
      <c r="BW259" s="14"/>
      <c r="BX259" s="14"/>
      <c r="BY259" s="14"/>
      <c r="BZ259" s="14"/>
      <c r="CA259" s="14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</row>
    <row r="260" spans="1:101" ht="14.25" customHeight="1" x14ac:dyDescent="0.2">
      <c r="A260" s="328"/>
      <c r="B260" s="52">
        <v>0.14593478845734736</v>
      </c>
      <c r="C260" s="330">
        <v>0.27192052550491774</v>
      </c>
      <c r="D260" s="330">
        <v>2.1901968630479995E-2</v>
      </c>
      <c r="E260" s="330">
        <v>1.0526513736386751E-2</v>
      </c>
      <c r="F260" s="331">
        <v>0.81481784820069825</v>
      </c>
      <c r="G260" s="94">
        <v>0.4167210638410983</v>
      </c>
      <c r="H260" s="330">
        <v>0.89464833259030618</v>
      </c>
      <c r="I260" s="330">
        <v>2.4309169290262056E-2</v>
      </c>
      <c r="J260" s="330">
        <v>9.8832773521427171E-3</v>
      </c>
      <c r="K260" s="330">
        <v>0.71141268392107937</v>
      </c>
      <c r="L260" s="332">
        <v>13793.726434475533</v>
      </c>
      <c r="M260" s="330">
        <v>0</v>
      </c>
      <c r="N260" s="330">
        <v>25385.516542086014</v>
      </c>
      <c r="O260" s="330">
        <v>1254.2877563333348</v>
      </c>
      <c r="P260" s="330">
        <v>37747.582000576956</v>
      </c>
      <c r="Q260" s="333">
        <v>131172.72096275835</v>
      </c>
      <c r="R260" s="330">
        <v>26926.350147836703</v>
      </c>
      <c r="S260" s="330">
        <v>8772.2130413043742</v>
      </c>
      <c r="T260" s="332">
        <v>0.99995715468039226</v>
      </c>
      <c r="U260" s="330">
        <v>0.98859409432682432</v>
      </c>
      <c r="V260" s="330">
        <v>0.74832542690444115</v>
      </c>
      <c r="W260" s="330">
        <v>0.99994775446022577</v>
      </c>
      <c r="X260" s="330">
        <v>0.96967838133032758</v>
      </c>
      <c r="Y260" s="330">
        <v>0</v>
      </c>
      <c r="Z260" s="331">
        <v>0</v>
      </c>
      <c r="AA260" s="235"/>
      <c r="AB260" s="52">
        <v>92170.886205623581</v>
      </c>
      <c r="AC260" s="330">
        <v>4.848241890898854</v>
      </c>
      <c r="AD260" s="330">
        <v>78696.60160687707</v>
      </c>
      <c r="AE260" s="330">
        <v>4.4872187195882862</v>
      </c>
      <c r="AF260" s="330">
        <v>13474.284598746512</v>
      </c>
      <c r="AG260" s="331">
        <v>0.36102317131056783</v>
      </c>
      <c r="AH260" s="235"/>
      <c r="AI260" s="208">
        <f t="shared" si="24"/>
        <v>4513658.9101482872</v>
      </c>
      <c r="AJ260" s="208">
        <f t="shared" si="25"/>
        <v>4184161.1820019945</v>
      </c>
      <c r="AK260" s="208">
        <f t="shared" si="26"/>
        <v>329497.72814629291</v>
      </c>
      <c r="AL260" s="235"/>
      <c r="AM260" s="52">
        <f t="shared" si="4"/>
        <v>1</v>
      </c>
      <c r="AN260" s="52">
        <f t="shared" si="5"/>
        <v>0</v>
      </c>
      <c r="AO260" s="52">
        <f t="shared" si="6"/>
        <v>1</v>
      </c>
      <c r="AP260" s="235"/>
      <c r="AQ260" s="3"/>
      <c r="AR260" s="3"/>
      <c r="AS260" s="3"/>
      <c r="AT260" s="3"/>
      <c r="AU260" s="235"/>
      <c r="AV260" s="360">
        <f t="shared" si="27"/>
        <v>4513658.9101482872</v>
      </c>
      <c r="AW260" s="235"/>
      <c r="AX260" s="354"/>
      <c r="AY260" s="14"/>
      <c r="AZ260" s="14">
        <f t="shared" si="29"/>
        <v>13474.284598746512</v>
      </c>
      <c r="BA260" s="14">
        <f t="shared" si="28"/>
        <v>0.36102317131056783</v>
      </c>
      <c r="BB260" s="14">
        <f t="shared" si="2"/>
        <v>37322.492486653566</v>
      </c>
      <c r="BC260" s="14"/>
      <c r="BD260" s="14"/>
      <c r="BE260" s="14"/>
      <c r="BF260" s="14"/>
      <c r="BG260" s="14"/>
      <c r="BH260" s="14"/>
      <c r="BI260" s="14"/>
      <c r="BJ260" s="14"/>
      <c r="BK260" s="14"/>
      <c r="BL260" s="14"/>
      <c r="BM260" s="14"/>
      <c r="BN260" s="14"/>
      <c r="BO260" s="14"/>
      <c r="BP260" s="14"/>
      <c r="BQ260" s="14"/>
      <c r="BR260" s="14"/>
      <c r="BS260" s="14"/>
      <c r="BT260" s="14"/>
      <c r="BU260" s="14"/>
      <c r="BV260" s="14"/>
      <c r="BW260" s="14"/>
      <c r="BX260" s="14"/>
      <c r="BY260" s="14"/>
      <c r="BZ260" s="14"/>
      <c r="CA260" s="14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</row>
    <row r="261" spans="1:101" ht="14.25" customHeight="1" x14ac:dyDescent="0.2">
      <c r="A261" s="328"/>
      <c r="B261" s="52">
        <v>0.16013775478554348</v>
      </c>
      <c r="C261" s="330">
        <v>0.10779493455910172</v>
      </c>
      <c r="D261" s="330">
        <v>1.1591215612636504E-2</v>
      </c>
      <c r="E261" s="330">
        <v>1.6600793973249872E-2</v>
      </c>
      <c r="F261" s="331">
        <v>0.79643989665459547</v>
      </c>
      <c r="G261" s="94">
        <v>0.43842429770117386</v>
      </c>
      <c r="H261" s="330">
        <v>0.13021055447262148</v>
      </c>
      <c r="I261" s="330">
        <v>6.2271997288254159E-3</v>
      </c>
      <c r="J261" s="330">
        <v>0.99334258767497507</v>
      </c>
      <c r="K261" s="330">
        <v>0.78813875683250523</v>
      </c>
      <c r="L261" s="332">
        <v>17275.564333645892</v>
      </c>
      <c r="M261" s="330">
        <v>0</v>
      </c>
      <c r="N261" s="330">
        <v>25761.577976351422</v>
      </c>
      <c r="O261" s="330">
        <v>1315.3177840489866</v>
      </c>
      <c r="P261" s="330">
        <v>44118.627978327051</v>
      </c>
      <c r="Q261" s="333">
        <v>127028.35142042467</v>
      </c>
      <c r="R261" s="330">
        <v>19888.239493760899</v>
      </c>
      <c r="S261" s="330">
        <v>7972.5164271026661</v>
      </c>
      <c r="T261" s="332">
        <v>0.88152874010511306</v>
      </c>
      <c r="U261" s="330">
        <v>0.9601432487030509</v>
      </c>
      <c r="V261" s="330">
        <v>0.987600977187581</v>
      </c>
      <c r="W261" s="330">
        <v>0.76636935500307679</v>
      </c>
      <c r="X261" s="330">
        <v>0.97612259573655347</v>
      </c>
      <c r="Y261" s="330">
        <v>0</v>
      </c>
      <c r="Z261" s="331">
        <v>0</v>
      </c>
      <c r="AA261" s="235"/>
      <c r="AB261" s="52">
        <v>86206.799890698574</v>
      </c>
      <c r="AC261" s="330">
        <v>4.7005735795611825</v>
      </c>
      <c r="AD261" s="330">
        <v>69676.286738580675</v>
      </c>
      <c r="AE261" s="330">
        <v>4.9113510636348767</v>
      </c>
      <c r="AF261" s="330">
        <v>16530.513152117899</v>
      </c>
      <c r="AG261" s="331">
        <v>-0.21077748407369423</v>
      </c>
      <c r="AH261" s="235"/>
      <c r="AI261" s="208">
        <f t="shared" si="24"/>
        <v>4379338.1006924249</v>
      </c>
      <c r="AJ261" s="208">
        <f t="shared" si="25"/>
        <v>4596107.2237145519</v>
      </c>
      <c r="AK261" s="208">
        <f t="shared" si="26"/>
        <v>-216769.12302212743</v>
      </c>
      <c r="AL261" s="235"/>
      <c r="AM261" s="52">
        <f t="shared" si="4"/>
        <v>0</v>
      </c>
      <c r="AN261" s="52">
        <f t="shared" si="5"/>
        <v>1</v>
      </c>
      <c r="AO261" s="52">
        <f t="shared" si="6"/>
        <v>0</v>
      </c>
      <c r="AP261" s="235"/>
      <c r="AQ261" s="3"/>
      <c r="AR261" s="3"/>
      <c r="AS261" s="3"/>
      <c r="AT261" s="3"/>
      <c r="AU261" s="235"/>
      <c r="AV261" s="360">
        <f t="shared" si="27"/>
        <v>4596107.2237145519</v>
      </c>
      <c r="AW261" s="235"/>
      <c r="AX261" s="354"/>
      <c r="AY261" s="14"/>
      <c r="AZ261" s="14">
        <f t="shared" si="29"/>
        <v>16530.513152117899</v>
      </c>
      <c r="BA261" s="14">
        <f t="shared" si="28"/>
        <v>-0.21077748407369423</v>
      </c>
      <c r="BB261" s="14">
        <f t="shared" si="2"/>
        <v>-78426.370941681453</v>
      </c>
      <c r="BC261" s="14"/>
      <c r="BD261" s="14"/>
      <c r="BE261" s="14"/>
      <c r="BF261" s="14"/>
      <c r="BG261" s="14"/>
      <c r="BH261" s="14"/>
      <c r="BI261" s="14"/>
      <c r="BJ261" s="14"/>
      <c r="BK261" s="14"/>
      <c r="BL261" s="14"/>
      <c r="BM261" s="14"/>
      <c r="BN261" s="14"/>
      <c r="BO261" s="14"/>
      <c r="BP261" s="14"/>
      <c r="BQ261" s="14"/>
      <c r="BR261" s="14"/>
      <c r="BS261" s="14"/>
      <c r="BT261" s="14"/>
      <c r="BU261" s="14"/>
      <c r="BV261" s="14"/>
      <c r="BW261" s="14"/>
      <c r="BX261" s="14"/>
      <c r="BY261" s="14"/>
      <c r="BZ261" s="14"/>
      <c r="CA261" s="14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</row>
    <row r="262" spans="1:101" ht="14.25" customHeight="1" x14ac:dyDescent="0.2">
      <c r="A262" s="328"/>
      <c r="B262" s="52">
        <v>0.16593863230578099</v>
      </c>
      <c r="C262" s="330">
        <v>0.1949025891668347</v>
      </c>
      <c r="D262" s="330">
        <v>1.944077336003347E-2</v>
      </c>
      <c r="E262" s="330">
        <v>1.5032178979091038E-2</v>
      </c>
      <c r="F262" s="331">
        <v>0.78693953072745915</v>
      </c>
      <c r="G262" s="94">
        <v>0.43153715666781278</v>
      </c>
      <c r="H262" s="330">
        <v>1.8316555691434609E-2</v>
      </c>
      <c r="I262" s="330">
        <v>1.1692515229841292E-2</v>
      </c>
      <c r="J262" s="330">
        <v>0.9998181717477479</v>
      </c>
      <c r="K262" s="330">
        <v>0.7732929698240576</v>
      </c>
      <c r="L262" s="332">
        <v>12226.748026136424</v>
      </c>
      <c r="M262" s="330">
        <v>0</v>
      </c>
      <c r="N262" s="330">
        <v>18525.52084954012</v>
      </c>
      <c r="O262" s="330">
        <v>1326.9550800536449</v>
      </c>
      <c r="P262" s="330">
        <v>32187.782107752744</v>
      </c>
      <c r="Q262" s="333">
        <v>109938.45582280814</v>
      </c>
      <c r="R262" s="330">
        <v>30808.125520248304</v>
      </c>
      <c r="S262" s="330">
        <v>9236.565523027044</v>
      </c>
      <c r="T262" s="332">
        <v>8.1390985646744241E-2</v>
      </c>
      <c r="U262" s="330">
        <v>0.95126084523805998</v>
      </c>
      <c r="V262" s="330">
        <v>0.48870667071873219</v>
      </c>
      <c r="W262" s="330">
        <v>0.99996729018290931</v>
      </c>
      <c r="X262" s="330">
        <v>0.84322727687790333</v>
      </c>
      <c r="Y262" s="330">
        <v>0</v>
      </c>
      <c r="Z262" s="331">
        <v>0</v>
      </c>
      <c r="AA262" s="235"/>
      <c r="AB262" s="52">
        <v>91801.678080349637</v>
      </c>
      <c r="AC262" s="330">
        <v>4.0233552548673019</v>
      </c>
      <c r="AD262" s="330">
        <v>78302.742757428714</v>
      </c>
      <c r="AE262" s="330">
        <v>4.1069669694773712</v>
      </c>
      <c r="AF262" s="330">
        <v>13498.935322920923</v>
      </c>
      <c r="AG262" s="331">
        <v>-8.3611714610069221E-2</v>
      </c>
      <c r="AH262" s="235"/>
      <c r="AI262" s="208">
        <f t="shared" si="24"/>
        <v>3730385.8140435871</v>
      </c>
      <c r="AJ262" s="208">
        <f t="shared" si="25"/>
        <v>3823315.8782460736</v>
      </c>
      <c r="AK262" s="208">
        <f t="shared" si="26"/>
        <v>-92930.064202486683</v>
      </c>
      <c r="AL262" s="235"/>
      <c r="AM262" s="52">
        <f t="shared" si="4"/>
        <v>0</v>
      </c>
      <c r="AN262" s="52">
        <f t="shared" si="5"/>
        <v>1</v>
      </c>
      <c r="AO262" s="52">
        <f t="shared" si="6"/>
        <v>0</v>
      </c>
      <c r="AP262" s="235"/>
      <c r="AQ262" s="3"/>
      <c r="AR262" s="3"/>
      <c r="AS262" s="3"/>
      <c r="AT262" s="3"/>
      <c r="AU262" s="235"/>
      <c r="AV262" s="360">
        <f t="shared" si="27"/>
        <v>3823315.8782460736</v>
      </c>
      <c r="AW262" s="235"/>
      <c r="AX262" s="354"/>
      <c r="AY262" s="14"/>
      <c r="AZ262" s="14">
        <f t="shared" si="29"/>
        <v>13498.935322920923</v>
      </c>
      <c r="BA262" s="14">
        <f t="shared" si="28"/>
        <v>-8.3611714610069221E-2</v>
      </c>
      <c r="BB262" s="14">
        <f t="shared" si="2"/>
        <v>-161447.89502134273</v>
      </c>
      <c r="BC262" s="14"/>
      <c r="BD262" s="14"/>
      <c r="BE262" s="14"/>
      <c r="BF262" s="14"/>
      <c r="BG262" s="14"/>
      <c r="BH262" s="14"/>
      <c r="BI262" s="14"/>
      <c r="BJ262" s="14"/>
      <c r="BK262" s="14"/>
      <c r="BL262" s="14"/>
      <c r="BM262" s="14"/>
      <c r="BN262" s="14"/>
      <c r="BO262" s="14"/>
      <c r="BP262" s="14"/>
      <c r="BQ262" s="14"/>
      <c r="BR262" s="14"/>
      <c r="BS262" s="14"/>
      <c r="BT262" s="14"/>
      <c r="BU262" s="14"/>
      <c r="BV262" s="14"/>
      <c r="BW262" s="14"/>
      <c r="BX262" s="14"/>
      <c r="BY262" s="14"/>
      <c r="BZ262" s="14"/>
      <c r="CA262" s="14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</row>
    <row r="263" spans="1:101" ht="14.25" customHeight="1" x14ac:dyDescent="0.2">
      <c r="A263" s="328"/>
      <c r="B263" s="52">
        <v>0.15743449131908463</v>
      </c>
      <c r="C263" s="330">
        <v>0.77909179534673778</v>
      </c>
      <c r="D263" s="330">
        <v>6.4099288695406518E-3</v>
      </c>
      <c r="E263" s="330">
        <v>2.3960816893970227E-2</v>
      </c>
      <c r="F263" s="331">
        <v>0.83322882879264493</v>
      </c>
      <c r="G263" s="94">
        <v>0.39194110381048058</v>
      </c>
      <c r="H263" s="330">
        <v>0.81105327850111175</v>
      </c>
      <c r="I263" s="330">
        <v>4.7401428635706786E-3</v>
      </c>
      <c r="J263" s="330">
        <v>0.36351634800562299</v>
      </c>
      <c r="K263" s="330">
        <v>0.81589957721160233</v>
      </c>
      <c r="L263" s="332">
        <v>16580.30421427661</v>
      </c>
      <c r="M263" s="330">
        <v>0</v>
      </c>
      <c r="N263" s="330">
        <v>17536.860372259875</v>
      </c>
      <c r="O263" s="330">
        <v>1487.3947534073941</v>
      </c>
      <c r="P263" s="330">
        <v>42073.979716868329</v>
      </c>
      <c r="Q263" s="333">
        <v>120006.37974953913</v>
      </c>
      <c r="R263" s="330">
        <v>30599.539854212489</v>
      </c>
      <c r="S263" s="330">
        <v>7638.338862028334</v>
      </c>
      <c r="T263" s="332">
        <v>0.76433043282753532</v>
      </c>
      <c r="U263" s="330">
        <v>0.86758721394804472</v>
      </c>
      <c r="V263" s="330">
        <v>0.95678220617377285</v>
      </c>
      <c r="W263" s="330">
        <v>0.99906938660115308</v>
      </c>
      <c r="X263" s="330">
        <v>0.9831104442804941</v>
      </c>
      <c r="Y263" s="330">
        <v>0</v>
      </c>
      <c r="Z263" s="331">
        <v>0</v>
      </c>
      <c r="AA263" s="235"/>
      <c r="AB263" s="52">
        <v>88988.982551509471</v>
      </c>
      <c r="AC263" s="330">
        <v>5.1338471288592888</v>
      </c>
      <c r="AD263" s="330">
        <v>77449.799644634055</v>
      </c>
      <c r="AE263" s="330">
        <v>5.1233174032771966</v>
      </c>
      <c r="AF263" s="330">
        <v>11539.182906875416</v>
      </c>
      <c r="AG263" s="331">
        <v>1.0529725582092198E-2</v>
      </c>
      <c r="AH263" s="235"/>
      <c r="AI263" s="208">
        <f t="shared" si="24"/>
        <v>4788165.7898648148</v>
      </c>
      <c r="AJ263" s="208">
        <f t="shared" si="25"/>
        <v>4789701.733468703</v>
      </c>
      <c r="AK263" s="208">
        <f t="shared" si="26"/>
        <v>-1535.9436038878284</v>
      </c>
      <c r="AL263" s="235"/>
      <c r="AM263" s="52">
        <f t="shared" si="4"/>
        <v>0</v>
      </c>
      <c r="AN263" s="52">
        <f t="shared" si="5"/>
        <v>1</v>
      </c>
      <c r="AO263" s="52">
        <f t="shared" si="6"/>
        <v>0</v>
      </c>
      <c r="AP263" s="235"/>
      <c r="AQ263" s="3"/>
      <c r="AR263" s="3"/>
      <c r="AS263" s="3"/>
      <c r="AT263" s="3"/>
      <c r="AU263" s="235"/>
      <c r="AV263" s="360">
        <f t="shared" si="27"/>
        <v>4789701.733468703</v>
      </c>
      <c r="AW263" s="235"/>
      <c r="AX263" s="354"/>
      <c r="AY263" s="14"/>
      <c r="AZ263" s="14">
        <f t="shared" si="29"/>
        <v>11539.182906875416</v>
      </c>
      <c r="BA263" s="14">
        <f t="shared" si="28"/>
        <v>1.0529725582092198E-2</v>
      </c>
      <c r="BB263" s="14">
        <f t="shared" si="2"/>
        <v>1095867.3915016353</v>
      </c>
      <c r="BC263" s="14"/>
      <c r="BD263" s="14"/>
      <c r="BE263" s="14"/>
      <c r="BF263" s="14"/>
      <c r="BG263" s="14"/>
      <c r="BH263" s="14"/>
      <c r="BI263" s="14"/>
      <c r="BJ263" s="14"/>
      <c r="BK263" s="14"/>
      <c r="BL263" s="14"/>
      <c r="BM263" s="14"/>
      <c r="BN263" s="14"/>
      <c r="BO263" s="14"/>
      <c r="BP263" s="14"/>
      <c r="BQ263" s="14"/>
      <c r="BR263" s="14"/>
      <c r="BS263" s="14"/>
      <c r="BT263" s="14"/>
      <c r="BU263" s="14"/>
      <c r="BV263" s="14"/>
      <c r="BW263" s="14"/>
      <c r="BX263" s="14"/>
      <c r="BY263" s="14"/>
      <c r="BZ263" s="14"/>
      <c r="CA263" s="14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</row>
    <row r="264" spans="1:101" ht="14.25" customHeight="1" x14ac:dyDescent="0.2">
      <c r="A264" s="328"/>
      <c r="B264" s="52">
        <v>0.15368355508719789</v>
      </c>
      <c r="C264" s="330">
        <v>0.47736115545094182</v>
      </c>
      <c r="D264" s="330">
        <v>1.2222131592943964E-2</v>
      </c>
      <c r="E264" s="330">
        <v>1.3336632065934615E-2</v>
      </c>
      <c r="F264" s="331">
        <v>0.74861479583505397</v>
      </c>
      <c r="G264" s="94">
        <v>0.44099333848823385</v>
      </c>
      <c r="H264" s="330">
        <v>0.98635678465565924</v>
      </c>
      <c r="I264" s="330">
        <v>1.3076133191832245E-2</v>
      </c>
      <c r="J264" s="330">
        <v>0.78823030835372065</v>
      </c>
      <c r="K264" s="330">
        <v>0.74462703475311309</v>
      </c>
      <c r="L264" s="332">
        <v>11724.501112043328</v>
      </c>
      <c r="M264" s="330">
        <v>0</v>
      </c>
      <c r="N264" s="330">
        <v>15669.939071430663</v>
      </c>
      <c r="O264" s="330">
        <v>1268.262794062744</v>
      </c>
      <c r="P264" s="330">
        <v>40804.952159156899</v>
      </c>
      <c r="Q264" s="333">
        <v>113642.06181276967</v>
      </c>
      <c r="R264" s="330">
        <v>28946.363133805076</v>
      </c>
      <c r="S264" s="330">
        <v>6047.8580191282417</v>
      </c>
      <c r="T264" s="332">
        <v>0.35514747684352471</v>
      </c>
      <c r="U264" s="330">
        <v>0.99543992824497973</v>
      </c>
      <c r="V264" s="330">
        <v>0.52029510281990954</v>
      </c>
      <c r="W264" s="330">
        <v>0.99992608281815598</v>
      </c>
      <c r="X264" s="330">
        <v>0.6549692826093847</v>
      </c>
      <c r="Y264" s="330">
        <v>0</v>
      </c>
      <c r="Z264" s="331">
        <v>0</v>
      </c>
      <c r="AA264" s="235"/>
      <c r="AB264" s="52">
        <v>62843.686021789348</v>
      </c>
      <c r="AC264" s="330">
        <v>3.0517667098058521</v>
      </c>
      <c r="AD264" s="330">
        <v>62304.353789718487</v>
      </c>
      <c r="AE264" s="330">
        <v>3.2830564729138421</v>
      </c>
      <c r="AF264" s="330">
        <v>539.33223207086121</v>
      </c>
      <c r="AG264" s="331">
        <v>-0.23128976310798999</v>
      </c>
      <c r="AH264" s="235"/>
      <c r="AI264" s="208">
        <f t="shared" si="24"/>
        <v>2836334.68829377</v>
      </c>
      <c r="AJ264" s="208">
        <f t="shared" si="25"/>
        <v>3056599.2954784315</v>
      </c>
      <c r="AK264" s="208">
        <f t="shared" si="26"/>
        <v>-220264.60718466135</v>
      </c>
      <c r="AL264" s="235"/>
      <c r="AM264" s="52">
        <f t="shared" si="4"/>
        <v>0</v>
      </c>
      <c r="AN264" s="52">
        <f t="shared" si="5"/>
        <v>1</v>
      </c>
      <c r="AO264" s="52">
        <f t="shared" si="6"/>
        <v>0</v>
      </c>
      <c r="AP264" s="235"/>
      <c r="AQ264" s="3"/>
      <c r="AR264" s="3"/>
      <c r="AS264" s="3"/>
      <c r="AT264" s="3"/>
      <c r="AU264" s="235"/>
      <c r="AV264" s="360">
        <f t="shared" si="27"/>
        <v>3056599.2954784315</v>
      </c>
      <c r="AW264" s="235"/>
      <c r="AX264" s="354"/>
      <c r="AY264" s="14"/>
      <c r="AZ264" s="14">
        <f t="shared" si="29"/>
        <v>539.33223207086121</v>
      </c>
      <c r="BA264" s="14">
        <f t="shared" si="28"/>
        <v>-0.23128976310798999</v>
      </c>
      <c r="BB264" s="14">
        <f t="shared" si="2"/>
        <v>-2331.8465323475866</v>
      </c>
      <c r="BC264" s="14"/>
      <c r="BD264" s="14"/>
      <c r="BE264" s="14"/>
      <c r="BF264" s="14"/>
      <c r="BG264" s="14"/>
      <c r="BH264" s="14"/>
      <c r="BI264" s="14"/>
      <c r="BJ264" s="14"/>
      <c r="BK264" s="14"/>
      <c r="BL264" s="14"/>
      <c r="BM264" s="14"/>
      <c r="BN264" s="14"/>
      <c r="BO264" s="14"/>
      <c r="BP264" s="14"/>
      <c r="BQ264" s="14"/>
      <c r="BR264" s="14"/>
      <c r="BS264" s="14"/>
      <c r="BT264" s="14"/>
      <c r="BU264" s="14"/>
      <c r="BV264" s="14"/>
      <c r="BW264" s="14"/>
      <c r="BX264" s="14"/>
      <c r="BY264" s="14"/>
      <c r="BZ264" s="14"/>
      <c r="CA264" s="14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</row>
    <row r="265" spans="1:101" ht="14.25" customHeight="1" x14ac:dyDescent="0.2">
      <c r="A265" s="328"/>
      <c r="B265" s="52">
        <v>0.16210633545879471</v>
      </c>
      <c r="C265" s="330">
        <v>0.17988060806258335</v>
      </c>
      <c r="D265" s="330">
        <v>1.4377615679045429E-2</v>
      </c>
      <c r="E265" s="330">
        <v>1.0817780793478506E-2</v>
      </c>
      <c r="F265" s="331">
        <v>0.75683746290967724</v>
      </c>
      <c r="G265" s="94">
        <v>0.35791956032910166</v>
      </c>
      <c r="H265" s="330">
        <v>0.4059666990146984</v>
      </c>
      <c r="I265" s="330">
        <v>1.4034238131836954E-2</v>
      </c>
      <c r="J265" s="330">
        <v>0.99679884953506048</v>
      </c>
      <c r="K265" s="330">
        <v>0.73059474108542022</v>
      </c>
      <c r="L265" s="332">
        <v>13473.081617908072</v>
      </c>
      <c r="M265" s="330">
        <v>0</v>
      </c>
      <c r="N265" s="330">
        <v>13267.61744679149</v>
      </c>
      <c r="O265" s="330">
        <v>1190.9711621963736</v>
      </c>
      <c r="P265" s="330">
        <v>44014.490165048926</v>
      </c>
      <c r="Q265" s="333">
        <v>85007.263458078363</v>
      </c>
      <c r="R265" s="330">
        <v>23691.803029599647</v>
      </c>
      <c r="S265" s="330">
        <v>9595.8917208325547</v>
      </c>
      <c r="T265" s="332">
        <v>0.94067290300946294</v>
      </c>
      <c r="U265" s="330">
        <v>0.45914054164496138</v>
      </c>
      <c r="V265" s="330">
        <v>0.91402514536378476</v>
      </c>
      <c r="W265" s="330">
        <v>0.72013034673903953</v>
      </c>
      <c r="X265" s="330">
        <v>0.78924947671604551</v>
      </c>
      <c r="Y265" s="330">
        <v>0</v>
      </c>
      <c r="Z265" s="331">
        <v>0</v>
      </c>
      <c r="AA265" s="235"/>
      <c r="AB265" s="52">
        <v>92492.457158490797</v>
      </c>
      <c r="AC265" s="330">
        <v>3.7708362371030431</v>
      </c>
      <c r="AD265" s="330">
        <v>79789.212036441124</v>
      </c>
      <c r="AE265" s="330">
        <v>3.4956145156779801</v>
      </c>
      <c r="AF265" s="330">
        <v>12703.245122049673</v>
      </c>
      <c r="AG265" s="331">
        <v>0.27522172142506296</v>
      </c>
      <c r="AH265" s="235"/>
      <c r="AI265" s="208">
        <f t="shared" si="24"/>
        <v>3489801.9680893999</v>
      </c>
      <c r="AJ265" s="208">
        <f t="shared" si="25"/>
        <v>3241044.5778576401</v>
      </c>
      <c r="AK265" s="208">
        <f t="shared" si="26"/>
        <v>248757.39023176013</v>
      </c>
      <c r="AL265" s="235"/>
      <c r="AM265" s="52">
        <f t="shared" si="4"/>
        <v>1</v>
      </c>
      <c r="AN265" s="52">
        <f t="shared" si="5"/>
        <v>0</v>
      </c>
      <c r="AO265" s="52">
        <f t="shared" si="6"/>
        <v>1</v>
      </c>
      <c r="AP265" s="235"/>
      <c r="AQ265" s="3"/>
      <c r="AR265" s="3"/>
      <c r="AS265" s="3"/>
      <c r="AT265" s="3"/>
      <c r="AU265" s="235"/>
      <c r="AV265" s="360">
        <f t="shared" si="27"/>
        <v>3489801.9680893999</v>
      </c>
      <c r="AW265" s="235"/>
      <c r="AX265" s="354"/>
      <c r="AY265" s="14"/>
      <c r="AZ265" s="14">
        <f t="shared" si="29"/>
        <v>12703.245122049673</v>
      </c>
      <c r="BA265" s="14">
        <f t="shared" si="28"/>
        <v>0.27522172142506296</v>
      </c>
      <c r="BB265" s="14">
        <f t="shared" si="2"/>
        <v>46156.40457545971</v>
      </c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4"/>
      <c r="BT265" s="14"/>
      <c r="BU265" s="14"/>
      <c r="BV265" s="14"/>
      <c r="BW265" s="14"/>
      <c r="BX265" s="14"/>
      <c r="BY265" s="14"/>
      <c r="BZ265" s="14"/>
      <c r="CA265" s="14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</row>
    <row r="266" spans="1:101" ht="14.25" customHeight="1" x14ac:dyDescent="0.2">
      <c r="A266" s="328"/>
      <c r="B266" s="52">
        <v>0.16654228700301144</v>
      </c>
      <c r="C266" s="330">
        <v>0.14496488125290274</v>
      </c>
      <c r="D266" s="330">
        <v>1.3196286036988714E-2</v>
      </c>
      <c r="E266" s="330">
        <v>1.392418276360813E-2</v>
      </c>
      <c r="F266" s="331">
        <v>0.75837087306837481</v>
      </c>
      <c r="G266" s="94">
        <v>0.41623488685418153</v>
      </c>
      <c r="H266" s="330">
        <v>0.23459788076973714</v>
      </c>
      <c r="I266" s="330">
        <v>1.2105112975423733E-2</v>
      </c>
      <c r="J266" s="330">
        <v>0.99992672032511243</v>
      </c>
      <c r="K266" s="330">
        <v>0.71271121501045798</v>
      </c>
      <c r="L266" s="332">
        <v>11325.444646876669</v>
      </c>
      <c r="M266" s="330">
        <v>0</v>
      </c>
      <c r="N266" s="330">
        <v>17867.351281293595</v>
      </c>
      <c r="O266" s="330">
        <v>1551.4326567621374</v>
      </c>
      <c r="P266" s="330">
        <v>60813.559739698023</v>
      </c>
      <c r="Q266" s="333">
        <v>122108.03665727536</v>
      </c>
      <c r="R266" s="330">
        <v>26410.367773991507</v>
      </c>
      <c r="S266" s="330">
        <v>7916.8167748783817</v>
      </c>
      <c r="T266" s="332">
        <v>0.99901768953603298</v>
      </c>
      <c r="U266" s="330">
        <v>0.99445494491125253</v>
      </c>
      <c r="V266" s="330">
        <v>0.98727969609269417</v>
      </c>
      <c r="W266" s="330">
        <v>0.80581264011620446</v>
      </c>
      <c r="X266" s="330">
        <v>0.73737802780511863</v>
      </c>
      <c r="Y266" s="330">
        <v>0</v>
      </c>
      <c r="Z266" s="331">
        <v>0</v>
      </c>
      <c r="AA266" s="235"/>
      <c r="AB266" s="52">
        <v>76921.272698426706</v>
      </c>
      <c r="AC266" s="330">
        <v>3.9445034868872169</v>
      </c>
      <c r="AD266" s="330">
        <v>64774.351335510641</v>
      </c>
      <c r="AE266" s="330">
        <v>3.4104345435981447</v>
      </c>
      <c r="AF266" s="330">
        <v>12146.921362916066</v>
      </c>
      <c r="AG266" s="331">
        <v>0.53406894328907217</v>
      </c>
      <c r="AH266" s="235"/>
      <c r="AI266" s="208">
        <f t="shared" si="24"/>
        <v>3670357.0398444296</v>
      </c>
      <c r="AJ266" s="208">
        <f t="shared" si="25"/>
        <v>3175138.4650827269</v>
      </c>
      <c r="AK266" s="208">
        <f t="shared" si="26"/>
        <v>495218.5747617025</v>
      </c>
      <c r="AL266" s="235"/>
      <c r="AM266" s="52">
        <f t="shared" si="4"/>
        <v>1</v>
      </c>
      <c r="AN266" s="52">
        <f t="shared" si="5"/>
        <v>0</v>
      </c>
      <c r="AO266" s="52">
        <f t="shared" si="6"/>
        <v>1</v>
      </c>
      <c r="AP266" s="235"/>
      <c r="AQ266" s="3"/>
      <c r="AR266" s="3"/>
      <c r="AS266" s="3"/>
      <c r="AT266" s="3"/>
      <c r="AU266" s="235"/>
      <c r="AV266" s="360">
        <f t="shared" si="27"/>
        <v>3670357.0398444296</v>
      </c>
      <c r="AW266" s="235"/>
      <c r="AX266" s="354"/>
      <c r="AY266" s="14"/>
      <c r="AZ266" s="14">
        <f t="shared" si="29"/>
        <v>12146.921362916066</v>
      </c>
      <c r="BA266" s="14">
        <f t="shared" si="28"/>
        <v>0.53406894328907217</v>
      </c>
      <c r="BB266" s="14">
        <f t="shared" si="2"/>
        <v>22744.107320880812</v>
      </c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4"/>
      <c r="BT266" s="14"/>
      <c r="BU266" s="14"/>
      <c r="BV266" s="14"/>
      <c r="BW266" s="14"/>
      <c r="BX266" s="14"/>
      <c r="BY266" s="14"/>
      <c r="BZ266" s="14"/>
      <c r="CA266" s="14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</row>
    <row r="267" spans="1:101" ht="14.25" customHeight="1" x14ac:dyDescent="0.2">
      <c r="A267" s="328"/>
      <c r="B267" s="52">
        <v>0.18364319032516252</v>
      </c>
      <c r="C267" s="330">
        <v>0.55912810912940847</v>
      </c>
      <c r="D267" s="330">
        <v>1.6864191185385957E-2</v>
      </c>
      <c r="E267" s="330">
        <v>1.1813718512999059E-2</v>
      </c>
      <c r="F267" s="331">
        <v>0.77133009711275013</v>
      </c>
      <c r="G267" s="94">
        <v>0.44180071405284649</v>
      </c>
      <c r="H267" s="330">
        <v>0.26006883498773153</v>
      </c>
      <c r="I267" s="330">
        <v>1.172974392501913E-2</v>
      </c>
      <c r="J267" s="330">
        <v>0.99999821973942471</v>
      </c>
      <c r="K267" s="330">
        <v>0.80557260591706614</v>
      </c>
      <c r="L267" s="332">
        <v>15100.764874835384</v>
      </c>
      <c r="M267" s="330">
        <v>0</v>
      </c>
      <c r="N267" s="330">
        <v>18297.934606491388</v>
      </c>
      <c r="O267" s="330">
        <v>1170.1304442584578</v>
      </c>
      <c r="P267" s="330">
        <v>55772.727219158027</v>
      </c>
      <c r="Q267" s="333">
        <v>106683.27242636932</v>
      </c>
      <c r="R267" s="330">
        <v>18204.096751873036</v>
      </c>
      <c r="S267" s="330">
        <v>8325.8241029088476</v>
      </c>
      <c r="T267" s="332">
        <v>0.99999568262546612</v>
      </c>
      <c r="U267" s="330">
        <v>0.62755868014251504</v>
      </c>
      <c r="V267" s="330">
        <v>0.99997195075335377</v>
      </c>
      <c r="W267" s="330">
        <v>0.45957218448186488</v>
      </c>
      <c r="X267" s="330">
        <v>0.9996824765593445</v>
      </c>
      <c r="Y267" s="330">
        <v>0</v>
      </c>
      <c r="Z267" s="331">
        <v>0</v>
      </c>
      <c r="AA267" s="235"/>
      <c r="AB267" s="52">
        <v>86433.480937953776</v>
      </c>
      <c r="AC267" s="330">
        <v>4.9303433289312339</v>
      </c>
      <c r="AD267" s="330">
        <v>75548.473309589215</v>
      </c>
      <c r="AE267" s="330">
        <v>5.1403264164775972</v>
      </c>
      <c r="AF267" s="330">
        <v>10885.007628364561</v>
      </c>
      <c r="AG267" s="331">
        <v>-0.2099830875463633</v>
      </c>
      <c r="AH267" s="235"/>
      <c r="AI267" s="208">
        <f t="shared" si="24"/>
        <v>4597392.6815467179</v>
      </c>
      <c r="AJ267" s="208">
        <f t="shared" si="25"/>
        <v>4807761.6223441279</v>
      </c>
      <c r="AK267" s="208">
        <f t="shared" si="26"/>
        <v>-210368.94079740968</v>
      </c>
      <c r="AL267" s="235"/>
      <c r="AM267" s="52">
        <f t="shared" si="4"/>
        <v>0</v>
      </c>
      <c r="AN267" s="52">
        <f t="shared" si="5"/>
        <v>1</v>
      </c>
      <c r="AO267" s="52">
        <f t="shared" si="6"/>
        <v>0</v>
      </c>
      <c r="AP267" s="235"/>
      <c r="AQ267" s="3"/>
      <c r="AR267" s="3"/>
      <c r="AS267" s="3"/>
      <c r="AT267" s="3"/>
      <c r="AU267" s="235"/>
      <c r="AV267" s="360">
        <f t="shared" si="27"/>
        <v>4807761.6223441279</v>
      </c>
      <c r="AW267" s="235"/>
      <c r="AX267" s="354"/>
      <c r="AY267" s="14"/>
      <c r="AZ267" s="14">
        <f t="shared" si="29"/>
        <v>10885.007628364561</v>
      </c>
      <c r="BA267" s="14">
        <f t="shared" si="28"/>
        <v>-0.2099830875463633</v>
      </c>
      <c r="BB267" s="14">
        <f t="shared" si="2"/>
        <v>-51837.544421101062</v>
      </c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4"/>
      <c r="BT267" s="14"/>
      <c r="BU267" s="14"/>
      <c r="BV267" s="14"/>
      <c r="BW267" s="14"/>
      <c r="BX267" s="14"/>
      <c r="BY267" s="14"/>
      <c r="BZ267" s="14"/>
      <c r="CA267" s="14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</row>
    <row r="268" spans="1:101" ht="14.25" customHeight="1" x14ac:dyDescent="0.2">
      <c r="A268" s="328"/>
      <c r="B268" s="52">
        <v>0.13308958065516757</v>
      </c>
      <c r="C268" s="330">
        <v>0.70282406684395005</v>
      </c>
      <c r="D268" s="330">
        <v>1.3406327534107969E-2</v>
      </c>
      <c r="E268" s="330">
        <v>1.5260204813537293E-2</v>
      </c>
      <c r="F268" s="331">
        <v>0.82521154799443042</v>
      </c>
      <c r="G268" s="94">
        <v>0.38120965828648123</v>
      </c>
      <c r="H268" s="330">
        <v>2.7720180401694109E-2</v>
      </c>
      <c r="I268" s="330">
        <v>2.6265881369750721E-2</v>
      </c>
      <c r="J268" s="330">
        <v>0.9999999999999809</v>
      </c>
      <c r="K268" s="330">
        <v>0.73823576658830914</v>
      </c>
      <c r="L268" s="332">
        <v>13952.004116216816</v>
      </c>
      <c r="M268" s="330">
        <v>0</v>
      </c>
      <c r="N268" s="330">
        <v>17219.541008694174</v>
      </c>
      <c r="O268" s="330">
        <v>1109.4301271672398</v>
      </c>
      <c r="P268" s="330">
        <v>47236.940697378268</v>
      </c>
      <c r="Q268" s="333">
        <v>80821.040857098662</v>
      </c>
      <c r="R268" s="330">
        <v>22899.836027791127</v>
      </c>
      <c r="S268" s="330">
        <v>7149.8396109642454</v>
      </c>
      <c r="T268" s="332">
        <v>0.66959105639786265</v>
      </c>
      <c r="U268" s="330">
        <v>0.99192528173220296</v>
      </c>
      <c r="V268" s="330">
        <v>0.79091216748921389</v>
      </c>
      <c r="W268" s="330">
        <v>0.99462930313416897</v>
      </c>
      <c r="X268" s="330">
        <v>0.82801171747898095</v>
      </c>
      <c r="Y268" s="330">
        <v>0</v>
      </c>
      <c r="Z268" s="331">
        <v>0</v>
      </c>
      <c r="AA268" s="235"/>
      <c r="AB268" s="52">
        <v>79703.296613308354</v>
      </c>
      <c r="AC268" s="330">
        <v>4.137296240349241</v>
      </c>
      <c r="AD268" s="330">
        <v>58916.651615228628</v>
      </c>
      <c r="AE268" s="330">
        <v>3.834245793782137</v>
      </c>
      <c r="AF268" s="330">
        <v>20786.644998079726</v>
      </c>
      <c r="AG268" s="331">
        <v>0.303050446567104</v>
      </c>
      <c r="AH268" s="235"/>
      <c r="AI268" s="208">
        <f t="shared" si="24"/>
        <v>3850728.1317184707</v>
      </c>
      <c r="AJ268" s="208">
        <f t="shared" si="25"/>
        <v>3583616.8524778015</v>
      </c>
      <c r="AK268" s="208">
        <f t="shared" si="26"/>
        <v>267111.27924066904</v>
      </c>
      <c r="AL268" s="235"/>
      <c r="AM268" s="52">
        <f t="shared" si="4"/>
        <v>1</v>
      </c>
      <c r="AN268" s="52">
        <f t="shared" si="5"/>
        <v>0</v>
      </c>
      <c r="AO268" s="52">
        <f t="shared" si="6"/>
        <v>1</v>
      </c>
      <c r="AP268" s="235"/>
      <c r="AQ268" s="3"/>
      <c r="AR268" s="3"/>
      <c r="AS268" s="3"/>
      <c r="AT268" s="3"/>
      <c r="AU268" s="235"/>
      <c r="AV268" s="360">
        <f t="shared" si="27"/>
        <v>3850728.1317184707</v>
      </c>
      <c r="AW268" s="235"/>
      <c r="AX268" s="354"/>
      <c r="AY268" s="14"/>
      <c r="AZ268" s="14">
        <f t="shared" si="29"/>
        <v>20786.644998079726</v>
      </c>
      <c r="BA268" s="14">
        <f t="shared" si="28"/>
        <v>0.303050446567104</v>
      </c>
      <c r="BB268" s="14">
        <f t="shared" si="2"/>
        <v>68591.368973538105</v>
      </c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4"/>
      <c r="BT268" s="14"/>
      <c r="BU268" s="14"/>
      <c r="BV268" s="14"/>
      <c r="BW268" s="14"/>
      <c r="BX268" s="14"/>
      <c r="BY268" s="14"/>
      <c r="BZ268" s="14"/>
      <c r="CA268" s="14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</row>
    <row r="269" spans="1:101" ht="14.25" customHeight="1" x14ac:dyDescent="0.2">
      <c r="A269" s="328"/>
      <c r="B269" s="52">
        <v>0.14879153149928176</v>
      </c>
      <c r="C269" s="330">
        <v>0.49311534721290029</v>
      </c>
      <c r="D269" s="330">
        <v>7.3908012058024695E-3</v>
      </c>
      <c r="E269" s="330">
        <v>1.225863361429963E-2</v>
      </c>
      <c r="F269" s="331">
        <v>0.78140574330002355</v>
      </c>
      <c r="G269" s="94">
        <v>0.38064754124511252</v>
      </c>
      <c r="H269" s="330">
        <v>2.7301723166108537E-2</v>
      </c>
      <c r="I269" s="330">
        <v>1.1441038259463928E-2</v>
      </c>
      <c r="J269" s="330">
        <v>0.99999943399209124</v>
      </c>
      <c r="K269" s="330">
        <v>0.72215488647633486</v>
      </c>
      <c r="L269" s="332">
        <v>13159.788759053436</v>
      </c>
      <c r="M269" s="330">
        <v>0</v>
      </c>
      <c r="N269" s="330">
        <v>15911.200073106482</v>
      </c>
      <c r="O269" s="330">
        <v>1168.5653812600524</v>
      </c>
      <c r="P269" s="330">
        <v>49976.749034263536</v>
      </c>
      <c r="Q269" s="333">
        <v>61351.299112720211</v>
      </c>
      <c r="R269" s="330">
        <v>30000.227077549938</v>
      </c>
      <c r="S269" s="330">
        <v>8116.1782934759658</v>
      </c>
      <c r="T269" s="332">
        <v>0.84155177378262236</v>
      </c>
      <c r="U269" s="330">
        <v>0.92292763492165708</v>
      </c>
      <c r="V269" s="330">
        <v>0.76400033223580077</v>
      </c>
      <c r="W269" s="330">
        <v>0.4931604116973497</v>
      </c>
      <c r="X269" s="330">
        <v>0.99795763302821361</v>
      </c>
      <c r="Y269" s="330">
        <v>0</v>
      </c>
      <c r="Z269" s="331">
        <v>0</v>
      </c>
      <c r="AA269" s="235"/>
      <c r="AB269" s="52">
        <v>83660.947998881529</v>
      </c>
      <c r="AC269" s="330">
        <v>4.9346268504713544</v>
      </c>
      <c r="AD269" s="330">
        <v>64268.795530522533</v>
      </c>
      <c r="AE269" s="330">
        <v>4.4869834017329913</v>
      </c>
      <c r="AF269" s="330">
        <v>19392.152468358996</v>
      </c>
      <c r="AG269" s="331">
        <v>0.44764344873836315</v>
      </c>
      <c r="AH269" s="235"/>
      <c r="AI269" s="208">
        <f t="shared" si="24"/>
        <v>4604234.5599489054</v>
      </c>
      <c r="AJ269" s="208">
        <f t="shared" si="25"/>
        <v>4198365.436115819</v>
      </c>
      <c r="AK269" s="208">
        <f t="shared" si="26"/>
        <v>405869.12383308599</v>
      </c>
      <c r="AL269" s="235"/>
      <c r="AM269" s="52">
        <f t="shared" ref="AM269:AM523" si="30">IF(MAX(AI269:AJ269)=AI269,1,0)</f>
        <v>1</v>
      </c>
      <c r="AN269" s="52">
        <f t="shared" ref="AN269:AN523" si="31">IF(MAX(AI269:AJ269)=AJ269,1,0)</f>
        <v>0</v>
      </c>
      <c r="AO269" s="52">
        <f t="shared" ref="AO269:AO523" si="32">IF(AK269&gt;0,1,0)</f>
        <v>1</v>
      </c>
      <c r="AP269" s="235"/>
      <c r="AQ269" s="3"/>
      <c r="AR269" s="3"/>
      <c r="AS269" s="3"/>
      <c r="AT269" s="3"/>
      <c r="AU269" s="235"/>
      <c r="AV269" s="360">
        <f t="shared" si="27"/>
        <v>4604234.5599489054</v>
      </c>
      <c r="AW269" s="235"/>
      <c r="AX269" s="354"/>
      <c r="AY269" s="14"/>
      <c r="AZ269" s="14">
        <f t="shared" si="29"/>
        <v>19392.152468358996</v>
      </c>
      <c r="BA269" s="14">
        <f t="shared" si="28"/>
        <v>0.44764344873836315</v>
      </c>
      <c r="BB269" s="14">
        <f t="shared" ref="BB269:BB523" si="33">AZ269/BA269</f>
        <v>43320.532274098448</v>
      </c>
      <c r="BC269" s="14"/>
      <c r="BD269" s="14"/>
      <c r="BE269" s="14"/>
      <c r="BF269" s="14"/>
      <c r="BG269" s="14"/>
      <c r="BH269" s="14"/>
      <c r="BI269" s="14"/>
      <c r="BJ269" s="14"/>
      <c r="BK269" s="14"/>
      <c r="BL269" s="14"/>
      <c r="BM269" s="14"/>
      <c r="BN269" s="14"/>
      <c r="BO269" s="14"/>
      <c r="BP269" s="14"/>
      <c r="BQ269" s="14"/>
      <c r="BR269" s="14"/>
      <c r="BS269" s="14"/>
      <c r="BT269" s="14"/>
      <c r="BU269" s="14"/>
      <c r="BV269" s="14"/>
      <c r="BW269" s="14"/>
      <c r="BX269" s="14"/>
      <c r="BY269" s="14"/>
      <c r="BZ269" s="14"/>
      <c r="CA269" s="14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</row>
    <row r="270" spans="1:101" ht="14.25" customHeight="1" x14ac:dyDescent="0.2">
      <c r="A270" s="328"/>
      <c r="B270" s="52">
        <v>0.15217677234447255</v>
      </c>
      <c r="C270" s="330">
        <v>7.3788512494665004E-2</v>
      </c>
      <c r="D270" s="330">
        <v>1.3479844538822333E-2</v>
      </c>
      <c r="E270" s="330">
        <v>2.2003960516379428E-2</v>
      </c>
      <c r="F270" s="331">
        <v>0.82818094693844468</v>
      </c>
      <c r="G270" s="94">
        <v>0.35670313086137218</v>
      </c>
      <c r="H270" s="330">
        <v>0.4990825496337068</v>
      </c>
      <c r="I270" s="330">
        <v>2.7654342221652306E-2</v>
      </c>
      <c r="J270" s="330">
        <v>0.9991310373974619</v>
      </c>
      <c r="K270" s="330">
        <v>0.77083056416963824</v>
      </c>
      <c r="L270" s="332">
        <v>7823.3337698394416</v>
      </c>
      <c r="M270" s="330">
        <v>0</v>
      </c>
      <c r="N270" s="330">
        <v>20163.684854324336</v>
      </c>
      <c r="O270" s="330">
        <v>1255.1501485737761</v>
      </c>
      <c r="P270" s="330">
        <v>53407.844516683741</v>
      </c>
      <c r="Q270" s="333">
        <v>77461.5863554768</v>
      </c>
      <c r="R270" s="330">
        <v>22880.703956015233</v>
      </c>
      <c r="S270" s="330">
        <v>5773.6842055297438</v>
      </c>
      <c r="T270" s="332">
        <v>0.24885562139340575</v>
      </c>
      <c r="U270" s="330">
        <v>0.66610761171310895</v>
      </c>
      <c r="V270" s="330">
        <v>0.99519818141779959</v>
      </c>
      <c r="W270" s="330">
        <v>0.97369395380033175</v>
      </c>
      <c r="X270" s="330">
        <v>0.74242500618406015</v>
      </c>
      <c r="Y270" s="330">
        <v>0</v>
      </c>
      <c r="Z270" s="331">
        <v>0</v>
      </c>
      <c r="AA270" s="235"/>
      <c r="AB270" s="52">
        <v>59746.531187781424</v>
      </c>
      <c r="AC270" s="330">
        <v>3.7488206220765945</v>
      </c>
      <c r="AD270" s="330">
        <v>53673.95671351075</v>
      </c>
      <c r="AE270" s="330">
        <v>3.5284911012133691</v>
      </c>
      <c r="AF270" s="330">
        <v>6072.5744742706738</v>
      </c>
      <c r="AG270" s="331">
        <v>0.22032952086322544</v>
      </c>
      <c r="AH270" s="235"/>
      <c r="AI270" s="208">
        <f t="shared" ref="AI270:AI333" si="34">AC270*cRatio-AB270</f>
        <v>3501633.0597849833</v>
      </c>
      <c r="AJ270" s="208">
        <f t="shared" ref="AJ270:AJ333" si="35">AE270*cRatio-AD270</f>
        <v>3298392.58943919</v>
      </c>
      <c r="AK270" s="208">
        <f t="shared" ref="AK270:AK333" si="36">AG270*cRatio-AF270</f>
        <v>203240.47034579347</v>
      </c>
      <c r="AL270" s="235"/>
      <c r="AM270" s="52">
        <f t="shared" si="30"/>
        <v>1</v>
      </c>
      <c r="AN270" s="52">
        <f t="shared" si="31"/>
        <v>0</v>
      </c>
      <c r="AO270" s="52">
        <f t="shared" si="32"/>
        <v>1</v>
      </c>
      <c r="AP270" s="235"/>
      <c r="AQ270" s="3"/>
      <c r="AR270" s="3"/>
      <c r="AS270" s="3"/>
      <c r="AT270" s="3"/>
      <c r="AU270" s="235"/>
      <c r="AV270" s="360">
        <f t="shared" si="27"/>
        <v>3501633.0597849833</v>
      </c>
      <c r="AW270" s="235"/>
      <c r="AX270" s="354"/>
      <c r="AY270" s="14"/>
      <c r="AZ270" s="14">
        <f t="shared" si="29"/>
        <v>6072.5744742706738</v>
      </c>
      <c r="BA270" s="14">
        <f t="shared" si="28"/>
        <v>0.22032952086322544</v>
      </c>
      <c r="BB270" s="14">
        <f t="shared" si="33"/>
        <v>27561.329278432746</v>
      </c>
      <c r="BC270" s="14"/>
      <c r="BD270" s="14"/>
      <c r="BE270" s="14"/>
      <c r="BF270" s="14"/>
      <c r="BG270" s="14"/>
      <c r="BH270" s="14"/>
      <c r="BI270" s="14"/>
      <c r="BJ270" s="14"/>
      <c r="BK270" s="14"/>
      <c r="BL270" s="14"/>
      <c r="BM270" s="14"/>
      <c r="BN270" s="14"/>
      <c r="BO270" s="14"/>
      <c r="BP270" s="14"/>
      <c r="BQ270" s="14"/>
      <c r="BR270" s="14"/>
      <c r="BS270" s="14"/>
      <c r="BT270" s="14"/>
      <c r="BU270" s="14"/>
      <c r="BV270" s="14"/>
      <c r="BW270" s="14"/>
      <c r="BX270" s="14"/>
      <c r="BY270" s="14"/>
      <c r="BZ270" s="14"/>
      <c r="CA270" s="14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</row>
    <row r="271" spans="1:101" ht="14.25" customHeight="1" x14ac:dyDescent="0.2">
      <c r="A271" s="328"/>
      <c r="B271" s="52">
        <v>0.17506551083563016</v>
      </c>
      <c r="C271" s="330">
        <v>0.13610811787224222</v>
      </c>
      <c r="D271" s="330">
        <v>1.4449119919142994E-2</v>
      </c>
      <c r="E271" s="330">
        <v>1.7486882415861049E-2</v>
      </c>
      <c r="F271" s="331">
        <v>0.80641996706115537</v>
      </c>
      <c r="G271" s="94">
        <v>0.3385521600221858</v>
      </c>
      <c r="H271" s="330">
        <v>0.95334983452005695</v>
      </c>
      <c r="I271" s="330">
        <v>1.6035575104639599E-2</v>
      </c>
      <c r="J271" s="330">
        <v>0.99524444691877256</v>
      </c>
      <c r="K271" s="330">
        <v>0.8082185248335646</v>
      </c>
      <c r="L271" s="332">
        <v>11938.223786798195</v>
      </c>
      <c r="M271" s="330">
        <v>0</v>
      </c>
      <c r="N271" s="330">
        <v>16833.716275461724</v>
      </c>
      <c r="O271" s="330">
        <v>972.62796904104323</v>
      </c>
      <c r="P271" s="330">
        <v>70514.065263475015</v>
      </c>
      <c r="Q271" s="333">
        <v>113738.98676341148</v>
      </c>
      <c r="R271" s="330">
        <v>18883.883823190521</v>
      </c>
      <c r="S271" s="330">
        <v>9516.0408193224212</v>
      </c>
      <c r="T271" s="332">
        <v>0.99995689789931386</v>
      </c>
      <c r="U271" s="330">
        <v>0.98757927002713142</v>
      </c>
      <c r="V271" s="330">
        <v>0.58682227411562393</v>
      </c>
      <c r="W271" s="330">
        <v>0.99774031189769108</v>
      </c>
      <c r="X271" s="330">
        <v>0.8537157513056316</v>
      </c>
      <c r="Y271" s="330">
        <v>0</v>
      </c>
      <c r="Z271" s="331">
        <v>0</v>
      </c>
      <c r="AA271" s="235"/>
      <c r="AB271" s="52">
        <v>95200.698267759202</v>
      </c>
      <c r="AC271" s="330">
        <v>4.1591056376754389</v>
      </c>
      <c r="AD271" s="330">
        <v>89964.194442808555</v>
      </c>
      <c r="AE271" s="330">
        <v>4.597134254115673</v>
      </c>
      <c r="AF271" s="330">
        <v>5236.503824950647</v>
      </c>
      <c r="AG271" s="331">
        <v>-0.43802861644023405</v>
      </c>
      <c r="AH271" s="235"/>
      <c r="AI271" s="208">
        <f t="shared" si="34"/>
        <v>3855949.6575239077</v>
      </c>
      <c r="AJ271" s="208">
        <f t="shared" si="35"/>
        <v>4277313.3469670806</v>
      </c>
      <c r="AK271" s="208">
        <f t="shared" si="36"/>
        <v>-421363.689443173</v>
      </c>
      <c r="AL271" s="235"/>
      <c r="AM271" s="52">
        <f t="shared" si="30"/>
        <v>0</v>
      </c>
      <c r="AN271" s="52">
        <f t="shared" si="31"/>
        <v>1</v>
      </c>
      <c r="AO271" s="52">
        <f t="shared" si="32"/>
        <v>0</v>
      </c>
      <c r="AP271" s="235"/>
      <c r="AQ271" s="3"/>
      <c r="AR271" s="3"/>
      <c r="AS271" s="3"/>
      <c r="AT271" s="3"/>
      <c r="AU271" s="235"/>
      <c r="AV271" s="360">
        <f t="shared" ref="AV271:AV334" si="37">MAX(AI271:AJ271)</f>
        <v>4277313.3469670806</v>
      </c>
      <c r="AW271" s="235"/>
      <c r="AX271" s="354"/>
      <c r="AY271" s="14"/>
      <c r="AZ271" s="14">
        <f t="shared" si="29"/>
        <v>5236.503824950647</v>
      </c>
      <c r="BA271" s="14">
        <f t="shared" ref="BA271:BA334" si="38">AG271</f>
        <v>-0.43802861644023405</v>
      </c>
      <c r="BB271" s="14">
        <f t="shared" si="33"/>
        <v>-11954.707131937192</v>
      </c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4"/>
      <c r="BT271" s="14"/>
      <c r="BU271" s="14"/>
      <c r="BV271" s="14"/>
      <c r="BW271" s="14"/>
      <c r="BX271" s="14"/>
      <c r="BY271" s="14"/>
      <c r="BZ271" s="14"/>
      <c r="CA271" s="14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</row>
    <row r="272" spans="1:101" ht="14.25" customHeight="1" x14ac:dyDescent="0.2">
      <c r="A272" s="328"/>
      <c r="B272" s="52">
        <v>0.17577182867466568</v>
      </c>
      <c r="C272" s="330">
        <v>0.98139783601372388</v>
      </c>
      <c r="D272" s="330">
        <v>7.5384725379632755E-3</v>
      </c>
      <c r="E272" s="330">
        <v>2.7621940944558609E-2</v>
      </c>
      <c r="F272" s="331">
        <v>0.77266905310553413</v>
      </c>
      <c r="G272" s="94">
        <v>0.41617878486036541</v>
      </c>
      <c r="H272" s="330">
        <v>2.4177039250812347E-2</v>
      </c>
      <c r="I272" s="330">
        <v>2.0678573451470617E-2</v>
      </c>
      <c r="J272" s="330">
        <v>2.3907857438069315E-2</v>
      </c>
      <c r="K272" s="330">
        <v>0.77060970639628668</v>
      </c>
      <c r="L272" s="332">
        <v>14846.154147157071</v>
      </c>
      <c r="M272" s="330">
        <v>0</v>
      </c>
      <c r="N272" s="330">
        <v>22554.921005614258</v>
      </c>
      <c r="O272" s="330">
        <v>1457.5873807814658</v>
      </c>
      <c r="P272" s="330">
        <v>51194.978213629205</v>
      </c>
      <c r="Q272" s="333">
        <v>140745.38070580483</v>
      </c>
      <c r="R272" s="330">
        <v>20588.040046607901</v>
      </c>
      <c r="S272" s="330">
        <v>7191.1210879608061</v>
      </c>
      <c r="T272" s="332">
        <v>0.99088512566893849</v>
      </c>
      <c r="U272" s="330">
        <v>8.8000251704202601E-2</v>
      </c>
      <c r="V272" s="330">
        <v>0.57276912359241783</v>
      </c>
      <c r="W272" s="330">
        <v>0.58063002370286887</v>
      </c>
      <c r="X272" s="330">
        <v>0.96207108679884001</v>
      </c>
      <c r="Y272" s="330">
        <v>0</v>
      </c>
      <c r="Z272" s="331">
        <v>0</v>
      </c>
      <c r="AA272" s="235"/>
      <c r="AB272" s="52">
        <v>78469.580053179248</v>
      </c>
      <c r="AC272" s="330">
        <v>4.7628815543686596</v>
      </c>
      <c r="AD272" s="330">
        <v>61677.430516788168</v>
      </c>
      <c r="AE272" s="330">
        <v>4.482449512178678</v>
      </c>
      <c r="AF272" s="330">
        <v>16792.14953639108</v>
      </c>
      <c r="AG272" s="331">
        <v>0.28043204218998152</v>
      </c>
      <c r="AH272" s="235"/>
      <c r="AI272" s="208">
        <f t="shared" si="34"/>
        <v>4446267.8965970473</v>
      </c>
      <c r="AJ272" s="208">
        <f t="shared" si="35"/>
        <v>4196649.6060529565</v>
      </c>
      <c r="AK272" s="208">
        <f t="shared" si="36"/>
        <v>249618.29054409137</v>
      </c>
      <c r="AL272" s="235"/>
      <c r="AM272" s="52">
        <f t="shared" si="30"/>
        <v>1</v>
      </c>
      <c r="AN272" s="52">
        <f t="shared" si="31"/>
        <v>0</v>
      </c>
      <c r="AO272" s="52">
        <f t="shared" si="32"/>
        <v>1</v>
      </c>
      <c r="AP272" s="235"/>
      <c r="AQ272" s="3"/>
      <c r="AR272" s="3"/>
      <c r="AS272" s="3"/>
      <c r="AT272" s="3"/>
      <c r="AU272" s="235"/>
      <c r="AV272" s="360">
        <f t="shared" si="37"/>
        <v>4446267.8965970473</v>
      </c>
      <c r="AW272" s="235"/>
      <c r="AX272" s="354"/>
      <c r="AY272" s="14"/>
      <c r="AZ272" s="14">
        <f t="shared" ref="AZ272:AZ335" si="39">AF272</f>
        <v>16792.14953639108</v>
      </c>
      <c r="BA272" s="14">
        <f t="shared" si="38"/>
        <v>0.28043204218998152</v>
      </c>
      <c r="BB272" s="14">
        <f t="shared" si="33"/>
        <v>59879.567988222501</v>
      </c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4"/>
      <c r="BT272" s="14"/>
      <c r="BU272" s="14"/>
      <c r="BV272" s="14"/>
      <c r="BW272" s="14"/>
      <c r="BX272" s="14"/>
      <c r="BY272" s="14"/>
      <c r="BZ272" s="14"/>
      <c r="CA272" s="14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</row>
    <row r="273" spans="1:101" ht="14.25" customHeight="1" x14ac:dyDescent="0.2">
      <c r="A273" s="328"/>
      <c r="B273" s="52">
        <v>0.16430357969285081</v>
      </c>
      <c r="C273" s="330">
        <v>0.27638072377700917</v>
      </c>
      <c r="D273" s="330">
        <v>1.384292570125252E-2</v>
      </c>
      <c r="E273" s="330">
        <v>1.4073148891140875E-2</v>
      </c>
      <c r="F273" s="331">
        <v>0.73581968382026497</v>
      </c>
      <c r="G273" s="94">
        <v>0.37190736273067831</v>
      </c>
      <c r="H273" s="330">
        <v>0.99779688000779321</v>
      </c>
      <c r="I273" s="330">
        <v>1.9724676575482714E-2</v>
      </c>
      <c r="J273" s="330">
        <v>0.97547915148597797</v>
      </c>
      <c r="K273" s="330">
        <v>0.74317231912918569</v>
      </c>
      <c r="L273" s="332">
        <v>10900.709693513249</v>
      </c>
      <c r="M273" s="330">
        <v>0</v>
      </c>
      <c r="N273" s="330">
        <v>12621.761024266638</v>
      </c>
      <c r="O273" s="330">
        <v>1329.2893066479121</v>
      </c>
      <c r="P273" s="330">
        <v>38694.377113341208</v>
      </c>
      <c r="Q273" s="333">
        <v>73577.241746272135</v>
      </c>
      <c r="R273" s="330">
        <v>18791.76274630411</v>
      </c>
      <c r="S273" s="330">
        <v>10759.345584738638</v>
      </c>
      <c r="T273" s="332">
        <v>0.77989647346584523</v>
      </c>
      <c r="U273" s="330">
        <v>0.72508097401274052</v>
      </c>
      <c r="V273" s="330">
        <v>0.96804915533062219</v>
      </c>
      <c r="W273" s="330">
        <v>0.87425312341037653</v>
      </c>
      <c r="X273" s="330">
        <v>0.84170898444124198</v>
      </c>
      <c r="Y273" s="330">
        <v>0</v>
      </c>
      <c r="Z273" s="331">
        <v>0</v>
      </c>
      <c r="AA273" s="235"/>
      <c r="AB273" s="52">
        <v>97099.942317765279</v>
      </c>
      <c r="AC273" s="330">
        <v>3.7432507777082598</v>
      </c>
      <c r="AD273" s="330">
        <v>94082.716347534501</v>
      </c>
      <c r="AE273" s="330">
        <v>4.0147266470100949</v>
      </c>
      <c r="AF273" s="330">
        <v>3017.2259702307783</v>
      </c>
      <c r="AG273" s="331">
        <v>-0.27147586930183509</v>
      </c>
      <c r="AH273" s="235"/>
      <c r="AI273" s="208">
        <f t="shared" si="34"/>
        <v>3458988.2965050815</v>
      </c>
      <c r="AJ273" s="208">
        <f t="shared" si="35"/>
        <v>3719907.5983120552</v>
      </c>
      <c r="AK273" s="208">
        <f t="shared" si="36"/>
        <v>-260919.30180697411</v>
      </c>
      <c r="AL273" s="235"/>
      <c r="AM273" s="52">
        <f t="shared" si="30"/>
        <v>0</v>
      </c>
      <c r="AN273" s="52">
        <f t="shared" si="31"/>
        <v>1</v>
      </c>
      <c r="AO273" s="52">
        <f t="shared" si="32"/>
        <v>0</v>
      </c>
      <c r="AP273" s="235"/>
      <c r="AQ273" s="3"/>
      <c r="AR273" s="3"/>
      <c r="AS273" s="3"/>
      <c r="AT273" s="3"/>
      <c r="AU273" s="235"/>
      <c r="AV273" s="360">
        <f t="shared" si="37"/>
        <v>3719907.5983120552</v>
      </c>
      <c r="AW273" s="235"/>
      <c r="AX273" s="354"/>
      <c r="AY273" s="14"/>
      <c r="AZ273" s="14">
        <f t="shared" si="39"/>
        <v>3017.2259702307783</v>
      </c>
      <c r="BA273" s="14">
        <f t="shared" si="38"/>
        <v>-0.27147586930183509</v>
      </c>
      <c r="BB273" s="14">
        <f t="shared" si="33"/>
        <v>-11114.15897843994</v>
      </c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4"/>
      <c r="BT273" s="14"/>
      <c r="BU273" s="14"/>
      <c r="BV273" s="14"/>
      <c r="BW273" s="14"/>
      <c r="BX273" s="14"/>
      <c r="BY273" s="14"/>
      <c r="BZ273" s="14"/>
      <c r="CA273" s="14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</row>
    <row r="274" spans="1:101" ht="14.25" customHeight="1" x14ac:dyDescent="0.2">
      <c r="A274" s="328"/>
      <c r="B274" s="52">
        <v>0.17103230851529316</v>
      </c>
      <c r="C274" s="330">
        <v>0.95697247306872979</v>
      </c>
      <c r="D274" s="330">
        <v>2.2287614833794378E-2</v>
      </c>
      <c r="E274" s="330">
        <v>2.5176455660732233E-2</v>
      </c>
      <c r="F274" s="331">
        <v>0.80543126748724791</v>
      </c>
      <c r="G274" s="94">
        <v>0.36791601508871563</v>
      </c>
      <c r="H274" s="330">
        <v>0.50690675165626886</v>
      </c>
      <c r="I274" s="330">
        <v>2.152588050751969E-2</v>
      </c>
      <c r="J274" s="330">
        <v>0.64862811909946938</v>
      </c>
      <c r="K274" s="330">
        <v>0.80928393126479803</v>
      </c>
      <c r="L274" s="332">
        <v>10855.184671754076</v>
      </c>
      <c r="M274" s="330">
        <v>0</v>
      </c>
      <c r="N274" s="330">
        <v>19316.416329556716</v>
      </c>
      <c r="O274" s="330">
        <v>1154.9150052507753</v>
      </c>
      <c r="P274" s="330">
        <v>41428.810898492644</v>
      </c>
      <c r="Q274" s="333">
        <v>76995.937824743422</v>
      </c>
      <c r="R274" s="330">
        <v>30642.293621016175</v>
      </c>
      <c r="S274" s="330">
        <v>5844.2230977155286</v>
      </c>
      <c r="T274" s="332">
        <v>0.7107676925512354</v>
      </c>
      <c r="U274" s="330">
        <v>0.93936762270189433</v>
      </c>
      <c r="V274" s="330">
        <v>0.95715469320830748</v>
      </c>
      <c r="W274" s="330">
        <v>0.22887256871123965</v>
      </c>
      <c r="X274" s="330">
        <v>0.30654395244229227</v>
      </c>
      <c r="Y274" s="330">
        <v>0</v>
      </c>
      <c r="Z274" s="331">
        <v>0</v>
      </c>
      <c r="AA274" s="235"/>
      <c r="AB274" s="52">
        <v>66880.559299478191</v>
      </c>
      <c r="AC274" s="330">
        <v>1.5003247261315398</v>
      </c>
      <c r="AD274" s="330">
        <v>57925.540732742047</v>
      </c>
      <c r="AE274" s="330">
        <v>1.8117609759438391</v>
      </c>
      <c r="AF274" s="330">
        <v>8955.0185667361438</v>
      </c>
      <c r="AG274" s="331">
        <v>-0.31143624981229934</v>
      </c>
      <c r="AH274" s="235"/>
      <c r="AI274" s="208">
        <f t="shared" si="34"/>
        <v>1358427.9305254845</v>
      </c>
      <c r="AJ274" s="208">
        <f t="shared" si="35"/>
        <v>1663247.3864139051</v>
      </c>
      <c r="AK274" s="208">
        <f t="shared" si="36"/>
        <v>-304819.45588842052</v>
      </c>
      <c r="AL274" s="235"/>
      <c r="AM274" s="52">
        <f t="shared" si="30"/>
        <v>0</v>
      </c>
      <c r="AN274" s="52">
        <f t="shared" si="31"/>
        <v>1</v>
      </c>
      <c r="AO274" s="52">
        <f t="shared" si="32"/>
        <v>0</v>
      </c>
      <c r="AP274" s="235"/>
      <c r="AQ274" s="3"/>
      <c r="AR274" s="3"/>
      <c r="AS274" s="3"/>
      <c r="AT274" s="3"/>
      <c r="AU274" s="235"/>
      <c r="AV274" s="360">
        <f t="shared" si="37"/>
        <v>1663247.3864139051</v>
      </c>
      <c r="AW274" s="235"/>
      <c r="AX274" s="354"/>
      <c r="AY274" s="14"/>
      <c r="AZ274" s="14">
        <f t="shared" si="39"/>
        <v>8955.0185667361438</v>
      </c>
      <c r="BA274" s="14">
        <f t="shared" si="38"/>
        <v>-0.31143624981229934</v>
      </c>
      <c r="BB274" s="14">
        <f t="shared" si="33"/>
        <v>-28753.937835217566</v>
      </c>
      <c r="BC274" s="14"/>
      <c r="BD274" s="14"/>
      <c r="BE274" s="14"/>
      <c r="BF274" s="14"/>
      <c r="BG274" s="14"/>
      <c r="BH274" s="14"/>
      <c r="BI274" s="14"/>
      <c r="BJ274" s="14"/>
      <c r="BK274" s="14"/>
      <c r="BL274" s="14"/>
      <c r="BM274" s="14"/>
      <c r="BN274" s="14"/>
      <c r="BO274" s="14"/>
      <c r="BP274" s="14"/>
      <c r="BQ274" s="14"/>
      <c r="BR274" s="14"/>
      <c r="BS274" s="14"/>
      <c r="BT274" s="14"/>
      <c r="BU274" s="14"/>
      <c r="BV274" s="14"/>
      <c r="BW274" s="14"/>
      <c r="BX274" s="14"/>
      <c r="BY274" s="14"/>
      <c r="BZ274" s="14"/>
      <c r="CA274" s="14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</row>
    <row r="275" spans="1:101" ht="14.25" customHeight="1" x14ac:dyDescent="0.2">
      <c r="A275" s="328"/>
      <c r="B275" s="52">
        <v>0.15219771352731185</v>
      </c>
      <c r="C275" s="330">
        <v>0.19271692538852125</v>
      </c>
      <c r="D275" s="330">
        <v>1.2869603975322752E-2</v>
      </c>
      <c r="E275" s="330">
        <v>1.8363099665196336E-2</v>
      </c>
      <c r="F275" s="331">
        <v>0.77105010187360057</v>
      </c>
      <c r="G275" s="94">
        <v>0.41693125294487787</v>
      </c>
      <c r="H275" s="330">
        <v>0.14252260925302726</v>
      </c>
      <c r="I275" s="330">
        <v>1.3386842399470657E-2</v>
      </c>
      <c r="J275" s="330">
        <v>0.38867804984551807</v>
      </c>
      <c r="K275" s="330">
        <v>0.79877535919590814</v>
      </c>
      <c r="L275" s="332">
        <v>12897.425807699881</v>
      </c>
      <c r="M275" s="330">
        <v>0</v>
      </c>
      <c r="N275" s="330">
        <v>15326.6040124053</v>
      </c>
      <c r="O275" s="330">
        <v>836.52356448439593</v>
      </c>
      <c r="P275" s="330">
        <v>53491.257009014997</v>
      </c>
      <c r="Q275" s="333">
        <v>102439.10122150301</v>
      </c>
      <c r="R275" s="330">
        <v>18315.29279550014</v>
      </c>
      <c r="S275" s="330">
        <v>7503.6096473891821</v>
      </c>
      <c r="T275" s="332">
        <v>0.96273160190239804</v>
      </c>
      <c r="U275" s="330">
        <v>0.92071342652520416</v>
      </c>
      <c r="V275" s="330">
        <v>0.97861445182096207</v>
      </c>
      <c r="W275" s="330">
        <v>0.79392254293621811</v>
      </c>
      <c r="X275" s="330">
        <v>0.97487941114397914</v>
      </c>
      <c r="Y275" s="330">
        <v>0</v>
      </c>
      <c r="Z275" s="331">
        <v>0</v>
      </c>
      <c r="AA275" s="235"/>
      <c r="AB275" s="52">
        <v>75852.319845500853</v>
      </c>
      <c r="AC275" s="330">
        <v>4.8253312165031508</v>
      </c>
      <c r="AD275" s="330">
        <v>66483.046262108764</v>
      </c>
      <c r="AE275" s="330">
        <v>5.0120634519672986</v>
      </c>
      <c r="AF275" s="330">
        <v>9369.2735833920888</v>
      </c>
      <c r="AG275" s="331">
        <v>-0.18673223546414786</v>
      </c>
      <c r="AH275" s="235"/>
      <c r="AI275" s="208">
        <f t="shared" si="34"/>
        <v>4508212.3358324924</v>
      </c>
      <c r="AJ275" s="208">
        <f t="shared" si="35"/>
        <v>4694977.2331068246</v>
      </c>
      <c r="AK275" s="208">
        <f t="shared" si="36"/>
        <v>-186764.89727433256</v>
      </c>
      <c r="AL275" s="235"/>
      <c r="AM275" s="52">
        <f t="shared" si="30"/>
        <v>0</v>
      </c>
      <c r="AN275" s="52">
        <f t="shared" si="31"/>
        <v>1</v>
      </c>
      <c r="AO275" s="52">
        <f t="shared" si="32"/>
        <v>0</v>
      </c>
      <c r="AP275" s="235"/>
      <c r="AQ275" s="3"/>
      <c r="AR275" s="3"/>
      <c r="AS275" s="3"/>
      <c r="AT275" s="3"/>
      <c r="AU275" s="235"/>
      <c r="AV275" s="360">
        <f t="shared" si="37"/>
        <v>4694977.2331068246</v>
      </c>
      <c r="AW275" s="235"/>
      <c r="AX275" s="354"/>
      <c r="AY275" s="14"/>
      <c r="AZ275" s="14">
        <f t="shared" si="39"/>
        <v>9369.2735833920888</v>
      </c>
      <c r="BA275" s="14">
        <f t="shared" si="38"/>
        <v>-0.18673223546414786</v>
      </c>
      <c r="BB275" s="14">
        <f t="shared" si="33"/>
        <v>-50174.912543104896</v>
      </c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4"/>
      <c r="BT275" s="14"/>
      <c r="BU275" s="14"/>
      <c r="BV275" s="14"/>
      <c r="BW275" s="14"/>
      <c r="BX275" s="14"/>
      <c r="BY275" s="14"/>
      <c r="BZ275" s="14"/>
      <c r="CA275" s="14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</row>
    <row r="276" spans="1:101" ht="14.25" customHeight="1" x14ac:dyDescent="0.2">
      <c r="A276" s="328"/>
      <c r="B276" s="52">
        <v>0.17568344246940859</v>
      </c>
      <c r="C276" s="330">
        <v>0.36127246240362654</v>
      </c>
      <c r="D276" s="330">
        <v>2.4463801212145087E-2</v>
      </c>
      <c r="E276" s="330">
        <v>3.29902433022351E-2</v>
      </c>
      <c r="F276" s="331">
        <v>0.81366895042546372</v>
      </c>
      <c r="G276" s="94">
        <v>0.41316722995818878</v>
      </c>
      <c r="H276" s="330">
        <v>0.74259742730609357</v>
      </c>
      <c r="I276" s="330">
        <v>1.7699671165739228E-2</v>
      </c>
      <c r="J276" s="330">
        <v>1</v>
      </c>
      <c r="K276" s="330">
        <v>0.76038122861731972</v>
      </c>
      <c r="L276" s="332">
        <v>11582.059977051322</v>
      </c>
      <c r="M276" s="330">
        <v>0</v>
      </c>
      <c r="N276" s="330">
        <v>14882.234411269352</v>
      </c>
      <c r="O276" s="330">
        <v>1137.2759222533025</v>
      </c>
      <c r="P276" s="330">
        <v>46303.557057458675</v>
      </c>
      <c r="Q276" s="333">
        <v>68458.937138532638</v>
      </c>
      <c r="R276" s="330">
        <v>15412.156771768221</v>
      </c>
      <c r="S276" s="330">
        <v>14071.956240674273</v>
      </c>
      <c r="T276" s="332">
        <v>0.25899552430326467</v>
      </c>
      <c r="U276" s="330">
        <v>0.49485325284703841</v>
      </c>
      <c r="V276" s="330">
        <v>0.47804290817247053</v>
      </c>
      <c r="W276" s="330">
        <v>0.98678901012422737</v>
      </c>
      <c r="X276" s="330">
        <v>0.99385980438556554</v>
      </c>
      <c r="Y276" s="330">
        <v>0</v>
      </c>
      <c r="Z276" s="331">
        <v>0</v>
      </c>
      <c r="AA276" s="235"/>
      <c r="AB276" s="52">
        <v>135934.64159079056</v>
      </c>
      <c r="AC276" s="330">
        <v>4.8910972352868578</v>
      </c>
      <c r="AD276" s="330">
        <v>120928.42530196731</v>
      </c>
      <c r="AE276" s="330">
        <v>4.7505239282424458</v>
      </c>
      <c r="AF276" s="330">
        <v>15006.216288823256</v>
      </c>
      <c r="AG276" s="331">
        <v>0.14057330704441195</v>
      </c>
      <c r="AH276" s="235"/>
      <c r="AI276" s="208">
        <f t="shared" si="34"/>
        <v>4510607.7319317237</v>
      </c>
      <c r="AJ276" s="208">
        <f t="shared" si="35"/>
        <v>4392069.3065283559</v>
      </c>
      <c r="AK276" s="208">
        <f t="shared" si="36"/>
        <v>118538.42540336811</v>
      </c>
      <c r="AL276" s="235"/>
      <c r="AM276" s="52">
        <f t="shared" si="30"/>
        <v>1</v>
      </c>
      <c r="AN276" s="52">
        <f t="shared" si="31"/>
        <v>0</v>
      </c>
      <c r="AO276" s="52">
        <f t="shared" si="32"/>
        <v>1</v>
      </c>
      <c r="AP276" s="235"/>
      <c r="AQ276" s="3"/>
      <c r="AR276" s="3"/>
      <c r="AS276" s="3"/>
      <c r="AT276" s="3"/>
      <c r="AU276" s="235"/>
      <c r="AV276" s="360">
        <f t="shared" si="37"/>
        <v>4510607.7319317237</v>
      </c>
      <c r="AW276" s="235"/>
      <c r="AX276" s="354"/>
      <c r="AY276" s="14"/>
      <c r="AZ276" s="14">
        <f t="shared" si="39"/>
        <v>15006.216288823256</v>
      </c>
      <c r="BA276" s="14">
        <f t="shared" si="38"/>
        <v>0.14057330704441195</v>
      </c>
      <c r="BB276" s="14">
        <f t="shared" si="33"/>
        <v>106750.11212535731</v>
      </c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4"/>
      <c r="BT276" s="14"/>
      <c r="BU276" s="14"/>
      <c r="BV276" s="14"/>
      <c r="BW276" s="14"/>
      <c r="BX276" s="14"/>
      <c r="BY276" s="14"/>
      <c r="BZ276" s="14"/>
      <c r="CA276" s="14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</row>
    <row r="277" spans="1:101" ht="14.25" customHeight="1" x14ac:dyDescent="0.2">
      <c r="A277" s="328"/>
      <c r="B277" s="52">
        <v>0.1502981556892323</v>
      </c>
      <c r="C277" s="330">
        <v>0.20142860112484395</v>
      </c>
      <c r="D277" s="330">
        <v>9.7065666239663853E-3</v>
      </c>
      <c r="E277" s="330">
        <v>1.359132719097627E-2</v>
      </c>
      <c r="F277" s="331">
        <v>0.81823492269813913</v>
      </c>
      <c r="G277" s="94">
        <v>0.46675195794670832</v>
      </c>
      <c r="H277" s="330">
        <v>0.76766561780223164</v>
      </c>
      <c r="I277" s="330">
        <v>3.0218151955134775E-2</v>
      </c>
      <c r="J277" s="330">
        <v>0.99999996666619628</v>
      </c>
      <c r="K277" s="330">
        <v>0.72564573840213131</v>
      </c>
      <c r="L277" s="332">
        <v>12922.808159859884</v>
      </c>
      <c r="M277" s="330">
        <v>0</v>
      </c>
      <c r="N277" s="330">
        <v>21307.303793176838</v>
      </c>
      <c r="O277" s="330">
        <v>1058.9609557144674</v>
      </c>
      <c r="P277" s="330">
        <v>47623.542407957881</v>
      </c>
      <c r="Q277" s="333">
        <v>125225.70417087863</v>
      </c>
      <c r="R277" s="330">
        <v>20725.050974698537</v>
      </c>
      <c r="S277" s="330">
        <v>7613.578072764054</v>
      </c>
      <c r="T277" s="332">
        <v>0.54553852707276573</v>
      </c>
      <c r="U277" s="330">
        <v>0.2990294966476672</v>
      </c>
      <c r="V277" s="330">
        <v>0.88508872050925513</v>
      </c>
      <c r="W277" s="330">
        <v>0.9999753235695783</v>
      </c>
      <c r="X277" s="330">
        <v>4.868762265133128E-2</v>
      </c>
      <c r="Y277" s="330">
        <v>0</v>
      </c>
      <c r="Z277" s="331">
        <v>0</v>
      </c>
      <c r="AA277" s="235"/>
      <c r="AB277" s="52">
        <v>80745.76415994922</v>
      </c>
      <c r="AC277" s="330">
        <v>0.35125840764745864</v>
      </c>
      <c r="AD277" s="330">
        <v>69780.674790763311</v>
      </c>
      <c r="AE277" s="330">
        <v>0.24919844750955653</v>
      </c>
      <c r="AF277" s="330">
        <v>10965.089369185909</v>
      </c>
      <c r="AG277" s="331">
        <v>0.10205996013790211</v>
      </c>
      <c r="AH277" s="235"/>
      <c r="AI277" s="208">
        <f t="shared" si="34"/>
        <v>252949.72310513648</v>
      </c>
      <c r="AJ277" s="208">
        <f t="shared" si="35"/>
        <v>166957.8503433154</v>
      </c>
      <c r="AK277" s="208">
        <f t="shared" si="36"/>
        <v>85991.872761821098</v>
      </c>
      <c r="AL277" s="235"/>
      <c r="AM277" s="52">
        <f t="shared" si="30"/>
        <v>1</v>
      </c>
      <c r="AN277" s="52">
        <f t="shared" si="31"/>
        <v>0</v>
      </c>
      <c r="AO277" s="52">
        <f t="shared" si="32"/>
        <v>1</v>
      </c>
      <c r="AP277" s="235"/>
      <c r="AQ277" s="3"/>
      <c r="AR277" s="3"/>
      <c r="AS277" s="3"/>
      <c r="AT277" s="3"/>
      <c r="AU277" s="235"/>
      <c r="AV277" s="360">
        <f t="shared" si="37"/>
        <v>252949.72310513648</v>
      </c>
      <c r="AW277" s="235"/>
      <c r="AX277" s="354"/>
      <c r="AY277" s="14"/>
      <c r="AZ277" s="14">
        <f t="shared" si="39"/>
        <v>10965.089369185909</v>
      </c>
      <c r="BA277" s="14">
        <f t="shared" si="38"/>
        <v>0.10205996013790211</v>
      </c>
      <c r="BB277" s="14">
        <f t="shared" si="33"/>
        <v>107437.71949714678</v>
      </c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4"/>
      <c r="BT277" s="14"/>
      <c r="BU277" s="14"/>
      <c r="BV277" s="14"/>
      <c r="BW277" s="14"/>
      <c r="BX277" s="14"/>
      <c r="BY277" s="14"/>
      <c r="BZ277" s="14"/>
      <c r="CA277" s="14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</row>
    <row r="278" spans="1:101" ht="14.25" customHeight="1" x14ac:dyDescent="0.2">
      <c r="A278" s="328"/>
      <c r="B278" s="52">
        <v>0.20003094781943498</v>
      </c>
      <c r="C278" s="330">
        <v>0.8074191765895985</v>
      </c>
      <c r="D278" s="330">
        <v>1.742622105210867E-2</v>
      </c>
      <c r="E278" s="330">
        <v>8.0603879432166649E-3</v>
      </c>
      <c r="F278" s="331">
        <v>0.78585351986344643</v>
      </c>
      <c r="G278" s="94">
        <v>0.37779401727585044</v>
      </c>
      <c r="H278" s="330">
        <v>0.72576451653446883</v>
      </c>
      <c r="I278" s="330">
        <v>2.8374096959829509E-2</v>
      </c>
      <c r="J278" s="330">
        <v>0.62773650572551631</v>
      </c>
      <c r="K278" s="330">
        <v>0.7906787838247149</v>
      </c>
      <c r="L278" s="332">
        <v>15355.853978727626</v>
      </c>
      <c r="M278" s="330">
        <v>0</v>
      </c>
      <c r="N278" s="330">
        <v>15110.069133112049</v>
      </c>
      <c r="O278" s="330">
        <v>1110.0098081558563</v>
      </c>
      <c r="P278" s="330">
        <v>38370.969459022752</v>
      </c>
      <c r="Q278" s="333">
        <v>96638.771643078711</v>
      </c>
      <c r="R278" s="330">
        <v>20824.035038997426</v>
      </c>
      <c r="S278" s="330">
        <v>10496.430805660273</v>
      </c>
      <c r="T278" s="332">
        <v>0.30622124257287298</v>
      </c>
      <c r="U278" s="330">
        <v>0.84526852330426183</v>
      </c>
      <c r="V278" s="330">
        <v>4.8299399846260582E-2</v>
      </c>
      <c r="W278" s="330">
        <v>0.99630886032509758</v>
      </c>
      <c r="X278" s="330">
        <v>0.99995579104492938</v>
      </c>
      <c r="Y278" s="330">
        <v>0</v>
      </c>
      <c r="Z278" s="331">
        <v>0</v>
      </c>
      <c r="AA278" s="235"/>
      <c r="AB278" s="52">
        <v>107797.76714343093</v>
      </c>
      <c r="AC278" s="330">
        <v>4.7492313608792998</v>
      </c>
      <c r="AD278" s="330">
        <v>96604.879606654358</v>
      </c>
      <c r="AE278" s="330">
        <v>4.9911047405931486</v>
      </c>
      <c r="AF278" s="330">
        <v>11192.887536776572</v>
      </c>
      <c r="AG278" s="331">
        <v>-0.24187337971384881</v>
      </c>
      <c r="AH278" s="235"/>
      <c r="AI278" s="208">
        <f t="shared" si="34"/>
        <v>4403972.0256919032</v>
      </c>
      <c r="AJ278" s="208">
        <f t="shared" si="35"/>
        <v>4644944.6239568368</v>
      </c>
      <c r="AK278" s="208">
        <f t="shared" si="36"/>
        <v>-240972.59826493295</v>
      </c>
      <c r="AL278" s="235"/>
      <c r="AM278" s="52">
        <f t="shared" si="30"/>
        <v>0</v>
      </c>
      <c r="AN278" s="52">
        <f t="shared" si="31"/>
        <v>1</v>
      </c>
      <c r="AO278" s="52">
        <f t="shared" si="32"/>
        <v>0</v>
      </c>
      <c r="AP278" s="235"/>
      <c r="AQ278" s="3"/>
      <c r="AR278" s="3"/>
      <c r="AS278" s="3"/>
      <c r="AT278" s="3"/>
      <c r="AU278" s="235"/>
      <c r="AV278" s="360">
        <f t="shared" si="37"/>
        <v>4644944.6239568368</v>
      </c>
      <c r="AW278" s="235"/>
      <c r="AX278" s="354"/>
      <c r="AY278" s="14"/>
      <c r="AZ278" s="14">
        <f t="shared" si="39"/>
        <v>11192.887536776572</v>
      </c>
      <c r="BA278" s="14">
        <f t="shared" si="38"/>
        <v>-0.24187337971384881</v>
      </c>
      <c r="BB278" s="14">
        <f t="shared" si="33"/>
        <v>-46275.814023099403</v>
      </c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4"/>
      <c r="BT278" s="14"/>
      <c r="BU278" s="14"/>
      <c r="BV278" s="14"/>
      <c r="BW278" s="14"/>
      <c r="BX278" s="14"/>
      <c r="BY278" s="14"/>
      <c r="BZ278" s="14"/>
      <c r="CA278" s="14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</row>
    <row r="279" spans="1:101" ht="14.25" customHeight="1" x14ac:dyDescent="0.2">
      <c r="A279" s="328"/>
      <c r="B279" s="52">
        <v>0.15878212562766941</v>
      </c>
      <c r="C279" s="330">
        <v>0.21600312332743871</v>
      </c>
      <c r="D279" s="330">
        <v>1.3720309285999203E-2</v>
      </c>
      <c r="E279" s="330">
        <v>1.3203038547481422E-2</v>
      </c>
      <c r="F279" s="331">
        <v>0.71612313795847637</v>
      </c>
      <c r="G279" s="94">
        <v>0.4334856531978728</v>
      </c>
      <c r="H279" s="330">
        <v>3.2720940760236406E-2</v>
      </c>
      <c r="I279" s="330">
        <v>4.2651738953191742E-2</v>
      </c>
      <c r="J279" s="330">
        <v>0.99975083390595643</v>
      </c>
      <c r="K279" s="330">
        <v>0.74230467510833409</v>
      </c>
      <c r="L279" s="332">
        <v>9963.7344083370372</v>
      </c>
      <c r="M279" s="330">
        <v>0</v>
      </c>
      <c r="N279" s="330">
        <v>18577.543295771306</v>
      </c>
      <c r="O279" s="330">
        <v>1524.6612568001603</v>
      </c>
      <c r="P279" s="330">
        <v>38992.286820905101</v>
      </c>
      <c r="Q279" s="333">
        <v>94578.955704861481</v>
      </c>
      <c r="R279" s="330">
        <v>18881.343622763259</v>
      </c>
      <c r="S279" s="330">
        <v>8545.4383445704607</v>
      </c>
      <c r="T279" s="332">
        <v>0.99894716212251033</v>
      </c>
      <c r="U279" s="330">
        <v>0.92334696746372957</v>
      </c>
      <c r="V279" s="330">
        <v>0.80151539942329297</v>
      </c>
      <c r="W279" s="330">
        <v>6.0026017626480009E-3</v>
      </c>
      <c r="X279" s="330">
        <v>0.38997329179969237</v>
      </c>
      <c r="Y279" s="330">
        <v>0</v>
      </c>
      <c r="Z279" s="331">
        <v>0</v>
      </c>
      <c r="AA279" s="235"/>
      <c r="AB279" s="52">
        <v>76731.798925136769</v>
      </c>
      <c r="AC279" s="330">
        <v>1.8266213554494386</v>
      </c>
      <c r="AD279" s="330">
        <v>71877.138358543409</v>
      </c>
      <c r="AE279" s="330">
        <v>2.0062615872484932</v>
      </c>
      <c r="AF279" s="330">
        <v>4854.6605665933603</v>
      </c>
      <c r="AG279" s="331">
        <v>-0.17964023179905464</v>
      </c>
      <c r="AH279" s="235"/>
      <c r="AI279" s="208">
        <f t="shared" si="34"/>
        <v>1658558.4887518301</v>
      </c>
      <c r="AJ279" s="208">
        <f t="shared" si="35"/>
        <v>1834071.3695275253</v>
      </c>
      <c r="AK279" s="208">
        <f t="shared" si="36"/>
        <v>-175512.88077569526</v>
      </c>
      <c r="AL279" s="235"/>
      <c r="AM279" s="52">
        <f t="shared" si="30"/>
        <v>0</v>
      </c>
      <c r="AN279" s="52">
        <f t="shared" si="31"/>
        <v>1</v>
      </c>
      <c r="AO279" s="52">
        <f t="shared" si="32"/>
        <v>0</v>
      </c>
      <c r="AP279" s="235"/>
      <c r="AQ279" s="3"/>
      <c r="AR279" s="3"/>
      <c r="AS279" s="3"/>
      <c r="AT279" s="3"/>
      <c r="AU279" s="235"/>
      <c r="AV279" s="360">
        <f t="shared" si="37"/>
        <v>1834071.3695275253</v>
      </c>
      <c r="AW279" s="235"/>
      <c r="AX279" s="354"/>
      <c r="AY279" s="14"/>
      <c r="AZ279" s="14">
        <f t="shared" si="39"/>
        <v>4854.6605665933603</v>
      </c>
      <c r="BA279" s="14">
        <f t="shared" si="38"/>
        <v>-0.17964023179905464</v>
      </c>
      <c r="BB279" s="14">
        <f t="shared" si="33"/>
        <v>-27024.350380619515</v>
      </c>
      <c r="BC279" s="14"/>
      <c r="BD279" s="14"/>
      <c r="BE279" s="14"/>
      <c r="BF279" s="14"/>
      <c r="BG279" s="14"/>
      <c r="BH279" s="14"/>
      <c r="BI279" s="14"/>
      <c r="BJ279" s="14"/>
      <c r="BK279" s="14"/>
      <c r="BL279" s="14"/>
      <c r="BM279" s="14"/>
      <c r="BN279" s="14"/>
      <c r="BO279" s="14"/>
      <c r="BP279" s="14"/>
      <c r="BQ279" s="14"/>
      <c r="BR279" s="14"/>
      <c r="BS279" s="14"/>
      <c r="BT279" s="14"/>
      <c r="BU279" s="14"/>
      <c r="BV279" s="14"/>
      <c r="BW279" s="14"/>
      <c r="BX279" s="14"/>
      <c r="BY279" s="14"/>
      <c r="BZ279" s="14"/>
      <c r="CA279" s="14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</row>
    <row r="280" spans="1:101" ht="14.25" customHeight="1" x14ac:dyDescent="0.2">
      <c r="A280" s="328"/>
      <c r="B280" s="52">
        <v>0.16427119842916216</v>
      </c>
      <c r="C280" s="330">
        <v>0.23102063638852166</v>
      </c>
      <c r="D280" s="330">
        <v>8.0474878208558961E-3</v>
      </c>
      <c r="E280" s="330">
        <v>1.1727905269617448E-2</v>
      </c>
      <c r="F280" s="331">
        <v>0.7885788764950028</v>
      </c>
      <c r="G280" s="94">
        <v>0.42008205272575083</v>
      </c>
      <c r="H280" s="330">
        <v>0.37708637514541782</v>
      </c>
      <c r="I280" s="330">
        <v>2.2310445683980995E-2</v>
      </c>
      <c r="J280" s="330">
        <v>1</v>
      </c>
      <c r="K280" s="330">
        <v>0.77288247382116582</v>
      </c>
      <c r="L280" s="332">
        <v>13233.555055439652</v>
      </c>
      <c r="M280" s="330">
        <v>0</v>
      </c>
      <c r="N280" s="330">
        <v>18062.157319236096</v>
      </c>
      <c r="O280" s="330">
        <v>1297.3972301442134</v>
      </c>
      <c r="P280" s="330">
        <v>46494.720585125666</v>
      </c>
      <c r="Q280" s="333">
        <v>164701.93611468692</v>
      </c>
      <c r="R280" s="330">
        <v>17851.267054825606</v>
      </c>
      <c r="S280" s="330">
        <v>10041.114354432895</v>
      </c>
      <c r="T280" s="332">
        <v>0.99886827618650342</v>
      </c>
      <c r="U280" s="330">
        <v>0.99744783661455894</v>
      </c>
      <c r="V280" s="330">
        <v>0.78769562936036819</v>
      </c>
      <c r="W280" s="330">
        <v>0.98196603986230802</v>
      </c>
      <c r="X280" s="330">
        <v>0.2502149521812323</v>
      </c>
      <c r="Y280" s="330">
        <v>0</v>
      </c>
      <c r="Z280" s="331">
        <v>0</v>
      </c>
      <c r="AA280" s="235"/>
      <c r="AB280" s="52">
        <v>99315.018315526933</v>
      </c>
      <c r="AC280" s="330">
        <v>1.2823671929068881</v>
      </c>
      <c r="AD280" s="330">
        <v>88777.816119279669</v>
      </c>
      <c r="AE280" s="330">
        <v>1.350980406745584</v>
      </c>
      <c r="AF280" s="330">
        <v>10537.202196247265</v>
      </c>
      <c r="AG280" s="331">
        <v>-6.8613213838695897E-2</v>
      </c>
      <c r="AH280" s="235"/>
      <c r="AI280" s="208">
        <f t="shared" si="34"/>
        <v>1118933.8149460168</v>
      </c>
      <c r="AJ280" s="208">
        <f t="shared" si="35"/>
        <v>1194653.5702890251</v>
      </c>
      <c r="AK280" s="208">
        <f t="shared" si="36"/>
        <v>-75719.755343008364</v>
      </c>
      <c r="AL280" s="235"/>
      <c r="AM280" s="52">
        <f t="shared" si="30"/>
        <v>0</v>
      </c>
      <c r="AN280" s="52">
        <f t="shared" si="31"/>
        <v>1</v>
      </c>
      <c r="AO280" s="52">
        <f t="shared" si="32"/>
        <v>0</v>
      </c>
      <c r="AP280" s="235"/>
      <c r="AQ280" s="3"/>
      <c r="AR280" s="3"/>
      <c r="AS280" s="3"/>
      <c r="AT280" s="3"/>
      <c r="AU280" s="235"/>
      <c r="AV280" s="360">
        <f t="shared" si="37"/>
        <v>1194653.5702890251</v>
      </c>
      <c r="AW280" s="235"/>
      <c r="AX280" s="354"/>
      <c r="AY280" s="14"/>
      <c r="AZ280" s="14">
        <f t="shared" si="39"/>
        <v>10537.202196247265</v>
      </c>
      <c r="BA280" s="14">
        <f t="shared" si="38"/>
        <v>-6.8613213838695897E-2</v>
      </c>
      <c r="BB280" s="14">
        <f t="shared" si="33"/>
        <v>-153573.94890464353</v>
      </c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4"/>
      <c r="BT280" s="14"/>
      <c r="BU280" s="14"/>
      <c r="BV280" s="14"/>
      <c r="BW280" s="14"/>
      <c r="BX280" s="14"/>
      <c r="BY280" s="14"/>
      <c r="BZ280" s="14"/>
      <c r="CA280" s="14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</row>
    <row r="281" spans="1:101" ht="14.25" customHeight="1" x14ac:dyDescent="0.2">
      <c r="A281" s="328"/>
      <c r="B281" s="52">
        <v>0.18610548860526743</v>
      </c>
      <c r="C281" s="330">
        <v>0.72816896443483681</v>
      </c>
      <c r="D281" s="330">
        <v>1.4239874059224581E-2</v>
      </c>
      <c r="E281" s="330">
        <v>3.3108575899405829E-3</v>
      </c>
      <c r="F281" s="331">
        <v>0.79667958734482325</v>
      </c>
      <c r="G281" s="94">
        <v>0.38043730171603146</v>
      </c>
      <c r="H281" s="330">
        <v>0.72242483047588824</v>
      </c>
      <c r="I281" s="330">
        <v>2.1788553899991348E-2</v>
      </c>
      <c r="J281" s="330">
        <v>0.99999999999354827</v>
      </c>
      <c r="K281" s="330">
        <v>0.73048806929162147</v>
      </c>
      <c r="L281" s="332">
        <v>11866.94130656091</v>
      </c>
      <c r="M281" s="330">
        <v>0</v>
      </c>
      <c r="N281" s="330">
        <v>21385.716758860992</v>
      </c>
      <c r="O281" s="330">
        <v>1182.4061061963819</v>
      </c>
      <c r="P281" s="330">
        <v>45977.457295939894</v>
      </c>
      <c r="Q281" s="333">
        <v>79228.965493438853</v>
      </c>
      <c r="R281" s="330">
        <v>24683.51285825712</v>
      </c>
      <c r="S281" s="330">
        <v>7119.5887258583971</v>
      </c>
      <c r="T281" s="332">
        <v>0.41448852029160693</v>
      </c>
      <c r="U281" s="330">
        <v>0.84873478173681594</v>
      </c>
      <c r="V281" s="330">
        <v>0.24069540592385605</v>
      </c>
      <c r="W281" s="330">
        <v>0.98107062385828514</v>
      </c>
      <c r="X281" s="330">
        <v>6.141105090492039E-2</v>
      </c>
      <c r="Y281" s="330">
        <v>0</v>
      </c>
      <c r="Z281" s="331">
        <v>0</v>
      </c>
      <c r="AA281" s="235"/>
      <c r="AB281" s="52">
        <v>76510.444205937281</v>
      </c>
      <c r="AC281" s="330">
        <v>0.31372663335965223</v>
      </c>
      <c r="AD281" s="330">
        <v>64260.801722933698</v>
      </c>
      <c r="AE281" s="330">
        <v>0.34561464161892524</v>
      </c>
      <c r="AF281" s="330">
        <v>12249.642483003583</v>
      </c>
      <c r="AG281" s="331">
        <v>-3.1888008259273015E-2</v>
      </c>
      <c r="AH281" s="235"/>
      <c r="AI281" s="208">
        <f t="shared" si="34"/>
        <v>221529.85748573235</v>
      </c>
      <c r="AJ281" s="208">
        <f t="shared" si="35"/>
        <v>264073.10781504528</v>
      </c>
      <c r="AK281" s="208">
        <f t="shared" si="36"/>
        <v>-42543.250329312948</v>
      </c>
      <c r="AL281" s="235"/>
      <c r="AM281" s="52">
        <f t="shared" si="30"/>
        <v>0</v>
      </c>
      <c r="AN281" s="52">
        <f t="shared" si="31"/>
        <v>1</v>
      </c>
      <c r="AO281" s="52">
        <f t="shared" si="32"/>
        <v>0</v>
      </c>
      <c r="AP281" s="235"/>
      <c r="AQ281" s="3"/>
      <c r="AR281" s="3"/>
      <c r="AS281" s="3"/>
      <c r="AT281" s="3"/>
      <c r="AU281" s="235"/>
      <c r="AV281" s="360">
        <f t="shared" si="37"/>
        <v>264073.10781504528</v>
      </c>
      <c r="AW281" s="235"/>
      <c r="AX281" s="354"/>
      <c r="AY281" s="14"/>
      <c r="AZ281" s="14">
        <f t="shared" si="39"/>
        <v>12249.642483003583</v>
      </c>
      <c r="BA281" s="14">
        <f t="shared" si="38"/>
        <v>-3.1888008259273015E-2</v>
      </c>
      <c r="BB281" s="14">
        <f t="shared" si="33"/>
        <v>-384145.73852982471</v>
      </c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4"/>
      <c r="BT281" s="14"/>
      <c r="BU281" s="14"/>
      <c r="BV281" s="14"/>
      <c r="BW281" s="14"/>
      <c r="BX281" s="14"/>
      <c r="BY281" s="14"/>
      <c r="BZ281" s="14"/>
      <c r="CA281" s="14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</row>
    <row r="282" spans="1:101" ht="14.25" customHeight="1" x14ac:dyDescent="0.2">
      <c r="A282" s="328"/>
      <c r="B282" s="52">
        <v>0.15505081234646592</v>
      </c>
      <c r="C282" s="330">
        <v>9.0025380510914951E-2</v>
      </c>
      <c r="D282" s="330">
        <v>1.751574766637376E-2</v>
      </c>
      <c r="E282" s="330">
        <v>5.3937660193549477E-3</v>
      </c>
      <c r="F282" s="331">
        <v>0.78169681857763751</v>
      </c>
      <c r="G282" s="94">
        <v>0.3582446561669318</v>
      </c>
      <c r="H282" s="330">
        <v>0.35990179419424712</v>
      </c>
      <c r="I282" s="330">
        <v>2.5936425239782679E-2</v>
      </c>
      <c r="J282" s="330">
        <v>0.34411725853820169</v>
      </c>
      <c r="K282" s="330">
        <v>0.7642656985552807</v>
      </c>
      <c r="L282" s="332">
        <v>13485.10315080353</v>
      </c>
      <c r="M282" s="330">
        <v>0</v>
      </c>
      <c r="N282" s="330">
        <v>17702.947739694842</v>
      </c>
      <c r="O282" s="330">
        <v>994.11119184346478</v>
      </c>
      <c r="P282" s="330">
        <v>44435.464832932958</v>
      </c>
      <c r="Q282" s="333">
        <v>80013.03620568561</v>
      </c>
      <c r="R282" s="330">
        <v>16883.327186292663</v>
      </c>
      <c r="S282" s="330">
        <v>9236.4804851663175</v>
      </c>
      <c r="T282" s="332">
        <v>0.96572245402415402</v>
      </c>
      <c r="U282" s="330">
        <v>0.99971225440019129</v>
      </c>
      <c r="V282" s="330">
        <v>0.99343938183057801</v>
      </c>
      <c r="W282" s="330">
        <v>0.62496617520725128</v>
      </c>
      <c r="X282" s="330">
        <v>0.85893262528642955</v>
      </c>
      <c r="Y282" s="330">
        <v>0</v>
      </c>
      <c r="Z282" s="331">
        <v>0</v>
      </c>
      <c r="AA282" s="235"/>
      <c r="AB282" s="52">
        <v>91573.976137541278</v>
      </c>
      <c r="AC282" s="330">
        <v>4.0713635330388049</v>
      </c>
      <c r="AD282" s="330">
        <v>79185.849228797422</v>
      </c>
      <c r="AE282" s="330">
        <v>4.0952454659174284</v>
      </c>
      <c r="AF282" s="330">
        <v>12388.126908743856</v>
      </c>
      <c r="AG282" s="331">
        <v>-2.3881932878623502E-2</v>
      </c>
      <c r="AH282" s="235"/>
      <c r="AI282" s="208">
        <f t="shared" si="34"/>
        <v>3776221.3802493233</v>
      </c>
      <c r="AJ282" s="208">
        <f t="shared" si="35"/>
        <v>3811297.3433927596</v>
      </c>
      <c r="AK282" s="208">
        <f t="shared" si="36"/>
        <v>-35075.96314343618</v>
      </c>
      <c r="AL282" s="235"/>
      <c r="AM282" s="52">
        <f t="shared" si="30"/>
        <v>0</v>
      </c>
      <c r="AN282" s="52">
        <f t="shared" si="31"/>
        <v>1</v>
      </c>
      <c r="AO282" s="52">
        <f t="shared" si="32"/>
        <v>0</v>
      </c>
      <c r="AP282" s="235"/>
      <c r="AQ282" s="3"/>
      <c r="AR282" s="3"/>
      <c r="AS282" s="3"/>
      <c r="AT282" s="3"/>
      <c r="AU282" s="235"/>
      <c r="AV282" s="360">
        <f t="shared" si="37"/>
        <v>3811297.3433927596</v>
      </c>
      <c r="AW282" s="235"/>
      <c r="AX282" s="354"/>
      <c r="AY282" s="14"/>
      <c r="AZ282" s="14">
        <f t="shared" si="39"/>
        <v>12388.126908743856</v>
      </c>
      <c r="BA282" s="14">
        <f t="shared" si="38"/>
        <v>-2.3881932878623502E-2</v>
      </c>
      <c r="BB282" s="14">
        <f t="shared" si="33"/>
        <v>-518723.79726150032</v>
      </c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4"/>
      <c r="BT282" s="14"/>
      <c r="BU282" s="14"/>
      <c r="BV282" s="14"/>
      <c r="BW282" s="14"/>
      <c r="BX282" s="14"/>
      <c r="BY282" s="14"/>
      <c r="BZ282" s="14"/>
      <c r="CA282" s="14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</row>
    <row r="283" spans="1:101" ht="14.25" customHeight="1" x14ac:dyDescent="0.2">
      <c r="A283" s="328"/>
      <c r="B283" s="52">
        <v>0.14808105111299372</v>
      </c>
      <c r="C283" s="330">
        <v>0.37202266039617038</v>
      </c>
      <c r="D283" s="330">
        <v>1.130190949086129E-2</v>
      </c>
      <c r="E283" s="330">
        <v>1.5608711644024109E-2</v>
      </c>
      <c r="F283" s="331">
        <v>0.73526238380033426</v>
      </c>
      <c r="G283" s="94">
        <v>0.35165612917544875</v>
      </c>
      <c r="H283" s="330">
        <v>4.2940542639119915E-2</v>
      </c>
      <c r="I283" s="330">
        <v>1.3292909710394908E-2</v>
      </c>
      <c r="J283" s="330">
        <v>0.53671850024179779</v>
      </c>
      <c r="K283" s="330">
        <v>0.79433153904172693</v>
      </c>
      <c r="L283" s="332">
        <v>13158.252805121943</v>
      </c>
      <c r="M283" s="330">
        <v>0</v>
      </c>
      <c r="N283" s="330">
        <v>15525.275829959533</v>
      </c>
      <c r="O283" s="330">
        <v>1319.8652134035895</v>
      </c>
      <c r="P283" s="330">
        <v>45507.596001129816</v>
      </c>
      <c r="Q283" s="333">
        <v>65185.68851242416</v>
      </c>
      <c r="R283" s="330">
        <v>23337.320184474858</v>
      </c>
      <c r="S283" s="330">
        <v>10151.032255512815</v>
      </c>
      <c r="T283" s="332">
        <v>0.86464499824214813</v>
      </c>
      <c r="U283" s="330">
        <v>0.91968903064209973</v>
      </c>
      <c r="V283" s="330">
        <v>0.82939066517858973</v>
      </c>
      <c r="W283" s="330">
        <v>0.68867909635341396</v>
      </c>
      <c r="X283" s="330">
        <v>0.84199835485749053</v>
      </c>
      <c r="Y283" s="330">
        <v>0</v>
      </c>
      <c r="Z283" s="331">
        <v>0</v>
      </c>
      <c r="AA283" s="235"/>
      <c r="AB283" s="52">
        <v>94844.422560733408</v>
      </c>
      <c r="AC283" s="330">
        <v>4.0836687788589563</v>
      </c>
      <c r="AD283" s="330">
        <v>87839.25477349275</v>
      </c>
      <c r="AE283" s="330">
        <v>4.1245262141808565</v>
      </c>
      <c r="AF283" s="330">
        <v>7005.1677872406581</v>
      </c>
      <c r="AG283" s="331">
        <v>-4.0857435321900226E-2</v>
      </c>
      <c r="AH283" s="235"/>
      <c r="AI283" s="208">
        <f t="shared" si="34"/>
        <v>3784640.9173552752</v>
      </c>
      <c r="AJ283" s="208">
        <f t="shared" si="35"/>
        <v>3830460.6486983206</v>
      </c>
      <c r="AK283" s="208">
        <f t="shared" si="36"/>
        <v>-45819.731343045874</v>
      </c>
      <c r="AL283" s="235"/>
      <c r="AM283" s="52">
        <f t="shared" si="30"/>
        <v>0</v>
      </c>
      <c r="AN283" s="52">
        <f t="shared" si="31"/>
        <v>1</v>
      </c>
      <c r="AO283" s="52">
        <f t="shared" si="32"/>
        <v>0</v>
      </c>
      <c r="AP283" s="235"/>
      <c r="AQ283" s="3"/>
      <c r="AR283" s="3"/>
      <c r="AS283" s="3"/>
      <c r="AT283" s="3"/>
      <c r="AU283" s="235"/>
      <c r="AV283" s="360">
        <f t="shared" si="37"/>
        <v>3830460.6486983206</v>
      </c>
      <c r="AW283" s="235"/>
      <c r="AX283" s="354"/>
      <c r="AY283" s="14"/>
      <c r="AZ283" s="14">
        <f t="shared" si="39"/>
        <v>7005.1677872406581</v>
      </c>
      <c r="BA283" s="14">
        <f t="shared" si="38"/>
        <v>-4.0857435321900226E-2</v>
      </c>
      <c r="BB283" s="14">
        <f t="shared" si="33"/>
        <v>-171453.92832539781</v>
      </c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4"/>
      <c r="BT283" s="14"/>
      <c r="BU283" s="14"/>
      <c r="BV283" s="14"/>
      <c r="BW283" s="14"/>
      <c r="BX283" s="14"/>
      <c r="BY283" s="14"/>
      <c r="BZ283" s="14"/>
      <c r="CA283" s="14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</row>
    <row r="284" spans="1:101" ht="14.25" customHeight="1" x14ac:dyDescent="0.2">
      <c r="A284" s="328"/>
      <c r="B284" s="52">
        <v>0.16529302298259818</v>
      </c>
      <c r="C284" s="330">
        <v>7.5311012295472088E-2</v>
      </c>
      <c r="D284" s="330">
        <v>6.2829426757421234E-3</v>
      </c>
      <c r="E284" s="330">
        <v>8.0635235092152684E-3</v>
      </c>
      <c r="F284" s="331">
        <v>0.78599235976404913</v>
      </c>
      <c r="G284" s="94">
        <v>0.3672630248766679</v>
      </c>
      <c r="H284" s="330">
        <v>1.0365392845909982E-2</v>
      </c>
      <c r="I284" s="330">
        <v>1.0410525313911703E-2</v>
      </c>
      <c r="J284" s="330">
        <v>0.85112012714918661</v>
      </c>
      <c r="K284" s="330">
        <v>0.79929043587523951</v>
      </c>
      <c r="L284" s="332">
        <v>9934.1344817039262</v>
      </c>
      <c r="M284" s="330">
        <v>0</v>
      </c>
      <c r="N284" s="330">
        <v>20066.566721287378</v>
      </c>
      <c r="O284" s="330">
        <v>1261.9935433666894</v>
      </c>
      <c r="P284" s="330">
        <v>48362.240198993095</v>
      </c>
      <c r="Q284" s="333">
        <v>100904.10975816601</v>
      </c>
      <c r="R284" s="330">
        <v>23984.299674624315</v>
      </c>
      <c r="S284" s="330">
        <v>6703.2312231059714</v>
      </c>
      <c r="T284" s="332">
        <v>0.81063283182462598</v>
      </c>
      <c r="U284" s="330">
        <v>0.85679679990660007</v>
      </c>
      <c r="V284" s="330">
        <v>0.38632898027341106</v>
      </c>
      <c r="W284" s="330">
        <v>0.93451373399793969</v>
      </c>
      <c r="X284" s="330">
        <v>0.99996888579209764</v>
      </c>
      <c r="Y284" s="330">
        <v>0</v>
      </c>
      <c r="Z284" s="331">
        <v>0</v>
      </c>
      <c r="AA284" s="235"/>
      <c r="AB284" s="52">
        <v>67086.178730312138</v>
      </c>
      <c r="AC284" s="330">
        <v>4.9151655421615539</v>
      </c>
      <c r="AD284" s="330">
        <v>58665.317211980277</v>
      </c>
      <c r="AE284" s="330">
        <v>4.9611006463455309</v>
      </c>
      <c r="AF284" s="330">
        <v>8420.8615183318616</v>
      </c>
      <c r="AG284" s="331">
        <v>-4.593510418397706E-2</v>
      </c>
      <c r="AH284" s="235"/>
      <c r="AI284" s="208">
        <f t="shared" si="34"/>
        <v>4602321.0863231644</v>
      </c>
      <c r="AJ284" s="208">
        <f t="shared" si="35"/>
        <v>4654380.2968162745</v>
      </c>
      <c r="AK284" s="208">
        <f t="shared" si="36"/>
        <v>-52059.210493110069</v>
      </c>
      <c r="AL284" s="235"/>
      <c r="AM284" s="52">
        <f t="shared" si="30"/>
        <v>0</v>
      </c>
      <c r="AN284" s="52">
        <f t="shared" si="31"/>
        <v>1</v>
      </c>
      <c r="AO284" s="52">
        <f t="shared" si="32"/>
        <v>0</v>
      </c>
      <c r="AP284" s="235"/>
      <c r="AQ284" s="3"/>
      <c r="AR284" s="3"/>
      <c r="AS284" s="3"/>
      <c r="AT284" s="3"/>
      <c r="AU284" s="235"/>
      <c r="AV284" s="360">
        <f t="shared" si="37"/>
        <v>4654380.2968162745</v>
      </c>
      <c r="AW284" s="235"/>
      <c r="AX284" s="354"/>
      <c r="AY284" s="14"/>
      <c r="AZ284" s="14">
        <f t="shared" si="39"/>
        <v>8420.8615183318616</v>
      </c>
      <c r="BA284" s="14">
        <f t="shared" si="38"/>
        <v>-4.593510418397706E-2</v>
      </c>
      <c r="BB284" s="14">
        <f t="shared" si="33"/>
        <v>-183320.83202870368</v>
      </c>
      <c r="BC284" s="14"/>
      <c r="BD284" s="14"/>
      <c r="BE284" s="14"/>
      <c r="BF284" s="14"/>
      <c r="BG284" s="14"/>
      <c r="BH284" s="14"/>
      <c r="BI284" s="14"/>
      <c r="BJ284" s="14"/>
      <c r="BK284" s="14"/>
      <c r="BL284" s="14"/>
      <c r="BM284" s="14"/>
      <c r="BN284" s="14"/>
      <c r="BO284" s="14"/>
      <c r="BP284" s="14"/>
      <c r="BQ284" s="14"/>
      <c r="BR284" s="14"/>
      <c r="BS284" s="14"/>
      <c r="BT284" s="14"/>
      <c r="BU284" s="14"/>
      <c r="BV284" s="14"/>
      <c r="BW284" s="14"/>
      <c r="BX284" s="14"/>
      <c r="BY284" s="14"/>
      <c r="BZ284" s="14"/>
      <c r="CA284" s="14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</row>
    <row r="285" spans="1:101" ht="14.25" customHeight="1" x14ac:dyDescent="0.2">
      <c r="A285" s="328"/>
      <c r="B285" s="52">
        <v>0.19645144111747959</v>
      </c>
      <c r="C285" s="330">
        <v>0.70435988865275023</v>
      </c>
      <c r="D285" s="330">
        <v>1.9774131657122496E-2</v>
      </c>
      <c r="E285" s="330">
        <v>2.4757705240949446E-2</v>
      </c>
      <c r="F285" s="331">
        <v>0.83783201477519986</v>
      </c>
      <c r="G285" s="94">
        <v>0.41530256780185004</v>
      </c>
      <c r="H285" s="330">
        <v>0.59427223518271155</v>
      </c>
      <c r="I285" s="330">
        <v>2.0034409873551318E-2</v>
      </c>
      <c r="J285" s="330">
        <v>0.97941365399050706</v>
      </c>
      <c r="K285" s="330">
        <v>0.75953766687921132</v>
      </c>
      <c r="L285" s="332">
        <v>11046.410358289595</v>
      </c>
      <c r="M285" s="330">
        <v>0</v>
      </c>
      <c r="N285" s="330">
        <v>19435.03518245005</v>
      </c>
      <c r="O285" s="330">
        <v>1110.717835832231</v>
      </c>
      <c r="P285" s="330">
        <v>27597.005175432412</v>
      </c>
      <c r="Q285" s="333">
        <v>87311.641626021694</v>
      </c>
      <c r="R285" s="330">
        <v>26780.172923069531</v>
      </c>
      <c r="S285" s="330">
        <v>8498.3413296379404</v>
      </c>
      <c r="T285" s="332">
        <v>0.96360026330602544</v>
      </c>
      <c r="U285" s="330">
        <v>0.99609633810228249</v>
      </c>
      <c r="V285" s="330">
        <v>3.0816887967732527E-2</v>
      </c>
      <c r="W285" s="330">
        <v>0.95426122615016074</v>
      </c>
      <c r="X285" s="330">
        <v>0.70643610625352227</v>
      </c>
      <c r="Y285" s="330">
        <v>0</v>
      </c>
      <c r="Z285" s="331">
        <v>0</v>
      </c>
      <c r="AA285" s="235"/>
      <c r="AB285" s="52">
        <v>91722.275882754853</v>
      </c>
      <c r="AC285" s="330">
        <v>3.5836446182817201</v>
      </c>
      <c r="AD285" s="330">
        <v>77473.027092755234</v>
      </c>
      <c r="AE285" s="330">
        <v>3.4203301185043755</v>
      </c>
      <c r="AF285" s="330">
        <v>14249.248789999619</v>
      </c>
      <c r="AG285" s="331">
        <v>0.16331449977734458</v>
      </c>
      <c r="AH285" s="235"/>
      <c r="AI285" s="208">
        <f t="shared" si="34"/>
        <v>3312740.1114848792</v>
      </c>
      <c r="AJ285" s="208">
        <f t="shared" si="35"/>
        <v>3171840.5854864013</v>
      </c>
      <c r="AK285" s="208">
        <f t="shared" si="36"/>
        <v>140899.52599847771</v>
      </c>
      <c r="AL285" s="235"/>
      <c r="AM285" s="52">
        <f t="shared" si="30"/>
        <v>1</v>
      </c>
      <c r="AN285" s="52">
        <f t="shared" si="31"/>
        <v>0</v>
      </c>
      <c r="AO285" s="52">
        <f t="shared" si="32"/>
        <v>1</v>
      </c>
      <c r="AP285" s="235"/>
      <c r="AQ285" s="3"/>
      <c r="AR285" s="3"/>
      <c r="AS285" s="3"/>
      <c r="AT285" s="3"/>
      <c r="AU285" s="235"/>
      <c r="AV285" s="360">
        <f t="shared" si="37"/>
        <v>3312740.1114848792</v>
      </c>
      <c r="AW285" s="235"/>
      <c r="AX285" s="354"/>
      <c r="AY285" s="14"/>
      <c r="AZ285" s="14">
        <f t="shared" si="39"/>
        <v>14249.248789999619</v>
      </c>
      <c r="BA285" s="14">
        <f t="shared" si="38"/>
        <v>0.16331449977734458</v>
      </c>
      <c r="BB285" s="14">
        <f t="shared" si="33"/>
        <v>87250.359333839835</v>
      </c>
      <c r="BC285" s="14"/>
      <c r="BD285" s="14"/>
      <c r="BE285" s="14"/>
      <c r="BF285" s="14"/>
      <c r="BG285" s="14"/>
      <c r="BH285" s="14"/>
      <c r="BI285" s="14"/>
      <c r="BJ285" s="14"/>
      <c r="BK285" s="14"/>
      <c r="BL285" s="14"/>
      <c r="BM285" s="14"/>
      <c r="BN285" s="14"/>
      <c r="BO285" s="14"/>
      <c r="BP285" s="14"/>
      <c r="BQ285" s="14"/>
      <c r="BR285" s="14"/>
      <c r="BS285" s="14"/>
      <c r="BT285" s="14"/>
      <c r="BU285" s="14"/>
      <c r="BV285" s="14"/>
      <c r="BW285" s="14"/>
      <c r="BX285" s="14"/>
      <c r="BY285" s="14"/>
      <c r="BZ285" s="14"/>
      <c r="CA285" s="14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</row>
    <row r="286" spans="1:101" ht="14.25" customHeight="1" x14ac:dyDescent="0.2">
      <c r="A286" s="328"/>
      <c r="B286" s="52">
        <v>0.13513859853207497</v>
      </c>
      <c r="C286" s="330">
        <v>0.38958745191029154</v>
      </c>
      <c r="D286" s="330">
        <v>1.0714711687730215E-2</v>
      </c>
      <c r="E286" s="330">
        <v>1.6254323731582088E-2</v>
      </c>
      <c r="F286" s="331">
        <v>0.78030893613280305</v>
      </c>
      <c r="G286" s="94">
        <v>0.35816759869837606</v>
      </c>
      <c r="H286" s="330">
        <v>0.92704549742966724</v>
      </c>
      <c r="I286" s="330">
        <v>1.454530746042911E-2</v>
      </c>
      <c r="J286" s="330">
        <v>0.99617396111056389</v>
      </c>
      <c r="K286" s="330">
        <v>0.73406315006299216</v>
      </c>
      <c r="L286" s="332">
        <v>10362.112485170232</v>
      </c>
      <c r="M286" s="330">
        <v>0</v>
      </c>
      <c r="N286" s="330">
        <v>15017.665678743651</v>
      </c>
      <c r="O286" s="330">
        <v>2089.5856235914962</v>
      </c>
      <c r="P286" s="330">
        <v>45983.013393843627</v>
      </c>
      <c r="Q286" s="333">
        <v>101856.31905080087</v>
      </c>
      <c r="R286" s="330">
        <v>25681.337786215783</v>
      </c>
      <c r="S286" s="330">
        <v>10353.19087482179</v>
      </c>
      <c r="T286" s="332">
        <v>0.20791741776314865</v>
      </c>
      <c r="U286" s="330">
        <v>0.99815101004787687</v>
      </c>
      <c r="V286" s="330">
        <v>0.99177528497504996</v>
      </c>
      <c r="W286" s="330">
        <v>0.23478076381325325</v>
      </c>
      <c r="X286" s="330">
        <v>0.40178116401063863</v>
      </c>
      <c r="Y286" s="330">
        <v>0</v>
      </c>
      <c r="Z286" s="331">
        <v>0</v>
      </c>
      <c r="AA286" s="235"/>
      <c r="AB286" s="52">
        <v>98839.758113316318</v>
      </c>
      <c r="AC286" s="330">
        <v>1.9800040778499466</v>
      </c>
      <c r="AD286" s="330">
        <v>91607.1401005855</v>
      </c>
      <c r="AE286" s="330">
        <v>1.8198930562693805</v>
      </c>
      <c r="AF286" s="330">
        <v>7232.618012730818</v>
      </c>
      <c r="AG286" s="331">
        <v>0.16011102158056612</v>
      </c>
      <c r="AH286" s="235"/>
      <c r="AI286" s="208">
        <f t="shared" si="34"/>
        <v>1782164.1158441331</v>
      </c>
      <c r="AJ286" s="208">
        <f t="shared" si="35"/>
        <v>1637291.2633553259</v>
      </c>
      <c r="AK286" s="208">
        <f t="shared" si="36"/>
        <v>144872.852488807</v>
      </c>
      <c r="AL286" s="235"/>
      <c r="AM286" s="52">
        <f t="shared" si="30"/>
        <v>1</v>
      </c>
      <c r="AN286" s="52">
        <f t="shared" si="31"/>
        <v>0</v>
      </c>
      <c r="AO286" s="52">
        <f t="shared" si="32"/>
        <v>1</v>
      </c>
      <c r="AP286" s="235"/>
      <c r="AQ286" s="3"/>
      <c r="AR286" s="3"/>
      <c r="AS286" s="3"/>
      <c r="AT286" s="3"/>
      <c r="AU286" s="235"/>
      <c r="AV286" s="360">
        <f t="shared" si="37"/>
        <v>1782164.1158441331</v>
      </c>
      <c r="AW286" s="235"/>
      <c r="AX286" s="354"/>
      <c r="AY286" s="14"/>
      <c r="AZ286" s="14">
        <f t="shared" si="39"/>
        <v>7232.618012730818</v>
      </c>
      <c r="BA286" s="14">
        <f t="shared" si="38"/>
        <v>0.16011102158056612</v>
      </c>
      <c r="BB286" s="14">
        <f t="shared" si="33"/>
        <v>45172.51805236558</v>
      </c>
      <c r="BC286" s="14"/>
      <c r="BD286" s="14"/>
      <c r="BE286" s="14"/>
      <c r="BF286" s="14"/>
      <c r="BG286" s="14"/>
      <c r="BH286" s="14"/>
      <c r="BI286" s="14"/>
      <c r="BJ286" s="14"/>
      <c r="BK286" s="14"/>
      <c r="BL286" s="14"/>
      <c r="BM286" s="14"/>
      <c r="BN286" s="14"/>
      <c r="BO286" s="14"/>
      <c r="BP286" s="14"/>
      <c r="BQ286" s="14"/>
      <c r="BR286" s="14"/>
      <c r="BS286" s="14"/>
      <c r="BT286" s="14"/>
      <c r="BU286" s="14"/>
      <c r="BV286" s="14"/>
      <c r="BW286" s="14"/>
      <c r="BX286" s="14"/>
      <c r="BY286" s="14"/>
      <c r="BZ286" s="14"/>
      <c r="CA286" s="14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</row>
    <row r="287" spans="1:101" ht="14.25" customHeight="1" x14ac:dyDescent="0.2">
      <c r="A287" s="328"/>
      <c r="B287" s="52">
        <v>0.16738549461018093</v>
      </c>
      <c r="C287" s="330">
        <v>0.55909798383486231</v>
      </c>
      <c r="D287" s="330">
        <v>1.2604166614516929E-2</v>
      </c>
      <c r="E287" s="330">
        <v>1.3396765365015686E-2</v>
      </c>
      <c r="F287" s="331">
        <v>0.7867413828691544</v>
      </c>
      <c r="G287" s="94">
        <v>0.37347494624733174</v>
      </c>
      <c r="H287" s="330">
        <v>0.53743792799225099</v>
      </c>
      <c r="I287" s="330">
        <v>6.9646236371815788E-3</v>
      </c>
      <c r="J287" s="330">
        <v>0.89308422733814219</v>
      </c>
      <c r="K287" s="330">
        <v>0.71119552774428207</v>
      </c>
      <c r="L287" s="332">
        <v>9580.3177760629678</v>
      </c>
      <c r="M287" s="330">
        <v>0</v>
      </c>
      <c r="N287" s="330">
        <v>14909.131899553353</v>
      </c>
      <c r="O287" s="330">
        <v>1680.7513702549006</v>
      </c>
      <c r="P287" s="330">
        <v>50552.303024367058</v>
      </c>
      <c r="Q287" s="333">
        <v>87216.344636388458</v>
      </c>
      <c r="R287" s="330">
        <v>24511.600591640708</v>
      </c>
      <c r="S287" s="330">
        <v>7745.6031706455706</v>
      </c>
      <c r="T287" s="332">
        <v>0.76688469693080019</v>
      </c>
      <c r="U287" s="330">
        <v>0.98772408469438977</v>
      </c>
      <c r="V287" s="330">
        <v>0.77436871674662555</v>
      </c>
      <c r="W287" s="330">
        <v>0.49402297394755806</v>
      </c>
      <c r="X287" s="330">
        <v>0.97815346078787302</v>
      </c>
      <c r="Y287" s="330">
        <v>0</v>
      </c>
      <c r="Z287" s="331">
        <v>0</v>
      </c>
      <c r="AA287" s="235"/>
      <c r="AB287" s="52">
        <v>77735.254761778095</v>
      </c>
      <c r="AC287" s="330">
        <v>4.8905806921106523</v>
      </c>
      <c r="AD287" s="330">
        <v>65042.457434169643</v>
      </c>
      <c r="AE287" s="330">
        <v>4.4113285289746367</v>
      </c>
      <c r="AF287" s="330">
        <v>12692.797327608452</v>
      </c>
      <c r="AG287" s="331">
        <v>0.4792521631360156</v>
      </c>
      <c r="AH287" s="235"/>
      <c r="AI287" s="208">
        <f t="shared" si="34"/>
        <v>4568316.4027433414</v>
      </c>
      <c r="AJ287" s="208">
        <f t="shared" si="35"/>
        <v>4125719.6450917353</v>
      </c>
      <c r="AK287" s="208">
        <f t="shared" si="36"/>
        <v>442596.75765160634</v>
      </c>
      <c r="AL287" s="235"/>
      <c r="AM287" s="52">
        <f t="shared" si="30"/>
        <v>1</v>
      </c>
      <c r="AN287" s="52">
        <f t="shared" si="31"/>
        <v>0</v>
      </c>
      <c r="AO287" s="52">
        <f t="shared" si="32"/>
        <v>1</v>
      </c>
      <c r="AP287" s="235"/>
      <c r="AQ287" s="3"/>
      <c r="AR287" s="3"/>
      <c r="AS287" s="3"/>
      <c r="AT287" s="3"/>
      <c r="AU287" s="235"/>
      <c r="AV287" s="360">
        <f t="shared" si="37"/>
        <v>4568316.4027433414</v>
      </c>
      <c r="AW287" s="235"/>
      <c r="AX287" s="354"/>
      <c r="AY287" s="14"/>
      <c r="AZ287" s="14">
        <f t="shared" si="39"/>
        <v>12692.797327608452</v>
      </c>
      <c r="BA287" s="14">
        <f t="shared" si="38"/>
        <v>0.4792521631360156</v>
      </c>
      <c r="BB287" s="14">
        <f t="shared" si="33"/>
        <v>26484.590584948772</v>
      </c>
      <c r="BC287" s="14"/>
      <c r="BD287" s="14"/>
      <c r="BE287" s="14"/>
      <c r="BF287" s="14"/>
      <c r="BG287" s="14"/>
      <c r="BH287" s="14"/>
      <c r="BI287" s="14"/>
      <c r="BJ287" s="14"/>
      <c r="BK287" s="14"/>
      <c r="BL287" s="14"/>
      <c r="BM287" s="14"/>
      <c r="BN287" s="14"/>
      <c r="BO287" s="14"/>
      <c r="BP287" s="14"/>
      <c r="BQ287" s="14"/>
      <c r="BR287" s="14"/>
      <c r="BS287" s="14"/>
      <c r="BT287" s="14"/>
      <c r="BU287" s="14"/>
      <c r="BV287" s="14"/>
      <c r="BW287" s="14"/>
      <c r="BX287" s="14"/>
      <c r="BY287" s="14"/>
      <c r="BZ287" s="14"/>
      <c r="CA287" s="14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</row>
    <row r="288" spans="1:101" ht="14.25" customHeight="1" x14ac:dyDescent="0.2">
      <c r="A288" s="328"/>
      <c r="B288" s="52">
        <v>0.1769029002089324</v>
      </c>
      <c r="C288" s="330">
        <v>0.12061612886990032</v>
      </c>
      <c r="D288" s="330">
        <v>9.9094187302756539E-3</v>
      </c>
      <c r="E288" s="330">
        <v>1.7346602496796537E-2</v>
      </c>
      <c r="F288" s="331">
        <v>0.75536472287977174</v>
      </c>
      <c r="G288" s="94">
        <v>0.40790249852149307</v>
      </c>
      <c r="H288" s="330">
        <v>0.61068510247541941</v>
      </c>
      <c r="I288" s="330">
        <v>3.255676526450102E-2</v>
      </c>
      <c r="J288" s="330">
        <v>0.99999999999996425</v>
      </c>
      <c r="K288" s="330">
        <v>0.75441083324430325</v>
      </c>
      <c r="L288" s="332">
        <v>10689.312804413115</v>
      </c>
      <c r="M288" s="330">
        <v>0</v>
      </c>
      <c r="N288" s="330">
        <v>12951.730517319862</v>
      </c>
      <c r="O288" s="330">
        <v>982.72423965353494</v>
      </c>
      <c r="P288" s="330">
        <v>40162.479767996505</v>
      </c>
      <c r="Q288" s="333">
        <v>117104.37906278182</v>
      </c>
      <c r="R288" s="330">
        <v>23118.171863163145</v>
      </c>
      <c r="S288" s="330">
        <v>9415.1869267502516</v>
      </c>
      <c r="T288" s="332">
        <v>0.99981090638203152</v>
      </c>
      <c r="U288" s="330">
        <v>0.14070802817313707</v>
      </c>
      <c r="V288" s="330">
        <v>0.74471971486345823</v>
      </c>
      <c r="W288" s="330">
        <v>0.98615656608506297</v>
      </c>
      <c r="X288" s="330">
        <v>0.59416588427627171</v>
      </c>
      <c r="Y288" s="330">
        <v>0</v>
      </c>
      <c r="Z288" s="331">
        <v>0</v>
      </c>
      <c r="AA288" s="235"/>
      <c r="AB288" s="52">
        <v>87882.783996942919</v>
      </c>
      <c r="AC288" s="330">
        <v>3.0962271131445465</v>
      </c>
      <c r="AD288" s="330">
        <v>84492.703343360903</v>
      </c>
      <c r="AE288" s="330">
        <v>2.7689908078641312</v>
      </c>
      <c r="AF288" s="330">
        <v>3390.0806535820157</v>
      </c>
      <c r="AG288" s="331">
        <v>0.32723630528041525</v>
      </c>
      <c r="AH288" s="235"/>
      <c r="AI288" s="208">
        <f t="shared" si="34"/>
        <v>2853532.973490376</v>
      </c>
      <c r="AJ288" s="208">
        <f t="shared" si="35"/>
        <v>2546048.564127564</v>
      </c>
      <c r="AK288" s="208">
        <f t="shared" si="36"/>
        <v>307484.40936281247</v>
      </c>
      <c r="AL288" s="235"/>
      <c r="AM288" s="52">
        <f t="shared" si="30"/>
        <v>1</v>
      </c>
      <c r="AN288" s="52">
        <f t="shared" si="31"/>
        <v>0</v>
      </c>
      <c r="AO288" s="52">
        <f t="shared" si="32"/>
        <v>1</v>
      </c>
      <c r="AP288" s="235"/>
      <c r="AQ288" s="3"/>
      <c r="AR288" s="3"/>
      <c r="AS288" s="3"/>
      <c r="AT288" s="3"/>
      <c r="AU288" s="235"/>
      <c r="AV288" s="360">
        <f t="shared" si="37"/>
        <v>2853532.973490376</v>
      </c>
      <c r="AW288" s="235"/>
      <c r="AX288" s="354"/>
      <c r="AY288" s="14"/>
      <c r="AZ288" s="14">
        <f t="shared" si="39"/>
        <v>3390.0806535820157</v>
      </c>
      <c r="BA288" s="14">
        <f t="shared" si="38"/>
        <v>0.32723630528041525</v>
      </c>
      <c r="BB288" s="14">
        <f t="shared" si="33"/>
        <v>10359.73270348774</v>
      </c>
      <c r="BC288" s="14"/>
      <c r="BD288" s="14"/>
      <c r="BE288" s="14"/>
      <c r="BF288" s="14"/>
      <c r="BG288" s="14"/>
      <c r="BH288" s="14"/>
      <c r="BI288" s="14"/>
      <c r="BJ288" s="14"/>
      <c r="BK288" s="14"/>
      <c r="BL288" s="14"/>
      <c r="BM288" s="14"/>
      <c r="BN288" s="14"/>
      <c r="BO288" s="14"/>
      <c r="BP288" s="14"/>
      <c r="BQ288" s="14"/>
      <c r="BR288" s="14"/>
      <c r="BS288" s="14"/>
      <c r="BT288" s="14"/>
      <c r="BU288" s="14"/>
      <c r="BV288" s="14"/>
      <c r="BW288" s="14"/>
      <c r="BX288" s="14"/>
      <c r="BY288" s="14"/>
      <c r="BZ288" s="14"/>
      <c r="CA288" s="14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</row>
    <row r="289" spans="1:101" ht="14.25" customHeight="1" x14ac:dyDescent="0.2">
      <c r="A289" s="328"/>
      <c r="B289" s="52">
        <v>0.20838074180350075</v>
      </c>
      <c r="C289" s="330">
        <v>1.0608836681185157E-2</v>
      </c>
      <c r="D289" s="330">
        <v>8.0015277201184714E-3</v>
      </c>
      <c r="E289" s="330">
        <v>1.9440385768542123E-2</v>
      </c>
      <c r="F289" s="331">
        <v>0.78096324787705262</v>
      </c>
      <c r="G289" s="94">
        <v>0.39189998358572292</v>
      </c>
      <c r="H289" s="330">
        <v>0.38853073758896151</v>
      </c>
      <c r="I289" s="330">
        <v>1.005608797174669E-2</v>
      </c>
      <c r="J289" s="330">
        <v>1.8304461228422945E-2</v>
      </c>
      <c r="K289" s="330">
        <v>0.75080845171167665</v>
      </c>
      <c r="L289" s="332">
        <v>8966.9190514937218</v>
      </c>
      <c r="M289" s="330">
        <v>0</v>
      </c>
      <c r="N289" s="330">
        <v>25221.751824724084</v>
      </c>
      <c r="O289" s="330">
        <v>1326.0600224861037</v>
      </c>
      <c r="P289" s="330">
        <v>34848.014335783206</v>
      </c>
      <c r="Q289" s="333">
        <v>135595.84768413092</v>
      </c>
      <c r="R289" s="330">
        <v>17000.666623597055</v>
      </c>
      <c r="S289" s="330">
        <v>10999.320333587148</v>
      </c>
      <c r="T289" s="332">
        <v>0.63196124546603749</v>
      </c>
      <c r="U289" s="330">
        <v>0.63952980620821986</v>
      </c>
      <c r="V289" s="330">
        <v>0.67222743341507185</v>
      </c>
      <c r="W289" s="330">
        <v>7.8961302608865108E-2</v>
      </c>
      <c r="X289" s="330">
        <v>0.93135922151191919</v>
      </c>
      <c r="Y289" s="330">
        <v>0</v>
      </c>
      <c r="Z289" s="331">
        <v>0</v>
      </c>
      <c r="AA289" s="235"/>
      <c r="AB289" s="52">
        <v>101690.83563599318</v>
      </c>
      <c r="AC289" s="330">
        <v>4.4983478431811905</v>
      </c>
      <c r="AD289" s="330">
        <v>92244.300401393572</v>
      </c>
      <c r="AE289" s="330">
        <v>4.230676393806081</v>
      </c>
      <c r="AF289" s="330">
        <v>9446.5352345996071</v>
      </c>
      <c r="AG289" s="331">
        <v>0.26767144937510956</v>
      </c>
      <c r="AH289" s="235"/>
      <c r="AI289" s="208">
        <f t="shared" si="34"/>
        <v>4171739.6153861382</v>
      </c>
      <c r="AJ289" s="208">
        <f t="shared" si="35"/>
        <v>3926898.2737143831</v>
      </c>
      <c r="AK289" s="208">
        <f t="shared" si="36"/>
        <v>244841.34167175449</v>
      </c>
      <c r="AL289" s="235"/>
      <c r="AM289" s="52">
        <f t="shared" si="30"/>
        <v>1</v>
      </c>
      <c r="AN289" s="52">
        <f t="shared" si="31"/>
        <v>0</v>
      </c>
      <c r="AO289" s="52">
        <f t="shared" si="32"/>
        <v>1</v>
      </c>
      <c r="AP289" s="235"/>
      <c r="AQ289" s="3"/>
      <c r="AR289" s="3"/>
      <c r="AS289" s="3"/>
      <c r="AT289" s="3"/>
      <c r="AU289" s="235"/>
      <c r="AV289" s="360">
        <f t="shared" si="37"/>
        <v>4171739.6153861382</v>
      </c>
      <c r="AW289" s="235"/>
      <c r="AX289" s="354"/>
      <c r="AY289" s="14"/>
      <c r="AZ289" s="14">
        <f t="shared" si="39"/>
        <v>9446.5352345996071</v>
      </c>
      <c r="BA289" s="14">
        <f t="shared" si="38"/>
        <v>0.26767144937510956</v>
      </c>
      <c r="BB289" s="14">
        <f t="shared" si="33"/>
        <v>35291.530929626402</v>
      </c>
      <c r="BC289" s="14"/>
      <c r="BD289" s="14"/>
      <c r="BE289" s="14"/>
      <c r="BF289" s="14"/>
      <c r="BG289" s="14"/>
      <c r="BH289" s="14"/>
      <c r="BI289" s="14"/>
      <c r="BJ289" s="14"/>
      <c r="BK289" s="14"/>
      <c r="BL289" s="14"/>
      <c r="BM289" s="14"/>
      <c r="BN289" s="14"/>
      <c r="BO289" s="14"/>
      <c r="BP289" s="14"/>
      <c r="BQ289" s="14"/>
      <c r="BR289" s="14"/>
      <c r="BS289" s="14"/>
      <c r="BT289" s="14"/>
      <c r="BU289" s="14"/>
      <c r="BV289" s="14"/>
      <c r="BW289" s="14"/>
      <c r="BX289" s="14"/>
      <c r="BY289" s="14"/>
      <c r="BZ289" s="14"/>
      <c r="CA289" s="14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</row>
    <row r="290" spans="1:101" ht="14.25" customHeight="1" x14ac:dyDescent="0.2">
      <c r="A290" s="328"/>
      <c r="B290" s="52">
        <v>0.14300339639054141</v>
      </c>
      <c r="C290" s="330">
        <v>0.11617320019009011</v>
      </c>
      <c r="D290" s="330">
        <v>8.8131390171602361E-3</v>
      </c>
      <c r="E290" s="330">
        <v>1.5630054692220785E-2</v>
      </c>
      <c r="F290" s="331">
        <v>0.82133173474434829</v>
      </c>
      <c r="G290" s="94">
        <v>0.38241953246130433</v>
      </c>
      <c r="H290" s="330">
        <v>0.3742844424885024</v>
      </c>
      <c r="I290" s="330">
        <v>1.6140396842056037E-2</v>
      </c>
      <c r="J290" s="330">
        <v>0.99999653070771544</v>
      </c>
      <c r="K290" s="330">
        <v>0.71323944996787292</v>
      </c>
      <c r="L290" s="332">
        <v>14172.989375903395</v>
      </c>
      <c r="M290" s="330">
        <v>0</v>
      </c>
      <c r="N290" s="330">
        <v>13986.795870487857</v>
      </c>
      <c r="O290" s="330">
        <v>1493.5386577259069</v>
      </c>
      <c r="P290" s="330">
        <v>49457.627759605413</v>
      </c>
      <c r="Q290" s="333">
        <v>76160.239458309341</v>
      </c>
      <c r="R290" s="330">
        <v>26989.570189798607</v>
      </c>
      <c r="S290" s="330">
        <v>5035.5429374035939</v>
      </c>
      <c r="T290" s="332">
        <v>0.99815220925572035</v>
      </c>
      <c r="U290" s="330">
        <v>0.999068910222772</v>
      </c>
      <c r="V290" s="330">
        <v>0.9662024622389378</v>
      </c>
      <c r="W290" s="330">
        <v>0.96949954579875064</v>
      </c>
      <c r="X290" s="330">
        <v>0.97565978373468087</v>
      </c>
      <c r="Y290" s="330">
        <v>0</v>
      </c>
      <c r="Z290" s="331">
        <v>0</v>
      </c>
      <c r="AA290" s="235"/>
      <c r="AB290" s="52">
        <v>59314.963689517936</v>
      </c>
      <c r="AC290" s="330">
        <v>5.4147643461310988</v>
      </c>
      <c r="AD290" s="330">
        <v>43794.701776510636</v>
      </c>
      <c r="AE290" s="330">
        <v>4.3139350530450136</v>
      </c>
      <c r="AF290" s="330">
        <v>15520.2619130073</v>
      </c>
      <c r="AG290" s="331">
        <v>1.1008292930860852</v>
      </c>
      <c r="AH290" s="235"/>
      <c r="AI290" s="208">
        <f t="shared" si="34"/>
        <v>5084711.165135026</v>
      </c>
      <c r="AJ290" s="208">
        <f t="shared" si="35"/>
        <v>4054443.5986162522</v>
      </c>
      <c r="AK290" s="208">
        <f t="shared" si="36"/>
        <v>1030267.5665187738</v>
      </c>
      <c r="AL290" s="235"/>
      <c r="AM290" s="52">
        <f t="shared" si="30"/>
        <v>1</v>
      </c>
      <c r="AN290" s="52">
        <f t="shared" si="31"/>
        <v>0</v>
      </c>
      <c r="AO290" s="52">
        <f t="shared" si="32"/>
        <v>1</v>
      </c>
      <c r="AP290" s="235"/>
      <c r="AQ290" s="3"/>
      <c r="AR290" s="3"/>
      <c r="AS290" s="3"/>
      <c r="AT290" s="3"/>
      <c r="AU290" s="235"/>
      <c r="AV290" s="360">
        <f t="shared" si="37"/>
        <v>5084711.165135026</v>
      </c>
      <c r="AW290" s="235"/>
      <c r="AX290" s="354"/>
      <c r="AY290" s="14"/>
      <c r="AZ290" s="14">
        <f t="shared" si="39"/>
        <v>15520.2619130073</v>
      </c>
      <c r="BA290" s="14">
        <f t="shared" si="38"/>
        <v>1.1008292930860852</v>
      </c>
      <c r="BB290" s="14">
        <f t="shared" si="33"/>
        <v>14098.699962368833</v>
      </c>
      <c r="BC290" s="14"/>
      <c r="BD290" s="14"/>
      <c r="BE290" s="14"/>
      <c r="BF290" s="14"/>
      <c r="BG290" s="14"/>
      <c r="BH290" s="14"/>
      <c r="BI290" s="14"/>
      <c r="BJ290" s="14"/>
      <c r="BK290" s="14"/>
      <c r="BL290" s="14"/>
      <c r="BM290" s="14"/>
      <c r="BN290" s="14"/>
      <c r="BO290" s="14"/>
      <c r="BP290" s="14"/>
      <c r="BQ290" s="14"/>
      <c r="BR290" s="14"/>
      <c r="BS290" s="14"/>
      <c r="BT290" s="14"/>
      <c r="BU290" s="14"/>
      <c r="BV290" s="14"/>
      <c r="BW290" s="14"/>
      <c r="BX290" s="14"/>
      <c r="BY290" s="14"/>
      <c r="BZ290" s="14"/>
      <c r="CA290" s="14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</row>
    <row r="291" spans="1:101" ht="14.25" customHeight="1" x14ac:dyDescent="0.2">
      <c r="A291" s="328"/>
      <c r="B291" s="52">
        <v>0.1765597668994201</v>
      </c>
      <c r="C291" s="330">
        <v>6.9672683541881567E-2</v>
      </c>
      <c r="D291" s="330">
        <v>2.3088486580462919E-2</v>
      </c>
      <c r="E291" s="330">
        <v>1.6881843723991707E-2</v>
      </c>
      <c r="F291" s="331">
        <v>0.77292405594600677</v>
      </c>
      <c r="G291" s="94">
        <v>0.4295340643743526</v>
      </c>
      <c r="H291" s="330">
        <v>0.40784177382292586</v>
      </c>
      <c r="I291" s="330">
        <v>1.3810611497323131E-2</v>
      </c>
      <c r="J291" s="330">
        <v>0.78226178768188703</v>
      </c>
      <c r="K291" s="330">
        <v>0.74850679761864902</v>
      </c>
      <c r="L291" s="332">
        <v>14260.823845606024</v>
      </c>
      <c r="M291" s="330">
        <v>0</v>
      </c>
      <c r="N291" s="330">
        <v>15288.800736965659</v>
      </c>
      <c r="O291" s="330">
        <v>1531.1345373037957</v>
      </c>
      <c r="P291" s="330">
        <v>51754.816593295698</v>
      </c>
      <c r="Q291" s="333">
        <v>93108.409038270736</v>
      </c>
      <c r="R291" s="330">
        <v>27621.130497502832</v>
      </c>
      <c r="S291" s="330">
        <v>8208.8881435184976</v>
      </c>
      <c r="T291" s="332">
        <v>0.5533204764009142</v>
      </c>
      <c r="U291" s="330">
        <v>0.91570756985579738</v>
      </c>
      <c r="V291" s="330">
        <v>0.35309275588355454</v>
      </c>
      <c r="W291" s="330">
        <v>0.99909373304372695</v>
      </c>
      <c r="X291" s="330">
        <v>0.90035323251335475</v>
      </c>
      <c r="Y291" s="330">
        <v>0</v>
      </c>
      <c r="Z291" s="331">
        <v>0</v>
      </c>
      <c r="AA291" s="235"/>
      <c r="AB291" s="52">
        <v>83343.130888356784</v>
      </c>
      <c r="AC291" s="330">
        <v>4.2319556156544955</v>
      </c>
      <c r="AD291" s="330">
        <v>72241.502661550709</v>
      </c>
      <c r="AE291" s="330">
        <v>4.2200993736649206</v>
      </c>
      <c r="AF291" s="330">
        <v>11101.628226806075</v>
      </c>
      <c r="AG291" s="331">
        <v>1.1856241989574912E-2</v>
      </c>
      <c r="AH291" s="235"/>
      <c r="AI291" s="208">
        <f t="shared" si="34"/>
        <v>3937014.703983414</v>
      </c>
      <c r="AJ291" s="208">
        <f t="shared" si="35"/>
        <v>3936852.9023201237</v>
      </c>
      <c r="AK291" s="208">
        <f t="shared" si="36"/>
        <v>161.8016632900908</v>
      </c>
      <c r="AL291" s="235"/>
      <c r="AM291" s="52">
        <f t="shared" si="30"/>
        <v>1</v>
      </c>
      <c r="AN291" s="52">
        <f t="shared" si="31"/>
        <v>0</v>
      </c>
      <c r="AO291" s="52">
        <f t="shared" si="32"/>
        <v>1</v>
      </c>
      <c r="AP291" s="235"/>
      <c r="AQ291" s="3"/>
      <c r="AR291" s="3"/>
      <c r="AS291" s="3"/>
      <c r="AT291" s="3"/>
      <c r="AU291" s="235"/>
      <c r="AV291" s="360">
        <f t="shared" si="37"/>
        <v>3937014.703983414</v>
      </c>
      <c r="AW291" s="235"/>
      <c r="AX291" s="354"/>
      <c r="AY291" s="14"/>
      <c r="AZ291" s="14">
        <f t="shared" si="39"/>
        <v>11101.628226806075</v>
      </c>
      <c r="BA291" s="14">
        <f t="shared" si="38"/>
        <v>1.1856241989574912E-2</v>
      </c>
      <c r="BB291" s="14">
        <f t="shared" si="33"/>
        <v>936353.03973785613</v>
      </c>
      <c r="BC291" s="14"/>
      <c r="BD291" s="14"/>
      <c r="BE291" s="14"/>
      <c r="BF291" s="14"/>
      <c r="BG291" s="14"/>
      <c r="BH291" s="14"/>
      <c r="BI291" s="14"/>
      <c r="BJ291" s="14"/>
      <c r="BK291" s="14"/>
      <c r="BL291" s="14"/>
      <c r="BM291" s="14"/>
      <c r="BN291" s="14"/>
      <c r="BO291" s="14"/>
      <c r="BP291" s="14"/>
      <c r="BQ291" s="14"/>
      <c r="BR291" s="14"/>
      <c r="BS291" s="14"/>
      <c r="BT291" s="14"/>
      <c r="BU291" s="14"/>
      <c r="BV291" s="14"/>
      <c r="BW291" s="14"/>
      <c r="BX291" s="14"/>
      <c r="BY291" s="14"/>
      <c r="BZ291" s="14"/>
      <c r="CA291" s="14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</row>
    <row r="292" spans="1:101" ht="14.25" customHeight="1" x14ac:dyDescent="0.2">
      <c r="A292" s="328"/>
      <c r="B292" s="52">
        <v>0.19218622196786361</v>
      </c>
      <c r="C292" s="330">
        <v>0.128550128012107</v>
      </c>
      <c r="D292" s="330">
        <v>8.8474440804552079E-3</v>
      </c>
      <c r="E292" s="330">
        <v>1.0806453002467291E-2</v>
      </c>
      <c r="F292" s="331">
        <v>0.71221362917318731</v>
      </c>
      <c r="G292" s="94">
        <v>0.4056227275756924</v>
      </c>
      <c r="H292" s="330">
        <v>0.11117108300768833</v>
      </c>
      <c r="I292" s="330">
        <v>9.7222065024123987E-3</v>
      </c>
      <c r="J292" s="330">
        <v>0.99999999994036792</v>
      </c>
      <c r="K292" s="330">
        <v>0.75997765642835424</v>
      </c>
      <c r="L292" s="332">
        <v>16100.546373449833</v>
      </c>
      <c r="M292" s="330">
        <v>0</v>
      </c>
      <c r="N292" s="330">
        <v>22406.480629585443</v>
      </c>
      <c r="O292" s="330">
        <v>1574.2510537869155</v>
      </c>
      <c r="P292" s="330">
        <v>67778.805604109963</v>
      </c>
      <c r="Q292" s="333">
        <v>111165.28863211718</v>
      </c>
      <c r="R292" s="330">
        <v>22385.073175932612</v>
      </c>
      <c r="S292" s="330">
        <v>7576.4959443199123</v>
      </c>
      <c r="T292" s="332">
        <v>0.9314741539752206</v>
      </c>
      <c r="U292" s="330">
        <v>0.95902563855010259</v>
      </c>
      <c r="V292" s="330">
        <v>0.96628646379349359</v>
      </c>
      <c r="W292" s="330">
        <v>0.18106076869061763</v>
      </c>
      <c r="X292" s="330">
        <v>0.1171840139416669</v>
      </c>
      <c r="Y292" s="330">
        <v>0</v>
      </c>
      <c r="Z292" s="331">
        <v>0</v>
      </c>
      <c r="AA292" s="235"/>
      <c r="AB292" s="52">
        <v>75053.431244476829</v>
      </c>
      <c r="AC292" s="330">
        <v>0.80923643258499833</v>
      </c>
      <c r="AD292" s="330">
        <v>64233.625828201075</v>
      </c>
      <c r="AE292" s="330">
        <v>0.57589106556842773</v>
      </c>
      <c r="AF292" s="330">
        <v>10819.805416275754</v>
      </c>
      <c r="AG292" s="331">
        <v>0.2333453670165706</v>
      </c>
      <c r="AH292" s="235"/>
      <c r="AI292" s="208">
        <f t="shared" si="34"/>
        <v>693721.17971127166</v>
      </c>
      <c r="AJ292" s="208">
        <f t="shared" si="35"/>
        <v>482862.88646180532</v>
      </c>
      <c r="AK292" s="208">
        <f t="shared" si="36"/>
        <v>210858.29324946634</v>
      </c>
      <c r="AL292" s="235"/>
      <c r="AM292" s="52">
        <f t="shared" si="30"/>
        <v>1</v>
      </c>
      <c r="AN292" s="52">
        <f t="shared" si="31"/>
        <v>0</v>
      </c>
      <c r="AO292" s="52">
        <f t="shared" si="32"/>
        <v>1</v>
      </c>
      <c r="AP292" s="235"/>
      <c r="AQ292" s="3"/>
      <c r="AR292" s="3"/>
      <c r="AS292" s="3"/>
      <c r="AT292" s="3"/>
      <c r="AU292" s="235"/>
      <c r="AV292" s="360">
        <f t="shared" si="37"/>
        <v>693721.17971127166</v>
      </c>
      <c r="AW292" s="235"/>
      <c r="AX292" s="354"/>
      <c r="AY292" s="14"/>
      <c r="AZ292" s="14">
        <f t="shared" si="39"/>
        <v>10819.805416275754</v>
      </c>
      <c r="BA292" s="14">
        <f t="shared" si="38"/>
        <v>0.2333453670165706</v>
      </c>
      <c r="BB292" s="14">
        <f t="shared" si="33"/>
        <v>46368.203297164262</v>
      </c>
      <c r="BC292" s="14"/>
      <c r="BD292" s="14"/>
      <c r="BE292" s="14"/>
      <c r="BF292" s="14"/>
      <c r="BG292" s="14"/>
      <c r="BH292" s="14"/>
      <c r="BI292" s="14"/>
      <c r="BJ292" s="14"/>
      <c r="BK292" s="14"/>
      <c r="BL292" s="14"/>
      <c r="BM292" s="14"/>
      <c r="BN292" s="14"/>
      <c r="BO292" s="14"/>
      <c r="BP292" s="14"/>
      <c r="BQ292" s="14"/>
      <c r="BR292" s="14"/>
      <c r="BS292" s="14"/>
      <c r="BT292" s="14"/>
      <c r="BU292" s="14"/>
      <c r="BV292" s="14"/>
      <c r="BW292" s="14"/>
      <c r="BX292" s="14"/>
      <c r="BY292" s="14"/>
      <c r="BZ292" s="14"/>
      <c r="CA292" s="14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</row>
    <row r="293" spans="1:101" ht="14.25" customHeight="1" x14ac:dyDescent="0.2">
      <c r="A293" s="328"/>
      <c r="B293" s="52">
        <v>0.14687822873178705</v>
      </c>
      <c r="C293" s="330">
        <v>0.20819826520169427</v>
      </c>
      <c r="D293" s="330">
        <v>1.3368121564301014E-2</v>
      </c>
      <c r="E293" s="330">
        <v>3.0832773165909155E-2</v>
      </c>
      <c r="F293" s="331">
        <v>0.7880871628435886</v>
      </c>
      <c r="G293" s="94">
        <v>0.38117314593172935</v>
      </c>
      <c r="H293" s="330">
        <v>0.11876012418131827</v>
      </c>
      <c r="I293" s="330">
        <v>1.2997528709778945E-2</v>
      </c>
      <c r="J293" s="330">
        <v>0.99999999977651433</v>
      </c>
      <c r="K293" s="330">
        <v>0.67641515794796803</v>
      </c>
      <c r="L293" s="332">
        <v>11816.836538295071</v>
      </c>
      <c r="M293" s="330">
        <v>0</v>
      </c>
      <c r="N293" s="330">
        <v>21745.452848838977</v>
      </c>
      <c r="O293" s="330">
        <v>1992.182636507282</v>
      </c>
      <c r="P293" s="330">
        <v>36270.745094005397</v>
      </c>
      <c r="Q293" s="333">
        <v>134822.45426663611</v>
      </c>
      <c r="R293" s="330">
        <v>26625.669592823444</v>
      </c>
      <c r="S293" s="330">
        <v>9797.3187118448805</v>
      </c>
      <c r="T293" s="332">
        <v>0.90057064909516638</v>
      </c>
      <c r="U293" s="330">
        <v>0.78596073177358783</v>
      </c>
      <c r="V293" s="330">
        <v>0.80648649699062513</v>
      </c>
      <c r="W293" s="330">
        <v>0.97968236071106873</v>
      </c>
      <c r="X293" s="330">
        <v>0.98974979445828137</v>
      </c>
      <c r="Y293" s="330">
        <v>0</v>
      </c>
      <c r="Z293" s="331">
        <v>0</v>
      </c>
      <c r="AA293" s="235"/>
      <c r="AB293" s="52">
        <v>96049.237446150466</v>
      </c>
      <c r="AC293" s="330">
        <v>4.7351699244073968</v>
      </c>
      <c r="AD293" s="330">
        <v>74048.300682147878</v>
      </c>
      <c r="AE293" s="330">
        <v>4.1688128567737177</v>
      </c>
      <c r="AF293" s="330">
        <v>22000.936764002588</v>
      </c>
      <c r="AG293" s="331">
        <v>0.5663570676336791</v>
      </c>
      <c r="AH293" s="235"/>
      <c r="AI293" s="208">
        <f t="shared" si="34"/>
        <v>4402362.1907408759</v>
      </c>
      <c r="AJ293" s="208">
        <f t="shared" si="35"/>
        <v>3886323.9132528841</v>
      </c>
      <c r="AK293" s="208">
        <f t="shared" si="36"/>
        <v>516038.2774879926</v>
      </c>
      <c r="AL293" s="235"/>
      <c r="AM293" s="52">
        <f t="shared" si="30"/>
        <v>1</v>
      </c>
      <c r="AN293" s="52">
        <f t="shared" si="31"/>
        <v>0</v>
      </c>
      <c r="AO293" s="52">
        <f t="shared" si="32"/>
        <v>1</v>
      </c>
      <c r="AP293" s="235"/>
      <c r="AQ293" s="3"/>
      <c r="AR293" s="3"/>
      <c r="AS293" s="3"/>
      <c r="AT293" s="3"/>
      <c r="AU293" s="235"/>
      <c r="AV293" s="360">
        <f t="shared" si="37"/>
        <v>4402362.1907408759</v>
      </c>
      <c r="AW293" s="235"/>
      <c r="AX293" s="354"/>
      <c r="AY293" s="14"/>
      <c r="AZ293" s="14">
        <f t="shared" si="39"/>
        <v>22000.936764002588</v>
      </c>
      <c r="BA293" s="14">
        <f t="shared" si="38"/>
        <v>0.5663570676336791</v>
      </c>
      <c r="BB293" s="14">
        <f t="shared" si="33"/>
        <v>38846.406306759185</v>
      </c>
      <c r="BC293" s="14"/>
      <c r="BD293" s="14"/>
      <c r="BE293" s="14"/>
      <c r="BF293" s="14"/>
      <c r="BG293" s="14"/>
      <c r="BH293" s="14"/>
      <c r="BI293" s="14"/>
      <c r="BJ293" s="14"/>
      <c r="BK293" s="14"/>
      <c r="BL293" s="14"/>
      <c r="BM293" s="14"/>
      <c r="BN293" s="14"/>
      <c r="BO293" s="14"/>
      <c r="BP293" s="14"/>
      <c r="BQ293" s="14"/>
      <c r="BR293" s="14"/>
      <c r="BS293" s="14"/>
      <c r="BT293" s="14"/>
      <c r="BU293" s="14"/>
      <c r="BV293" s="14"/>
      <c r="BW293" s="14"/>
      <c r="BX293" s="14"/>
      <c r="BY293" s="14"/>
      <c r="BZ293" s="14"/>
      <c r="CA293" s="14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</row>
    <row r="294" spans="1:101" ht="14.25" customHeight="1" x14ac:dyDescent="0.2">
      <c r="A294" s="328"/>
      <c r="B294" s="52">
        <v>0.14949293037542685</v>
      </c>
      <c r="C294" s="330">
        <v>2.7121415296432094E-2</v>
      </c>
      <c r="D294" s="330">
        <v>2.51770746770138E-2</v>
      </c>
      <c r="E294" s="330">
        <v>1.142142125510495E-2</v>
      </c>
      <c r="F294" s="331">
        <v>0.78021851395418151</v>
      </c>
      <c r="G294" s="94">
        <v>0.38758510971722082</v>
      </c>
      <c r="H294" s="330">
        <v>0.49545142195631642</v>
      </c>
      <c r="I294" s="330">
        <v>2.7723523325638766E-2</v>
      </c>
      <c r="J294" s="330">
        <v>0.9964086895013835</v>
      </c>
      <c r="K294" s="330">
        <v>0.72570042789573252</v>
      </c>
      <c r="L294" s="332">
        <v>11556.872297627806</v>
      </c>
      <c r="M294" s="330">
        <v>0</v>
      </c>
      <c r="N294" s="330">
        <v>17768.263868106886</v>
      </c>
      <c r="O294" s="330">
        <v>1094.7483857989428</v>
      </c>
      <c r="P294" s="330">
        <v>63068.197479771879</v>
      </c>
      <c r="Q294" s="333">
        <v>71024.224266525111</v>
      </c>
      <c r="R294" s="330">
        <v>23725.727840776955</v>
      </c>
      <c r="S294" s="330">
        <v>10282.060075225521</v>
      </c>
      <c r="T294" s="332">
        <v>0.99973023511472381</v>
      </c>
      <c r="U294" s="330">
        <v>0.92337241875232812</v>
      </c>
      <c r="V294" s="330">
        <v>0.9959985973558394</v>
      </c>
      <c r="W294" s="330">
        <v>0.9999612861186189</v>
      </c>
      <c r="X294" s="330">
        <v>0.81170506602427517</v>
      </c>
      <c r="Y294" s="330">
        <v>0</v>
      </c>
      <c r="Z294" s="331">
        <v>0</v>
      </c>
      <c r="AA294" s="235"/>
      <c r="AB294" s="52">
        <v>98176.179098874782</v>
      </c>
      <c r="AC294" s="330">
        <v>4.2917281319086786</v>
      </c>
      <c r="AD294" s="330">
        <v>86562.791569119872</v>
      </c>
      <c r="AE294" s="330">
        <v>3.7953789015367936</v>
      </c>
      <c r="AF294" s="330">
        <v>11613.387529754909</v>
      </c>
      <c r="AG294" s="331">
        <v>0.49634923037188505</v>
      </c>
      <c r="AH294" s="235"/>
      <c r="AI294" s="208">
        <f t="shared" si="34"/>
        <v>3978965.5462143701</v>
      </c>
      <c r="AJ294" s="208">
        <f t="shared" si="35"/>
        <v>3519047.1648908341</v>
      </c>
      <c r="AK294" s="208">
        <f t="shared" si="36"/>
        <v>459918.38132353593</v>
      </c>
      <c r="AL294" s="235"/>
      <c r="AM294" s="52">
        <f t="shared" si="30"/>
        <v>1</v>
      </c>
      <c r="AN294" s="52">
        <f t="shared" si="31"/>
        <v>0</v>
      </c>
      <c r="AO294" s="52">
        <f t="shared" si="32"/>
        <v>1</v>
      </c>
      <c r="AP294" s="235"/>
      <c r="AQ294" s="3"/>
      <c r="AR294" s="3"/>
      <c r="AS294" s="3"/>
      <c r="AT294" s="3"/>
      <c r="AU294" s="235"/>
      <c r="AV294" s="360">
        <f t="shared" si="37"/>
        <v>3978965.5462143701</v>
      </c>
      <c r="AW294" s="235"/>
      <c r="AX294" s="354"/>
      <c r="AY294" s="14"/>
      <c r="AZ294" s="14">
        <f t="shared" si="39"/>
        <v>11613.387529754909</v>
      </c>
      <c r="BA294" s="14">
        <f t="shared" si="38"/>
        <v>0.49634923037188505</v>
      </c>
      <c r="BB294" s="14">
        <f t="shared" si="33"/>
        <v>23397.613654107383</v>
      </c>
      <c r="BC294" s="14"/>
      <c r="BD294" s="14"/>
      <c r="BE294" s="14"/>
      <c r="BF294" s="14"/>
      <c r="BG294" s="14"/>
      <c r="BH294" s="14"/>
      <c r="BI294" s="14"/>
      <c r="BJ294" s="14"/>
      <c r="BK294" s="14"/>
      <c r="BL294" s="14"/>
      <c r="BM294" s="14"/>
      <c r="BN294" s="14"/>
      <c r="BO294" s="14"/>
      <c r="BP294" s="14"/>
      <c r="BQ294" s="14"/>
      <c r="BR294" s="14"/>
      <c r="BS294" s="14"/>
      <c r="BT294" s="14"/>
      <c r="BU294" s="14"/>
      <c r="BV294" s="14"/>
      <c r="BW294" s="14"/>
      <c r="BX294" s="14"/>
      <c r="BY294" s="14"/>
      <c r="BZ294" s="14"/>
      <c r="CA294" s="14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</row>
    <row r="295" spans="1:101" ht="14.25" customHeight="1" x14ac:dyDescent="0.2">
      <c r="A295" s="328"/>
      <c r="B295" s="52">
        <v>0.15277151503719408</v>
      </c>
      <c r="C295" s="330">
        <v>0.28033821017804944</v>
      </c>
      <c r="D295" s="330">
        <v>7.7619973196362607E-3</v>
      </c>
      <c r="E295" s="330">
        <v>1.2784013029857539E-2</v>
      </c>
      <c r="F295" s="331">
        <v>0.78087230363724058</v>
      </c>
      <c r="G295" s="94">
        <v>0.38320227285413477</v>
      </c>
      <c r="H295" s="330">
        <v>0.99405392890029376</v>
      </c>
      <c r="I295" s="330">
        <v>2.2564886445212262E-2</v>
      </c>
      <c r="J295" s="330">
        <v>0.31849229682817237</v>
      </c>
      <c r="K295" s="330">
        <v>0.77165196051239826</v>
      </c>
      <c r="L295" s="332">
        <v>13284.214551793137</v>
      </c>
      <c r="M295" s="330">
        <v>0</v>
      </c>
      <c r="N295" s="330">
        <v>26470.520864135058</v>
      </c>
      <c r="O295" s="330">
        <v>1516.9455553695377</v>
      </c>
      <c r="P295" s="330">
        <v>33871.619158452675</v>
      </c>
      <c r="Q295" s="333">
        <v>89604.044306134499</v>
      </c>
      <c r="R295" s="330">
        <v>25302.806782294007</v>
      </c>
      <c r="S295" s="330">
        <v>9305.607221636883</v>
      </c>
      <c r="T295" s="332">
        <v>0.97343870899187701</v>
      </c>
      <c r="U295" s="330">
        <v>0.94854204832132916</v>
      </c>
      <c r="V295" s="330">
        <v>0.32766805902500257</v>
      </c>
      <c r="W295" s="330">
        <v>0.1586298475995461</v>
      </c>
      <c r="X295" s="330">
        <v>0.4171587383039207</v>
      </c>
      <c r="Y295" s="330">
        <v>0</v>
      </c>
      <c r="Z295" s="331">
        <v>0</v>
      </c>
      <c r="AA295" s="235"/>
      <c r="AB295" s="52">
        <v>92685.184684747015</v>
      </c>
      <c r="AC295" s="330">
        <v>1.9950446911823738</v>
      </c>
      <c r="AD295" s="330">
        <v>88062.206777457031</v>
      </c>
      <c r="AE295" s="330">
        <v>2.373242502561038</v>
      </c>
      <c r="AF295" s="330">
        <v>4622.9779072899837</v>
      </c>
      <c r="AG295" s="331">
        <v>-0.37819781137866415</v>
      </c>
      <c r="AH295" s="235"/>
      <c r="AI295" s="208">
        <f t="shared" si="34"/>
        <v>1802607.2719385079</v>
      </c>
      <c r="AJ295" s="208">
        <f t="shared" si="35"/>
        <v>2166518.170655529</v>
      </c>
      <c r="AK295" s="208">
        <f t="shared" si="36"/>
        <v>-363910.89871702093</v>
      </c>
      <c r="AL295" s="235"/>
      <c r="AM295" s="52">
        <f t="shared" si="30"/>
        <v>0</v>
      </c>
      <c r="AN295" s="52">
        <f t="shared" si="31"/>
        <v>1</v>
      </c>
      <c r="AO295" s="52">
        <f t="shared" si="32"/>
        <v>0</v>
      </c>
      <c r="AP295" s="235"/>
      <c r="AQ295" s="3"/>
      <c r="AR295" s="3"/>
      <c r="AS295" s="3"/>
      <c r="AT295" s="3"/>
      <c r="AU295" s="235"/>
      <c r="AV295" s="360">
        <f t="shared" si="37"/>
        <v>2166518.170655529</v>
      </c>
      <c r="AW295" s="235"/>
      <c r="AX295" s="354"/>
      <c r="AY295" s="14"/>
      <c r="AZ295" s="14">
        <f t="shared" si="39"/>
        <v>4622.9779072899837</v>
      </c>
      <c r="BA295" s="14">
        <f t="shared" si="38"/>
        <v>-0.37819781137866415</v>
      </c>
      <c r="BB295" s="14">
        <f t="shared" si="33"/>
        <v>-12223.703491137619</v>
      </c>
      <c r="BC295" s="14"/>
      <c r="BD295" s="14"/>
      <c r="BE295" s="14"/>
      <c r="BF295" s="14"/>
      <c r="BG295" s="14"/>
      <c r="BH295" s="14"/>
      <c r="BI295" s="14"/>
      <c r="BJ295" s="14"/>
      <c r="BK295" s="14"/>
      <c r="BL295" s="14"/>
      <c r="BM295" s="14"/>
      <c r="BN295" s="14"/>
      <c r="BO295" s="14"/>
      <c r="BP295" s="14"/>
      <c r="BQ295" s="14"/>
      <c r="BR295" s="14"/>
      <c r="BS295" s="14"/>
      <c r="BT295" s="14"/>
      <c r="BU295" s="14"/>
      <c r="BV295" s="14"/>
      <c r="BW295" s="14"/>
      <c r="BX295" s="14"/>
      <c r="BY295" s="14"/>
      <c r="BZ295" s="14"/>
      <c r="CA295" s="14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</row>
    <row r="296" spans="1:101" ht="14.25" customHeight="1" x14ac:dyDescent="0.2">
      <c r="A296" s="328"/>
      <c r="B296" s="52">
        <v>0.16372253944753268</v>
      </c>
      <c r="C296" s="330">
        <v>0.31637050279595824</v>
      </c>
      <c r="D296" s="330">
        <v>1.0597181326353783E-2</v>
      </c>
      <c r="E296" s="330">
        <v>6.7030761040782656E-3</v>
      </c>
      <c r="F296" s="331">
        <v>0.75244798988773176</v>
      </c>
      <c r="G296" s="94">
        <v>0.36979266012366419</v>
      </c>
      <c r="H296" s="330">
        <v>0.75371167747197987</v>
      </c>
      <c r="I296" s="330">
        <v>2.1020188930143124E-2</v>
      </c>
      <c r="J296" s="330">
        <v>1</v>
      </c>
      <c r="K296" s="330">
        <v>0.73075427088515066</v>
      </c>
      <c r="L296" s="332">
        <v>11393.637243413594</v>
      </c>
      <c r="M296" s="330">
        <v>0</v>
      </c>
      <c r="N296" s="330">
        <v>16809.187758780074</v>
      </c>
      <c r="O296" s="330">
        <v>1093.2310496055848</v>
      </c>
      <c r="P296" s="330">
        <v>40233.246286980197</v>
      </c>
      <c r="Q296" s="333">
        <v>81037.387891293591</v>
      </c>
      <c r="R296" s="330">
        <v>18433.521069216247</v>
      </c>
      <c r="S296" s="330">
        <v>7672.0260512643872</v>
      </c>
      <c r="T296" s="332">
        <v>0.99049221763113771</v>
      </c>
      <c r="U296" s="330">
        <v>0.99032000849605728</v>
      </c>
      <c r="V296" s="330">
        <v>0.99818399015034887</v>
      </c>
      <c r="W296" s="330">
        <v>0.73153572617887097</v>
      </c>
      <c r="X296" s="330">
        <v>0.66364824053841898</v>
      </c>
      <c r="Y296" s="330">
        <v>0</v>
      </c>
      <c r="Z296" s="331">
        <v>0</v>
      </c>
      <c r="AA296" s="235"/>
      <c r="AB296" s="52">
        <v>74617.945747246151</v>
      </c>
      <c r="AC296" s="330">
        <v>3.0999662867813971</v>
      </c>
      <c r="AD296" s="330">
        <v>66715.858474675406</v>
      </c>
      <c r="AE296" s="330">
        <v>2.9938025700228561</v>
      </c>
      <c r="AF296" s="330">
        <v>7902.087272570745</v>
      </c>
      <c r="AG296" s="331">
        <v>0.10616371675854097</v>
      </c>
      <c r="AH296" s="235"/>
      <c r="AI296" s="208">
        <f t="shared" si="34"/>
        <v>2870350.026695081</v>
      </c>
      <c r="AJ296" s="208">
        <f t="shared" si="35"/>
        <v>2777396.5830470379</v>
      </c>
      <c r="AK296" s="208">
        <f t="shared" si="36"/>
        <v>92953.443648043176</v>
      </c>
      <c r="AL296" s="235"/>
      <c r="AM296" s="52">
        <f t="shared" si="30"/>
        <v>1</v>
      </c>
      <c r="AN296" s="52">
        <f t="shared" si="31"/>
        <v>0</v>
      </c>
      <c r="AO296" s="52">
        <f t="shared" si="32"/>
        <v>1</v>
      </c>
      <c r="AP296" s="235"/>
      <c r="AQ296" s="3"/>
      <c r="AR296" s="3"/>
      <c r="AS296" s="3"/>
      <c r="AT296" s="3"/>
      <c r="AU296" s="235"/>
      <c r="AV296" s="360">
        <f t="shared" si="37"/>
        <v>2870350.026695081</v>
      </c>
      <c r="AW296" s="235"/>
      <c r="AX296" s="354"/>
      <c r="AY296" s="14"/>
      <c r="AZ296" s="14">
        <f t="shared" si="39"/>
        <v>7902.087272570745</v>
      </c>
      <c r="BA296" s="14">
        <f t="shared" si="38"/>
        <v>0.10616371675854097</v>
      </c>
      <c r="BB296" s="14">
        <f t="shared" si="33"/>
        <v>74433.031489875895</v>
      </c>
      <c r="BC296" s="14"/>
      <c r="BD296" s="14"/>
      <c r="BE296" s="14"/>
      <c r="BF296" s="14"/>
      <c r="BG296" s="14"/>
      <c r="BH296" s="14"/>
      <c r="BI296" s="14"/>
      <c r="BJ296" s="14"/>
      <c r="BK296" s="14"/>
      <c r="BL296" s="14"/>
      <c r="BM296" s="14"/>
      <c r="BN296" s="14"/>
      <c r="BO296" s="14"/>
      <c r="BP296" s="14"/>
      <c r="BQ296" s="14"/>
      <c r="BR296" s="14"/>
      <c r="BS296" s="14"/>
      <c r="BT296" s="14"/>
      <c r="BU296" s="14"/>
      <c r="BV296" s="14"/>
      <c r="BW296" s="14"/>
      <c r="BX296" s="14"/>
      <c r="BY296" s="14"/>
      <c r="BZ296" s="14"/>
      <c r="CA296" s="14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</row>
    <row r="297" spans="1:101" ht="14.25" customHeight="1" x14ac:dyDescent="0.2">
      <c r="A297" s="328"/>
      <c r="B297" s="52">
        <v>0.14806149514270955</v>
      </c>
      <c r="C297" s="330">
        <v>7.4237359682153642E-2</v>
      </c>
      <c r="D297" s="330">
        <v>1.3175027097662577E-2</v>
      </c>
      <c r="E297" s="330">
        <v>1.2617082658589848E-2</v>
      </c>
      <c r="F297" s="331">
        <v>0.77713020368191099</v>
      </c>
      <c r="G297" s="94">
        <v>0.44397587218966761</v>
      </c>
      <c r="H297" s="330">
        <v>6.5668042545091232E-2</v>
      </c>
      <c r="I297" s="330">
        <v>2.3287887322923084E-2</v>
      </c>
      <c r="J297" s="330">
        <v>0.99999999998272615</v>
      </c>
      <c r="K297" s="330">
        <v>0.7657974334746267</v>
      </c>
      <c r="L297" s="332">
        <v>10178.378889375932</v>
      </c>
      <c r="M297" s="330">
        <v>0</v>
      </c>
      <c r="N297" s="330">
        <v>25235.79319186772</v>
      </c>
      <c r="O297" s="330">
        <v>1068.7879400528921</v>
      </c>
      <c r="P297" s="330">
        <v>30280.624586999187</v>
      </c>
      <c r="Q297" s="333">
        <v>100665.23719303333</v>
      </c>
      <c r="R297" s="330">
        <v>23263.649468042429</v>
      </c>
      <c r="S297" s="330">
        <v>8290.667488334986</v>
      </c>
      <c r="T297" s="332">
        <v>0.99998108380440121</v>
      </c>
      <c r="U297" s="330">
        <v>0.77945574426034769</v>
      </c>
      <c r="V297" s="330">
        <v>0.78653585278394067</v>
      </c>
      <c r="W297" s="330">
        <v>0.40930506061522243</v>
      </c>
      <c r="X297" s="330">
        <v>0.81197885927139557</v>
      </c>
      <c r="Y297" s="330">
        <v>0</v>
      </c>
      <c r="Z297" s="331">
        <v>0</v>
      </c>
      <c r="AA297" s="235"/>
      <c r="AB297" s="52">
        <v>79930.619320621016</v>
      </c>
      <c r="AC297" s="330">
        <v>3.9972048670871025</v>
      </c>
      <c r="AD297" s="330">
        <v>70901.917932245953</v>
      </c>
      <c r="AE297" s="330">
        <v>3.9477060330661722</v>
      </c>
      <c r="AF297" s="330">
        <v>9028.7013883750624</v>
      </c>
      <c r="AG297" s="331">
        <v>4.949883402093036E-2</v>
      </c>
      <c r="AH297" s="235"/>
      <c r="AI297" s="208">
        <f t="shared" si="34"/>
        <v>3717414.0044121267</v>
      </c>
      <c r="AJ297" s="208">
        <f t="shared" si="35"/>
        <v>3679418.8134806175</v>
      </c>
      <c r="AK297" s="208">
        <f t="shared" si="36"/>
        <v>37995.190931508783</v>
      </c>
      <c r="AL297" s="235"/>
      <c r="AM297" s="52">
        <f t="shared" si="30"/>
        <v>1</v>
      </c>
      <c r="AN297" s="52">
        <f t="shared" si="31"/>
        <v>0</v>
      </c>
      <c r="AO297" s="52">
        <f t="shared" si="32"/>
        <v>1</v>
      </c>
      <c r="AP297" s="235"/>
      <c r="AQ297" s="3"/>
      <c r="AR297" s="3"/>
      <c r="AS297" s="3"/>
      <c r="AT297" s="3"/>
      <c r="AU297" s="235"/>
      <c r="AV297" s="360">
        <f t="shared" si="37"/>
        <v>3717414.0044121267</v>
      </c>
      <c r="AW297" s="235"/>
      <c r="AX297" s="354"/>
      <c r="AY297" s="14"/>
      <c r="AZ297" s="14">
        <f t="shared" si="39"/>
        <v>9028.7013883750624</v>
      </c>
      <c r="BA297" s="14">
        <f t="shared" si="38"/>
        <v>4.949883402093036E-2</v>
      </c>
      <c r="BB297" s="14">
        <f t="shared" si="33"/>
        <v>182402.30435644841</v>
      </c>
      <c r="BC297" s="14"/>
      <c r="BD297" s="14"/>
      <c r="BE297" s="14"/>
      <c r="BF297" s="14"/>
      <c r="BG297" s="14"/>
      <c r="BH297" s="14"/>
      <c r="BI297" s="14"/>
      <c r="BJ297" s="14"/>
      <c r="BK297" s="14"/>
      <c r="BL297" s="14"/>
      <c r="BM297" s="14"/>
      <c r="BN297" s="14"/>
      <c r="BO297" s="14"/>
      <c r="BP297" s="14"/>
      <c r="BQ297" s="14"/>
      <c r="BR297" s="14"/>
      <c r="BS297" s="14"/>
      <c r="BT297" s="14"/>
      <c r="BU297" s="14"/>
      <c r="BV297" s="14"/>
      <c r="BW297" s="14"/>
      <c r="BX297" s="14"/>
      <c r="BY297" s="14"/>
      <c r="BZ297" s="14"/>
      <c r="CA297" s="14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</row>
    <row r="298" spans="1:101" ht="14.25" customHeight="1" x14ac:dyDescent="0.2">
      <c r="A298" s="328"/>
      <c r="B298" s="52">
        <v>0.17837635233828086</v>
      </c>
      <c r="C298" s="330">
        <v>0.58206666500292059</v>
      </c>
      <c r="D298" s="330">
        <v>1.3036335686018884E-2</v>
      </c>
      <c r="E298" s="330">
        <v>2.6531882242541993E-2</v>
      </c>
      <c r="F298" s="331">
        <v>0.803742113870894</v>
      </c>
      <c r="G298" s="94">
        <v>0.41194378688500632</v>
      </c>
      <c r="H298" s="330">
        <v>0.40313908527641307</v>
      </c>
      <c r="I298" s="330">
        <v>1.3573707729461679E-2</v>
      </c>
      <c r="J298" s="330">
        <v>0.999999999999994</v>
      </c>
      <c r="K298" s="330">
        <v>0.79133750569566774</v>
      </c>
      <c r="L298" s="332">
        <v>15032.262496684603</v>
      </c>
      <c r="M298" s="330">
        <v>0</v>
      </c>
      <c r="N298" s="330">
        <v>19568.494107210958</v>
      </c>
      <c r="O298" s="330">
        <v>1203.6567709906592</v>
      </c>
      <c r="P298" s="330">
        <v>50390.881599983157</v>
      </c>
      <c r="Q298" s="333">
        <v>99755.36348171001</v>
      </c>
      <c r="R298" s="330">
        <v>25713.503574629347</v>
      </c>
      <c r="S298" s="330">
        <v>7635.8583524637643</v>
      </c>
      <c r="T298" s="332">
        <v>0.98328869450542711</v>
      </c>
      <c r="U298" s="330">
        <v>0.76200533693433059</v>
      </c>
      <c r="V298" s="330">
        <v>0.91255093936238141</v>
      </c>
      <c r="W298" s="330">
        <v>0.90004122865861469</v>
      </c>
      <c r="X298" s="330">
        <v>0.99034222870320576</v>
      </c>
      <c r="Y298" s="330">
        <v>0</v>
      </c>
      <c r="Z298" s="331">
        <v>0</v>
      </c>
      <c r="AA298" s="235"/>
      <c r="AB298" s="52">
        <v>84013.371741053445</v>
      </c>
      <c r="AC298" s="330">
        <v>5.2650241134477396</v>
      </c>
      <c r="AD298" s="330">
        <v>70584.70688123224</v>
      </c>
      <c r="AE298" s="330">
        <v>5.0845973083952121</v>
      </c>
      <c r="AF298" s="330">
        <v>13428.664859821205</v>
      </c>
      <c r="AG298" s="331">
        <v>0.18042680505252751</v>
      </c>
      <c r="AH298" s="235"/>
      <c r="AI298" s="208">
        <f t="shared" si="34"/>
        <v>4917759.5360342991</v>
      </c>
      <c r="AJ298" s="208">
        <f t="shared" si="35"/>
        <v>4759782.7360942187</v>
      </c>
      <c r="AK298" s="208">
        <f t="shared" si="36"/>
        <v>157976.79994007992</v>
      </c>
      <c r="AL298" s="235"/>
      <c r="AM298" s="52">
        <f t="shared" si="30"/>
        <v>1</v>
      </c>
      <c r="AN298" s="52">
        <f t="shared" si="31"/>
        <v>0</v>
      </c>
      <c r="AO298" s="52">
        <f t="shared" si="32"/>
        <v>1</v>
      </c>
      <c r="AP298" s="235"/>
      <c r="AQ298" s="3"/>
      <c r="AR298" s="3"/>
      <c r="AS298" s="3"/>
      <c r="AT298" s="3"/>
      <c r="AU298" s="235"/>
      <c r="AV298" s="360">
        <f t="shared" si="37"/>
        <v>4917759.5360342991</v>
      </c>
      <c r="AW298" s="235"/>
      <c r="AX298" s="354"/>
      <c r="AY298" s="14"/>
      <c r="AZ298" s="14">
        <f t="shared" si="39"/>
        <v>13428.664859821205</v>
      </c>
      <c r="BA298" s="14">
        <f t="shared" si="38"/>
        <v>0.18042680505252751</v>
      </c>
      <c r="BB298" s="14">
        <f t="shared" si="33"/>
        <v>74427.216376811251</v>
      </c>
      <c r="BC298" s="14"/>
      <c r="BD298" s="14"/>
      <c r="BE298" s="14"/>
      <c r="BF298" s="14"/>
      <c r="BG298" s="14"/>
      <c r="BH298" s="14"/>
      <c r="BI298" s="14"/>
      <c r="BJ298" s="14"/>
      <c r="BK298" s="14"/>
      <c r="BL298" s="14"/>
      <c r="BM298" s="14"/>
      <c r="BN298" s="14"/>
      <c r="BO298" s="14"/>
      <c r="BP298" s="14"/>
      <c r="BQ298" s="14"/>
      <c r="BR298" s="14"/>
      <c r="BS298" s="14"/>
      <c r="BT298" s="14"/>
      <c r="BU298" s="14"/>
      <c r="BV298" s="14"/>
      <c r="BW298" s="14"/>
      <c r="BX298" s="14"/>
      <c r="BY298" s="14"/>
      <c r="BZ298" s="14"/>
      <c r="CA298" s="14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</row>
    <row r="299" spans="1:101" ht="14.25" customHeight="1" x14ac:dyDescent="0.2">
      <c r="A299" s="328"/>
      <c r="B299" s="52">
        <v>0.17619136572641136</v>
      </c>
      <c r="C299" s="330">
        <v>0.61814849662162619</v>
      </c>
      <c r="D299" s="330">
        <v>7.1700325673931982E-3</v>
      </c>
      <c r="E299" s="330">
        <v>1.9643069505085542E-2</v>
      </c>
      <c r="F299" s="331">
        <v>0.77741540133710341</v>
      </c>
      <c r="G299" s="94">
        <v>0.34242779189786021</v>
      </c>
      <c r="H299" s="330">
        <v>0.66692377789615853</v>
      </c>
      <c r="I299" s="330">
        <v>2.9373359057561776E-2</v>
      </c>
      <c r="J299" s="330">
        <v>1</v>
      </c>
      <c r="K299" s="330">
        <v>0.74128772648125285</v>
      </c>
      <c r="L299" s="332">
        <v>15140.53725835938</v>
      </c>
      <c r="M299" s="330">
        <v>0</v>
      </c>
      <c r="N299" s="330">
        <v>20022.871581032676</v>
      </c>
      <c r="O299" s="330">
        <v>1481.29042582179</v>
      </c>
      <c r="P299" s="330">
        <v>36622.08769033401</v>
      </c>
      <c r="Q299" s="333">
        <v>120216.36610506875</v>
      </c>
      <c r="R299" s="330">
        <v>20014.026845891964</v>
      </c>
      <c r="S299" s="330">
        <v>8244.1102341051919</v>
      </c>
      <c r="T299" s="332">
        <v>0.5550161984202624</v>
      </c>
      <c r="U299" s="330">
        <v>0.96887189696747733</v>
      </c>
      <c r="V299" s="330">
        <v>0.98697802971358839</v>
      </c>
      <c r="W299" s="330">
        <v>0.99999957206730716</v>
      </c>
      <c r="X299" s="330">
        <v>0.65953304694307247</v>
      </c>
      <c r="Y299" s="330">
        <v>0</v>
      </c>
      <c r="Z299" s="331">
        <v>0</v>
      </c>
      <c r="AA299" s="235"/>
      <c r="AB299" s="52">
        <v>86512.094566908185</v>
      </c>
      <c r="AC299" s="330">
        <v>3.2614414763691073</v>
      </c>
      <c r="AD299" s="330">
        <v>72428.320647775196</v>
      </c>
      <c r="AE299" s="330">
        <v>2.9646209176397664</v>
      </c>
      <c r="AF299" s="330">
        <v>14083.773919132989</v>
      </c>
      <c r="AG299" s="331">
        <v>0.29682055872934088</v>
      </c>
      <c r="AH299" s="235"/>
      <c r="AI299" s="208">
        <f t="shared" si="34"/>
        <v>3011857.307983744</v>
      </c>
      <c r="AJ299" s="208">
        <f t="shared" si="35"/>
        <v>2743961.5511100031</v>
      </c>
      <c r="AK299" s="208">
        <f t="shared" si="36"/>
        <v>267895.75687374081</v>
      </c>
      <c r="AL299" s="235"/>
      <c r="AM299" s="52">
        <f t="shared" si="30"/>
        <v>1</v>
      </c>
      <c r="AN299" s="52">
        <f t="shared" si="31"/>
        <v>0</v>
      </c>
      <c r="AO299" s="52">
        <f t="shared" si="32"/>
        <v>1</v>
      </c>
      <c r="AP299" s="235"/>
      <c r="AQ299" s="3"/>
      <c r="AR299" s="3"/>
      <c r="AS299" s="3"/>
      <c r="AT299" s="3"/>
      <c r="AU299" s="235"/>
      <c r="AV299" s="360">
        <f t="shared" si="37"/>
        <v>3011857.307983744</v>
      </c>
      <c r="AW299" s="235"/>
      <c r="AX299" s="354"/>
      <c r="AY299" s="14"/>
      <c r="AZ299" s="14">
        <f t="shared" si="39"/>
        <v>14083.773919132989</v>
      </c>
      <c r="BA299" s="14">
        <f t="shared" si="38"/>
        <v>0.29682055872934088</v>
      </c>
      <c r="BB299" s="14">
        <f t="shared" si="33"/>
        <v>47448.781780562022</v>
      </c>
      <c r="BC299" s="14"/>
      <c r="BD299" s="14"/>
      <c r="BE299" s="14"/>
      <c r="BF299" s="14"/>
      <c r="BG299" s="14"/>
      <c r="BH299" s="14"/>
      <c r="BI299" s="14"/>
      <c r="BJ299" s="14"/>
      <c r="BK299" s="14"/>
      <c r="BL299" s="14"/>
      <c r="BM299" s="14"/>
      <c r="BN299" s="14"/>
      <c r="BO299" s="14"/>
      <c r="BP299" s="14"/>
      <c r="BQ299" s="14"/>
      <c r="BR299" s="14"/>
      <c r="BS299" s="14"/>
      <c r="BT299" s="14"/>
      <c r="BU299" s="14"/>
      <c r="BV299" s="14"/>
      <c r="BW299" s="14"/>
      <c r="BX299" s="14"/>
      <c r="BY299" s="14"/>
      <c r="BZ299" s="14"/>
      <c r="CA299" s="14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</row>
    <row r="300" spans="1:101" ht="14.25" customHeight="1" x14ac:dyDescent="0.2">
      <c r="A300" s="328"/>
      <c r="B300" s="52">
        <v>0.17693158211910309</v>
      </c>
      <c r="C300" s="330">
        <v>0.59581749900159153</v>
      </c>
      <c r="D300" s="330">
        <v>7.9725825124418916E-3</v>
      </c>
      <c r="E300" s="330">
        <v>9.7322539200772086E-3</v>
      </c>
      <c r="F300" s="331">
        <v>0.79423291761496806</v>
      </c>
      <c r="G300" s="94">
        <v>0.46414730383962288</v>
      </c>
      <c r="H300" s="330">
        <v>0.23440554950995707</v>
      </c>
      <c r="I300" s="330">
        <v>2.2370299473802535E-2</v>
      </c>
      <c r="J300" s="330">
        <v>1</v>
      </c>
      <c r="K300" s="330">
        <v>0.75095978050667911</v>
      </c>
      <c r="L300" s="332">
        <v>8008.0437782740009</v>
      </c>
      <c r="M300" s="330">
        <v>0</v>
      </c>
      <c r="N300" s="330">
        <v>20946.220391250627</v>
      </c>
      <c r="O300" s="330">
        <v>1665.5034052958069</v>
      </c>
      <c r="P300" s="330">
        <v>55271.259409110789</v>
      </c>
      <c r="Q300" s="333">
        <v>87204.43557637489</v>
      </c>
      <c r="R300" s="330">
        <v>24603.003667299639</v>
      </c>
      <c r="S300" s="330">
        <v>8518.875440886557</v>
      </c>
      <c r="T300" s="332">
        <v>0.9874720076977811</v>
      </c>
      <c r="U300" s="330">
        <v>0.62960508464021325</v>
      </c>
      <c r="V300" s="330">
        <v>0.96643859489395789</v>
      </c>
      <c r="W300" s="330">
        <v>0.92592260974304919</v>
      </c>
      <c r="X300" s="330">
        <v>0.99999999996110245</v>
      </c>
      <c r="Y300" s="330">
        <v>0</v>
      </c>
      <c r="Z300" s="331">
        <v>0</v>
      </c>
      <c r="AA300" s="235"/>
      <c r="AB300" s="52">
        <v>83627.606146455597</v>
      </c>
      <c r="AC300" s="330">
        <v>4.863673472722323</v>
      </c>
      <c r="AD300" s="330">
        <v>73890.225153549225</v>
      </c>
      <c r="AE300" s="330">
        <v>4.6442832272718295</v>
      </c>
      <c r="AF300" s="330">
        <v>9737.3809929063718</v>
      </c>
      <c r="AG300" s="331">
        <v>0.21939024545049346</v>
      </c>
      <c r="AH300" s="235"/>
      <c r="AI300" s="208">
        <f t="shared" si="34"/>
        <v>4536862.1929397509</v>
      </c>
      <c r="AJ300" s="208">
        <f t="shared" si="35"/>
        <v>4338178.8407546887</v>
      </c>
      <c r="AK300" s="208">
        <f t="shared" si="36"/>
        <v>198683.35218506242</v>
      </c>
      <c r="AL300" s="235"/>
      <c r="AM300" s="52">
        <f t="shared" si="30"/>
        <v>1</v>
      </c>
      <c r="AN300" s="52">
        <f t="shared" si="31"/>
        <v>0</v>
      </c>
      <c r="AO300" s="52">
        <f t="shared" si="32"/>
        <v>1</v>
      </c>
      <c r="AP300" s="235"/>
      <c r="AQ300" s="3"/>
      <c r="AR300" s="3"/>
      <c r="AS300" s="3"/>
      <c r="AT300" s="3"/>
      <c r="AU300" s="235"/>
      <c r="AV300" s="360">
        <f t="shared" si="37"/>
        <v>4536862.1929397509</v>
      </c>
      <c r="AW300" s="235"/>
      <c r="AX300" s="354"/>
      <c r="AY300" s="14"/>
      <c r="AZ300" s="14">
        <f t="shared" si="39"/>
        <v>9737.3809929063718</v>
      </c>
      <c r="BA300" s="14">
        <f t="shared" si="38"/>
        <v>0.21939024545049346</v>
      </c>
      <c r="BB300" s="14">
        <f t="shared" si="33"/>
        <v>44383.837453263899</v>
      </c>
      <c r="BC300" s="14"/>
      <c r="BD300" s="14"/>
      <c r="BE300" s="14"/>
      <c r="BF300" s="14"/>
      <c r="BG300" s="14"/>
      <c r="BH300" s="14"/>
      <c r="BI300" s="14"/>
      <c r="BJ300" s="14"/>
      <c r="BK300" s="14"/>
      <c r="BL300" s="14"/>
      <c r="BM300" s="14"/>
      <c r="BN300" s="14"/>
      <c r="BO300" s="14"/>
      <c r="BP300" s="14"/>
      <c r="BQ300" s="14"/>
      <c r="BR300" s="14"/>
      <c r="BS300" s="14"/>
      <c r="BT300" s="14"/>
      <c r="BU300" s="14"/>
      <c r="BV300" s="14"/>
      <c r="BW300" s="14"/>
      <c r="BX300" s="14"/>
      <c r="BY300" s="14"/>
      <c r="BZ300" s="14"/>
      <c r="CA300" s="14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</row>
    <row r="301" spans="1:101" ht="14.25" customHeight="1" x14ac:dyDescent="0.2">
      <c r="A301" s="328"/>
      <c r="B301" s="52">
        <v>0.15412838141941976</v>
      </c>
      <c r="C301" s="330">
        <v>0.16749434311610104</v>
      </c>
      <c r="D301" s="330">
        <v>5.4270209458513385E-3</v>
      </c>
      <c r="E301" s="330">
        <v>1.5054542983738539E-2</v>
      </c>
      <c r="F301" s="331">
        <v>0.7858591132855175</v>
      </c>
      <c r="G301" s="94">
        <v>0.41808708027182628</v>
      </c>
      <c r="H301" s="330">
        <v>0.21379127884800792</v>
      </c>
      <c r="I301" s="330">
        <v>2.9629937323492284E-2</v>
      </c>
      <c r="J301" s="330">
        <v>0.92723352910646151</v>
      </c>
      <c r="K301" s="330">
        <v>0.75036048513886089</v>
      </c>
      <c r="L301" s="332">
        <v>10333.257646035554</v>
      </c>
      <c r="M301" s="330">
        <v>0</v>
      </c>
      <c r="N301" s="330">
        <v>22519.233323651679</v>
      </c>
      <c r="O301" s="330">
        <v>1175.5577914803362</v>
      </c>
      <c r="P301" s="330">
        <v>39710.640211377024</v>
      </c>
      <c r="Q301" s="333">
        <v>81045.558428921882</v>
      </c>
      <c r="R301" s="330">
        <v>29031.956804637059</v>
      </c>
      <c r="S301" s="330">
        <v>10107.327804792058</v>
      </c>
      <c r="T301" s="332">
        <v>0.29936021277784164</v>
      </c>
      <c r="U301" s="330">
        <v>0.99997887630042248</v>
      </c>
      <c r="V301" s="330">
        <v>0.62043884732061272</v>
      </c>
      <c r="W301" s="330">
        <v>0.89856108843426696</v>
      </c>
      <c r="X301" s="330">
        <v>0.7078605562535083</v>
      </c>
      <c r="Y301" s="330">
        <v>0</v>
      </c>
      <c r="Z301" s="331">
        <v>0</v>
      </c>
      <c r="AA301" s="235"/>
      <c r="AB301" s="52">
        <v>96569.977234445469</v>
      </c>
      <c r="AC301" s="330">
        <v>3.3823562146460731</v>
      </c>
      <c r="AD301" s="330">
        <v>86175.748513777871</v>
      </c>
      <c r="AE301" s="330">
        <v>3.6116155850790723</v>
      </c>
      <c r="AF301" s="330">
        <v>10394.228720667597</v>
      </c>
      <c r="AG301" s="331">
        <v>-0.22925937043299927</v>
      </c>
      <c r="AH301" s="235"/>
      <c r="AI301" s="208">
        <f t="shared" si="34"/>
        <v>3116668.4266793239</v>
      </c>
      <c r="AJ301" s="208">
        <f t="shared" si="35"/>
        <v>3344859.0573113412</v>
      </c>
      <c r="AK301" s="208">
        <f t="shared" si="36"/>
        <v>-228190.6306320169</v>
      </c>
      <c r="AL301" s="235"/>
      <c r="AM301" s="52">
        <f t="shared" si="30"/>
        <v>0</v>
      </c>
      <c r="AN301" s="52">
        <f t="shared" si="31"/>
        <v>1</v>
      </c>
      <c r="AO301" s="52">
        <f t="shared" si="32"/>
        <v>0</v>
      </c>
      <c r="AP301" s="235"/>
      <c r="AQ301" s="3"/>
      <c r="AR301" s="3"/>
      <c r="AS301" s="3"/>
      <c r="AT301" s="3"/>
      <c r="AU301" s="235"/>
      <c r="AV301" s="360">
        <f t="shared" si="37"/>
        <v>3344859.0573113412</v>
      </c>
      <c r="AW301" s="235"/>
      <c r="AX301" s="354"/>
      <c r="AY301" s="14"/>
      <c r="AZ301" s="14">
        <f t="shared" si="39"/>
        <v>10394.228720667597</v>
      </c>
      <c r="BA301" s="14">
        <f t="shared" si="38"/>
        <v>-0.22925937043299927</v>
      </c>
      <c r="BB301" s="14">
        <f t="shared" si="33"/>
        <v>-45338.293920270953</v>
      </c>
      <c r="BC301" s="14"/>
      <c r="BD301" s="14"/>
      <c r="BE301" s="14"/>
      <c r="BF301" s="14"/>
      <c r="BG301" s="14"/>
      <c r="BH301" s="14"/>
      <c r="BI301" s="14"/>
      <c r="BJ301" s="14"/>
      <c r="BK301" s="14"/>
      <c r="BL301" s="14"/>
      <c r="BM301" s="14"/>
      <c r="BN301" s="14"/>
      <c r="BO301" s="14"/>
      <c r="BP301" s="14"/>
      <c r="BQ301" s="14"/>
      <c r="BR301" s="14"/>
      <c r="BS301" s="14"/>
      <c r="BT301" s="14"/>
      <c r="BU301" s="14"/>
      <c r="BV301" s="14"/>
      <c r="BW301" s="14"/>
      <c r="BX301" s="14"/>
      <c r="BY301" s="14"/>
      <c r="BZ301" s="14"/>
      <c r="CA301" s="14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</row>
    <row r="302" spans="1:101" ht="14.25" customHeight="1" x14ac:dyDescent="0.2">
      <c r="A302" s="328"/>
      <c r="B302" s="52">
        <v>0.18867087639013869</v>
      </c>
      <c r="C302" s="330">
        <v>0.32072112641528372</v>
      </c>
      <c r="D302" s="330">
        <v>1.8676131168651189E-2</v>
      </c>
      <c r="E302" s="330">
        <v>6.1481072369072784E-3</v>
      </c>
      <c r="F302" s="331">
        <v>0.79833186220334684</v>
      </c>
      <c r="G302" s="94">
        <v>0.40619900688487987</v>
      </c>
      <c r="H302" s="330">
        <v>0.18995493758385243</v>
      </c>
      <c r="I302" s="330">
        <v>3.3711550131452439E-2</v>
      </c>
      <c r="J302" s="330">
        <v>0.99999946538346551</v>
      </c>
      <c r="K302" s="330">
        <v>0.74376522035415416</v>
      </c>
      <c r="L302" s="332">
        <v>10106.368459036375</v>
      </c>
      <c r="M302" s="330">
        <v>0</v>
      </c>
      <c r="N302" s="330">
        <v>14606.549414239213</v>
      </c>
      <c r="O302" s="330">
        <v>1187.9466522167579</v>
      </c>
      <c r="P302" s="330">
        <v>43919.796463582708</v>
      </c>
      <c r="Q302" s="333">
        <v>96521.814237260478</v>
      </c>
      <c r="R302" s="330">
        <v>30307.965288843498</v>
      </c>
      <c r="S302" s="330">
        <v>9508.0593226906894</v>
      </c>
      <c r="T302" s="332">
        <v>0.19107200046698078</v>
      </c>
      <c r="U302" s="330">
        <v>0.34538084911191935</v>
      </c>
      <c r="V302" s="330">
        <v>0.92271676188340379</v>
      </c>
      <c r="W302" s="330">
        <v>0.99660313587650751</v>
      </c>
      <c r="X302" s="330">
        <v>0.98372765415828489</v>
      </c>
      <c r="Y302" s="330">
        <v>0</v>
      </c>
      <c r="Z302" s="331">
        <v>0</v>
      </c>
      <c r="AA302" s="235"/>
      <c r="AB302" s="52">
        <v>93962.174333482326</v>
      </c>
      <c r="AC302" s="330">
        <v>4.7769200384956285</v>
      </c>
      <c r="AD302" s="330">
        <v>80887.261683703429</v>
      </c>
      <c r="AE302" s="330">
        <v>4.4217754973436616</v>
      </c>
      <c r="AF302" s="330">
        <v>13074.912649778897</v>
      </c>
      <c r="AG302" s="331">
        <v>0.35514454115196692</v>
      </c>
      <c r="AH302" s="235"/>
      <c r="AI302" s="208">
        <f t="shared" si="34"/>
        <v>4444111.862237365</v>
      </c>
      <c r="AJ302" s="208">
        <f t="shared" si="35"/>
        <v>4119799.4607927753</v>
      </c>
      <c r="AK302" s="208">
        <f t="shared" si="36"/>
        <v>324312.40144458972</v>
      </c>
      <c r="AL302" s="235"/>
      <c r="AM302" s="52">
        <f t="shared" si="30"/>
        <v>1</v>
      </c>
      <c r="AN302" s="52">
        <f t="shared" si="31"/>
        <v>0</v>
      </c>
      <c r="AO302" s="52">
        <f t="shared" si="32"/>
        <v>1</v>
      </c>
      <c r="AP302" s="235"/>
      <c r="AQ302" s="3"/>
      <c r="AR302" s="3"/>
      <c r="AS302" s="3"/>
      <c r="AT302" s="3"/>
      <c r="AU302" s="235"/>
      <c r="AV302" s="360">
        <f t="shared" si="37"/>
        <v>4444111.862237365</v>
      </c>
      <c r="AW302" s="235"/>
      <c r="AX302" s="354"/>
      <c r="AY302" s="14"/>
      <c r="AZ302" s="14">
        <f t="shared" si="39"/>
        <v>13074.912649778897</v>
      </c>
      <c r="BA302" s="14">
        <f t="shared" si="38"/>
        <v>0.35514454115196692</v>
      </c>
      <c r="BB302" s="14">
        <f t="shared" si="33"/>
        <v>36815.75002495708</v>
      </c>
      <c r="BC302" s="14"/>
      <c r="BD302" s="14"/>
      <c r="BE302" s="14"/>
      <c r="BF302" s="14"/>
      <c r="BG302" s="14"/>
      <c r="BH302" s="14"/>
      <c r="BI302" s="14"/>
      <c r="BJ302" s="14"/>
      <c r="BK302" s="14"/>
      <c r="BL302" s="14"/>
      <c r="BM302" s="14"/>
      <c r="BN302" s="14"/>
      <c r="BO302" s="14"/>
      <c r="BP302" s="14"/>
      <c r="BQ302" s="14"/>
      <c r="BR302" s="14"/>
      <c r="BS302" s="14"/>
      <c r="BT302" s="14"/>
      <c r="BU302" s="14"/>
      <c r="BV302" s="14"/>
      <c r="BW302" s="14"/>
      <c r="BX302" s="14"/>
      <c r="BY302" s="14"/>
      <c r="BZ302" s="14"/>
      <c r="CA302" s="14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</row>
    <row r="303" spans="1:101" ht="14.25" customHeight="1" x14ac:dyDescent="0.2">
      <c r="A303" s="328"/>
      <c r="B303" s="52">
        <v>0.16817093311397624</v>
      </c>
      <c r="C303" s="330">
        <v>0.48483912699923593</v>
      </c>
      <c r="D303" s="330">
        <v>2.0066490605938347E-2</v>
      </c>
      <c r="E303" s="330">
        <v>8.6271105363315143E-3</v>
      </c>
      <c r="F303" s="331">
        <v>0.78808709932123189</v>
      </c>
      <c r="G303" s="94">
        <v>0.44498267080906895</v>
      </c>
      <c r="H303" s="330">
        <v>0.83266162678362898</v>
      </c>
      <c r="I303" s="330">
        <v>4.5104712368150279E-2</v>
      </c>
      <c r="J303" s="330">
        <v>0.99999999999999978</v>
      </c>
      <c r="K303" s="330">
        <v>0.75695624901819247</v>
      </c>
      <c r="L303" s="332">
        <v>16420.07096609064</v>
      </c>
      <c r="M303" s="330">
        <v>0</v>
      </c>
      <c r="N303" s="330">
        <v>19114.550670089244</v>
      </c>
      <c r="O303" s="330">
        <v>1227.3865339683332</v>
      </c>
      <c r="P303" s="330">
        <v>43044.373261880741</v>
      </c>
      <c r="Q303" s="333">
        <v>108293.89544340743</v>
      </c>
      <c r="R303" s="330">
        <v>23469.649479853961</v>
      </c>
      <c r="S303" s="330">
        <v>8177.9605875832167</v>
      </c>
      <c r="T303" s="332">
        <v>0.97687465169800958</v>
      </c>
      <c r="U303" s="330">
        <v>0.10733144658484962</v>
      </c>
      <c r="V303" s="330">
        <v>0.77549597320064534</v>
      </c>
      <c r="W303" s="330">
        <v>0.9448743241895019</v>
      </c>
      <c r="X303" s="330">
        <v>0.89474664316007524</v>
      </c>
      <c r="Y303" s="330">
        <v>0</v>
      </c>
      <c r="Z303" s="331">
        <v>0</v>
      </c>
      <c r="AA303" s="235"/>
      <c r="AB303" s="52">
        <v>88069.555641618441</v>
      </c>
      <c r="AC303" s="330">
        <v>4.3080057967912611</v>
      </c>
      <c r="AD303" s="330">
        <v>78929.591019043219</v>
      </c>
      <c r="AE303" s="330">
        <v>4.1122187176651304</v>
      </c>
      <c r="AF303" s="330">
        <v>9139.9646225752222</v>
      </c>
      <c r="AG303" s="331">
        <v>0.19578707912613069</v>
      </c>
      <c r="AH303" s="235"/>
      <c r="AI303" s="208">
        <f t="shared" si="34"/>
        <v>4004535.9513100795</v>
      </c>
      <c r="AJ303" s="208">
        <f t="shared" si="35"/>
        <v>3827678.1907628304</v>
      </c>
      <c r="AK303" s="208">
        <f t="shared" si="36"/>
        <v>176857.76054724894</v>
      </c>
      <c r="AL303" s="235"/>
      <c r="AM303" s="52">
        <f t="shared" si="30"/>
        <v>1</v>
      </c>
      <c r="AN303" s="52">
        <f t="shared" si="31"/>
        <v>0</v>
      </c>
      <c r="AO303" s="52">
        <f t="shared" si="32"/>
        <v>1</v>
      </c>
      <c r="AP303" s="235"/>
      <c r="AQ303" s="3"/>
      <c r="AR303" s="3"/>
      <c r="AS303" s="3"/>
      <c r="AT303" s="3"/>
      <c r="AU303" s="235"/>
      <c r="AV303" s="360">
        <f t="shared" si="37"/>
        <v>4004535.9513100795</v>
      </c>
      <c r="AW303" s="235"/>
      <c r="AX303" s="354"/>
      <c r="AY303" s="14"/>
      <c r="AZ303" s="14">
        <f t="shared" si="39"/>
        <v>9139.9646225752222</v>
      </c>
      <c r="BA303" s="14">
        <f t="shared" si="38"/>
        <v>0.19578707912613069</v>
      </c>
      <c r="BB303" s="14">
        <f t="shared" si="33"/>
        <v>46683.18595573429</v>
      </c>
      <c r="BC303" s="14"/>
      <c r="BD303" s="14"/>
      <c r="BE303" s="14"/>
      <c r="BF303" s="14"/>
      <c r="BG303" s="14"/>
      <c r="BH303" s="14"/>
      <c r="BI303" s="14"/>
      <c r="BJ303" s="14"/>
      <c r="BK303" s="14"/>
      <c r="BL303" s="14"/>
      <c r="BM303" s="14"/>
      <c r="BN303" s="14"/>
      <c r="BO303" s="14"/>
      <c r="BP303" s="14"/>
      <c r="BQ303" s="14"/>
      <c r="BR303" s="14"/>
      <c r="BS303" s="14"/>
      <c r="BT303" s="14"/>
      <c r="BU303" s="14"/>
      <c r="BV303" s="14"/>
      <c r="BW303" s="14"/>
      <c r="BX303" s="14"/>
      <c r="BY303" s="14"/>
      <c r="BZ303" s="14"/>
      <c r="CA303" s="14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</row>
    <row r="304" spans="1:101" ht="14.25" customHeight="1" x14ac:dyDescent="0.2">
      <c r="A304" s="328"/>
      <c r="B304" s="52">
        <v>0.16939939858801589</v>
      </c>
      <c r="C304" s="330">
        <v>0.11327532111559317</v>
      </c>
      <c r="D304" s="330">
        <v>4.5062047605940236E-2</v>
      </c>
      <c r="E304" s="330">
        <v>6.1952832919323622E-3</v>
      </c>
      <c r="F304" s="331">
        <v>0.78099233564877857</v>
      </c>
      <c r="G304" s="94">
        <v>0.37759986846460991</v>
      </c>
      <c r="H304" s="330">
        <v>0.12984433669479223</v>
      </c>
      <c r="I304" s="330">
        <v>1.5605250284050838E-2</v>
      </c>
      <c r="J304" s="330">
        <v>1.3054045504122758E-2</v>
      </c>
      <c r="K304" s="330">
        <v>0.66598181724356542</v>
      </c>
      <c r="L304" s="332">
        <v>18484.486638932765</v>
      </c>
      <c r="M304" s="330">
        <v>0</v>
      </c>
      <c r="N304" s="330">
        <v>28983.065903182491</v>
      </c>
      <c r="O304" s="330">
        <v>1243.5153262172103</v>
      </c>
      <c r="P304" s="330">
        <v>48698.977466020871</v>
      </c>
      <c r="Q304" s="333">
        <v>80545.024262094652</v>
      </c>
      <c r="R304" s="330">
        <v>23411.860328620005</v>
      </c>
      <c r="S304" s="330">
        <v>5995.4162590815422</v>
      </c>
      <c r="T304" s="332">
        <v>0.79503215574953578</v>
      </c>
      <c r="U304" s="330">
        <v>0.76982552844668684</v>
      </c>
      <c r="V304" s="330">
        <v>0.97975856225874569</v>
      </c>
      <c r="W304" s="330">
        <v>0.99321419027517477</v>
      </c>
      <c r="X304" s="330">
        <v>0.84960230697035977</v>
      </c>
      <c r="Y304" s="330">
        <v>0</v>
      </c>
      <c r="Z304" s="331">
        <v>0</v>
      </c>
      <c r="AA304" s="235"/>
      <c r="AB304" s="52">
        <v>70010.534946212021</v>
      </c>
      <c r="AC304" s="330">
        <v>4.0164423457952312</v>
      </c>
      <c r="AD304" s="330">
        <v>44943.790884508955</v>
      </c>
      <c r="AE304" s="330">
        <v>3.5480546108497881</v>
      </c>
      <c r="AF304" s="330">
        <v>25066.744061703066</v>
      </c>
      <c r="AG304" s="331">
        <v>0.46838773494544306</v>
      </c>
      <c r="AH304" s="235"/>
      <c r="AI304" s="208">
        <f t="shared" si="34"/>
        <v>3745609.6935592573</v>
      </c>
      <c r="AJ304" s="208">
        <f t="shared" si="35"/>
        <v>3325708.0894227899</v>
      </c>
      <c r="AK304" s="208">
        <f t="shared" si="36"/>
        <v>419901.60413646779</v>
      </c>
      <c r="AL304" s="235"/>
      <c r="AM304" s="52">
        <f t="shared" si="30"/>
        <v>1</v>
      </c>
      <c r="AN304" s="52">
        <f t="shared" si="31"/>
        <v>0</v>
      </c>
      <c r="AO304" s="52">
        <f t="shared" si="32"/>
        <v>1</v>
      </c>
      <c r="AP304" s="235"/>
      <c r="AQ304" s="3"/>
      <c r="AR304" s="3"/>
      <c r="AS304" s="3"/>
      <c r="AT304" s="3"/>
      <c r="AU304" s="235"/>
      <c r="AV304" s="360">
        <f t="shared" si="37"/>
        <v>3745609.6935592573</v>
      </c>
      <c r="AW304" s="235"/>
      <c r="AX304" s="354"/>
      <c r="AY304" s="14"/>
      <c r="AZ304" s="14">
        <f t="shared" si="39"/>
        <v>25066.744061703066</v>
      </c>
      <c r="BA304" s="14">
        <f t="shared" si="38"/>
        <v>0.46838773494544306</v>
      </c>
      <c r="BB304" s="14">
        <f t="shared" si="33"/>
        <v>53517.080383462206</v>
      </c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</row>
    <row r="305" spans="1:101" ht="14.25" customHeight="1" x14ac:dyDescent="0.2">
      <c r="A305" s="328"/>
      <c r="B305" s="52">
        <v>0.15390970384198566</v>
      </c>
      <c r="C305" s="330">
        <v>6.9867996999478391E-2</v>
      </c>
      <c r="D305" s="330">
        <v>9.6848398805556655E-3</v>
      </c>
      <c r="E305" s="330">
        <v>1.2994600546904642E-2</v>
      </c>
      <c r="F305" s="331">
        <v>0.80640249592806823</v>
      </c>
      <c r="G305" s="94">
        <v>0.45303907625837558</v>
      </c>
      <c r="H305" s="330">
        <v>0.77311780169272704</v>
      </c>
      <c r="I305" s="330">
        <v>1.6043657131242117E-2</v>
      </c>
      <c r="J305" s="330">
        <v>0.99914263453155217</v>
      </c>
      <c r="K305" s="330">
        <v>0.77668350761751048</v>
      </c>
      <c r="L305" s="332">
        <v>14252.473742170732</v>
      </c>
      <c r="M305" s="330">
        <v>0</v>
      </c>
      <c r="N305" s="330">
        <v>22031.697539921948</v>
      </c>
      <c r="O305" s="330">
        <v>1402.9820975278872</v>
      </c>
      <c r="P305" s="330">
        <v>30463.618500632183</v>
      </c>
      <c r="Q305" s="333">
        <v>125171.36151998969</v>
      </c>
      <c r="R305" s="330">
        <v>23299.837743660813</v>
      </c>
      <c r="S305" s="330">
        <v>15319.111800679304</v>
      </c>
      <c r="T305" s="332">
        <v>0.39905587851024943</v>
      </c>
      <c r="U305" s="330">
        <v>0.97048207039170831</v>
      </c>
      <c r="V305" s="330">
        <v>0.14023732924660165</v>
      </c>
      <c r="W305" s="330">
        <v>0.99580983605145557</v>
      </c>
      <c r="X305" s="330">
        <v>0.97807041648383142</v>
      </c>
      <c r="Y305" s="330">
        <v>0</v>
      </c>
      <c r="Z305" s="331">
        <v>0</v>
      </c>
      <c r="AA305" s="235"/>
      <c r="AB305" s="52">
        <v>147473.42439031517</v>
      </c>
      <c r="AC305" s="330">
        <v>4.7938753709923541</v>
      </c>
      <c r="AD305" s="330">
        <v>137649.64142859468</v>
      </c>
      <c r="AE305" s="330">
        <v>4.6711140909754452</v>
      </c>
      <c r="AF305" s="330">
        <v>9823.7829617204843</v>
      </c>
      <c r="AG305" s="331">
        <v>0.12276128001690889</v>
      </c>
      <c r="AH305" s="235"/>
      <c r="AI305" s="208">
        <f t="shared" si="34"/>
        <v>4406708.1780524217</v>
      </c>
      <c r="AJ305" s="208">
        <f t="shared" si="35"/>
        <v>4299908.7449980788</v>
      </c>
      <c r="AK305" s="208">
        <f t="shared" si="36"/>
        <v>106799.43305434297</v>
      </c>
      <c r="AL305" s="235"/>
      <c r="AM305" s="52">
        <f t="shared" si="30"/>
        <v>1</v>
      </c>
      <c r="AN305" s="52">
        <f t="shared" si="31"/>
        <v>0</v>
      </c>
      <c r="AO305" s="52">
        <f t="shared" si="32"/>
        <v>1</v>
      </c>
      <c r="AP305" s="235"/>
      <c r="AQ305" s="3"/>
      <c r="AR305" s="3"/>
      <c r="AS305" s="3"/>
      <c r="AT305" s="3"/>
      <c r="AU305" s="235"/>
      <c r="AV305" s="360">
        <f t="shared" si="37"/>
        <v>4406708.1780524217</v>
      </c>
      <c r="AW305" s="235"/>
      <c r="AX305" s="354"/>
      <c r="AY305" s="14"/>
      <c r="AZ305" s="14">
        <f t="shared" si="39"/>
        <v>9823.7829617204843</v>
      </c>
      <c r="BA305" s="14">
        <f t="shared" si="38"/>
        <v>0.12276128001690889</v>
      </c>
      <c r="BB305" s="14">
        <f t="shared" si="33"/>
        <v>80023.464730633117</v>
      </c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</row>
    <row r="306" spans="1:101" ht="14.25" customHeight="1" x14ac:dyDescent="0.2">
      <c r="A306" s="328"/>
      <c r="B306" s="52">
        <v>0.13918184148030255</v>
      </c>
      <c r="C306" s="330">
        <v>0.66427138309635958</v>
      </c>
      <c r="D306" s="330">
        <v>2.3086022747745072E-2</v>
      </c>
      <c r="E306" s="330">
        <v>1.1705654935288076E-2</v>
      </c>
      <c r="F306" s="331">
        <v>0.77390605011607361</v>
      </c>
      <c r="G306" s="94">
        <v>0.42473681487313075</v>
      </c>
      <c r="H306" s="330">
        <v>0.11783690240514673</v>
      </c>
      <c r="I306" s="330">
        <v>9.306405613138646E-3</v>
      </c>
      <c r="J306" s="330">
        <v>1</v>
      </c>
      <c r="K306" s="330">
        <v>0.70804417765624406</v>
      </c>
      <c r="L306" s="332">
        <v>13132.717201272761</v>
      </c>
      <c r="M306" s="330">
        <v>0</v>
      </c>
      <c r="N306" s="330">
        <v>22309.236233033156</v>
      </c>
      <c r="O306" s="330">
        <v>1184.7675456132947</v>
      </c>
      <c r="P306" s="330">
        <v>53883.251291490858</v>
      </c>
      <c r="Q306" s="333">
        <v>112119.37129514616</v>
      </c>
      <c r="R306" s="330">
        <v>30580.120473417897</v>
      </c>
      <c r="S306" s="330">
        <v>10174.494985066027</v>
      </c>
      <c r="T306" s="332">
        <v>0.74907346739419045</v>
      </c>
      <c r="U306" s="330">
        <v>0.97746504373464815</v>
      </c>
      <c r="V306" s="330">
        <v>0.62786441316293073</v>
      </c>
      <c r="W306" s="330">
        <v>0.64955580267735402</v>
      </c>
      <c r="X306" s="330">
        <v>0.74502154214671001</v>
      </c>
      <c r="Y306" s="330">
        <v>0</v>
      </c>
      <c r="Z306" s="331">
        <v>0</v>
      </c>
      <c r="AA306" s="235"/>
      <c r="AB306" s="52">
        <v>100986.8309973196</v>
      </c>
      <c r="AC306" s="330">
        <v>3.4979136911632356</v>
      </c>
      <c r="AD306" s="330">
        <v>80151.84790453616</v>
      </c>
      <c r="AE306" s="330">
        <v>3.4680615652833486</v>
      </c>
      <c r="AF306" s="330">
        <v>20834.983092783441</v>
      </c>
      <c r="AG306" s="331">
        <v>2.9852125879886948E-2</v>
      </c>
      <c r="AH306" s="235"/>
      <c r="AI306" s="208">
        <f t="shared" si="34"/>
        <v>3222031.1756077544</v>
      </c>
      <c r="AJ306" s="208">
        <f t="shared" si="35"/>
        <v>3214506.6391146453</v>
      </c>
      <c r="AK306" s="208">
        <f t="shared" si="36"/>
        <v>7524.5364931091608</v>
      </c>
      <c r="AL306" s="235"/>
      <c r="AM306" s="52">
        <f t="shared" si="30"/>
        <v>1</v>
      </c>
      <c r="AN306" s="52">
        <f t="shared" si="31"/>
        <v>0</v>
      </c>
      <c r="AO306" s="52">
        <f t="shared" si="32"/>
        <v>1</v>
      </c>
      <c r="AP306" s="235"/>
      <c r="AQ306" s="3"/>
      <c r="AR306" s="3"/>
      <c r="AS306" s="3"/>
      <c r="AT306" s="3"/>
      <c r="AU306" s="235"/>
      <c r="AV306" s="360">
        <f t="shared" si="37"/>
        <v>3222031.1756077544</v>
      </c>
      <c r="AW306" s="235"/>
      <c r="AX306" s="354"/>
      <c r="AY306" s="14"/>
      <c r="AZ306" s="14">
        <f t="shared" si="39"/>
        <v>20834.983092783441</v>
      </c>
      <c r="BA306" s="14">
        <f t="shared" si="38"/>
        <v>2.9852125879886948E-2</v>
      </c>
      <c r="BB306" s="14">
        <f t="shared" si="33"/>
        <v>697939.67694679787</v>
      </c>
      <c r="BC306" s="14"/>
      <c r="BD306" s="14"/>
      <c r="BE306" s="14"/>
      <c r="BF306" s="14"/>
      <c r="BG306" s="14"/>
      <c r="BH306" s="14"/>
      <c r="BI306" s="14"/>
      <c r="BJ306" s="14"/>
      <c r="BK306" s="14"/>
      <c r="BL306" s="14"/>
      <c r="BM306" s="14"/>
      <c r="BN306" s="14"/>
      <c r="BO306" s="14"/>
      <c r="BP306" s="14"/>
      <c r="BQ306" s="14"/>
      <c r="BR306" s="14"/>
      <c r="BS306" s="14"/>
      <c r="BT306" s="14"/>
      <c r="BU306" s="14"/>
      <c r="BV306" s="14"/>
      <c r="BW306" s="14"/>
      <c r="BX306" s="14"/>
      <c r="BY306" s="14"/>
      <c r="BZ306" s="14"/>
      <c r="CA306" s="14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</row>
    <row r="307" spans="1:101" ht="14.25" customHeight="1" x14ac:dyDescent="0.2">
      <c r="A307" s="328"/>
      <c r="B307" s="52">
        <v>0.19649493621468095</v>
      </c>
      <c r="C307" s="330">
        <v>2.938935198038611E-2</v>
      </c>
      <c r="D307" s="330">
        <v>1.7919182327165051E-2</v>
      </c>
      <c r="E307" s="330">
        <v>6.4144671778276928E-3</v>
      </c>
      <c r="F307" s="331">
        <v>0.77403851482590436</v>
      </c>
      <c r="G307" s="94">
        <v>0.38887361071174531</v>
      </c>
      <c r="H307" s="330">
        <v>0.94954672342809654</v>
      </c>
      <c r="I307" s="330">
        <v>3.0520959168272355E-2</v>
      </c>
      <c r="J307" s="330">
        <v>0.32641745279153939</v>
      </c>
      <c r="K307" s="330">
        <v>0.72418380289982298</v>
      </c>
      <c r="L307" s="332">
        <v>18046.701899034204</v>
      </c>
      <c r="M307" s="330">
        <v>0</v>
      </c>
      <c r="N307" s="330">
        <v>22413.263001609095</v>
      </c>
      <c r="O307" s="330">
        <v>942.66898988080118</v>
      </c>
      <c r="P307" s="330">
        <v>33601.411497572357</v>
      </c>
      <c r="Q307" s="333">
        <v>112894.59669646101</v>
      </c>
      <c r="R307" s="330">
        <v>21804.547106428137</v>
      </c>
      <c r="S307" s="330">
        <v>8399.5262178918274</v>
      </c>
      <c r="T307" s="332">
        <v>0.99732993607965625</v>
      </c>
      <c r="U307" s="330">
        <v>0.82759414910455054</v>
      </c>
      <c r="V307" s="330">
        <v>0.85564400168468258</v>
      </c>
      <c r="W307" s="330">
        <v>0.99954878736272268</v>
      </c>
      <c r="X307" s="330">
        <v>0.84183233902045407</v>
      </c>
      <c r="Y307" s="330">
        <v>0</v>
      </c>
      <c r="Z307" s="331">
        <v>0</v>
      </c>
      <c r="AA307" s="235"/>
      <c r="AB307" s="52">
        <v>88526.329632552355</v>
      </c>
      <c r="AC307" s="330">
        <v>3.9990730621894048</v>
      </c>
      <c r="AD307" s="330">
        <v>75012.73356774071</v>
      </c>
      <c r="AE307" s="330">
        <v>3.6990904540623966</v>
      </c>
      <c r="AF307" s="330">
        <v>13513.596064811645</v>
      </c>
      <c r="AG307" s="331">
        <v>0.29998260812700828</v>
      </c>
      <c r="AH307" s="235"/>
      <c r="AI307" s="208">
        <f t="shared" si="34"/>
        <v>3710593.0794473821</v>
      </c>
      <c r="AJ307" s="208">
        <f t="shared" si="35"/>
        <v>3439123.1977915359</v>
      </c>
      <c r="AK307" s="208">
        <f t="shared" si="36"/>
        <v>271469.88165584626</v>
      </c>
      <c r="AL307" s="235"/>
      <c r="AM307" s="52">
        <f t="shared" si="30"/>
        <v>1</v>
      </c>
      <c r="AN307" s="52">
        <f t="shared" si="31"/>
        <v>0</v>
      </c>
      <c r="AO307" s="52">
        <f t="shared" si="32"/>
        <v>1</v>
      </c>
      <c r="AP307" s="235"/>
      <c r="AQ307" s="3"/>
      <c r="AR307" s="3"/>
      <c r="AS307" s="3"/>
      <c r="AT307" s="3"/>
      <c r="AU307" s="235"/>
      <c r="AV307" s="360">
        <f t="shared" si="37"/>
        <v>3710593.0794473821</v>
      </c>
      <c r="AW307" s="235"/>
      <c r="AX307" s="354"/>
      <c r="AY307" s="14"/>
      <c r="AZ307" s="14">
        <f t="shared" si="39"/>
        <v>13513.596064811645</v>
      </c>
      <c r="BA307" s="14">
        <f t="shared" si="38"/>
        <v>0.29998260812700828</v>
      </c>
      <c r="BB307" s="14">
        <f t="shared" si="33"/>
        <v>45047.931775732097</v>
      </c>
      <c r="BC307" s="14"/>
      <c r="BD307" s="14"/>
      <c r="BE307" s="14"/>
      <c r="BF307" s="14"/>
      <c r="BG307" s="14"/>
      <c r="BH307" s="14"/>
      <c r="BI307" s="14"/>
      <c r="BJ307" s="14"/>
      <c r="BK307" s="14"/>
      <c r="BL307" s="14"/>
      <c r="BM307" s="14"/>
      <c r="BN307" s="14"/>
      <c r="BO307" s="14"/>
      <c r="BP307" s="14"/>
      <c r="BQ307" s="14"/>
      <c r="BR307" s="14"/>
      <c r="BS307" s="14"/>
      <c r="BT307" s="14"/>
      <c r="BU307" s="14"/>
      <c r="BV307" s="14"/>
      <c r="BW307" s="14"/>
      <c r="BX307" s="14"/>
      <c r="BY307" s="14"/>
      <c r="BZ307" s="14"/>
      <c r="CA307" s="14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</row>
    <row r="308" spans="1:101" ht="14.25" customHeight="1" x14ac:dyDescent="0.2">
      <c r="A308" s="328"/>
      <c r="B308" s="52">
        <v>0.15111302923299752</v>
      </c>
      <c r="C308" s="330">
        <v>7.5019276335179476E-4</v>
      </c>
      <c r="D308" s="330">
        <v>2.6667383222290897E-2</v>
      </c>
      <c r="E308" s="330">
        <v>1.3718803981758763E-2</v>
      </c>
      <c r="F308" s="331">
        <v>0.79602391358327684</v>
      </c>
      <c r="G308" s="94">
        <v>0.38651432530872665</v>
      </c>
      <c r="H308" s="330">
        <v>4.5758061793307381E-2</v>
      </c>
      <c r="I308" s="330">
        <v>1.7739561865455777E-2</v>
      </c>
      <c r="J308" s="330">
        <v>0.87079992348603286</v>
      </c>
      <c r="K308" s="330">
        <v>0.79565090259812044</v>
      </c>
      <c r="L308" s="332">
        <v>13074.243903921879</v>
      </c>
      <c r="M308" s="330">
        <v>0</v>
      </c>
      <c r="N308" s="330">
        <v>20727.315088875024</v>
      </c>
      <c r="O308" s="330">
        <v>1346.2937015397347</v>
      </c>
      <c r="P308" s="330">
        <v>49424.042279190617</v>
      </c>
      <c r="Q308" s="333">
        <v>83451.446850359207</v>
      </c>
      <c r="R308" s="330">
        <v>19481.973850541795</v>
      </c>
      <c r="S308" s="330">
        <v>8985.7906960482796</v>
      </c>
      <c r="T308" s="332">
        <v>0.42320028593992604</v>
      </c>
      <c r="U308" s="330">
        <v>0.99353666691263065</v>
      </c>
      <c r="V308" s="330">
        <v>0.49875462566851847</v>
      </c>
      <c r="W308" s="330">
        <v>0.93538988682181368</v>
      </c>
      <c r="X308" s="330">
        <v>0.51703220484453294</v>
      </c>
      <c r="Y308" s="330">
        <v>0</v>
      </c>
      <c r="Z308" s="331">
        <v>0</v>
      </c>
      <c r="AA308" s="235"/>
      <c r="AB308" s="52">
        <v>90379.535009957835</v>
      </c>
      <c r="AC308" s="330">
        <v>2.4941742881940514</v>
      </c>
      <c r="AD308" s="330">
        <v>78573.458855410339</v>
      </c>
      <c r="AE308" s="330">
        <v>2.8196576767474224</v>
      </c>
      <c r="AF308" s="330">
        <v>11806.076154547496</v>
      </c>
      <c r="AG308" s="331">
        <v>-0.325483388553371</v>
      </c>
      <c r="AH308" s="235"/>
      <c r="AI308" s="208">
        <f t="shared" si="34"/>
        <v>2279086.0387743912</v>
      </c>
      <c r="AJ308" s="208">
        <f t="shared" si="35"/>
        <v>2600101.3340546405</v>
      </c>
      <c r="AK308" s="208">
        <f t="shared" si="36"/>
        <v>-321015.29528024996</v>
      </c>
      <c r="AL308" s="235"/>
      <c r="AM308" s="52">
        <f t="shared" si="30"/>
        <v>0</v>
      </c>
      <c r="AN308" s="52">
        <f t="shared" si="31"/>
        <v>1</v>
      </c>
      <c r="AO308" s="52">
        <f t="shared" si="32"/>
        <v>0</v>
      </c>
      <c r="AP308" s="235"/>
      <c r="AQ308" s="3"/>
      <c r="AR308" s="3"/>
      <c r="AS308" s="3"/>
      <c r="AT308" s="3"/>
      <c r="AU308" s="235"/>
      <c r="AV308" s="360">
        <f t="shared" si="37"/>
        <v>2600101.3340546405</v>
      </c>
      <c r="AW308" s="235"/>
      <c r="AX308" s="354"/>
      <c r="AY308" s="14"/>
      <c r="AZ308" s="14">
        <f t="shared" si="39"/>
        <v>11806.076154547496</v>
      </c>
      <c r="BA308" s="14">
        <f t="shared" si="38"/>
        <v>-0.325483388553371</v>
      </c>
      <c r="BB308" s="14">
        <f t="shared" si="33"/>
        <v>-36272.438378561368</v>
      </c>
      <c r="BC308" s="14"/>
      <c r="BD308" s="14"/>
      <c r="BE308" s="14"/>
      <c r="BF308" s="14"/>
      <c r="BG308" s="14"/>
      <c r="BH308" s="14"/>
      <c r="BI308" s="14"/>
      <c r="BJ308" s="14"/>
      <c r="BK308" s="14"/>
      <c r="BL308" s="14"/>
      <c r="BM308" s="14"/>
      <c r="BN308" s="14"/>
      <c r="BO308" s="14"/>
      <c r="BP308" s="14"/>
      <c r="BQ308" s="14"/>
      <c r="BR308" s="14"/>
      <c r="BS308" s="14"/>
      <c r="BT308" s="14"/>
      <c r="BU308" s="14"/>
      <c r="BV308" s="14"/>
      <c r="BW308" s="14"/>
      <c r="BX308" s="14"/>
      <c r="BY308" s="14"/>
      <c r="BZ308" s="14"/>
      <c r="CA308" s="14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</row>
    <row r="309" spans="1:101" ht="14.25" customHeight="1" x14ac:dyDescent="0.2">
      <c r="A309" s="328"/>
      <c r="B309" s="52">
        <v>0.13771240434409668</v>
      </c>
      <c r="C309" s="330">
        <v>9.5566218896607089E-2</v>
      </c>
      <c r="D309" s="330">
        <v>4.4673005394178511E-3</v>
      </c>
      <c r="E309" s="330">
        <v>6.149907419789903E-3</v>
      </c>
      <c r="F309" s="331">
        <v>0.82677190131426959</v>
      </c>
      <c r="G309" s="94">
        <v>0.48493515401036424</v>
      </c>
      <c r="H309" s="330">
        <v>7.5806427029386614E-2</v>
      </c>
      <c r="I309" s="330">
        <v>2.4183993351243549E-2</v>
      </c>
      <c r="J309" s="330">
        <v>0.99999137890829237</v>
      </c>
      <c r="K309" s="330">
        <v>0.73419196701150058</v>
      </c>
      <c r="L309" s="332">
        <v>9976.720342111621</v>
      </c>
      <c r="M309" s="330">
        <v>0</v>
      </c>
      <c r="N309" s="330">
        <v>27604.975643433547</v>
      </c>
      <c r="O309" s="330">
        <v>1114.3522708793769</v>
      </c>
      <c r="P309" s="330">
        <v>31402.392103579074</v>
      </c>
      <c r="Q309" s="333">
        <v>108887.95094587136</v>
      </c>
      <c r="R309" s="330">
        <v>27708.11629856527</v>
      </c>
      <c r="S309" s="330">
        <v>8996.7119718484864</v>
      </c>
      <c r="T309" s="332">
        <v>0.52868963240908207</v>
      </c>
      <c r="U309" s="330">
        <v>0.98739267830983624</v>
      </c>
      <c r="V309" s="330">
        <v>0.99947545855844022</v>
      </c>
      <c r="W309" s="330">
        <v>0.9999707958297066</v>
      </c>
      <c r="X309" s="330">
        <v>0.97931870714706026</v>
      </c>
      <c r="Y309" s="330">
        <v>0</v>
      </c>
      <c r="Z309" s="331">
        <v>0</v>
      </c>
      <c r="AA309" s="235"/>
      <c r="AB309" s="52">
        <v>90383.400851293583</v>
      </c>
      <c r="AC309" s="330">
        <v>4.9031284707556004</v>
      </c>
      <c r="AD309" s="330">
        <v>74417.556399899011</v>
      </c>
      <c r="AE309" s="330">
        <v>4.3509829300216838</v>
      </c>
      <c r="AF309" s="330">
        <v>15965.844451394572</v>
      </c>
      <c r="AG309" s="331">
        <v>0.55214554073391664</v>
      </c>
      <c r="AH309" s="235"/>
      <c r="AI309" s="208">
        <f t="shared" si="34"/>
        <v>4567588.6463665273</v>
      </c>
      <c r="AJ309" s="208">
        <f t="shared" si="35"/>
        <v>4059016.2271207008</v>
      </c>
      <c r="AK309" s="208">
        <f t="shared" si="36"/>
        <v>508572.41924582626</v>
      </c>
      <c r="AL309" s="235"/>
      <c r="AM309" s="52">
        <f t="shared" si="30"/>
        <v>1</v>
      </c>
      <c r="AN309" s="52">
        <f t="shared" si="31"/>
        <v>0</v>
      </c>
      <c r="AO309" s="52">
        <f t="shared" si="32"/>
        <v>1</v>
      </c>
      <c r="AP309" s="235"/>
      <c r="AQ309" s="3"/>
      <c r="AR309" s="3"/>
      <c r="AS309" s="3"/>
      <c r="AT309" s="3"/>
      <c r="AU309" s="235"/>
      <c r="AV309" s="360">
        <f t="shared" si="37"/>
        <v>4567588.6463665273</v>
      </c>
      <c r="AW309" s="235"/>
      <c r="AX309" s="354"/>
      <c r="AY309" s="14"/>
      <c r="AZ309" s="14">
        <f t="shared" si="39"/>
        <v>15965.844451394572</v>
      </c>
      <c r="BA309" s="14">
        <f t="shared" si="38"/>
        <v>0.55214554073391664</v>
      </c>
      <c r="BB309" s="14">
        <f t="shared" si="33"/>
        <v>28916.007236375819</v>
      </c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</row>
    <row r="310" spans="1:101" ht="14.25" customHeight="1" x14ac:dyDescent="0.2">
      <c r="A310" s="328"/>
      <c r="B310" s="52">
        <v>0.17729229322229811</v>
      </c>
      <c r="C310" s="330">
        <v>0.43940341378575631</v>
      </c>
      <c r="D310" s="330">
        <v>1.0191616934533278E-2</v>
      </c>
      <c r="E310" s="330">
        <v>6.4986792258069715E-3</v>
      </c>
      <c r="F310" s="331">
        <v>0.83421565255890329</v>
      </c>
      <c r="G310" s="94">
        <v>0.33198942045269875</v>
      </c>
      <c r="H310" s="330">
        <v>4.2068753020841759E-2</v>
      </c>
      <c r="I310" s="330">
        <v>1.390526158449111E-2</v>
      </c>
      <c r="J310" s="330">
        <v>0.99999999999998734</v>
      </c>
      <c r="K310" s="330">
        <v>0.78003026480448501</v>
      </c>
      <c r="L310" s="332">
        <v>10188.8859597097</v>
      </c>
      <c r="M310" s="330">
        <v>0</v>
      </c>
      <c r="N310" s="330">
        <v>21273.822130454144</v>
      </c>
      <c r="O310" s="330">
        <v>1586.8381666718446</v>
      </c>
      <c r="P310" s="330">
        <v>53599.914704319744</v>
      </c>
      <c r="Q310" s="333">
        <v>102518.3395652333</v>
      </c>
      <c r="R310" s="330">
        <v>29208.232839204782</v>
      </c>
      <c r="S310" s="330">
        <v>10945.575618173738</v>
      </c>
      <c r="T310" s="332">
        <v>0.37086810132272457</v>
      </c>
      <c r="U310" s="330">
        <v>0.66769991022073205</v>
      </c>
      <c r="V310" s="330">
        <v>0.9999999389252705</v>
      </c>
      <c r="W310" s="330">
        <v>0.26810155820246995</v>
      </c>
      <c r="X310" s="330">
        <v>0.24015384502695955</v>
      </c>
      <c r="Y310" s="330">
        <v>0</v>
      </c>
      <c r="Z310" s="331">
        <v>0</v>
      </c>
      <c r="AA310" s="235"/>
      <c r="AB310" s="52">
        <v>110918.29974258746</v>
      </c>
      <c r="AC310" s="330">
        <v>1.3518780262363486</v>
      </c>
      <c r="AD310" s="330">
        <v>93429.202412772051</v>
      </c>
      <c r="AE310" s="330">
        <v>1.3433147833996968</v>
      </c>
      <c r="AF310" s="330">
        <v>17489.097329815413</v>
      </c>
      <c r="AG310" s="331">
        <v>8.5632428366517743E-3</v>
      </c>
      <c r="AH310" s="235"/>
      <c r="AI310" s="208">
        <f t="shared" si="34"/>
        <v>1173365.8251819438</v>
      </c>
      <c r="AJ310" s="208">
        <f t="shared" si="35"/>
        <v>1182719.8418169399</v>
      </c>
      <c r="AK310" s="208">
        <f t="shared" si="36"/>
        <v>-9354.0166349962274</v>
      </c>
      <c r="AL310" s="235"/>
      <c r="AM310" s="52">
        <f t="shared" si="30"/>
        <v>0</v>
      </c>
      <c r="AN310" s="52">
        <f t="shared" si="31"/>
        <v>1</v>
      </c>
      <c r="AO310" s="52">
        <f t="shared" si="32"/>
        <v>0</v>
      </c>
      <c r="AP310" s="235"/>
      <c r="AQ310" s="3"/>
      <c r="AR310" s="3"/>
      <c r="AS310" s="3"/>
      <c r="AT310" s="3"/>
      <c r="AU310" s="235"/>
      <c r="AV310" s="360">
        <f t="shared" si="37"/>
        <v>1182719.8418169399</v>
      </c>
      <c r="AW310" s="235"/>
      <c r="AX310" s="354"/>
      <c r="AY310" s="14"/>
      <c r="AZ310" s="14">
        <f t="shared" si="39"/>
        <v>17489.097329815413</v>
      </c>
      <c r="BA310" s="14">
        <f t="shared" si="38"/>
        <v>8.5632428366517743E-3</v>
      </c>
      <c r="BB310" s="14">
        <f t="shared" si="33"/>
        <v>2042345.1329629286</v>
      </c>
      <c r="BC310" s="14"/>
      <c r="BD310" s="14"/>
      <c r="BE310" s="14"/>
      <c r="BF310" s="14"/>
      <c r="BG310" s="14"/>
      <c r="BH310" s="14"/>
      <c r="BI310" s="14"/>
      <c r="BJ310" s="14"/>
      <c r="BK310" s="14"/>
      <c r="BL310" s="14"/>
      <c r="BM310" s="14"/>
      <c r="BN310" s="14"/>
      <c r="BO310" s="14"/>
      <c r="BP310" s="14"/>
      <c r="BQ310" s="14"/>
      <c r="BR310" s="14"/>
      <c r="BS310" s="14"/>
      <c r="BT310" s="14"/>
      <c r="BU310" s="14"/>
      <c r="BV310" s="14"/>
      <c r="BW310" s="14"/>
      <c r="BX310" s="14"/>
      <c r="BY310" s="14"/>
      <c r="BZ310" s="14"/>
      <c r="CA310" s="14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</row>
    <row r="311" spans="1:101" ht="14.25" customHeight="1" x14ac:dyDescent="0.2">
      <c r="A311" s="328"/>
      <c r="B311" s="52">
        <v>0.14303159907859272</v>
      </c>
      <c r="C311" s="330">
        <v>0.69851860371569119</v>
      </c>
      <c r="D311" s="330">
        <v>1.882212757901891E-2</v>
      </c>
      <c r="E311" s="330">
        <v>9.1212149356772933E-3</v>
      </c>
      <c r="F311" s="331">
        <v>0.79996815896251383</v>
      </c>
      <c r="G311" s="94">
        <v>0.39385240069818495</v>
      </c>
      <c r="H311" s="330">
        <v>0.22558730249066153</v>
      </c>
      <c r="I311" s="330">
        <v>6.6492176868971431E-3</v>
      </c>
      <c r="J311" s="330">
        <v>3.2042779872970086E-2</v>
      </c>
      <c r="K311" s="330">
        <v>0.80116799839364272</v>
      </c>
      <c r="L311" s="332">
        <v>8728.7663015213002</v>
      </c>
      <c r="M311" s="330">
        <v>0</v>
      </c>
      <c r="N311" s="330">
        <v>14973.289266233725</v>
      </c>
      <c r="O311" s="330">
        <v>1168.2792983903453</v>
      </c>
      <c r="P311" s="330">
        <v>43723.391638928158</v>
      </c>
      <c r="Q311" s="333">
        <v>86593.65798992163</v>
      </c>
      <c r="R311" s="330">
        <v>25193.328831682138</v>
      </c>
      <c r="S311" s="330">
        <v>7470.4091773562659</v>
      </c>
      <c r="T311" s="332">
        <v>0.96823384624656217</v>
      </c>
      <c r="U311" s="330">
        <v>0.9692214819179864</v>
      </c>
      <c r="V311" s="330">
        <v>0.77071623519565813</v>
      </c>
      <c r="W311" s="330">
        <v>0.77321174842847629</v>
      </c>
      <c r="X311" s="330">
        <v>0.99982511716891143</v>
      </c>
      <c r="Y311" s="330">
        <v>0</v>
      </c>
      <c r="Z311" s="331">
        <v>0</v>
      </c>
      <c r="AA311" s="235"/>
      <c r="AB311" s="52">
        <v>75778.30202606073</v>
      </c>
      <c r="AC311" s="330">
        <v>5.0485861988162863</v>
      </c>
      <c r="AD311" s="330">
        <v>67188.394670775058</v>
      </c>
      <c r="AE311" s="330">
        <v>4.9172648312681755</v>
      </c>
      <c r="AF311" s="330">
        <v>8589.9073552856717</v>
      </c>
      <c r="AG311" s="331">
        <v>0.13132136754811086</v>
      </c>
      <c r="AH311" s="235"/>
      <c r="AI311" s="208">
        <f t="shared" si="34"/>
        <v>4720378.5868494119</v>
      </c>
      <c r="AJ311" s="208">
        <f t="shared" si="35"/>
        <v>4604213.1950339917</v>
      </c>
      <c r="AK311" s="208">
        <f t="shared" si="36"/>
        <v>116165.39181541964</v>
      </c>
      <c r="AL311" s="235"/>
      <c r="AM311" s="52">
        <f t="shared" si="30"/>
        <v>1</v>
      </c>
      <c r="AN311" s="52">
        <f t="shared" si="31"/>
        <v>0</v>
      </c>
      <c r="AO311" s="52">
        <f t="shared" si="32"/>
        <v>1</v>
      </c>
      <c r="AP311" s="235"/>
      <c r="AQ311" s="3"/>
      <c r="AR311" s="3"/>
      <c r="AS311" s="3"/>
      <c r="AT311" s="3"/>
      <c r="AU311" s="235"/>
      <c r="AV311" s="360">
        <f t="shared" si="37"/>
        <v>4720378.5868494119</v>
      </c>
      <c r="AW311" s="235"/>
      <c r="AX311" s="354"/>
      <c r="AY311" s="14"/>
      <c r="AZ311" s="14">
        <f t="shared" si="39"/>
        <v>8589.9073552856717</v>
      </c>
      <c r="BA311" s="14">
        <f t="shared" si="38"/>
        <v>0.13132136754811086</v>
      </c>
      <c r="BB311" s="14">
        <f t="shared" si="33"/>
        <v>65411.34558424908</v>
      </c>
      <c r="BC311" s="14"/>
      <c r="BD311" s="14"/>
      <c r="BE311" s="14"/>
      <c r="BF311" s="14"/>
      <c r="BG311" s="14"/>
      <c r="BH311" s="14"/>
      <c r="BI311" s="14"/>
      <c r="BJ311" s="14"/>
      <c r="BK311" s="14"/>
      <c r="BL311" s="14"/>
      <c r="BM311" s="14"/>
      <c r="BN311" s="14"/>
      <c r="BO311" s="14"/>
      <c r="BP311" s="14"/>
      <c r="BQ311" s="14"/>
      <c r="BR311" s="14"/>
      <c r="BS311" s="14"/>
      <c r="BT311" s="14"/>
      <c r="BU311" s="14"/>
      <c r="BV311" s="14"/>
      <c r="BW311" s="14"/>
      <c r="BX311" s="14"/>
      <c r="BY311" s="14"/>
      <c r="BZ311" s="14"/>
      <c r="CA311" s="14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</row>
    <row r="312" spans="1:101" ht="14.25" customHeight="1" x14ac:dyDescent="0.2">
      <c r="A312" s="328"/>
      <c r="B312" s="52">
        <v>0.16389485877913967</v>
      </c>
      <c r="C312" s="330">
        <v>0.14414180850133815</v>
      </c>
      <c r="D312" s="330">
        <v>2.5235755340605848E-2</v>
      </c>
      <c r="E312" s="330">
        <v>5.8263118655772564E-3</v>
      </c>
      <c r="F312" s="331">
        <v>0.80784206393365809</v>
      </c>
      <c r="G312" s="94">
        <v>0.41376409323443353</v>
      </c>
      <c r="H312" s="330">
        <v>0.37197069435285662</v>
      </c>
      <c r="I312" s="330">
        <v>3.1059613284330601E-2</v>
      </c>
      <c r="J312" s="330">
        <v>1</v>
      </c>
      <c r="K312" s="330">
        <v>0.71581248085116866</v>
      </c>
      <c r="L312" s="332">
        <v>12403.771512197951</v>
      </c>
      <c r="M312" s="330">
        <v>0</v>
      </c>
      <c r="N312" s="330">
        <v>18849.822627543705</v>
      </c>
      <c r="O312" s="330">
        <v>1344.5282459546092</v>
      </c>
      <c r="P312" s="330">
        <v>29951.570184841308</v>
      </c>
      <c r="Q312" s="333">
        <v>109705.90487877898</v>
      </c>
      <c r="R312" s="330">
        <v>21498.414567104403</v>
      </c>
      <c r="S312" s="330">
        <v>6863.191591360358</v>
      </c>
      <c r="T312" s="332">
        <v>0.99983514224868486</v>
      </c>
      <c r="U312" s="330">
        <v>0.47987950797698542</v>
      </c>
      <c r="V312" s="330">
        <v>0.73700164887092412</v>
      </c>
      <c r="W312" s="330">
        <v>0.30004650416794121</v>
      </c>
      <c r="X312" s="330">
        <v>0.28114982134601318</v>
      </c>
      <c r="Y312" s="330">
        <v>0</v>
      </c>
      <c r="Z312" s="331">
        <v>0</v>
      </c>
      <c r="AA312" s="235"/>
      <c r="AB312" s="52">
        <v>73084.90317724926</v>
      </c>
      <c r="AC312" s="330">
        <v>1.8248116557916112</v>
      </c>
      <c r="AD312" s="330">
        <v>58559.130228369264</v>
      </c>
      <c r="AE312" s="330">
        <v>1.2432651232155025</v>
      </c>
      <c r="AF312" s="330">
        <v>14525.772948879996</v>
      </c>
      <c r="AG312" s="331">
        <v>0.58154653257610867</v>
      </c>
      <c r="AH312" s="235"/>
      <c r="AI312" s="208">
        <f t="shared" si="34"/>
        <v>1660486.1698247814</v>
      </c>
      <c r="AJ312" s="208">
        <f t="shared" si="35"/>
        <v>1122542.7368263581</v>
      </c>
      <c r="AK312" s="208">
        <f t="shared" si="36"/>
        <v>537943.43299842323</v>
      </c>
      <c r="AL312" s="235"/>
      <c r="AM312" s="52">
        <f t="shared" si="30"/>
        <v>1</v>
      </c>
      <c r="AN312" s="52">
        <f t="shared" si="31"/>
        <v>0</v>
      </c>
      <c r="AO312" s="52">
        <f t="shared" si="32"/>
        <v>1</v>
      </c>
      <c r="AP312" s="235"/>
      <c r="AQ312" s="3"/>
      <c r="AR312" s="3"/>
      <c r="AS312" s="3"/>
      <c r="AT312" s="3"/>
      <c r="AU312" s="235"/>
      <c r="AV312" s="360">
        <f t="shared" si="37"/>
        <v>1660486.1698247814</v>
      </c>
      <c r="AW312" s="235"/>
      <c r="AX312" s="354"/>
      <c r="AY312" s="14"/>
      <c r="AZ312" s="14">
        <f t="shared" si="39"/>
        <v>14525.772948879996</v>
      </c>
      <c r="BA312" s="14">
        <f t="shared" si="38"/>
        <v>0.58154653257610867</v>
      </c>
      <c r="BB312" s="14">
        <f t="shared" si="33"/>
        <v>24977.834335172425</v>
      </c>
      <c r="BC312" s="14"/>
      <c r="BD312" s="14"/>
      <c r="BE312" s="14"/>
      <c r="BF312" s="14"/>
      <c r="BG312" s="14"/>
      <c r="BH312" s="14"/>
      <c r="BI312" s="14"/>
      <c r="BJ312" s="14"/>
      <c r="BK312" s="14"/>
      <c r="BL312" s="14"/>
      <c r="BM312" s="14"/>
      <c r="BN312" s="14"/>
      <c r="BO312" s="14"/>
      <c r="BP312" s="14"/>
      <c r="BQ312" s="14"/>
      <c r="BR312" s="14"/>
      <c r="BS312" s="14"/>
      <c r="BT312" s="14"/>
      <c r="BU312" s="14"/>
      <c r="BV312" s="14"/>
      <c r="BW312" s="14"/>
      <c r="BX312" s="14"/>
      <c r="BY312" s="14"/>
      <c r="BZ312" s="14"/>
      <c r="CA312" s="14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</row>
    <row r="313" spans="1:101" ht="14.25" customHeight="1" x14ac:dyDescent="0.2">
      <c r="A313" s="328"/>
      <c r="B313" s="52">
        <v>0.12207383397343267</v>
      </c>
      <c r="C313" s="330">
        <v>0.28020079350200233</v>
      </c>
      <c r="D313" s="330">
        <v>1.3591564248634258E-2</v>
      </c>
      <c r="E313" s="330">
        <v>1.1344825055798867E-2</v>
      </c>
      <c r="F313" s="331">
        <v>0.78633269110219028</v>
      </c>
      <c r="G313" s="94">
        <v>0.42456641916802285</v>
      </c>
      <c r="H313" s="330">
        <v>0.6096582392206864</v>
      </c>
      <c r="I313" s="330">
        <v>2.8849767850142816E-2</v>
      </c>
      <c r="J313" s="330">
        <v>0.99999999201691248</v>
      </c>
      <c r="K313" s="330">
        <v>0.77834041823970634</v>
      </c>
      <c r="L313" s="332">
        <v>9177.9690488392571</v>
      </c>
      <c r="M313" s="330">
        <v>0</v>
      </c>
      <c r="N313" s="330">
        <v>19255.278814278201</v>
      </c>
      <c r="O313" s="330">
        <v>1007.735575813559</v>
      </c>
      <c r="P313" s="330">
        <v>46618.927440396488</v>
      </c>
      <c r="Q313" s="333">
        <v>124283.95050053556</v>
      </c>
      <c r="R313" s="330">
        <v>20533.63732555561</v>
      </c>
      <c r="S313" s="330">
        <v>7620.2014239077253</v>
      </c>
      <c r="T313" s="332">
        <v>0.77259360355615403</v>
      </c>
      <c r="U313" s="330">
        <v>0.22988761461326385</v>
      </c>
      <c r="V313" s="330">
        <v>0.98955127942847154</v>
      </c>
      <c r="W313" s="330">
        <v>0.78251954418788228</v>
      </c>
      <c r="X313" s="330">
        <v>0.66688669928576272</v>
      </c>
      <c r="Y313" s="330">
        <v>0</v>
      </c>
      <c r="Z313" s="331">
        <v>0</v>
      </c>
      <c r="AA313" s="235"/>
      <c r="AB313" s="52">
        <v>74512.475336864009</v>
      </c>
      <c r="AC313" s="330">
        <v>3.4059355029487923</v>
      </c>
      <c r="AD313" s="330">
        <v>71637.22493675453</v>
      </c>
      <c r="AE313" s="330">
        <v>3.1561325256450008</v>
      </c>
      <c r="AF313" s="330">
        <v>2875.2504001094785</v>
      </c>
      <c r="AG313" s="331">
        <v>0.24980297730379153</v>
      </c>
      <c r="AH313" s="235"/>
      <c r="AI313" s="208">
        <f t="shared" si="34"/>
        <v>3161126.2524644886</v>
      </c>
      <c r="AJ313" s="208">
        <f t="shared" si="35"/>
        <v>2926688.6744259964</v>
      </c>
      <c r="AK313" s="208">
        <f t="shared" si="36"/>
        <v>234437.57803849247</v>
      </c>
      <c r="AL313" s="235"/>
      <c r="AM313" s="52">
        <f t="shared" si="30"/>
        <v>1</v>
      </c>
      <c r="AN313" s="52">
        <f t="shared" si="31"/>
        <v>0</v>
      </c>
      <c r="AO313" s="52">
        <f t="shared" si="32"/>
        <v>1</v>
      </c>
      <c r="AP313" s="235"/>
      <c r="AQ313" s="3"/>
      <c r="AR313" s="3"/>
      <c r="AS313" s="3"/>
      <c r="AT313" s="3"/>
      <c r="AU313" s="235"/>
      <c r="AV313" s="360">
        <f t="shared" si="37"/>
        <v>3161126.2524644886</v>
      </c>
      <c r="AW313" s="235"/>
      <c r="AX313" s="354"/>
      <c r="AY313" s="14"/>
      <c r="AZ313" s="14">
        <f t="shared" si="39"/>
        <v>2875.2504001094785</v>
      </c>
      <c r="BA313" s="14">
        <f t="shared" si="38"/>
        <v>0.24980297730379153</v>
      </c>
      <c r="BB313" s="14">
        <f t="shared" si="33"/>
        <v>11510.07258257301</v>
      </c>
      <c r="BC313" s="14"/>
      <c r="BD313" s="14"/>
      <c r="BE313" s="14"/>
      <c r="BF313" s="14"/>
      <c r="BG313" s="14"/>
      <c r="BH313" s="14"/>
      <c r="BI313" s="14"/>
      <c r="BJ313" s="14"/>
      <c r="BK313" s="14"/>
      <c r="BL313" s="14"/>
      <c r="BM313" s="14"/>
      <c r="BN313" s="14"/>
      <c r="BO313" s="14"/>
      <c r="BP313" s="14"/>
      <c r="BQ313" s="14"/>
      <c r="BR313" s="14"/>
      <c r="BS313" s="14"/>
      <c r="BT313" s="14"/>
      <c r="BU313" s="14"/>
      <c r="BV313" s="14"/>
      <c r="BW313" s="14"/>
      <c r="BX313" s="14"/>
      <c r="BY313" s="14"/>
      <c r="BZ313" s="14"/>
      <c r="CA313" s="14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</row>
    <row r="314" spans="1:101" ht="14.25" customHeight="1" x14ac:dyDescent="0.2">
      <c r="A314" s="328"/>
      <c r="B314" s="52">
        <v>0.17308468597065685</v>
      </c>
      <c r="C314" s="330">
        <v>3.5796860046913882E-2</v>
      </c>
      <c r="D314" s="330">
        <v>1.9675580416397387E-2</v>
      </c>
      <c r="E314" s="330">
        <v>9.4406123992010552E-3</v>
      </c>
      <c r="F314" s="331">
        <v>0.81988437941887171</v>
      </c>
      <c r="G314" s="94">
        <v>0.43386308584816546</v>
      </c>
      <c r="H314" s="330">
        <v>0.54882680647150206</v>
      </c>
      <c r="I314" s="330">
        <v>2.037575727583274E-2</v>
      </c>
      <c r="J314" s="330">
        <v>1</v>
      </c>
      <c r="K314" s="330">
        <v>0.75365399814396405</v>
      </c>
      <c r="L314" s="332">
        <v>11625.882552431927</v>
      </c>
      <c r="M314" s="330">
        <v>0</v>
      </c>
      <c r="N314" s="330">
        <v>16978.524142629263</v>
      </c>
      <c r="O314" s="330">
        <v>1690.94432400039</v>
      </c>
      <c r="P314" s="330">
        <v>35625.630129311976</v>
      </c>
      <c r="Q314" s="333">
        <v>84967.455179731027</v>
      </c>
      <c r="R314" s="330">
        <v>21610.402950322627</v>
      </c>
      <c r="S314" s="330">
        <v>6773.4558875706043</v>
      </c>
      <c r="T314" s="332">
        <v>0.68780838884512574</v>
      </c>
      <c r="U314" s="330">
        <v>0.4081611673162433</v>
      </c>
      <c r="V314" s="330">
        <v>0.30441089647323194</v>
      </c>
      <c r="W314" s="330">
        <v>0.99339860003446634</v>
      </c>
      <c r="X314" s="330">
        <v>0.96440660580663684</v>
      </c>
      <c r="Y314" s="330">
        <v>0</v>
      </c>
      <c r="Z314" s="331">
        <v>0</v>
      </c>
      <c r="AA314" s="235"/>
      <c r="AB314" s="52">
        <v>71938.869793322636</v>
      </c>
      <c r="AC314" s="330">
        <v>4.7997136422275775</v>
      </c>
      <c r="AD314" s="330">
        <v>61778.818081101868</v>
      </c>
      <c r="AE314" s="330">
        <v>4.4902012269080407</v>
      </c>
      <c r="AF314" s="330">
        <v>10160.051712220768</v>
      </c>
      <c r="AG314" s="331">
        <v>0.30951241531953677</v>
      </c>
      <c r="AH314" s="235"/>
      <c r="AI314" s="208">
        <f t="shared" si="34"/>
        <v>4487789.0903228754</v>
      </c>
      <c r="AJ314" s="208">
        <f t="shared" si="35"/>
        <v>4203912.3474815376</v>
      </c>
      <c r="AK314" s="208">
        <f t="shared" si="36"/>
        <v>283876.74284133915</v>
      </c>
      <c r="AL314" s="235"/>
      <c r="AM314" s="52">
        <f t="shared" si="30"/>
        <v>1</v>
      </c>
      <c r="AN314" s="52">
        <f t="shared" si="31"/>
        <v>0</v>
      </c>
      <c r="AO314" s="52">
        <f t="shared" si="32"/>
        <v>1</v>
      </c>
      <c r="AP314" s="235"/>
      <c r="AQ314" s="3"/>
      <c r="AR314" s="3"/>
      <c r="AS314" s="3"/>
      <c r="AT314" s="3"/>
      <c r="AU314" s="235"/>
      <c r="AV314" s="360">
        <f t="shared" si="37"/>
        <v>4487789.0903228754</v>
      </c>
      <c r="AW314" s="235"/>
      <c r="AX314" s="354"/>
      <c r="AY314" s="14"/>
      <c r="AZ314" s="14">
        <f t="shared" si="39"/>
        <v>10160.051712220768</v>
      </c>
      <c r="BA314" s="14">
        <f t="shared" si="38"/>
        <v>0.30951241531953677</v>
      </c>
      <c r="BB314" s="14">
        <f t="shared" si="33"/>
        <v>32825.99084670531</v>
      </c>
      <c r="BC314" s="14"/>
      <c r="BD314" s="14"/>
      <c r="BE314" s="14"/>
      <c r="BF314" s="14"/>
      <c r="BG314" s="14"/>
      <c r="BH314" s="14"/>
      <c r="BI314" s="14"/>
      <c r="BJ314" s="14"/>
      <c r="BK314" s="14"/>
      <c r="BL314" s="14"/>
      <c r="BM314" s="14"/>
      <c r="BN314" s="14"/>
      <c r="BO314" s="14"/>
      <c r="BP314" s="14"/>
      <c r="BQ314" s="14"/>
      <c r="BR314" s="14"/>
      <c r="BS314" s="14"/>
      <c r="BT314" s="14"/>
      <c r="BU314" s="14"/>
      <c r="BV314" s="14"/>
      <c r="BW314" s="14"/>
      <c r="BX314" s="14"/>
      <c r="BY314" s="14"/>
      <c r="BZ314" s="14"/>
      <c r="CA314" s="14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</row>
    <row r="315" spans="1:101" ht="14.25" customHeight="1" x14ac:dyDescent="0.2">
      <c r="A315" s="328"/>
      <c r="B315" s="52">
        <v>0.16234467364011895</v>
      </c>
      <c r="C315" s="330">
        <v>0.49687509452952905</v>
      </c>
      <c r="D315" s="330">
        <v>2.1248715891018954E-2</v>
      </c>
      <c r="E315" s="330">
        <v>2.3148442717560447E-2</v>
      </c>
      <c r="F315" s="331">
        <v>0.8033636949214209</v>
      </c>
      <c r="G315" s="94">
        <v>0.35961338142408933</v>
      </c>
      <c r="H315" s="330">
        <v>0.71791952693753447</v>
      </c>
      <c r="I315" s="330">
        <v>1.9874876529897945E-2</v>
      </c>
      <c r="J315" s="330">
        <v>0.99999999984791543</v>
      </c>
      <c r="K315" s="330">
        <v>0.75111378070012391</v>
      </c>
      <c r="L315" s="332">
        <v>9844.3428917336514</v>
      </c>
      <c r="M315" s="330">
        <v>0</v>
      </c>
      <c r="N315" s="330">
        <v>16446.935541122628</v>
      </c>
      <c r="O315" s="330">
        <v>1027.1362329855333</v>
      </c>
      <c r="P315" s="330">
        <v>26935.158373365921</v>
      </c>
      <c r="Q315" s="333">
        <v>94433.522450508739</v>
      </c>
      <c r="R315" s="330">
        <v>15017.290621829001</v>
      </c>
      <c r="S315" s="330">
        <v>9425.673099844269</v>
      </c>
      <c r="T315" s="332">
        <v>0.81150320618825189</v>
      </c>
      <c r="U315" s="330">
        <v>0.6280858736527305</v>
      </c>
      <c r="V315" s="330">
        <v>0.96122910110211657</v>
      </c>
      <c r="W315" s="330">
        <v>0.87571089906534783</v>
      </c>
      <c r="X315" s="330">
        <v>0.83027741950683664</v>
      </c>
      <c r="Y315" s="330">
        <v>0</v>
      </c>
      <c r="Z315" s="331">
        <v>0</v>
      </c>
      <c r="AA315" s="235"/>
      <c r="AB315" s="52">
        <v>92811.183680937029</v>
      </c>
      <c r="AC315" s="330">
        <v>4.4732640031277766</v>
      </c>
      <c r="AD315" s="330">
        <v>81182.184639085564</v>
      </c>
      <c r="AE315" s="330">
        <v>3.9618958350688396</v>
      </c>
      <c r="AF315" s="330">
        <v>11628.999041851464</v>
      </c>
      <c r="AG315" s="331">
        <v>0.51136816805893703</v>
      </c>
      <c r="AH315" s="235"/>
      <c r="AI315" s="208">
        <f t="shared" si="34"/>
        <v>4156789.6192904511</v>
      </c>
      <c r="AJ315" s="208">
        <f t="shared" si="35"/>
        <v>3682618.858676312</v>
      </c>
      <c r="AK315" s="208">
        <f t="shared" si="36"/>
        <v>474170.76061413868</v>
      </c>
      <c r="AL315" s="235"/>
      <c r="AM315" s="52">
        <f t="shared" si="30"/>
        <v>1</v>
      </c>
      <c r="AN315" s="52">
        <f t="shared" si="31"/>
        <v>0</v>
      </c>
      <c r="AO315" s="52">
        <f t="shared" si="32"/>
        <v>1</v>
      </c>
      <c r="AP315" s="235"/>
      <c r="AQ315" s="3"/>
      <c r="AR315" s="3"/>
      <c r="AS315" s="3"/>
      <c r="AT315" s="3"/>
      <c r="AU315" s="235"/>
      <c r="AV315" s="360">
        <f t="shared" si="37"/>
        <v>4156789.6192904511</v>
      </c>
      <c r="AW315" s="235"/>
      <c r="AX315" s="354"/>
      <c r="AY315" s="14"/>
      <c r="AZ315" s="14">
        <f t="shared" si="39"/>
        <v>11628.999041851464</v>
      </c>
      <c r="BA315" s="14">
        <f t="shared" si="38"/>
        <v>0.51136816805893703</v>
      </c>
      <c r="BB315" s="14">
        <f t="shared" si="33"/>
        <v>22740.952151936021</v>
      </c>
      <c r="BC315" s="14"/>
      <c r="BD315" s="14"/>
      <c r="BE315" s="14"/>
      <c r="BF315" s="14"/>
      <c r="BG315" s="14"/>
      <c r="BH315" s="14"/>
      <c r="BI315" s="14"/>
      <c r="BJ315" s="14"/>
      <c r="BK315" s="14"/>
      <c r="BL315" s="14"/>
      <c r="BM315" s="14"/>
      <c r="BN315" s="14"/>
      <c r="BO315" s="14"/>
      <c r="BP315" s="14"/>
      <c r="BQ315" s="14"/>
      <c r="BR315" s="14"/>
      <c r="BS315" s="14"/>
      <c r="BT315" s="14"/>
      <c r="BU315" s="14"/>
      <c r="BV315" s="14"/>
      <c r="BW315" s="14"/>
      <c r="BX315" s="14"/>
      <c r="BY315" s="14"/>
      <c r="BZ315" s="14"/>
      <c r="CA315" s="14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</row>
    <row r="316" spans="1:101" ht="14.25" customHeight="1" x14ac:dyDescent="0.2">
      <c r="A316" s="328"/>
      <c r="B316" s="52">
        <v>0.19156455716424503</v>
      </c>
      <c r="C316" s="330">
        <v>1.646648348574397E-2</v>
      </c>
      <c r="D316" s="330">
        <v>1.5545729573579692E-2</v>
      </c>
      <c r="E316" s="330">
        <v>1.2793858816520337E-2</v>
      </c>
      <c r="F316" s="331">
        <v>0.76216501932452752</v>
      </c>
      <c r="G316" s="94">
        <v>0.42295341780732643</v>
      </c>
      <c r="H316" s="330">
        <v>0.47628249428939901</v>
      </c>
      <c r="I316" s="330">
        <v>1.9042365654679538E-2</v>
      </c>
      <c r="J316" s="330">
        <v>0.99653858942882567</v>
      </c>
      <c r="K316" s="330">
        <v>0.74034423600561994</v>
      </c>
      <c r="L316" s="332">
        <v>10886.505769151196</v>
      </c>
      <c r="M316" s="330">
        <v>0</v>
      </c>
      <c r="N316" s="330">
        <v>13803.411494792121</v>
      </c>
      <c r="O316" s="330">
        <v>1664.6162800034426</v>
      </c>
      <c r="P316" s="330">
        <v>43101.453633469799</v>
      </c>
      <c r="Q316" s="333">
        <v>96888.066725271783</v>
      </c>
      <c r="R316" s="330">
        <v>19622.413820026599</v>
      </c>
      <c r="S316" s="330">
        <v>10003.801495806905</v>
      </c>
      <c r="T316" s="332">
        <v>0.8858805700406045</v>
      </c>
      <c r="U316" s="330">
        <v>0.99783249096639537</v>
      </c>
      <c r="V316" s="330">
        <v>0.43541946563175959</v>
      </c>
      <c r="W316" s="330">
        <v>0.95078534198478559</v>
      </c>
      <c r="X316" s="330">
        <v>0.4211945826963947</v>
      </c>
      <c r="Y316" s="330">
        <v>0</v>
      </c>
      <c r="Z316" s="331">
        <v>0</v>
      </c>
      <c r="AA316" s="235"/>
      <c r="AB316" s="52">
        <v>93378.769109383866</v>
      </c>
      <c r="AC316" s="330">
        <v>2.0233092794079974</v>
      </c>
      <c r="AD316" s="330">
        <v>85299.550588869446</v>
      </c>
      <c r="AE316" s="330">
        <v>1.9136290081879064</v>
      </c>
      <c r="AF316" s="330">
        <v>8079.2185205144197</v>
      </c>
      <c r="AG316" s="331">
        <v>0.10968027122009105</v>
      </c>
      <c r="AH316" s="235"/>
      <c r="AI316" s="208">
        <f t="shared" si="34"/>
        <v>1828765.0463282135</v>
      </c>
      <c r="AJ316" s="208">
        <f t="shared" si="35"/>
        <v>1732648.0071896415</v>
      </c>
      <c r="AK316" s="208">
        <f t="shared" si="36"/>
        <v>96117.039138572087</v>
      </c>
      <c r="AL316" s="235"/>
      <c r="AM316" s="52">
        <f t="shared" si="30"/>
        <v>1</v>
      </c>
      <c r="AN316" s="52">
        <f t="shared" si="31"/>
        <v>0</v>
      </c>
      <c r="AO316" s="52">
        <f t="shared" si="32"/>
        <v>1</v>
      </c>
      <c r="AP316" s="235"/>
      <c r="AQ316" s="3"/>
      <c r="AR316" s="3"/>
      <c r="AS316" s="3"/>
      <c r="AT316" s="3"/>
      <c r="AU316" s="235"/>
      <c r="AV316" s="360">
        <f t="shared" si="37"/>
        <v>1828765.0463282135</v>
      </c>
      <c r="AW316" s="235"/>
      <c r="AX316" s="354"/>
      <c r="AY316" s="14"/>
      <c r="AZ316" s="14">
        <f t="shared" si="39"/>
        <v>8079.2185205144197</v>
      </c>
      <c r="BA316" s="14">
        <f t="shared" si="38"/>
        <v>0.10968027122009105</v>
      </c>
      <c r="BB316" s="14">
        <f t="shared" si="33"/>
        <v>73661.54761144027</v>
      </c>
      <c r="BC316" s="14"/>
      <c r="BD316" s="14"/>
      <c r="BE316" s="14"/>
      <c r="BF316" s="14"/>
      <c r="BG316" s="14"/>
      <c r="BH316" s="14"/>
      <c r="BI316" s="14"/>
      <c r="BJ316" s="14"/>
      <c r="BK316" s="14"/>
      <c r="BL316" s="14"/>
      <c r="BM316" s="14"/>
      <c r="BN316" s="14"/>
      <c r="BO316" s="14"/>
      <c r="BP316" s="14"/>
      <c r="BQ316" s="14"/>
      <c r="BR316" s="14"/>
      <c r="BS316" s="14"/>
      <c r="BT316" s="14"/>
      <c r="BU316" s="14"/>
      <c r="BV316" s="14"/>
      <c r="BW316" s="14"/>
      <c r="BX316" s="14"/>
      <c r="BY316" s="14"/>
      <c r="BZ316" s="14"/>
      <c r="CA316" s="14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</row>
    <row r="317" spans="1:101" ht="14.25" customHeight="1" x14ac:dyDescent="0.2">
      <c r="A317" s="328"/>
      <c r="B317" s="52">
        <v>0.15817252890084962</v>
      </c>
      <c r="C317" s="330">
        <v>0.23056286427682079</v>
      </c>
      <c r="D317" s="330">
        <v>2.1222139879853108E-2</v>
      </c>
      <c r="E317" s="330">
        <v>1.7727212498188427E-2</v>
      </c>
      <c r="F317" s="331">
        <v>0.79369971925802107</v>
      </c>
      <c r="G317" s="94">
        <v>0.40499119567904951</v>
      </c>
      <c r="H317" s="330">
        <v>0.66783590743067023</v>
      </c>
      <c r="I317" s="330">
        <v>1.5013631537753666E-2</v>
      </c>
      <c r="J317" s="330">
        <v>0.99999999999973122</v>
      </c>
      <c r="K317" s="330">
        <v>0.81233817601379621</v>
      </c>
      <c r="L317" s="332">
        <v>14365.465230965583</v>
      </c>
      <c r="M317" s="330">
        <v>0</v>
      </c>
      <c r="N317" s="330">
        <v>15904.64743433466</v>
      </c>
      <c r="O317" s="330">
        <v>1300.5703313718552</v>
      </c>
      <c r="P317" s="330">
        <v>31080.822993829817</v>
      </c>
      <c r="Q317" s="333">
        <v>79528.883697757876</v>
      </c>
      <c r="R317" s="330">
        <v>20419.987913418943</v>
      </c>
      <c r="S317" s="330">
        <v>6799.0079772366398</v>
      </c>
      <c r="T317" s="332">
        <v>0.63071755464829438</v>
      </c>
      <c r="U317" s="330">
        <v>0.97686175211783866</v>
      </c>
      <c r="V317" s="330">
        <v>0.92116810009825134</v>
      </c>
      <c r="W317" s="330">
        <v>0.98863010406361596</v>
      </c>
      <c r="X317" s="330">
        <v>0.93205196539477209</v>
      </c>
      <c r="Y317" s="330">
        <v>0</v>
      </c>
      <c r="Z317" s="331">
        <v>0</v>
      </c>
      <c r="AA317" s="235"/>
      <c r="AB317" s="52">
        <v>73495.327891264198</v>
      </c>
      <c r="AC317" s="330">
        <v>4.6540109187392895</v>
      </c>
      <c r="AD317" s="330">
        <v>66034.226167558343</v>
      </c>
      <c r="AE317" s="330">
        <v>5.0273857324489892</v>
      </c>
      <c r="AF317" s="330">
        <v>7461.101723705855</v>
      </c>
      <c r="AG317" s="331">
        <v>-0.37337481370969972</v>
      </c>
      <c r="AH317" s="235"/>
      <c r="AI317" s="208">
        <f t="shared" si="34"/>
        <v>4347815.0449110605</v>
      </c>
      <c r="AJ317" s="208">
        <f t="shared" si="35"/>
        <v>4709982.2196589811</v>
      </c>
      <c r="AK317" s="208">
        <f t="shared" si="36"/>
        <v>-362167.1747479206</v>
      </c>
      <c r="AL317" s="235"/>
      <c r="AM317" s="52">
        <f t="shared" si="30"/>
        <v>0</v>
      </c>
      <c r="AN317" s="52">
        <f t="shared" si="31"/>
        <v>1</v>
      </c>
      <c r="AO317" s="52">
        <f t="shared" si="32"/>
        <v>0</v>
      </c>
      <c r="AP317" s="235"/>
      <c r="AQ317" s="3"/>
      <c r="AR317" s="3"/>
      <c r="AS317" s="3"/>
      <c r="AT317" s="3"/>
      <c r="AU317" s="235"/>
      <c r="AV317" s="360">
        <f t="shared" si="37"/>
        <v>4709982.2196589811</v>
      </c>
      <c r="AW317" s="235"/>
      <c r="AX317" s="354"/>
      <c r="AY317" s="14"/>
      <c r="AZ317" s="14">
        <f t="shared" si="39"/>
        <v>7461.101723705855</v>
      </c>
      <c r="BA317" s="14">
        <f t="shared" si="38"/>
        <v>-0.37337481370969972</v>
      </c>
      <c r="BB317" s="14">
        <f t="shared" si="33"/>
        <v>-19982.873642641811</v>
      </c>
      <c r="BC317" s="14"/>
      <c r="BD317" s="14"/>
      <c r="BE317" s="14"/>
      <c r="BF317" s="14"/>
      <c r="BG317" s="14"/>
      <c r="BH317" s="14"/>
      <c r="BI317" s="14"/>
      <c r="BJ317" s="14"/>
      <c r="BK317" s="14"/>
      <c r="BL317" s="14"/>
      <c r="BM317" s="14"/>
      <c r="BN317" s="14"/>
      <c r="BO317" s="14"/>
      <c r="BP317" s="14"/>
      <c r="BQ317" s="14"/>
      <c r="BR317" s="14"/>
      <c r="BS317" s="14"/>
      <c r="BT317" s="14"/>
      <c r="BU317" s="14"/>
      <c r="BV317" s="14"/>
      <c r="BW317" s="14"/>
      <c r="BX317" s="14"/>
      <c r="BY317" s="14"/>
      <c r="BZ317" s="14"/>
      <c r="CA317" s="14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</row>
    <row r="318" spans="1:101" ht="14.25" customHeight="1" x14ac:dyDescent="0.2">
      <c r="A318" s="328"/>
      <c r="B318" s="52">
        <v>0.16821470119923865</v>
      </c>
      <c r="C318" s="330">
        <v>7.4542064766748739E-2</v>
      </c>
      <c r="D318" s="330">
        <v>6.6346535071467984E-3</v>
      </c>
      <c r="E318" s="330">
        <v>6.2601058361857311E-3</v>
      </c>
      <c r="F318" s="331">
        <v>0.79863832254285838</v>
      </c>
      <c r="G318" s="94">
        <v>0.45147407828777875</v>
      </c>
      <c r="H318" s="330">
        <v>0.96729242951962768</v>
      </c>
      <c r="I318" s="330">
        <v>2.2040993537252085E-2</v>
      </c>
      <c r="J318" s="330">
        <v>0.99999995822488874</v>
      </c>
      <c r="K318" s="330">
        <v>0.81969681065066402</v>
      </c>
      <c r="L318" s="332">
        <v>8927.7435850985148</v>
      </c>
      <c r="M318" s="330">
        <v>0</v>
      </c>
      <c r="N318" s="330">
        <v>16190.457535052576</v>
      </c>
      <c r="O318" s="330">
        <v>991.90294455339608</v>
      </c>
      <c r="P318" s="330">
        <v>35722.950475806247</v>
      </c>
      <c r="Q318" s="333">
        <v>73608.452246911867</v>
      </c>
      <c r="R318" s="330">
        <v>23158.444514005223</v>
      </c>
      <c r="S318" s="330">
        <v>11716.114879649289</v>
      </c>
      <c r="T318" s="332">
        <v>0.33651590147544908</v>
      </c>
      <c r="U318" s="330">
        <v>0.98028954151108683</v>
      </c>
      <c r="V318" s="330">
        <v>0.33836766353693493</v>
      </c>
      <c r="W318" s="330">
        <v>0.1059393686123349</v>
      </c>
      <c r="X318" s="330">
        <v>0.99995407796688052</v>
      </c>
      <c r="Y318" s="330">
        <v>0</v>
      </c>
      <c r="Z318" s="331">
        <v>0</v>
      </c>
      <c r="AA318" s="235"/>
      <c r="AB318" s="52">
        <v>109878.96403424857</v>
      </c>
      <c r="AC318" s="330">
        <v>4.8902101248470062</v>
      </c>
      <c r="AD318" s="330">
        <v>114663.72928951224</v>
      </c>
      <c r="AE318" s="330">
        <v>4.9878370572088979</v>
      </c>
      <c r="AF318" s="330">
        <v>-4784.7652552636719</v>
      </c>
      <c r="AG318" s="331">
        <v>-9.7626932361891683E-2</v>
      </c>
      <c r="AH318" s="235"/>
      <c r="AI318" s="208">
        <f t="shared" si="34"/>
        <v>4535820.6545704082</v>
      </c>
      <c r="AJ318" s="208">
        <f t="shared" si="35"/>
        <v>4623781.4750589412</v>
      </c>
      <c r="AK318" s="208">
        <f t="shared" si="36"/>
        <v>-87960.820488533427</v>
      </c>
      <c r="AL318" s="235"/>
      <c r="AM318" s="52">
        <f t="shared" si="30"/>
        <v>0</v>
      </c>
      <c r="AN318" s="52">
        <f t="shared" si="31"/>
        <v>1</v>
      </c>
      <c r="AO318" s="52">
        <f t="shared" si="32"/>
        <v>0</v>
      </c>
      <c r="AP318" s="235"/>
      <c r="AQ318" s="3"/>
      <c r="AR318" s="3"/>
      <c r="AS318" s="3"/>
      <c r="AT318" s="3"/>
      <c r="AU318" s="235"/>
      <c r="AV318" s="360">
        <f t="shared" si="37"/>
        <v>4623781.4750589412</v>
      </c>
      <c r="AW318" s="235"/>
      <c r="AX318" s="354"/>
      <c r="AY318" s="14"/>
      <c r="AZ318" s="14">
        <f t="shared" si="39"/>
        <v>-4784.7652552636719</v>
      </c>
      <c r="BA318" s="14">
        <f t="shared" si="38"/>
        <v>-9.7626932361891683E-2</v>
      </c>
      <c r="BB318" s="14">
        <f t="shared" si="33"/>
        <v>49010.709847228463</v>
      </c>
      <c r="BC318" s="14"/>
      <c r="BD318" s="14"/>
      <c r="BE318" s="14"/>
      <c r="BF318" s="14"/>
      <c r="BG318" s="14"/>
      <c r="BH318" s="14"/>
      <c r="BI318" s="14"/>
      <c r="BJ318" s="14"/>
      <c r="BK318" s="14"/>
      <c r="BL318" s="14"/>
      <c r="BM318" s="14"/>
      <c r="BN318" s="14"/>
      <c r="BO318" s="14"/>
      <c r="BP318" s="14"/>
      <c r="BQ318" s="14"/>
      <c r="BR318" s="14"/>
      <c r="BS318" s="14"/>
      <c r="BT318" s="14"/>
      <c r="BU318" s="14"/>
      <c r="BV318" s="14"/>
      <c r="BW318" s="14"/>
      <c r="BX318" s="14"/>
      <c r="BY318" s="14"/>
      <c r="BZ318" s="14"/>
      <c r="CA318" s="14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</row>
    <row r="319" spans="1:101" ht="14.25" customHeight="1" x14ac:dyDescent="0.2">
      <c r="A319" s="328"/>
      <c r="B319" s="52">
        <v>0.17415562818181241</v>
      </c>
      <c r="C319" s="330">
        <v>0.49339133800131885</v>
      </c>
      <c r="D319" s="330">
        <v>7.4571800385699414E-3</v>
      </c>
      <c r="E319" s="330">
        <v>1.5612067372891336E-2</v>
      </c>
      <c r="F319" s="331">
        <v>0.8057386251030888</v>
      </c>
      <c r="G319" s="94">
        <v>0.42962615269429205</v>
      </c>
      <c r="H319" s="330">
        <v>7.5480000001131448E-2</v>
      </c>
      <c r="I319" s="330">
        <v>1.8396618393952902E-2</v>
      </c>
      <c r="J319" s="330">
        <v>0.85333236560182246</v>
      </c>
      <c r="K319" s="330">
        <v>0.66973577652166816</v>
      </c>
      <c r="L319" s="332">
        <v>9985.6419107719685</v>
      </c>
      <c r="M319" s="330">
        <v>0</v>
      </c>
      <c r="N319" s="330">
        <v>21875.905637827989</v>
      </c>
      <c r="O319" s="330">
        <v>945.47013003765142</v>
      </c>
      <c r="P319" s="330">
        <v>48068.341914193865</v>
      </c>
      <c r="Q319" s="333">
        <v>47767.009631349931</v>
      </c>
      <c r="R319" s="330">
        <v>20917.428841445191</v>
      </c>
      <c r="S319" s="330">
        <v>6652.2050618717376</v>
      </c>
      <c r="T319" s="332">
        <v>0.99969246715786308</v>
      </c>
      <c r="U319" s="330">
        <v>0.72338318606016949</v>
      </c>
      <c r="V319" s="330">
        <v>0.62116297441432955</v>
      </c>
      <c r="W319" s="330">
        <v>2.5290927399455161E-2</v>
      </c>
      <c r="X319" s="330">
        <v>0.9999354928886296</v>
      </c>
      <c r="Y319" s="330">
        <v>0</v>
      </c>
      <c r="Z319" s="331">
        <v>0</v>
      </c>
      <c r="AA319" s="235"/>
      <c r="AB319" s="52">
        <v>69529.864167518113</v>
      </c>
      <c r="AC319" s="330">
        <v>5.1347158713347811</v>
      </c>
      <c r="AD319" s="330">
        <v>49812.867557981954</v>
      </c>
      <c r="AE319" s="330">
        <v>4.1063682635715253</v>
      </c>
      <c r="AF319" s="330">
        <v>19716.99660953616</v>
      </c>
      <c r="AG319" s="331">
        <v>1.0283476077632558</v>
      </c>
      <c r="AH319" s="235"/>
      <c r="AI319" s="208">
        <f t="shared" si="34"/>
        <v>4808450.2136005238</v>
      </c>
      <c r="AJ319" s="208">
        <f t="shared" si="35"/>
        <v>3851236.9828349669</v>
      </c>
      <c r="AK319" s="208">
        <f t="shared" si="36"/>
        <v>957213.23076555692</v>
      </c>
      <c r="AL319" s="235"/>
      <c r="AM319" s="52">
        <f t="shared" si="30"/>
        <v>1</v>
      </c>
      <c r="AN319" s="52">
        <f t="shared" si="31"/>
        <v>0</v>
      </c>
      <c r="AO319" s="52">
        <f t="shared" si="32"/>
        <v>1</v>
      </c>
      <c r="AP319" s="235"/>
      <c r="AQ319" s="3"/>
      <c r="AR319" s="3"/>
      <c r="AS319" s="3"/>
      <c r="AT319" s="3"/>
      <c r="AU319" s="235"/>
      <c r="AV319" s="360">
        <f t="shared" si="37"/>
        <v>4808450.2136005238</v>
      </c>
      <c r="AW319" s="235"/>
      <c r="AX319" s="354"/>
      <c r="AY319" s="14"/>
      <c r="AZ319" s="14">
        <f t="shared" si="39"/>
        <v>19716.99660953616</v>
      </c>
      <c r="BA319" s="14">
        <f t="shared" si="38"/>
        <v>1.0283476077632558</v>
      </c>
      <c r="BB319" s="14">
        <f t="shared" si="33"/>
        <v>19173.474475641866</v>
      </c>
      <c r="BC319" s="14"/>
      <c r="BD319" s="14"/>
      <c r="BE319" s="14"/>
      <c r="BF319" s="14"/>
      <c r="BG319" s="14"/>
      <c r="BH319" s="14"/>
      <c r="BI319" s="14"/>
      <c r="BJ319" s="14"/>
      <c r="BK319" s="14"/>
      <c r="BL319" s="14"/>
      <c r="BM319" s="14"/>
      <c r="BN319" s="14"/>
      <c r="BO319" s="14"/>
      <c r="BP319" s="14"/>
      <c r="BQ319" s="14"/>
      <c r="BR319" s="14"/>
      <c r="BS319" s="14"/>
      <c r="BT319" s="14"/>
      <c r="BU319" s="14"/>
      <c r="BV319" s="14"/>
      <c r="BW319" s="14"/>
      <c r="BX319" s="14"/>
      <c r="BY319" s="14"/>
      <c r="BZ319" s="14"/>
      <c r="CA319" s="14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</row>
    <row r="320" spans="1:101" ht="14.25" customHeight="1" x14ac:dyDescent="0.2">
      <c r="A320" s="328"/>
      <c r="B320" s="52">
        <v>0.14794676430294962</v>
      </c>
      <c r="C320" s="330">
        <v>5.0659127102030473E-2</v>
      </c>
      <c r="D320" s="330">
        <v>2.5663856609097202E-2</v>
      </c>
      <c r="E320" s="330">
        <v>1.4336772861757951E-2</v>
      </c>
      <c r="F320" s="331">
        <v>0.7802213978159811</v>
      </c>
      <c r="G320" s="94">
        <v>0.40291884167092396</v>
      </c>
      <c r="H320" s="330">
        <v>2.8420253963571222E-2</v>
      </c>
      <c r="I320" s="330">
        <v>6.3652579954395641E-4</v>
      </c>
      <c r="J320" s="330">
        <v>1</v>
      </c>
      <c r="K320" s="330">
        <v>0.8407105624987522</v>
      </c>
      <c r="L320" s="332">
        <v>12143.485184962814</v>
      </c>
      <c r="M320" s="330">
        <v>0</v>
      </c>
      <c r="N320" s="330">
        <v>22861.95622249724</v>
      </c>
      <c r="O320" s="330">
        <v>1259.1844945671573</v>
      </c>
      <c r="P320" s="330">
        <v>36933.028152172425</v>
      </c>
      <c r="Q320" s="333">
        <v>92699.597236341957</v>
      </c>
      <c r="R320" s="330">
        <v>26566.741722239611</v>
      </c>
      <c r="S320" s="330">
        <v>8317.6593843427818</v>
      </c>
      <c r="T320" s="332">
        <v>0.83069187771990927</v>
      </c>
      <c r="U320" s="330">
        <v>0.6087572978399437</v>
      </c>
      <c r="V320" s="330">
        <v>0.99999137846453801</v>
      </c>
      <c r="W320" s="330">
        <v>0.99927793605970017</v>
      </c>
      <c r="X320" s="330">
        <v>0.63660624734143689</v>
      </c>
      <c r="Y320" s="330">
        <v>0</v>
      </c>
      <c r="Z320" s="331">
        <v>0</v>
      </c>
      <c r="AA320" s="235"/>
      <c r="AB320" s="52">
        <v>82525.684279191322</v>
      </c>
      <c r="AC320" s="330">
        <v>3.29951491507452</v>
      </c>
      <c r="AD320" s="330">
        <v>75891.582110304997</v>
      </c>
      <c r="AE320" s="330">
        <v>3.2389982184178461</v>
      </c>
      <c r="AF320" s="330">
        <v>6634.1021688863257</v>
      </c>
      <c r="AG320" s="331">
        <v>6.0516696656673918E-2</v>
      </c>
      <c r="AH320" s="235"/>
      <c r="AI320" s="208">
        <f t="shared" si="34"/>
        <v>3052013.4850416025</v>
      </c>
      <c r="AJ320" s="208">
        <f t="shared" si="35"/>
        <v>3001156.7253866489</v>
      </c>
      <c r="AK320" s="208">
        <f t="shared" si="36"/>
        <v>50856.759654953894</v>
      </c>
      <c r="AL320" s="235"/>
      <c r="AM320" s="52">
        <f t="shared" si="30"/>
        <v>1</v>
      </c>
      <c r="AN320" s="52">
        <f t="shared" si="31"/>
        <v>0</v>
      </c>
      <c r="AO320" s="52">
        <f t="shared" si="32"/>
        <v>1</v>
      </c>
      <c r="AP320" s="235"/>
      <c r="AQ320" s="3"/>
      <c r="AR320" s="3"/>
      <c r="AS320" s="3"/>
      <c r="AT320" s="3"/>
      <c r="AU320" s="235"/>
      <c r="AV320" s="360">
        <f t="shared" si="37"/>
        <v>3052013.4850416025</v>
      </c>
      <c r="AW320" s="235"/>
      <c r="AX320" s="354"/>
      <c r="AY320" s="14"/>
      <c r="AZ320" s="14">
        <f t="shared" si="39"/>
        <v>6634.1021688863257</v>
      </c>
      <c r="BA320" s="14">
        <f t="shared" si="38"/>
        <v>6.0516696656673918E-2</v>
      </c>
      <c r="BB320" s="14">
        <f t="shared" si="33"/>
        <v>109624.32742360701</v>
      </c>
      <c r="BC320" s="14"/>
      <c r="BD320" s="14"/>
      <c r="BE320" s="14"/>
      <c r="BF320" s="14"/>
      <c r="BG320" s="14"/>
      <c r="BH320" s="14"/>
      <c r="BI320" s="14"/>
      <c r="BJ320" s="14"/>
      <c r="BK320" s="14"/>
      <c r="BL320" s="14"/>
      <c r="BM320" s="14"/>
      <c r="BN320" s="14"/>
      <c r="BO320" s="14"/>
      <c r="BP320" s="14"/>
      <c r="BQ320" s="14"/>
      <c r="BR320" s="14"/>
      <c r="BS320" s="14"/>
      <c r="BT320" s="14"/>
      <c r="BU320" s="14"/>
      <c r="BV320" s="14"/>
      <c r="BW320" s="14"/>
      <c r="BX320" s="14"/>
      <c r="BY320" s="14"/>
      <c r="BZ320" s="14"/>
      <c r="CA320" s="14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</row>
    <row r="321" spans="1:101" ht="14.25" customHeight="1" x14ac:dyDescent="0.2">
      <c r="A321" s="328"/>
      <c r="B321" s="52">
        <v>0.17222446813705516</v>
      </c>
      <c r="C321" s="330">
        <v>0.61346329572568392</v>
      </c>
      <c r="D321" s="330">
        <v>1.2541233464159413E-2</v>
      </c>
      <c r="E321" s="330">
        <v>2.2997888961378443E-2</v>
      </c>
      <c r="F321" s="331">
        <v>0.75957034746024465</v>
      </c>
      <c r="G321" s="94">
        <v>0.38671131310923451</v>
      </c>
      <c r="H321" s="330">
        <v>0.60796968560163478</v>
      </c>
      <c r="I321" s="330">
        <v>1.6212475009511063E-2</v>
      </c>
      <c r="J321" s="330">
        <v>0.68674948958422821</v>
      </c>
      <c r="K321" s="330">
        <v>0.71928472143619104</v>
      </c>
      <c r="L321" s="332">
        <v>10720.376887369099</v>
      </c>
      <c r="M321" s="330">
        <v>0</v>
      </c>
      <c r="N321" s="330">
        <v>25685.631343185116</v>
      </c>
      <c r="O321" s="330">
        <v>875.62839027408029</v>
      </c>
      <c r="P321" s="330">
        <v>39407.035939917281</v>
      </c>
      <c r="Q321" s="333">
        <v>79553.52489106651</v>
      </c>
      <c r="R321" s="330">
        <v>22369.014467266723</v>
      </c>
      <c r="S321" s="330">
        <v>11427.876671621998</v>
      </c>
      <c r="T321" s="332">
        <v>0.99317884274305868</v>
      </c>
      <c r="U321" s="330">
        <v>0.97440883684757351</v>
      </c>
      <c r="V321" s="330">
        <v>0.93256832788125754</v>
      </c>
      <c r="W321" s="330">
        <v>0.59110748786172207</v>
      </c>
      <c r="X321" s="330">
        <v>0.86951635140411487</v>
      </c>
      <c r="Y321" s="330">
        <v>0</v>
      </c>
      <c r="Z321" s="331">
        <v>0</v>
      </c>
      <c r="AA321" s="235"/>
      <c r="AB321" s="52">
        <v>106559.65733067</v>
      </c>
      <c r="AC321" s="330">
        <v>4.4153633347669015</v>
      </c>
      <c r="AD321" s="330">
        <v>94587.1818454358</v>
      </c>
      <c r="AE321" s="330">
        <v>4.1423226016669723</v>
      </c>
      <c r="AF321" s="330">
        <v>11972.475485234201</v>
      </c>
      <c r="AG321" s="331">
        <v>0.27304073309992916</v>
      </c>
      <c r="AH321" s="235"/>
      <c r="AI321" s="208">
        <f t="shared" si="34"/>
        <v>4088035.5106978868</v>
      </c>
      <c r="AJ321" s="208">
        <f t="shared" si="35"/>
        <v>3840619.289738188</v>
      </c>
      <c r="AK321" s="208">
        <f t="shared" si="36"/>
        <v>247416.22095969849</v>
      </c>
      <c r="AL321" s="235"/>
      <c r="AM321" s="52">
        <f t="shared" si="30"/>
        <v>1</v>
      </c>
      <c r="AN321" s="52">
        <f t="shared" si="31"/>
        <v>0</v>
      </c>
      <c r="AO321" s="52">
        <f t="shared" si="32"/>
        <v>1</v>
      </c>
      <c r="AP321" s="235"/>
      <c r="AQ321" s="3"/>
      <c r="AR321" s="3"/>
      <c r="AS321" s="3"/>
      <c r="AT321" s="3"/>
      <c r="AU321" s="235"/>
      <c r="AV321" s="360">
        <f t="shared" si="37"/>
        <v>4088035.5106978868</v>
      </c>
      <c r="AW321" s="235"/>
      <c r="AX321" s="354"/>
      <c r="AY321" s="14"/>
      <c r="AZ321" s="14">
        <f t="shared" si="39"/>
        <v>11972.475485234201</v>
      </c>
      <c r="BA321" s="14">
        <f t="shared" si="38"/>
        <v>0.27304073309992916</v>
      </c>
      <c r="BB321" s="14">
        <f t="shared" si="33"/>
        <v>43848.679093798215</v>
      </c>
      <c r="BC321" s="14"/>
      <c r="BD321" s="14"/>
      <c r="BE321" s="14"/>
      <c r="BF321" s="14"/>
      <c r="BG321" s="14"/>
      <c r="BH321" s="14"/>
      <c r="BI321" s="14"/>
      <c r="BJ321" s="14"/>
      <c r="BK321" s="14"/>
      <c r="BL321" s="14"/>
      <c r="BM321" s="14"/>
      <c r="BN321" s="14"/>
      <c r="BO321" s="14"/>
      <c r="BP321" s="14"/>
      <c r="BQ321" s="14"/>
      <c r="BR321" s="14"/>
      <c r="BS321" s="14"/>
      <c r="BT321" s="14"/>
      <c r="BU321" s="14"/>
      <c r="BV321" s="14"/>
      <c r="BW321" s="14"/>
      <c r="BX321" s="14"/>
      <c r="BY321" s="14"/>
      <c r="BZ321" s="14"/>
      <c r="CA321" s="14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</row>
    <row r="322" spans="1:101" ht="14.25" customHeight="1" x14ac:dyDescent="0.2">
      <c r="A322" s="328"/>
      <c r="B322" s="52">
        <v>0.16458724559964666</v>
      </c>
      <c r="C322" s="330">
        <v>0.58547654415157591</v>
      </c>
      <c r="D322" s="330">
        <v>2.0534665358516557E-2</v>
      </c>
      <c r="E322" s="330">
        <v>1.134358835419666E-2</v>
      </c>
      <c r="F322" s="331">
        <v>0.83848808964311394</v>
      </c>
      <c r="G322" s="94">
        <v>0.41389134254568183</v>
      </c>
      <c r="H322" s="330">
        <v>0.57562808256342946</v>
      </c>
      <c r="I322" s="330">
        <v>3.812331775132316E-2</v>
      </c>
      <c r="J322" s="330">
        <v>0.99999999997402145</v>
      </c>
      <c r="K322" s="330">
        <v>0.80333854714867714</v>
      </c>
      <c r="L322" s="332">
        <v>12493.426839821088</v>
      </c>
      <c r="M322" s="330">
        <v>0</v>
      </c>
      <c r="N322" s="330">
        <v>19267.253903057426</v>
      </c>
      <c r="O322" s="330">
        <v>835.89280841498623</v>
      </c>
      <c r="P322" s="330">
        <v>53028.865247565671</v>
      </c>
      <c r="Q322" s="333">
        <v>86831.032438762006</v>
      </c>
      <c r="R322" s="330">
        <v>25149.397183803841</v>
      </c>
      <c r="S322" s="330">
        <v>7949.4661374451871</v>
      </c>
      <c r="T322" s="332">
        <v>0.88886690516713851</v>
      </c>
      <c r="U322" s="330">
        <v>0.97727192751352909</v>
      </c>
      <c r="V322" s="330">
        <v>0.68673299787461861</v>
      </c>
      <c r="W322" s="330">
        <v>0.97429711652947826</v>
      </c>
      <c r="X322" s="330">
        <v>0.3716970835355588</v>
      </c>
      <c r="Y322" s="330">
        <v>0</v>
      </c>
      <c r="Z322" s="331">
        <v>0</v>
      </c>
      <c r="AA322" s="235"/>
      <c r="AB322" s="52">
        <v>86880.060715090018</v>
      </c>
      <c r="AC322" s="330">
        <v>1.9151606946650492</v>
      </c>
      <c r="AD322" s="330">
        <v>77383.361657691101</v>
      </c>
      <c r="AE322" s="330">
        <v>2.0608146103643339</v>
      </c>
      <c r="AF322" s="330">
        <v>9496.6990573989169</v>
      </c>
      <c r="AG322" s="331">
        <v>-0.14565391569928465</v>
      </c>
      <c r="AH322" s="235"/>
      <c r="AI322" s="208">
        <f t="shared" si="34"/>
        <v>1732522.5992167068</v>
      </c>
      <c r="AJ322" s="208">
        <f t="shared" si="35"/>
        <v>1880390.518188426</v>
      </c>
      <c r="AK322" s="208">
        <f t="shared" si="36"/>
        <v>-147867.91897171934</v>
      </c>
      <c r="AL322" s="235"/>
      <c r="AM322" s="52">
        <f t="shared" si="30"/>
        <v>0</v>
      </c>
      <c r="AN322" s="52">
        <f t="shared" si="31"/>
        <v>1</v>
      </c>
      <c r="AO322" s="52">
        <f t="shared" si="32"/>
        <v>0</v>
      </c>
      <c r="AP322" s="235"/>
      <c r="AQ322" s="3"/>
      <c r="AR322" s="3"/>
      <c r="AS322" s="3"/>
      <c r="AT322" s="3"/>
      <c r="AU322" s="235"/>
      <c r="AV322" s="360">
        <f t="shared" si="37"/>
        <v>1880390.518188426</v>
      </c>
      <c r="AW322" s="235"/>
      <c r="AX322" s="354"/>
      <c r="AY322" s="14"/>
      <c r="AZ322" s="14">
        <f t="shared" si="39"/>
        <v>9496.6990573989169</v>
      </c>
      <c r="BA322" s="14">
        <f t="shared" si="38"/>
        <v>-0.14565391569928465</v>
      </c>
      <c r="BB322" s="14">
        <f t="shared" si="33"/>
        <v>-65200.437707460536</v>
      </c>
      <c r="BC322" s="14"/>
      <c r="BD322" s="14"/>
      <c r="BE322" s="14"/>
      <c r="BF322" s="14"/>
      <c r="BG322" s="14"/>
      <c r="BH322" s="14"/>
      <c r="BI322" s="14"/>
      <c r="BJ322" s="14"/>
      <c r="BK322" s="14"/>
      <c r="BL322" s="14"/>
      <c r="BM322" s="14"/>
      <c r="BN322" s="14"/>
      <c r="BO322" s="14"/>
      <c r="BP322" s="14"/>
      <c r="BQ322" s="14"/>
      <c r="BR322" s="14"/>
      <c r="BS322" s="14"/>
      <c r="BT322" s="14"/>
      <c r="BU322" s="14"/>
      <c r="BV322" s="14"/>
      <c r="BW322" s="14"/>
      <c r="BX322" s="14"/>
      <c r="BY322" s="14"/>
      <c r="BZ322" s="14"/>
      <c r="CA322" s="14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</row>
    <row r="323" spans="1:101" ht="14.25" customHeight="1" x14ac:dyDescent="0.2">
      <c r="A323" s="328"/>
      <c r="B323" s="52">
        <v>0.155179130659645</v>
      </c>
      <c r="C323" s="330">
        <v>9.9518184241426721E-2</v>
      </c>
      <c r="D323" s="330">
        <v>1.3248230828308378E-2</v>
      </c>
      <c r="E323" s="330">
        <v>2.2250919015601056E-2</v>
      </c>
      <c r="F323" s="331">
        <v>0.76112503660618536</v>
      </c>
      <c r="G323" s="94">
        <v>0.43379728256436445</v>
      </c>
      <c r="H323" s="330">
        <v>0.51977863688690529</v>
      </c>
      <c r="I323" s="330">
        <v>7.4695163306799841E-3</v>
      </c>
      <c r="J323" s="330">
        <v>0.99999994606546427</v>
      </c>
      <c r="K323" s="330">
        <v>0.72787950921839184</v>
      </c>
      <c r="L323" s="332">
        <v>9882.3978912314251</v>
      </c>
      <c r="M323" s="330">
        <v>0</v>
      </c>
      <c r="N323" s="330">
        <v>14179.040177067374</v>
      </c>
      <c r="O323" s="330">
        <v>1021.1317265657666</v>
      </c>
      <c r="P323" s="330">
        <v>55771.780519678694</v>
      </c>
      <c r="Q323" s="333">
        <v>104965.69474448419</v>
      </c>
      <c r="R323" s="330">
        <v>27169.163586705865</v>
      </c>
      <c r="S323" s="330">
        <v>10407.676142397371</v>
      </c>
      <c r="T323" s="332">
        <v>0.58592056024317607</v>
      </c>
      <c r="U323" s="330">
        <v>0.99989845778323272</v>
      </c>
      <c r="V323" s="330">
        <v>0.82282003698120809</v>
      </c>
      <c r="W323" s="330">
        <v>0.19930477905975355</v>
      </c>
      <c r="X323" s="330">
        <v>0.65917604188426238</v>
      </c>
      <c r="Y323" s="330">
        <v>0</v>
      </c>
      <c r="Z323" s="331">
        <v>0</v>
      </c>
      <c r="AA323" s="235"/>
      <c r="AB323" s="52">
        <v>95687.335784690746</v>
      </c>
      <c r="AC323" s="330">
        <v>3.063134455077221</v>
      </c>
      <c r="AD323" s="330">
        <v>88393.614212778586</v>
      </c>
      <c r="AE323" s="330">
        <v>2.9265827313355781</v>
      </c>
      <c r="AF323" s="330">
        <v>7293.7215719121596</v>
      </c>
      <c r="AG323" s="331">
        <v>0.13655172374164293</v>
      </c>
      <c r="AH323" s="235"/>
      <c r="AI323" s="208">
        <f t="shared" si="34"/>
        <v>2814290.3965386692</v>
      </c>
      <c r="AJ323" s="208">
        <f t="shared" si="35"/>
        <v>2691859.980556021</v>
      </c>
      <c r="AK323" s="208">
        <f t="shared" si="36"/>
        <v>122430.41598264863</v>
      </c>
      <c r="AL323" s="235"/>
      <c r="AM323" s="52">
        <f t="shared" si="30"/>
        <v>1</v>
      </c>
      <c r="AN323" s="52">
        <f t="shared" si="31"/>
        <v>0</v>
      </c>
      <c r="AO323" s="52">
        <f t="shared" si="32"/>
        <v>1</v>
      </c>
      <c r="AP323" s="235"/>
      <c r="AQ323" s="3"/>
      <c r="AR323" s="3"/>
      <c r="AS323" s="3"/>
      <c r="AT323" s="3"/>
      <c r="AU323" s="235"/>
      <c r="AV323" s="360">
        <f t="shared" si="37"/>
        <v>2814290.3965386692</v>
      </c>
      <c r="AW323" s="235"/>
      <c r="AX323" s="354"/>
      <c r="AY323" s="14"/>
      <c r="AZ323" s="14">
        <f t="shared" si="39"/>
        <v>7293.7215719121596</v>
      </c>
      <c r="BA323" s="14">
        <f t="shared" si="38"/>
        <v>0.13655172374164293</v>
      </c>
      <c r="BB323" s="14">
        <f t="shared" si="33"/>
        <v>53413.617727096185</v>
      </c>
      <c r="BC323" s="14"/>
      <c r="BD323" s="14"/>
      <c r="BE323" s="14"/>
      <c r="BF323" s="14"/>
      <c r="BG323" s="14"/>
      <c r="BH323" s="14"/>
      <c r="BI323" s="14"/>
      <c r="BJ323" s="14"/>
      <c r="BK323" s="14"/>
      <c r="BL323" s="14"/>
      <c r="BM323" s="14"/>
      <c r="BN323" s="14"/>
      <c r="BO323" s="14"/>
      <c r="BP323" s="14"/>
      <c r="BQ323" s="14"/>
      <c r="BR323" s="14"/>
      <c r="BS323" s="14"/>
      <c r="BT323" s="14"/>
      <c r="BU323" s="14"/>
      <c r="BV323" s="14"/>
      <c r="BW323" s="14"/>
      <c r="BX323" s="14"/>
      <c r="BY323" s="14"/>
      <c r="BZ323" s="14"/>
      <c r="CA323" s="14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</row>
    <row r="324" spans="1:101" ht="14.25" customHeight="1" x14ac:dyDescent="0.2">
      <c r="A324" s="328"/>
      <c r="B324" s="52">
        <v>0.15559597956205704</v>
      </c>
      <c r="C324" s="330">
        <v>0.51747316963420342</v>
      </c>
      <c r="D324" s="330">
        <v>5.6752378531445815E-3</v>
      </c>
      <c r="E324" s="330">
        <v>7.6750415244834017E-3</v>
      </c>
      <c r="F324" s="331">
        <v>0.79424610232622317</v>
      </c>
      <c r="G324" s="94">
        <v>0.43059868248146072</v>
      </c>
      <c r="H324" s="330">
        <v>0.77320363551095195</v>
      </c>
      <c r="I324" s="330">
        <v>2.571708069835954E-2</v>
      </c>
      <c r="J324" s="330">
        <v>0.99999999689324737</v>
      </c>
      <c r="K324" s="330">
        <v>0.67496641100439292</v>
      </c>
      <c r="L324" s="332">
        <v>11438.36336644223</v>
      </c>
      <c r="M324" s="330">
        <v>0</v>
      </c>
      <c r="N324" s="330">
        <v>24768.238712287013</v>
      </c>
      <c r="O324" s="330">
        <v>1461.3726565005961</v>
      </c>
      <c r="P324" s="330">
        <v>44596.668380398733</v>
      </c>
      <c r="Q324" s="333">
        <v>121613.96576274795</v>
      </c>
      <c r="R324" s="330">
        <v>22914.724292684932</v>
      </c>
      <c r="S324" s="330">
        <v>5616.2691251415636</v>
      </c>
      <c r="T324" s="332">
        <v>0.70636221379239561</v>
      </c>
      <c r="U324" s="330">
        <v>0.99996490961841167</v>
      </c>
      <c r="V324" s="330">
        <v>0.99884415825114903</v>
      </c>
      <c r="W324" s="330">
        <v>0.99688602978446517</v>
      </c>
      <c r="X324" s="330">
        <v>0.9656079329286209</v>
      </c>
      <c r="Y324" s="330">
        <v>0</v>
      </c>
      <c r="Z324" s="331">
        <v>0</v>
      </c>
      <c r="AA324" s="235"/>
      <c r="AB324" s="52">
        <v>61487.42856534708</v>
      </c>
      <c r="AC324" s="330">
        <v>4.6340719578596783</v>
      </c>
      <c r="AD324" s="330">
        <v>50988.339229085985</v>
      </c>
      <c r="AE324" s="330">
        <v>4.2472904689130369</v>
      </c>
      <c r="AF324" s="330">
        <v>10499.089336261095</v>
      </c>
      <c r="AG324" s="331">
        <v>0.38678148894664144</v>
      </c>
      <c r="AH324" s="235"/>
      <c r="AI324" s="208">
        <f t="shared" si="34"/>
        <v>4340880.9314013477</v>
      </c>
      <c r="AJ324" s="208">
        <f t="shared" si="35"/>
        <v>3983937.606238299</v>
      </c>
      <c r="AK324" s="208">
        <f t="shared" si="36"/>
        <v>356943.32516304828</v>
      </c>
      <c r="AL324" s="235"/>
      <c r="AM324" s="52">
        <f t="shared" si="30"/>
        <v>1</v>
      </c>
      <c r="AN324" s="52">
        <f t="shared" si="31"/>
        <v>0</v>
      </c>
      <c r="AO324" s="52">
        <f t="shared" si="32"/>
        <v>1</v>
      </c>
      <c r="AP324" s="235"/>
      <c r="AQ324" s="3"/>
      <c r="AR324" s="3"/>
      <c r="AS324" s="3"/>
      <c r="AT324" s="3"/>
      <c r="AU324" s="235"/>
      <c r="AV324" s="360">
        <f t="shared" si="37"/>
        <v>4340880.9314013477</v>
      </c>
      <c r="AW324" s="235"/>
      <c r="AX324" s="354"/>
      <c r="AY324" s="14"/>
      <c r="AZ324" s="14">
        <f t="shared" si="39"/>
        <v>10499.089336261095</v>
      </c>
      <c r="BA324" s="14">
        <f t="shared" si="38"/>
        <v>0.38678148894664144</v>
      </c>
      <c r="BB324" s="14">
        <f t="shared" si="33"/>
        <v>27144.756500250973</v>
      </c>
      <c r="BC324" s="14"/>
      <c r="BD324" s="14"/>
      <c r="BE324" s="14"/>
      <c r="BF324" s="14"/>
      <c r="BG324" s="14"/>
      <c r="BH324" s="14"/>
      <c r="BI324" s="14"/>
      <c r="BJ324" s="14"/>
      <c r="BK324" s="14"/>
      <c r="BL324" s="14"/>
      <c r="BM324" s="14"/>
      <c r="BN324" s="14"/>
      <c r="BO324" s="14"/>
      <c r="BP324" s="14"/>
      <c r="BQ324" s="14"/>
      <c r="BR324" s="14"/>
      <c r="BS324" s="14"/>
      <c r="BT324" s="14"/>
      <c r="BU324" s="14"/>
      <c r="BV324" s="14"/>
      <c r="BW324" s="14"/>
      <c r="BX324" s="14"/>
      <c r="BY324" s="14"/>
      <c r="BZ324" s="14"/>
      <c r="CA324" s="14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</row>
    <row r="325" spans="1:101" ht="14.25" customHeight="1" x14ac:dyDescent="0.2">
      <c r="A325" s="328"/>
      <c r="B325" s="52">
        <v>0.15618619318154561</v>
      </c>
      <c r="C325" s="330">
        <v>0.35445755495672071</v>
      </c>
      <c r="D325" s="330">
        <v>1.1872641379993826E-2</v>
      </c>
      <c r="E325" s="330">
        <v>2.5492305282734939E-2</v>
      </c>
      <c r="F325" s="331">
        <v>0.79190798810887808</v>
      </c>
      <c r="G325" s="94">
        <v>0.4236900009273229</v>
      </c>
      <c r="H325" s="330">
        <v>0.98731517629671939</v>
      </c>
      <c r="I325" s="330">
        <v>9.8615411755547406E-3</v>
      </c>
      <c r="J325" s="330">
        <v>0.99999999908384107</v>
      </c>
      <c r="K325" s="330">
        <v>0.78807630197514733</v>
      </c>
      <c r="L325" s="332">
        <v>16479.768469779603</v>
      </c>
      <c r="M325" s="330">
        <v>0</v>
      </c>
      <c r="N325" s="330">
        <v>14114.369553773493</v>
      </c>
      <c r="O325" s="330">
        <v>1408.8569888953355</v>
      </c>
      <c r="P325" s="330">
        <v>36169.596899511314</v>
      </c>
      <c r="Q325" s="333">
        <v>61601.847276325483</v>
      </c>
      <c r="R325" s="330">
        <v>24855.264417930455</v>
      </c>
      <c r="S325" s="330">
        <v>6512.6154600850759</v>
      </c>
      <c r="T325" s="332">
        <v>0.99790024042231429</v>
      </c>
      <c r="U325" s="330">
        <v>0.80425077394533184</v>
      </c>
      <c r="V325" s="330">
        <v>0.9929048035066208</v>
      </c>
      <c r="W325" s="330">
        <v>0.4300082030756055</v>
      </c>
      <c r="X325" s="330">
        <v>0.57530464662610514</v>
      </c>
      <c r="Y325" s="330">
        <v>0</v>
      </c>
      <c r="Z325" s="331">
        <v>0</v>
      </c>
      <c r="AA325" s="235"/>
      <c r="AB325" s="52">
        <v>73537.610585750794</v>
      </c>
      <c r="AC325" s="330">
        <v>3.0535419863499262</v>
      </c>
      <c r="AD325" s="330">
        <v>66473.40323048555</v>
      </c>
      <c r="AE325" s="330">
        <v>2.7999135165591018</v>
      </c>
      <c r="AF325" s="330">
        <v>7064.2073552652437</v>
      </c>
      <c r="AG325" s="331">
        <v>0.25362846979082443</v>
      </c>
      <c r="AH325" s="235"/>
      <c r="AI325" s="208">
        <f t="shared" si="34"/>
        <v>2827327.2764466791</v>
      </c>
      <c r="AJ325" s="208">
        <f t="shared" si="35"/>
        <v>2593444.4375006612</v>
      </c>
      <c r="AK325" s="208">
        <f t="shared" si="36"/>
        <v>233882.83894601796</v>
      </c>
      <c r="AL325" s="235"/>
      <c r="AM325" s="52">
        <f t="shared" si="30"/>
        <v>1</v>
      </c>
      <c r="AN325" s="52">
        <f t="shared" si="31"/>
        <v>0</v>
      </c>
      <c r="AO325" s="52">
        <f t="shared" si="32"/>
        <v>1</v>
      </c>
      <c r="AP325" s="235"/>
      <c r="AQ325" s="3"/>
      <c r="AR325" s="3"/>
      <c r="AS325" s="3"/>
      <c r="AT325" s="3"/>
      <c r="AU325" s="235"/>
      <c r="AV325" s="360">
        <f t="shared" si="37"/>
        <v>2827327.2764466791</v>
      </c>
      <c r="AW325" s="235"/>
      <c r="AX325" s="354"/>
      <c r="AY325" s="14"/>
      <c r="AZ325" s="14">
        <f t="shared" si="39"/>
        <v>7064.2073552652437</v>
      </c>
      <c r="BA325" s="14">
        <f t="shared" si="38"/>
        <v>0.25362846979082443</v>
      </c>
      <c r="BB325" s="14">
        <f t="shared" si="33"/>
        <v>27852.58043425221</v>
      </c>
      <c r="BC325" s="14"/>
      <c r="BD325" s="14"/>
      <c r="BE325" s="14"/>
      <c r="BF325" s="14"/>
      <c r="BG325" s="14"/>
      <c r="BH325" s="14"/>
      <c r="BI325" s="14"/>
      <c r="BJ325" s="14"/>
      <c r="BK325" s="14"/>
      <c r="BL325" s="14"/>
      <c r="BM325" s="14"/>
      <c r="BN325" s="14"/>
      <c r="BO325" s="14"/>
      <c r="BP325" s="14"/>
      <c r="BQ325" s="14"/>
      <c r="BR325" s="14"/>
      <c r="BS325" s="14"/>
      <c r="BT325" s="14"/>
      <c r="BU325" s="14"/>
      <c r="BV325" s="14"/>
      <c r="BW325" s="14"/>
      <c r="BX325" s="14"/>
      <c r="BY325" s="14"/>
      <c r="BZ325" s="14"/>
      <c r="CA325" s="14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</row>
    <row r="326" spans="1:101" ht="14.25" customHeight="1" x14ac:dyDescent="0.2">
      <c r="A326" s="328"/>
      <c r="B326" s="52">
        <v>0.15180355884536303</v>
      </c>
      <c r="C326" s="330">
        <v>0.66587277530665057</v>
      </c>
      <c r="D326" s="330">
        <v>8.3809362521097865E-3</v>
      </c>
      <c r="E326" s="330">
        <v>1.4012857192691309E-2</v>
      </c>
      <c r="F326" s="331">
        <v>0.82154296513175007</v>
      </c>
      <c r="G326" s="94">
        <v>0.37594955150842557</v>
      </c>
      <c r="H326" s="330">
        <v>0.22076188863871243</v>
      </c>
      <c r="I326" s="330">
        <v>4.2471638390153138E-3</v>
      </c>
      <c r="J326" s="330">
        <v>0.99993504917750897</v>
      </c>
      <c r="K326" s="330">
        <v>0.73242931295036606</v>
      </c>
      <c r="L326" s="332">
        <v>11717.33655823001</v>
      </c>
      <c r="M326" s="330">
        <v>0</v>
      </c>
      <c r="N326" s="330">
        <v>24251.756591664573</v>
      </c>
      <c r="O326" s="330">
        <v>1744.2139435656964</v>
      </c>
      <c r="P326" s="330">
        <v>39605.853476935146</v>
      </c>
      <c r="Q326" s="333">
        <v>88044.573391351747</v>
      </c>
      <c r="R326" s="330">
        <v>23793.940031252929</v>
      </c>
      <c r="S326" s="330">
        <v>9894.2862018692267</v>
      </c>
      <c r="T326" s="332">
        <v>0.86797789436412631</v>
      </c>
      <c r="U326" s="330">
        <v>0.93915753043808214</v>
      </c>
      <c r="V326" s="330">
        <v>9.965645261383263E-2</v>
      </c>
      <c r="W326" s="330">
        <v>0.86424197640600509</v>
      </c>
      <c r="X326" s="330">
        <v>1.3972280396709271E-2</v>
      </c>
      <c r="Y326" s="330">
        <v>0</v>
      </c>
      <c r="Z326" s="331">
        <v>0</v>
      </c>
      <c r="AA326" s="235"/>
      <c r="AB326" s="52">
        <v>101730.088808528</v>
      </c>
      <c r="AC326" s="330">
        <v>0.12518015583763739</v>
      </c>
      <c r="AD326" s="330">
        <v>80657.758669772636</v>
      </c>
      <c r="AE326" s="330">
        <v>0.34446228910765431</v>
      </c>
      <c r="AF326" s="330">
        <v>21072.330138755366</v>
      </c>
      <c r="AG326" s="331">
        <v>-0.21928213327001692</v>
      </c>
      <c r="AH326" s="235"/>
      <c r="AI326" s="208">
        <f t="shared" si="34"/>
        <v>17191.059237227513</v>
      </c>
      <c r="AJ326" s="208">
        <f t="shared" si="35"/>
        <v>246581.41598249896</v>
      </c>
      <c r="AK326" s="208">
        <f t="shared" si="36"/>
        <v>-229390.35674527142</v>
      </c>
      <c r="AL326" s="235"/>
      <c r="AM326" s="52">
        <f t="shared" si="30"/>
        <v>0</v>
      </c>
      <c r="AN326" s="52">
        <f t="shared" si="31"/>
        <v>1</v>
      </c>
      <c r="AO326" s="52">
        <f t="shared" si="32"/>
        <v>0</v>
      </c>
      <c r="AP326" s="235"/>
      <c r="AQ326" s="3"/>
      <c r="AR326" s="3"/>
      <c r="AS326" s="3"/>
      <c r="AT326" s="3"/>
      <c r="AU326" s="235"/>
      <c r="AV326" s="360">
        <f t="shared" si="37"/>
        <v>246581.41598249896</v>
      </c>
      <c r="AW326" s="235"/>
      <c r="AX326" s="354"/>
      <c r="AY326" s="14"/>
      <c r="AZ326" s="14">
        <f t="shared" si="39"/>
        <v>21072.330138755366</v>
      </c>
      <c r="BA326" s="14">
        <f t="shared" si="38"/>
        <v>-0.21928213327001692</v>
      </c>
      <c r="BB326" s="14">
        <f t="shared" si="33"/>
        <v>-96096.885890870006</v>
      </c>
      <c r="BC326" s="14"/>
      <c r="BD326" s="14"/>
      <c r="BE326" s="14"/>
      <c r="BF326" s="14"/>
      <c r="BG326" s="14"/>
      <c r="BH326" s="14"/>
      <c r="BI326" s="14"/>
      <c r="BJ326" s="14"/>
      <c r="BK326" s="14"/>
      <c r="BL326" s="14"/>
      <c r="BM326" s="14"/>
      <c r="BN326" s="14"/>
      <c r="BO326" s="14"/>
      <c r="BP326" s="14"/>
      <c r="BQ326" s="14"/>
      <c r="BR326" s="14"/>
      <c r="BS326" s="14"/>
      <c r="BT326" s="14"/>
      <c r="BU326" s="14"/>
      <c r="BV326" s="14"/>
      <c r="BW326" s="14"/>
      <c r="BX326" s="14"/>
      <c r="BY326" s="14"/>
      <c r="BZ326" s="14"/>
      <c r="CA326" s="14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</row>
    <row r="327" spans="1:101" ht="14.25" customHeight="1" x14ac:dyDescent="0.2">
      <c r="A327" s="328"/>
      <c r="B327" s="52">
        <v>0.13905802593166469</v>
      </c>
      <c r="C327" s="330">
        <v>8.4410816462324526E-2</v>
      </c>
      <c r="D327" s="330">
        <v>1.3875419233361068E-2</v>
      </c>
      <c r="E327" s="330">
        <v>1.5225223393258491E-2</v>
      </c>
      <c r="F327" s="331">
        <v>0.80158058136170096</v>
      </c>
      <c r="G327" s="94">
        <v>0.40808767971785653</v>
      </c>
      <c r="H327" s="330">
        <v>0.77045926417503385</v>
      </c>
      <c r="I327" s="330">
        <v>1.2356475374396486E-2</v>
      </c>
      <c r="J327" s="330">
        <v>0.99976996000413521</v>
      </c>
      <c r="K327" s="330">
        <v>0.80428769209648232</v>
      </c>
      <c r="L327" s="332">
        <v>10938.6357487241</v>
      </c>
      <c r="M327" s="330">
        <v>0</v>
      </c>
      <c r="N327" s="330">
        <v>16578.560479009964</v>
      </c>
      <c r="O327" s="330">
        <v>1307.719780465279</v>
      </c>
      <c r="P327" s="330">
        <v>43948.598668375736</v>
      </c>
      <c r="Q327" s="333">
        <v>99646.857089923651</v>
      </c>
      <c r="R327" s="330">
        <v>26597.486195675992</v>
      </c>
      <c r="S327" s="330">
        <v>8482.8803648237717</v>
      </c>
      <c r="T327" s="332">
        <v>0.59314557397511181</v>
      </c>
      <c r="U327" s="330">
        <v>0.75817155672952619</v>
      </c>
      <c r="V327" s="330">
        <v>0.97347969935444389</v>
      </c>
      <c r="W327" s="330">
        <v>0.89061042263527257</v>
      </c>
      <c r="X327" s="330">
        <v>2.2284930866459437E-2</v>
      </c>
      <c r="Y327" s="330">
        <v>0</v>
      </c>
      <c r="Z327" s="331">
        <v>0</v>
      </c>
      <c r="AA327" s="235"/>
      <c r="AB327" s="52">
        <v>84596.015504021008</v>
      </c>
      <c r="AC327" s="330">
        <v>0.28065264561552555</v>
      </c>
      <c r="AD327" s="330">
        <v>82827.627690253852</v>
      </c>
      <c r="AE327" s="330">
        <v>0.46816318225115094</v>
      </c>
      <c r="AF327" s="330">
        <v>1768.3878137671563</v>
      </c>
      <c r="AG327" s="331">
        <v>-0.18751053663562539</v>
      </c>
      <c r="AH327" s="235"/>
      <c r="AI327" s="208">
        <f t="shared" si="34"/>
        <v>182023.99783072824</v>
      </c>
      <c r="AJ327" s="208">
        <f t="shared" si="35"/>
        <v>361927.39544833958</v>
      </c>
      <c r="AK327" s="208">
        <f t="shared" si="36"/>
        <v>-179903.39761761128</v>
      </c>
      <c r="AL327" s="235"/>
      <c r="AM327" s="52">
        <f t="shared" si="30"/>
        <v>0</v>
      </c>
      <c r="AN327" s="52">
        <f t="shared" si="31"/>
        <v>1</v>
      </c>
      <c r="AO327" s="52">
        <f t="shared" si="32"/>
        <v>0</v>
      </c>
      <c r="AP327" s="235"/>
      <c r="AQ327" s="3"/>
      <c r="AR327" s="3"/>
      <c r="AS327" s="3"/>
      <c r="AT327" s="3"/>
      <c r="AU327" s="235"/>
      <c r="AV327" s="360">
        <f t="shared" si="37"/>
        <v>361927.39544833958</v>
      </c>
      <c r="AW327" s="235"/>
      <c r="AX327" s="354"/>
      <c r="AY327" s="14"/>
      <c r="AZ327" s="14">
        <f t="shared" si="39"/>
        <v>1768.3878137671563</v>
      </c>
      <c r="BA327" s="14">
        <f t="shared" si="38"/>
        <v>-0.18751053663562539</v>
      </c>
      <c r="BB327" s="14">
        <f t="shared" si="33"/>
        <v>-9430.8717019114847</v>
      </c>
      <c r="BC327" s="14"/>
      <c r="BD327" s="14"/>
      <c r="BE327" s="14"/>
      <c r="BF327" s="14"/>
      <c r="BG327" s="14"/>
      <c r="BH327" s="14"/>
      <c r="BI327" s="14"/>
      <c r="BJ327" s="14"/>
      <c r="BK327" s="14"/>
      <c r="BL327" s="14"/>
      <c r="BM327" s="14"/>
      <c r="BN327" s="14"/>
      <c r="BO327" s="14"/>
      <c r="BP327" s="14"/>
      <c r="BQ327" s="14"/>
      <c r="BR327" s="14"/>
      <c r="BS327" s="14"/>
      <c r="BT327" s="14"/>
      <c r="BU327" s="14"/>
      <c r="BV327" s="14"/>
      <c r="BW327" s="14"/>
      <c r="BX327" s="14"/>
      <c r="BY327" s="14"/>
      <c r="BZ327" s="14"/>
      <c r="CA327" s="14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</row>
    <row r="328" spans="1:101" ht="14.25" customHeight="1" x14ac:dyDescent="0.2">
      <c r="A328" s="328"/>
      <c r="B328" s="52">
        <v>0.19944788488260345</v>
      </c>
      <c r="C328" s="330">
        <v>0.14595833312931608</v>
      </c>
      <c r="D328" s="330">
        <v>5.0711085644805226E-3</v>
      </c>
      <c r="E328" s="330">
        <v>1.7472196676342255E-2</v>
      </c>
      <c r="F328" s="331">
        <v>0.7776991732710038</v>
      </c>
      <c r="G328" s="94">
        <v>0.36853128625765996</v>
      </c>
      <c r="H328" s="330">
        <v>0.88569006996209654</v>
      </c>
      <c r="I328" s="330">
        <v>9.3574202947957104E-3</v>
      </c>
      <c r="J328" s="330">
        <v>0.99999630725769229</v>
      </c>
      <c r="K328" s="330">
        <v>0.73437443277714176</v>
      </c>
      <c r="L328" s="332">
        <v>11446.320382933294</v>
      </c>
      <c r="M328" s="330">
        <v>0</v>
      </c>
      <c r="N328" s="330">
        <v>21549.236045579619</v>
      </c>
      <c r="O328" s="330">
        <v>1731.9413756814681</v>
      </c>
      <c r="P328" s="330">
        <v>48267.998995892784</v>
      </c>
      <c r="Q328" s="333">
        <v>72896.152311672588</v>
      </c>
      <c r="R328" s="330">
        <v>24792.759600931888</v>
      </c>
      <c r="S328" s="330">
        <v>6814.3914518867268</v>
      </c>
      <c r="T328" s="332">
        <v>0.99900991847742959</v>
      </c>
      <c r="U328" s="330">
        <v>0.9920108503266023</v>
      </c>
      <c r="V328" s="330">
        <v>0.99904876402677789</v>
      </c>
      <c r="W328" s="330">
        <v>0.99968937000871816</v>
      </c>
      <c r="X328" s="330">
        <v>0.14367045495721217</v>
      </c>
      <c r="Y328" s="330">
        <v>0</v>
      </c>
      <c r="Z328" s="331">
        <v>0</v>
      </c>
      <c r="AA328" s="235"/>
      <c r="AB328" s="52">
        <v>69459.119204120536</v>
      </c>
      <c r="AC328" s="330">
        <v>0.76437330906218792</v>
      </c>
      <c r="AD328" s="330">
        <v>62862.104032150935</v>
      </c>
      <c r="AE328" s="330">
        <v>0.70437472793618139</v>
      </c>
      <c r="AF328" s="330">
        <v>6597.0151719696005</v>
      </c>
      <c r="AG328" s="331">
        <v>5.9998581126006534E-2</v>
      </c>
      <c r="AH328" s="235"/>
      <c r="AI328" s="208">
        <f t="shared" si="34"/>
        <v>656695.52440495789</v>
      </c>
      <c r="AJ328" s="208">
        <f t="shared" si="35"/>
        <v>606293.88750722143</v>
      </c>
      <c r="AK328" s="208">
        <f t="shared" si="36"/>
        <v>50401.636897736607</v>
      </c>
      <c r="AL328" s="235"/>
      <c r="AM328" s="52">
        <f t="shared" si="30"/>
        <v>1</v>
      </c>
      <c r="AN328" s="52">
        <f t="shared" si="31"/>
        <v>0</v>
      </c>
      <c r="AO328" s="52">
        <f t="shared" si="32"/>
        <v>1</v>
      </c>
      <c r="AP328" s="235"/>
      <c r="AQ328" s="3"/>
      <c r="AR328" s="3"/>
      <c r="AS328" s="3"/>
      <c r="AT328" s="3"/>
      <c r="AU328" s="235"/>
      <c r="AV328" s="360">
        <f t="shared" si="37"/>
        <v>656695.52440495789</v>
      </c>
      <c r="AW328" s="235"/>
      <c r="AX328" s="354"/>
      <c r="AY328" s="14"/>
      <c r="AZ328" s="14">
        <f t="shared" si="39"/>
        <v>6597.0151719696005</v>
      </c>
      <c r="BA328" s="14">
        <f t="shared" si="38"/>
        <v>5.9998581126006534E-2</v>
      </c>
      <c r="BB328" s="14">
        <f t="shared" si="33"/>
        <v>109952.85302022097</v>
      </c>
      <c r="BC328" s="14"/>
      <c r="BD328" s="14"/>
      <c r="BE328" s="14"/>
      <c r="BF328" s="14"/>
      <c r="BG328" s="14"/>
      <c r="BH328" s="14"/>
      <c r="BI328" s="14"/>
      <c r="BJ328" s="14"/>
      <c r="BK328" s="14"/>
      <c r="BL328" s="14"/>
      <c r="BM328" s="14"/>
      <c r="BN328" s="14"/>
      <c r="BO328" s="14"/>
      <c r="BP328" s="14"/>
      <c r="BQ328" s="14"/>
      <c r="BR328" s="14"/>
      <c r="BS328" s="14"/>
      <c r="BT328" s="14"/>
      <c r="BU328" s="14"/>
      <c r="BV328" s="14"/>
      <c r="BW328" s="14"/>
      <c r="BX328" s="14"/>
      <c r="BY328" s="14"/>
      <c r="BZ328" s="14"/>
      <c r="CA328" s="14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</row>
    <row r="329" spans="1:101" ht="14.25" customHeight="1" x14ac:dyDescent="0.2">
      <c r="A329" s="328"/>
      <c r="B329" s="52">
        <v>0.18154385140851792</v>
      </c>
      <c r="C329" s="330">
        <v>0.26140757088491307</v>
      </c>
      <c r="D329" s="330">
        <v>1.0072088000329304E-2</v>
      </c>
      <c r="E329" s="330">
        <v>5.3342133977687667E-3</v>
      </c>
      <c r="F329" s="331">
        <v>0.80393377655658005</v>
      </c>
      <c r="G329" s="94">
        <v>0.46976889288418855</v>
      </c>
      <c r="H329" s="330">
        <v>0.76404672171861032</v>
      </c>
      <c r="I329" s="330">
        <v>1.2279478650750015E-2</v>
      </c>
      <c r="J329" s="330">
        <v>0.43056570472025052</v>
      </c>
      <c r="K329" s="330">
        <v>0.76166283385587685</v>
      </c>
      <c r="L329" s="332">
        <v>15291.860850571675</v>
      </c>
      <c r="M329" s="330">
        <v>0</v>
      </c>
      <c r="N329" s="330">
        <v>14613.821427082599</v>
      </c>
      <c r="O329" s="330">
        <v>785.99024357135931</v>
      </c>
      <c r="P329" s="330">
        <v>44660.348879189834</v>
      </c>
      <c r="Q329" s="333">
        <v>130743.9763150108</v>
      </c>
      <c r="R329" s="330">
        <v>17663.826493662618</v>
      </c>
      <c r="S329" s="330">
        <v>8090.6373612883444</v>
      </c>
      <c r="T329" s="332">
        <v>0.14095252717791831</v>
      </c>
      <c r="U329" s="330">
        <v>0.91654988119665459</v>
      </c>
      <c r="V329" s="330">
        <v>0.30660599505002489</v>
      </c>
      <c r="W329" s="330">
        <v>0.99998707293549649</v>
      </c>
      <c r="X329" s="330">
        <v>0.99905945484805481</v>
      </c>
      <c r="Y329" s="330">
        <v>0</v>
      </c>
      <c r="Z329" s="331">
        <v>0</v>
      </c>
      <c r="AA329" s="235"/>
      <c r="AB329" s="52">
        <v>86312.011365828628</v>
      </c>
      <c r="AC329" s="330">
        <v>4.871498733445085</v>
      </c>
      <c r="AD329" s="330">
        <v>73688.905034189331</v>
      </c>
      <c r="AE329" s="330">
        <v>4.953137286505565</v>
      </c>
      <c r="AF329" s="330">
        <v>12623.106331639297</v>
      </c>
      <c r="AG329" s="331">
        <v>-8.1638553060479957E-2</v>
      </c>
      <c r="AH329" s="235"/>
      <c r="AI329" s="208">
        <f t="shared" si="34"/>
        <v>4541611.7854070021</v>
      </c>
      <c r="AJ329" s="208">
        <f t="shared" si="35"/>
        <v>4631791.5171460975</v>
      </c>
      <c r="AK329" s="208">
        <f t="shared" si="36"/>
        <v>-90179.731739095252</v>
      </c>
      <c r="AL329" s="235"/>
      <c r="AM329" s="52">
        <f t="shared" si="30"/>
        <v>0</v>
      </c>
      <c r="AN329" s="52">
        <f t="shared" si="31"/>
        <v>1</v>
      </c>
      <c r="AO329" s="52">
        <f t="shared" si="32"/>
        <v>0</v>
      </c>
      <c r="AP329" s="235"/>
      <c r="AQ329" s="3"/>
      <c r="AR329" s="3"/>
      <c r="AS329" s="3"/>
      <c r="AT329" s="3"/>
      <c r="AU329" s="235"/>
      <c r="AV329" s="360">
        <f t="shared" si="37"/>
        <v>4631791.5171460975</v>
      </c>
      <c r="AW329" s="235"/>
      <c r="AX329" s="354"/>
      <c r="AY329" s="14"/>
      <c r="AZ329" s="14">
        <f t="shared" si="39"/>
        <v>12623.106331639297</v>
      </c>
      <c r="BA329" s="14">
        <f t="shared" si="38"/>
        <v>-8.1638553060479957E-2</v>
      </c>
      <c r="BB329" s="14">
        <f t="shared" si="33"/>
        <v>-154621.87726781209</v>
      </c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</row>
    <row r="330" spans="1:101" ht="14.25" customHeight="1" x14ac:dyDescent="0.2">
      <c r="A330" s="328"/>
      <c r="B330" s="52">
        <v>0.1492905682928222</v>
      </c>
      <c r="C330" s="330">
        <v>0.27923970616540078</v>
      </c>
      <c r="D330" s="330">
        <v>1.239153651717427E-2</v>
      </c>
      <c r="E330" s="330">
        <v>5.6952764031465994E-3</v>
      </c>
      <c r="F330" s="331">
        <v>0.79170662220302246</v>
      </c>
      <c r="G330" s="94">
        <v>0.37585537235765082</v>
      </c>
      <c r="H330" s="330">
        <v>0.87722709091210815</v>
      </c>
      <c r="I330" s="330">
        <v>2.2000469814722479E-2</v>
      </c>
      <c r="J330" s="330">
        <v>0.12870677169198566</v>
      </c>
      <c r="K330" s="330">
        <v>0.76471432449168097</v>
      </c>
      <c r="L330" s="332">
        <v>16084.386675540178</v>
      </c>
      <c r="M330" s="330">
        <v>0</v>
      </c>
      <c r="N330" s="330">
        <v>17597.098256430872</v>
      </c>
      <c r="O330" s="330">
        <v>1270.7275933208373</v>
      </c>
      <c r="P330" s="330">
        <v>39730.264592751337</v>
      </c>
      <c r="Q330" s="333">
        <v>139861.39836301669</v>
      </c>
      <c r="R330" s="330">
        <v>21349.994456264085</v>
      </c>
      <c r="S330" s="330">
        <v>8815.121203429364</v>
      </c>
      <c r="T330" s="332">
        <v>0.48854820317226078</v>
      </c>
      <c r="U330" s="330">
        <v>0.75358025444434495</v>
      </c>
      <c r="V330" s="330">
        <v>0.47637902568041163</v>
      </c>
      <c r="W330" s="330">
        <v>0.21910053918679884</v>
      </c>
      <c r="X330" s="330">
        <v>0.5159829355215293</v>
      </c>
      <c r="Y330" s="330">
        <v>0</v>
      </c>
      <c r="Z330" s="331">
        <v>0</v>
      </c>
      <c r="AA330" s="235"/>
      <c r="AB330" s="52">
        <v>92316.622850569111</v>
      </c>
      <c r="AC330" s="330">
        <v>2.5854411691332717</v>
      </c>
      <c r="AD330" s="330">
        <v>80968.643003589241</v>
      </c>
      <c r="AE330" s="330">
        <v>2.5376224193483918</v>
      </c>
      <c r="AF330" s="330">
        <v>11347.97984697987</v>
      </c>
      <c r="AG330" s="331">
        <v>4.7818749784879877E-2</v>
      </c>
      <c r="AH330" s="235"/>
      <c r="AI330" s="208">
        <f t="shared" si="34"/>
        <v>2363852.4878260391</v>
      </c>
      <c r="AJ330" s="208">
        <f t="shared" si="35"/>
        <v>2329772.6553773833</v>
      </c>
      <c r="AK330" s="208">
        <f t="shared" si="36"/>
        <v>34079.832448656016</v>
      </c>
      <c r="AL330" s="235"/>
      <c r="AM330" s="52">
        <f t="shared" si="30"/>
        <v>1</v>
      </c>
      <c r="AN330" s="52">
        <f t="shared" si="31"/>
        <v>0</v>
      </c>
      <c r="AO330" s="52">
        <f t="shared" si="32"/>
        <v>1</v>
      </c>
      <c r="AP330" s="235"/>
      <c r="AQ330" s="3"/>
      <c r="AR330" s="3"/>
      <c r="AS330" s="3"/>
      <c r="AT330" s="3"/>
      <c r="AU330" s="235"/>
      <c r="AV330" s="360">
        <f t="shared" si="37"/>
        <v>2363852.4878260391</v>
      </c>
      <c r="AW330" s="235"/>
      <c r="AX330" s="354"/>
      <c r="AY330" s="14"/>
      <c r="AZ330" s="14">
        <f t="shared" si="39"/>
        <v>11347.97984697987</v>
      </c>
      <c r="BA330" s="14">
        <f t="shared" si="38"/>
        <v>4.7818749784879877E-2</v>
      </c>
      <c r="BB330" s="14">
        <f t="shared" si="33"/>
        <v>237312.34919420796</v>
      </c>
      <c r="BC330" s="14"/>
      <c r="BD330" s="14"/>
      <c r="BE330" s="14"/>
      <c r="BF330" s="14"/>
      <c r="BG330" s="14"/>
      <c r="BH330" s="14"/>
      <c r="BI330" s="14"/>
      <c r="BJ330" s="14"/>
      <c r="BK330" s="14"/>
      <c r="BL330" s="14"/>
      <c r="BM330" s="14"/>
      <c r="BN330" s="14"/>
      <c r="BO330" s="14"/>
      <c r="BP330" s="14"/>
      <c r="BQ330" s="14"/>
      <c r="BR330" s="14"/>
      <c r="BS330" s="14"/>
      <c r="BT330" s="14"/>
      <c r="BU330" s="14"/>
      <c r="BV330" s="14"/>
      <c r="BW330" s="14"/>
      <c r="BX330" s="14"/>
      <c r="BY330" s="14"/>
      <c r="BZ330" s="14"/>
      <c r="CA330" s="14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</row>
    <row r="331" spans="1:101" ht="14.25" customHeight="1" x14ac:dyDescent="0.2">
      <c r="A331" s="328"/>
      <c r="B331" s="52">
        <v>0.14431464959862719</v>
      </c>
      <c r="C331" s="330">
        <v>0.69193818851108935</v>
      </c>
      <c r="D331" s="330">
        <v>1.0149924050832265E-2</v>
      </c>
      <c r="E331" s="330">
        <v>2.2329134252225602E-2</v>
      </c>
      <c r="F331" s="331">
        <v>0.79478260827491987</v>
      </c>
      <c r="G331" s="94">
        <v>0.43575487260020052</v>
      </c>
      <c r="H331" s="330">
        <v>0.92208046747039707</v>
      </c>
      <c r="I331" s="330">
        <v>1.531357156398357E-2</v>
      </c>
      <c r="J331" s="330">
        <v>0.99999999946798335</v>
      </c>
      <c r="K331" s="330">
        <v>0.77653122861355794</v>
      </c>
      <c r="L331" s="332">
        <v>9908.0992459823174</v>
      </c>
      <c r="M331" s="330">
        <v>0</v>
      </c>
      <c r="N331" s="330">
        <v>25573.25832080108</v>
      </c>
      <c r="O331" s="330">
        <v>1162.5517941555938</v>
      </c>
      <c r="P331" s="330">
        <v>38924.272093013431</v>
      </c>
      <c r="Q331" s="333">
        <v>86853.835926143249</v>
      </c>
      <c r="R331" s="330">
        <v>23122.632420107075</v>
      </c>
      <c r="S331" s="330">
        <v>7812.3181568882628</v>
      </c>
      <c r="T331" s="332">
        <v>0.99988401820237316</v>
      </c>
      <c r="U331" s="330">
        <v>0.68359578519396291</v>
      </c>
      <c r="V331" s="330">
        <v>0.99999510051212115</v>
      </c>
      <c r="W331" s="330">
        <v>0.99786641324592207</v>
      </c>
      <c r="X331" s="330">
        <v>0.88284392454334093</v>
      </c>
      <c r="Y331" s="330">
        <v>0</v>
      </c>
      <c r="Z331" s="331">
        <v>0</v>
      </c>
      <c r="AA331" s="235"/>
      <c r="AB331" s="52">
        <v>79145.386686437007</v>
      </c>
      <c r="AC331" s="330">
        <v>4.8533115368962321</v>
      </c>
      <c r="AD331" s="330">
        <v>75872.849015027605</v>
      </c>
      <c r="AE331" s="330">
        <v>4.4077541854844551</v>
      </c>
      <c r="AF331" s="330">
        <v>3272.5376714094018</v>
      </c>
      <c r="AG331" s="331">
        <v>0.44555735141177699</v>
      </c>
      <c r="AH331" s="235"/>
      <c r="AI331" s="208">
        <f t="shared" si="34"/>
        <v>4531500.5733649833</v>
      </c>
      <c r="AJ331" s="208">
        <f t="shared" si="35"/>
        <v>4111493.6271952046</v>
      </c>
      <c r="AK331" s="208">
        <f t="shared" si="36"/>
        <v>420006.9461697787</v>
      </c>
      <c r="AL331" s="235"/>
      <c r="AM331" s="52">
        <f t="shared" si="30"/>
        <v>1</v>
      </c>
      <c r="AN331" s="52">
        <f t="shared" si="31"/>
        <v>0</v>
      </c>
      <c r="AO331" s="52">
        <f t="shared" si="32"/>
        <v>1</v>
      </c>
      <c r="AP331" s="235"/>
      <c r="AQ331" s="3"/>
      <c r="AR331" s="3"/>
      <c r="AS331" s="3"/>
      <c r="AT331" s="3"/>
      <c r="AU331" s="235"/>
      <c r="AV331" s="360">
        <f t="shared" si="37"/>
        <v>4531500.5733649833</v>
      </c>
      <c r="AW331" s="235"/>
      <c r="AX331" s="354"/>
      <c r="AY331" s="14"/>
      <c r="AZ331" s="14">
        <f t="shared" si="39"/>
        <v>3272.5376714094018</v>
      </c>
      <c r="BA331" s="14">
        <f t="shared" si="38"/>
        <v>0.44555735141177699</v>
      </c>
      <c r="BB331" s="14">
        <f t="shared" si="33"/>
        <v>7344.8180375436668</v>
      </c>
      <c r="BC331" s="14"/>
      <c r="BD331" s="14"/>
      <c r="BE331" s="14"/>
      <c r="BF331" s="14"/>
      <c r="BG331" s="14"/>
      <c r="BH331" s="14"/>
      <c r="BI331" s="14"/>
      <c r="BJ331" s="14"/>
      <c r="BK331" s="14"/>
      <c r="BL331" s="14"/>
      <c r="BM331" s="14"/>
      <c r="BN331" s="14"/>
      <c r="BO331" s="14"/>
      <c r="BP331" s="14"/>
      <c r="BQ331" s="14"/>
      <c r="BR331" s="14"/>
      <c r="BS331" s="14"/>
      <c r="BT331" s="14"/>
      <c r="BU331" s="14"/>
      <c r="BV331" s="14"/>
      <c r="BW331" s="14"/>
      <c r="BX331" s="14"/>
      <c r="BY331" s="14"/>
      <c r="BZ331" s="14"/>
      <c r="CA331" s="14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</row>
    <row r="332" spans="1:101" ht="14.25" customHeight="1" x14ac:dyDescent="0.2">
      <c r="A332" s="328"/>
      <c r="B332" s="52">
        <v>0.18750315679378182</v>
      </c>
      <c r="C332" s="330">
        <v>2.358612552846668E-2</v>
      </c>
      <c r="D332" s="330">
        <v>1.2415321427772559E-2</v>
      </c>
      <c r="E332" s="330">
        <v>7.320306035124435E-3</v>
      </c>
      <c r="F332" s="331">
        <v>0.77162549088355292</v>
      </c>
      <c r="G332" s="94">
        <v>0.45417901693153717</v>
      </c>
      <c r="H332" s="330">
        <v>0.82692838660708623</v>
      </c>
      <c r="I332" s="330">
        <v>1.2092083127161498E-2</v>
      </c>
      <c r="J332" s="330">
        <v>0.99999980891877682</v>
      </c>
      <c r="K332" s="330">
        <v>0.73603372367777653</v>
      </c>
      <c r="L332" s="332">
        <v>18597.239370922151</v>
      </c>
      <c r="M332" s="330">
        <v>0</v>
      </c>
      <c r="N332" s="330">
        <v>19912.198375344677</v>
      </c>
      <c r="O332" s="330">
        <v>1310.9441686226955</v>
      </c>
      <c r="P332" s="330">
        <v>36855.569778575889</v>
      </c>
      <c r="Q332" s="333">
        <v>81415.972041519082</v>
      </c>
      <c r="R332" s="330">
        <v>23172.964961617992</v>
      </c>
      <c r="S332" s="330">
        <v>13010.453032130326</v>
      </c>
      <c r="T332" s="332">
        <v>0.95769268551393971</v>
      </c>
      <c r="U332" s="330">
        <v>0.76857143096511982</v>
      </c>
      <c r="V332" s="330">
        <v>0.99403897576271882</v>
      </c>
      <c r="W332" s="330">
        <v>0.21824502850702507</v>
      </c>
      <c r="X332" s="330">
        <v>0.94937338195128174</v>
      </c>
      <c r="Y332" s="330">
        <v>0</v>
      </c>
      <c r="Z332" s="331">
        <v>0</v>
      </c>
      <c r="AA332" s="235"/>
      <c r="AB332" s="52">
        <v>126868.97098082431</v>
      </c>
      <c r="AC332" s="330">
        <v>4.9313354072078468</v>
      </c>
      <c r="AD332" s="330">
        <v>112718.90805895426</v>
      </c>
      <c r="AE332" s="330">
        <v>4.3222025258919698</v>
      </c>
      <c r="AF332" s="330">
        <v>14150.062921870049</v>
      </c>
      <c r="AG332" s="331">
        <v>0.60913288131587695</v>
      </c>
      <c r="AH332" s="235"/>
      <c r="AI332" s="208">
        <f t="shared" si="34"/>
        <v>4557899.6658666302</v>
      </c>
      <c r="AJ332" s="208">
        <f t="shared" si="35"/>
        <v>3993373.4915384171</v>
      </c>
      <c r="AK332" s="208">
        <f t="shared" si="36"/>
        <v>564526.17432821309</v>
      </c>
      <c r="AL332" s="235"/>
      <c r="AM332" s="52">
        <f t="shared" si="30"/>
        <v>1</v>
      </c>
      <c r="AN332" s="52">
        <f t="shared" si="31"/>
        <v>0</v>
      </c>
      <c r="AO332" s="52">
        <f t="shared" si="32"/>
        <v>1</v>
      </c>
      <c r="AP332" s="235"/>
      <c r="AQ332" s="3"/>
      <c r="AR332" s="3"/>
      <c r="AS332" s="3"/>
      <c r="AT332" s="3"/>
      <c r="AU332" s="235"/>
      <c r="AV332" s="360">
        <f t="shared" si="37"/>
        <v>4557899.6658666302</v>
      </c>
      <c r="AW332" s="235"/>
      <c r="AX332" s="354"/>
      <c r="AY332" s="14"/>
      <c r="AZ332" s="14">
        <f t="shared" si="39"/>
        <v>14150.062921870049</v>
      </c>
      <c r="BA332" s="14">
        <f t="shared" si="38"/>
        <v>0.60913288131587695</v>
      </c>
      <c r="BB332" s="14">
        <f t="shared" si="33"/>
        <v>23229.845828224592</v>
      </c>
      <c r="BC332" s="14"/>
      <c r="BD332" s="14"/>
      <c r="BE332" s="14"/>
      <c r="BF332" s="14"/>
      <c r="BG332" s="14"/>
      <c r="BH332" s="14"/>
      <c r="BI332" s="14"/>
      <c r="BJ332" s="14"/>
      <c r="BK332" s="14"/>
      <c r="BL332" s="14"/>
      <c r="BM332" s="14"/>
      <c r="BN332" s="14"/>
      <c r="BO332" s="14"/>
      <c r="BP332" s="14"/>
      <c r="BQ332" s="14"/>
      <c r="BR332" s="14"/>
      <c r="BS332" s="14"/>
      <c r="BT332" s="14"/>
      <c r="BU332" s="14"/>
      <c r="BV332" s="14"/>
      <c r="BW332" s="14"/>
      <c r="BX332" s="14"/>
      <c r="BY332" s="14"/>
      <c r="BZ332" s="14"/>
      <c r="CA332" s="14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</row>
    <row r="333" spans="1:101" ht="14.25" customHeight="1" x14ac:dyDescent="0.2">
      <c r="A333" s="328"/>
      <c r="B333" s="52">
        <v>0.1718886422669722</v>
      </c>
      <c r="C333" s="330">
        <v>0.36601405577096646</v>
      </c>
      <c r="D333" s="330">
        <v>9.3216578333840672E-3</v>
      </c>
      <c r="E333" s="330">
        <v>1.9612656615394797E-2</v>
      </c>
      <c r="F333" s="331">
        <v>0.78650408580405129</v>
      </c>
      <c r="G333" s="94">
        <v>0.34449765956149631</v>
      </c>
      <c r="H333" s="330">
        <v>0.30022132321957762</v>
      </c>
      <c r="I333" s="330">
        <v>4.5418101814369005E-2</v>
      </c>
      <c r="J333" s="330">
        <v>0.57243060145620184</v>
      </c>
      <c r="K333" s="330">
        <v>0.71258897101948693</v>
      </c>
      <c r="L333" s="332">
        <v>9323.9656151771796</v>
      </c>
      <c r="M333" s="330">
        <v>0</v>
      </c>
      <c r="N333" s="330">
        <v>21628.938141186063</v>
      </c>
      <c r="O333" s="330">
        <v>1013.7788502341175</v>
      </c>
      <c r="P333" s="330">
        <v>41111.130121874485</v>
      </c>
      <c r="Q333" s="333">
        <v>73996.858808626945</v>
      </c>
      <c r="R333" s="330">
        <v>21052.940030358786</v>
      </c>
      <c r="S333" s="330">
        <v>8958.3912898833041</v>
      </c>
      <c r="T333" s="332">
        <v>0.99640805083654749</v>
      </c>
      <c r="U333" s="330">
        <v>0.9830576651034697</v>
      </c>
      <c r="V333" s="330">
        <v>0.99999093865624</v>
      </c>
      <c r="W333" s="330">
        <v>0.96728715337391935</v>
      </c>
      <c r="X333" s="330">
        <v>0.97953690693455941</v>
      </c>
      <c r="Y333" s="330">
        <v>0</v>
      </c>
      <c r="Z333" s="331">
        <v>0</v>
      </c>
      <c r="AA333" s="235"/>
      <c r="AB333" s="52">
        <v>86553.50712682899</v>
      </c>
      <c r="AC333" s="330">
        <v>4.7784475833091236</v>
      </c>
      <c r="AD333" s="330">
        <v>72772.479759854774</v>
      </c>
      <c r="AE333" s="330">
        <v>4.5299976959188157</v>
      </c>
      <c r="AF333" s="330">
        <v>13781.027366974216</v>
      </c>
      <c r="AG333" s="331">
        <v>0.24844988739030782</v>
      </c>
      <c r="AH333" s="235"/>
      <c r="AI333" s="208">
        <f t="shared" si="34"/>
        <v>4452971.6970168389</v>
      </c>
      <c r="AJ333" s="208">
        <f t="shared" si="35"/>
        <v>4230725.3313630195</v>
      </c>
      <c r="AK333" s="208">
        <f t="shared" si="36"/>
        <v>222246.36565381821</v>
      </c>
      <c r="AL333" s="235"/>
      <c r="AM333" s="52">
        <f t="shared" si="30"/>
        <v>1</v>
      </c>
      <c r="AN333" s="52">
        <f t="shared" si="31"/>
        <v>0</v>
      </c>
      <c r="AO333" s="52">
        <f t="shared" si="32"/>
        <v>1</v>
      </c>
      <c r="AP333" s="235"/>
      <c r="AQ333" s="3"/>
      <c r="AR333" s="3"/>
      <c r="AS333" s="3"/>
      <c r="AT333" s="3"/>
      <c r="AU333" s="235"/>
      <c r="AV333" s="360">
        <f t="shared" si="37"/>
        <v>4452971.6970168389</v>
      </c>
      <c r="AW333" s="235"/>
      <c r="AX333" s="354"/>
      <c r="AY333" s="14"/>
      <c r="AZ333" s="14">
        <f t="shared" si="39"/>
        <v>13781.027366974216</v>
      </c>
      <c r="BA333" s="14">
        <f t="shared" si="38"/>
        <v>0.24844988739030782</v>
      </c>
      <c r="BB333" s="14">
        <f t="shared" si="33"/>
        <v>55468.036277773019</v>
      </c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</row>
    <row r="334" spans="1:101" ht="14.25" customHeight="1" x14ac:dyDescent="0.2">
      <c r="A334" s="328"/>
      <c r="B334" s="52">
        <v>0.14005492577453674</v>
      </c>
      <c r="C334" s="330">
        <v>0.66758207307781192</v>
      </c>
      <c r="D334" s="330">
        <v>9.2721293565147349E-3</v>
      </c>
      <c r="E334" s="330">
        <v>1.2476570068622126E-2</v>
      </c>
      <c r="F334" s="331">
        <v>0.7977775511595917</v>
      </c>
      <c r="G334" s="94">
        <v>0.40122988473327093</v>
      </c>
      <c r="H334" s="330">
        <v>0.40772791519169899</v>
      </c>
      <c r="I334" s="330">
        <v>1.4642594359134965E-2</v>
      </c>
      <c r="J334" s="330">
        <v>1</v>
      </c>
      <c r="K334" s="330">
        <v>0.7013216903958106</v>
      </c>
      <c r="L334" s="332">
        <v>12953.571142979225</v>
      </c>
      <c r="M334" s="330">
        <v>0</v>
      </c>
      <c r="N334" s="330">
        <v>17328.438575419339</v>
      </c>
      <c r="O334" s="330">
        <v>1335.3053744941499</v>
      </c>
      <c r="P334" s="330">
        <v>50196.62019535018</v>
      </c>
      <c r="Q334" s="333">
        <v>86298.479340115096</v>
      </c>
      <c r="R334" s="330">
        <v>24823.730739317252</v>
      </c>
      <c r="S334" s="330">
        <v>8223.83425270929</v>
      </c>
      <c r="T334" s="332">
        <v>0.99994609347608665</v>
      </c>
      <c r="U334" s="330">
        <v>0.94284077453639203</v>
      </c>
      <c r="V334" s="330">
        <v>0.99926884864560717</v>
      </c>
      <c r="W334" s="330">
        <v>0.99999905164541258</v>
      </c>
      <c r="X334" s="330">
        <v>0.99777470072516206</v>
      </c>
      <c r="Y334" s="330">
        <v>0</v>
      </c>
      <c r="Z334" s="331">
        <v>0</v>
      </c>
      <c r="AA334" s="235"/>
      <c r="AB334" s="52">
        <v>85980.080819303053</v>
      </c>
      <c r="AC334" s="330">
        <v>5.301267007436838</v>
      </c>
      <c r="AD334" s="330">
        <v>67431.310159351298</v>
      </c>
      <c r="AE334" s="330">
        <v>4.2905822170375458</v>
      </c>
      <c r="AF334" s="330">
        <v>18548.770659951755</v>
      </c>
      <c r="AG334" s="331">
        <v>1.0106847903992922</v>
      </c>
      <c r="AH334" s="235"/>
      <c r="AI334" s="208">
        <f t="shared" ref="AI334:AI397" si="40">AC334*cRatio-AB334</f>
        <v>4950223.5762456926</v>
      </c>
      <c r="AJ334" s="208">
        <f t="shared" ref="AJ334:AJ397" si="41">AE334*cRatio-AD334</f>
        <v>4008621.7960263174</v>
      </c>
      <c r="AK334" s="208">
        <f t="shared" ref="AK334:AK397" si="42">AG334*cRatio-AF334</f>
        <v>941601.78021937585</v>
      </c>
      <c r="AL334" s="235"/>
      <c r="AM334" s="52">
        <f t="shared" si="30"/>
        <v>1</v>
      </c>
      <c r="AN334" s="52">
        <f t="shared" si="31"/>
        <v>0</v>
      </c>
      <c r="AO334" s="52">
        <f t="shared" si="32"/>
        <v>1</v>
      </c>
      <c r="AP334" s="235"/>
      <c r="AQ334" s="3"/>
      <c r="AR334" s="3"/>
      <c r="AS334" s="3"/>
      <c r="AT334" s="3"/>
      <c r="AU334" s="235"/>
      <c r="AV334" s="360">
        <f t="shared" si="37"/>
        <v>4950223.5762456926</v>
      </c>
      <c r="AW334" s="235"/>
      <c r="AX334" s="354"/>
      <c r="AY334" s="14"/>
      <c r="AZ334" s="14">
        <f t="shared" si="39"/>
        <v>18548.770659951755</v>
      </c>
      <c r="BA334" s="14">
        <f t="shared" si="38"/>
        <v>1.0106847903992922</v>
      </c>
      <c r="BB334" s="14">
        <f t="shared" si="33"/>
        <v>18352.676161895812</v>
      </c>
      <c r="BC334" s="14"/>
      <c r="BD334" s="14"/>
      <c r="BE334" s="14"/>
      <c r="BF334" s="14"/>
      <c r="BG334" s="14"/>
      <c r="BH334" s="14"/>
      <c r="BI334" s="14"/>
      <c r="BJ334" s="14"/>
      <c r="BK334" s="14"/>
      <c r="BL334" s="14"/>
      <c r="BM334" s="14"/>
      <c r="BN334" s="14"/>
      <c r="BO334" s="14"/>
      <c r="BP334" s="14"/>
      <c r="BQ334" s="14"/>
      <c r="BR334" s="14"/>
      <c r="BS334" s="14"/>
      <c r="BT334" s="14"/>
      <c r="BU334" s="14"/>
      <c r="BV334" s="14"/>
      <c r="BW334" s="14"/>
      <c r="BX334" s="14"/>
      <c r="BY334" s="14"/>
      <c r="BZ334" s="14"/>
      <c r="CA334" s="14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</row>
    <row r="335" spans="1:101" ht="14.25" customHeight="1" x14ac:dyDescent="0.2">
      <c r="A335" s="328"/>
      <c r="B335" s="52">
        <v>0.14099442688627942</v>
      </c>
      <c r="C335" s="330">
        <v>0.21910089097668231</v>
      </c>
      <c r="D335" s="330">
        <v>1.3972343867798845E-2</v>
      </c>
      <c r="E335" s="330">
        <v>1.5225833123004295E-2</v>
      </c>
      <c r="F335" s="331">
        <v>0.80193388369457941</v>
      </c>
      <c r="G335" s="94">
        <v>0.36842918861865637</v>
      </c>
      <c r="H335" s="330">
        <v>0.69336302135194439</v>
      </c>
      <c r="I335" s="330">
        <v>1.4623722000012249E-2</v>
      </c>
      <c r="J335" s="330">
        <v>0.99999999999998068</v>
      </c>
      <c r="K335" s="330">
        <v>0.73716540071875414</v>
      </c>
      <c r="L335" s="332">
        <v>10845.43815808587</v>
      </c>
      <c r="M335" s="330">
        <v>0</v>
      </c>
      <c r="N335" s="330">
        <v>14623.39606825688</v>
      </c>
      <c r="O335" s="330">
        <v>1095.6345419570905</v>
      </c>
      <c r="P335" s="330">
        <v>38861.6103562547</v>
      </c>
      <c r="Q335" s="333">
        <v>96013.035891370586</v>
      </c>
      <c r="R335" s="330">
        <v>23090.105046656125</v>
      </c>
      <c r="S335" s="330">
        <v>6991.6584580163944</v>
      </c>
      <c r="T335" s="332">
        <v>0.31835835138953178</v>
      </c>
      <c r="U335" s="330">
        <v>0.97643546059618092</v>
      </c>
      <c r="V335" s="330">
        <v>0.53740045128742164</v>
      </c>
      <c r="W335" s="330">
        <v>0.41598539172918159</v>
      </c>
      <c r="X335" s="330">
        <v>0.99104177510608393</v>
      </c>
      <c r="Y335" s="330">
        <v>0</v>
      </c>
      <c r="Z335" s="331">
        <v>0</v>
      </c>
      <c r="AA335" s="235"/>
      <c r="AB335" s="52">
        <v>72072.348978120877</v>
      </c>
      <c r="AC335" s="330">
        <v>4.8315699867016049</v>
      </c>
      <c r="AD335" s="330">
        <v>62357.475889249843</v>
      </c>
      <c r="AE335" s="330">
        <v>4.5080973534594779</v>
      </c>
      <c r="AF335" s="330">
        <v>9714.8730888710343</v>
      </c>
      <c r="AG335" s="331">
        <v>0.32347263324212694</v>
      </c>
      <c r="AH335" s="235"/>
      <c r="AI335" s="208">
        <f t="shared" si="40"/>
        <v>4517919.1383884037</v>
      </c>
      <c r="AJ335" s="208">
        <f t="shared" si="41"/>
        <v>4220335.0098972544</v>
      </c>
      <c r="AK335" s="208">
        <f t="shared" si="42"/>
        <v>297584.12849114957</v>
      </c>
      <c r="AL335" s="235"/>
      <c r="AM335" s="52">
        <f t="shared" si="30"/>
        <v>1</v>
      </c>
      <c r="AN335" s="52">
        <f t="shared" si="31"/>
        <v>0</v>
      </c>
      <c r="AO335" s="52">
        <f t="shared" si="32"/>
        <v>1</v>
      </c>
      <c r="AP335" s="235"/>
      <c r="AQ335" s="3"/>
      <c r="AR335" s="3"/>
      <c r="AS335" s="3"/>
      <c r="AT335" s="3"/>
      <c r="AU335" s="235"/>
      <c r="AV335" s="360">
        <f t="shared" ref="AV335:AV398" si="43">MAX(AI335:AJ335)</f>
        <v>4517919.1383884037</v>
      </c>
      <c r="AW335" s="235"/>
      <c r="AX335" s="354"/>
      <c r="AY335" s="14"/>
      <c r="AZ335" s="14">
        <f t="shared" si="39"/>
        <v>9714.8730888710343</v>
      </c>
      <c r="BA335" s="14">
        <f t="shared" ref="BA335:BA398" si="44">AG335</f>
        <v>0.32347263324212694</v>
      </c>
      <c r="BB335" s="14">
        <f t="shared" si="33"/>
        <v>30033.060266953777</v>
      </c>
      <c r="BC335" s="14"/>
      <c r="BD335" s="14"/>
      <c r="BE335" s="14"/>
      <c r="BF335" s="14"/>
      <c r="BG335" s="14"/>
      <c r="BH335" s="14"/>
      <c r="BI335" s="14"/>
      <c r="BJ335" s="14"/>
      <c r="BK335" s="14"/>
      <c r="BL335" s="14"/>
      <c r="BM335" s="14"/>
      <c r="BN335" s="14"/>
      <c r="BO335" s="14"/>
      <c r="BP335" s="14"/>
      <c r="BQ335" s="14"/>
      <c r="BR335" s="14"/>
      <c r="BS335" s="14"/>
      <c r="BT335" s="14"/>
      <c r="BU335" s="14"/>
      <c r="BV335" s="14"/>
      <c r="BW335" s="14"/>
      <c r="BX335" s="14"/>
      <c r="BY335" s="14"/>
      <c r="BZ335" s="14"/>
      <c r="CA335" s="14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</row>
    <row r="336" spans="1:101" ht="14.25" customHeight="1" x14ac:dyDescent="0.2">
      <c r="A336" s="328"/>
      <c r="B336" s="52">
        <v>0.1977090652984147</v>
      </c>
      <c r="C336" s="330">
        <v>0.80911305675282774</v>
      </c>
      <c r="D336" s="330">
        <v>1.5847723789863322E-2</v>
      </c>
      <c r="E336" s="330">
        <v>9.534675628589364E-3</v>
      </c>
      <c r="F336" s="331">
        <v>0.75972275016828383</v>
      </c>
      <c r="G336" s="94">
        <v>0.36593777335097949</v>
      </c>
      <c r="H336" s="330">
        <v>1.7252608180398761E-2</v>
      </c>
      <c r="I336" s="330">
        <v>1.324824722046071E-2</v>
      </c>
      <c r="J336" s="330">
        <v>1</v>
      </c>
      <c r="K336" s="330">
        <v>0.80391576765787987</v>
      </c>
      <c r="L336" s="332">
        <v>12139.229079466599</v>
      </c>
      <c r="M336" s="330">
        <v>0</v>
      </c>
      <c r="N336" s="330">
        <v>24038.95415830546</v>
      </c>
      <c r="O336" s="330">
        <v>1231.1373560431614</v>
      </c>
      <c r="P336" s="330">
        <v>35150.862371216725</v>
      </c>
      <c r="Q336" s="333">
        <v>82518.768526220709</v>
      </c>
      <c r="R336" s="330">
        <v>26418.916004418399</v>
      </c>
      <c r="S336" s="330">
        <v>7510.6445477958505</v>
      </c>
      <c r="T336" s="332">
        <v>0.98480729075697648</v>
      </c>
      <c r="U336" s="330">
        <v>0.87472875319304233</v>
      </c>
      <c r="V336" s="330">
        <v>0.993634052850771</v>
      </c>
      <c r="W336" s="330">
        <v>0.91043665453900402</v>
      </c>
      <c r="X336" s="330">
        <v>0.91436188809326691</v>
      </c>
      <c r="Y336" s="330">
        <v>0</v>
      </c>
      <c r="Z336" s="331">
        <v>0</v>
      </c>
      <c r="AA336" s="235"/>
      <c r="AB336" s="52">
        <v>78101.649027304666</v>
      </c>
      <c r="AC336" s="330">
        <v>4.3010812731626453</v>
      </c>
      <c r="AD336" s="330">
        <v>66200.117509034666</v>
      </c>
      <c r="AE336" s="330">
        <v>4.8632917358172634</v>
      </c>
      <c r="AF336" s="330">
        <v>11901.53151827</v>
      </c>
      <c r="AG336" s="331">
        <v>-0.56221046265461805</v>
      </c>
      <c r="AH336" s="235"/>
      <c r="AI336" s="208">
        <f t="shared" si="40"/>
        <v>4007925.5604772083</v>
      </c>
      <c r="AJ336" s="208">
        <f t="shared" si="41"/>
        <v>4553927.0315173659</v>
      </c>
      <c r="AK336" s="208">
        <f t="shared" si="42"/>
        <v>-546001.47104015714</v>
      </c>
      <c r="AL336" s="235"/>
      <c r="AM336" s="52">
        <f t="shared" si="30"/>
        <v>0</v>
      </c>
      <c r="AN336" s="52">
        <f t="shared" si="31"/>
        <v>1</v>
      </c>
      <c r="AO336" s="52">
        <f t="shared" si="32"/>
        <v>0</v>
      </c>
      <c r="AP336" s="235"/>
      <c r="AQ336" s="3"/>
      <c r="AR336" s="3"/>
      <c r="AS336" s="3"/>
      <c r="AT336" s="3"/>
      <c r="AU336" s="235"/>
      <c r="AV336" s="360">
        <f t="shared" si="43"/>
        <v>4553927.0315173659</v>
      </c>
      <c r="AW336" s="235"/>
      <c r="AX336" s="354"/>
      <c r="AY336" s="14"/>
      <c r="AZ336" s="14">
        <f t="shared" ref="AZ336:AZ399" si="45">AF336</f>
        <v>11901.53151827</v>
      </c>
      <c r="BA336" s="14">
        <f t="shared" si="44"/>
        <v>-0.56221046265461805</v>
      </c>
      <c r="BB336" s="14">
        <f t="shared" si="33"/>
        <v>-21169.174728755359</v>
      </c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</row>
    <row r="337" spans="1:101" ht="14.25" customHeight="1" x14ac:dyDescent="0.2">
      <c r="A337" s="328"/>
      <c r="B337" s="52">
        <v>0.14140198683352226</v>
      </c>
      <c r="C337" s="330">
        <v>1.5767156962811387E-2</v>
      </c>
      <c r="D337" s="330">
        <v>2.452308562631611E-2</v>
      </c>
      <c r="E337" s="330">
        <v>8.3453667883150312E-3</v>
      </c>
      <c r="F337" s="331">
        <v>0.78930025625002176</v>
      </c>
      <c r="G337" s="94">
        <v>0.38387627635245802</v>
      </c>
      <c r="H337" s="330">
        <v>0.51033678881302413</v>
      </c>
      <c r="I337" s="330">
        <v>2.4527036965488636E-2</v>
      </c>
      <c r="J337" s="330">
        <v>0.99999994645424772</v>
      </c>
      <c r="K337" s="330">
        <v>0.75405990424521008</v>
      </c>
      <c r="L337" s="332">
        <v>15302.022370357197</v>
      </c>
      <c r="M337" s="330">
        <v>0</v>
      </c>
      <c r="N337" s="330">
        <v>18377.259000647271</v>
      </c>
      <c r="O337" s="330">
        <v>1127.9251047716227</v>
      </c>
      <c r="P337" s="330">
        <v>47697.345416011878</v>
      </c>
      <c r="Q337" s="333">
        <v>89674.537296731869</v>
      </c>
      <c r="R337" s="330">
        <v>26754.578102905503</v>
      </c>
      <c r="S337" s="330">
        <v>7680.7374323118738</v>
      </c>
      <c r="T337" s="332">
        <v>0.95804339523588133</v>
      </c>
      <c r="U337" s="330">
        <v>0.98184182401625186</v>
      </c>
      <c r="V337" s="330">
        <v>0.90758609949032665</v>
      </c>
      <c r="W337" s="330">
        <v>0.9940545408471908</v>
      </c>
      <c r="X337" s="330">
        <v>0.20133886629855927</v>
      </c>
      <c r="Y337" s="330">
        <v>0</v>
      </c>
      <c r="Z337" s="331">
        <v>0</v>
      </c>
      <c r="AA337" s="235"/>
      <c r="AB337" s="52">
        <v>80891.134016331795</v>
      </c>
      <c r="AC337" s="330">
        <v>1.2900693684254949</v>
      </c>
      <c r="AD337" s="330">
        <v>69168.679342695337</v>
      </c>
      <c r="AE337" s="330">
        <v>1.2787892129514633</v>
      </c>
      <c r="AF337" s="330">
        <v>11722.454673636457</v>
      </c>
      <c r="AG337" s="331">
        <v>1.1280155474031606E-2</v>
      </c>
      <c r="AH337" s="235"/>
      <c r="AI337" s="208">
        <f t="shared" si="40"/>
        <v>1144674.7659878884</v>
      </c>
      <c r="AJ337" s="208">
        <f t="shared" si="41"/>
        <v>1145681.0729611949</v>
      </c>
      <c r="AK337" s="208">
        <f t="shared" si="42"/>
        <v>-1006.3069733064312</v>
      </c>
      <c r="AL337" s="235"/>
      <c r="AM337" s="52">
        <f t="shared" si="30"/>
        <v>0</v>
      </c>
      <c r="AN337" s="52">
        <f t="shared" si="31"/>
        <v>1</v>
      </c>
      <c r="AO337" s="52">
        <f t="shared" si="32"/>
        <v>0</v>
      </c>
      <c r="AP337" s="235"/>
      <c r="AQ337" s="3"/>
      <c r="AR337" s="3"/>
      <c r="AS337" s="3"/>
      <c r="AT337" s="3"/>
      <c r="AU337" s="235"/>
      <c r="AV337" s="360">
        <f t="shared" si="43"/>
        <v>1145681.0729611949</v>
      </c>
      <c r="AW337" s="235"/>
      <c r="AX337" s="354"/>
      <c r="AY337" s="14"/>
      <c r="AZ337" s="14">
        <f t="shared" si="45"/>
        <v>11722.454673636457</v>
      </c>
      <c r="BA337" s="14">
        <f t="shared" si="44"/>
        <v>1.1280155474031606E-2</v>
      </c>
      <c r="BB337" s="14">
        <f t="shared" si="33"/>
        <v>1039210.3815078686</v>
      </c>
      <c r="BC337" s="14"/>
      <c r="BD337" s="14"/>
      <c r="BE337" s="14"/>
      <c r="BF337" s="14"/>
      <c r="BG337" s="14"/>
      <c r="BH337" s="14"/>
      <c r="BI337" s="14"/>
      <c r="BJ337" s="14"/>
      <c r="BK337" s="14"/>
      <c r="BL337" s="14"/>
      <c r="BM337" s="14"/>
      <c r="BN337" s="14"/>
      <c r="BO337" s="14"/>
      <c r="BP337" s="14"/>
      <c r="BQ337" s="14"/>
      <c r="BR337" s="14"/>
      <c r="BS337" s="14"/>
      <c r="BT337" s="14"/>
      <c r="BU337" s="14"/>
      <c r="BV337" s="14"/>
      <c r="BW337" s="14"/>
      <c r="BX337" s="14"/>
      <c r="BY337" s="14"/>
      <c r="BZ337" s="14"/>
      <c r="CA337" s="14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</row>
    <row r="338" spans="1:101" ht="14.25" customHeight="1" x14ac:dyDescent="0.2">
      <c r="A338" s="328"/>
      <c r="B338" s="52">
        <v>0.16871129871640334</v>
      </c>
      <c r="C338" s="330">
        <v>0.21216939048437722</v>
      </c>
      <c r="D338" s="330">
        <v>1.5506475161711775E-2</v>
      </c>
      <c r="E338" s="330">
        <v>8.6808680607817629E-3</v>
      </c>
      <c r="F338" s="331">
        <v>0.78414075267378947</v>
      </c>
      <c r="G338" s="94">
        <v>0.42819996526506454</v>
      </c>
      <c r="H338" s="330">
        <v>5.3613580066516543E-2</v>
      </c>
      <c r="I338" s="330">
        <v>5.7488828341758702E-3</v>
      </c>
      <c r="J338" s="330">
        <v>0.99999892720749273</v>
      </c>
      <c r="K338" s="330">
        <v>0.72604938874606284</v>
      </c>
      <c r="L338" s="332">
        <v>12642.068601657016</v>
      </c>
      <c r="M338" s="330">
        <v>0</v>
      </c>
      <c r="N338" s="330">
        <v>21704.553059253107</v>
      </c>
      <c r="O338" s="330">
        <v>968.00103141593524</v>
      </c>
      <c r="P338" s="330">
        <v>35002.675059639347</v>
      </c>
      <c r="Q338" s="333">
        <v>68798.801697211951</v>
      </c>
      <c r="R338" s="330">
        <v>27104.426309089082</v>
      </c>
      <c r="S338" s="330">
        <v>5903.9782031791219</v>
      </c>
      <c r="T338" s="332">
        <v>0.99928599762122428</v>
      </c>
      <c r="U338" s="330">
        <v>0.96931493510345312</v>
      </c>
      <c r="V338" s="330">
        <v>0.99943601749729505</v>
      </c>
      <c r="W338" s="330">
        <v>0.99999962976407475</v>
      </c>
      <c r="X338" s="330">
        <v>0.99656898334376509</v>
      </c>
      <c r="Y338" s="330">
        <v>0</v>
      </c>
      <c r="Z338" s="331">
        <v>0</v>
      </c>
      <c r="AA338" s="235"/>
      <c r="AB338" s="52">
        <v>63637.638755022243</v>
      </c>
      <c r="AC338" s="330">
        <v>5.3348414253685572</v>
      </c>
      <c r="AD338" s="330">
        <v>47356.555837054162</v>
      </c>
      <c r="AE338" s="330">
        <v>4.7170837149082825</v>
      </c>
      <c r="AF338" s="330">
        <v>16281.08291796808</v>
      </c>
      <c r="AG338" s="331">
        <v>0.61775771046027472</v>
      </c>
      <c r="AH338" s="235"/>
      <c r="AI338" s="208">
        <f t="shared" si="40"/>
        <v>5004461.715345107</v>
      </c>
      <c r="AJ338" s="208">
        <f t="shared" si="41"/>
        <v>4433872.9733258141</v>
      </c>
      <c r="AK338" s="208">
        <f t="shared" si="42"/>
        <v>570588.7420192929</v>
      </c>
      <c r="AL338" s="235"/>
      <c r="AM338" s="52">
        <f t="shared" si="30"/>
        <v>1</v>
      </c>
      <c r="AN338" s="52">
        <f t="shared" si="31"/>
        <v>0</v>
      </c>
      <c r="AO338" s="52">
        <f t="shared" si="32"/>
        <v>1</v>
      </c>
      <c r="AP338" s="235"/>
      <c r="AQ338" s="3"/>
      <c r="AR338" s="3"/>
      <c r="AS338" s="3"/>
      <c r="AT338" s="3"/>
      <c r="AU338" s="235"/>
      <c r="AV338" s="360">
        <f t="shared" si="43"/>
        <v>5004461.715345107</v>
      </c>
      <c r="AW338" s="235"/>
      <c r="AX338" s="354"/>
      <c r="AY338" s="14"/>
      <c r="AZ338" s="14">
        <f t="shared" si="45"/>
        <v>16281.08291796808</v>
      </c>
      <c r="BA338" s="14">
        <f t="shared" si="44"/>
        <v>0.61775771046027472</v>
      </c>
      <c r="BB338" s="14">
        <f t="shared" si="33"/>
        <v>26355.127005760045</v>
      </c>
      <c r="BC338" s="14"/>
      <c r="BD338" s="14"/>
      <c r="BE338" s="14"/>
      <c r="BF338" s="14"/>
      <c r="BG338" s="14"/>
      <c r="BH338" s="14"/>
      <c r="BI338" s="14"/>
      <c r="BJ338" s="14"/>
      <c r="BK338" s="14"/>
      <c r="BL338" s="14"/>
      <c r="BM338" s="14"/>
      <c r="BN338" s="14"/>
      <c r="BO338" s="14"/>
      <c r="BP338" s="14"/>
      <c r="BQ338" s="14"/>
      <c r="BR338" s="14"/>
      <c r="BS338" s="14"/>
      <c r="BT338" s="14"/>
      <c r="BU338" s="14"/>
      <c r="BV338" s="14"/>
      <c r="BW338" s="14"/>
      <c r="BX338" s="14"/>
      <c r="BY338" s="14"/>
      <c r="BZ338" s="14"/>
      <c r="CA338" s="14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</row>
    <row r="339" spans="1:101" ht="14.25" customHeight="1" x14ac:dyDescent="0.2">
      <c r="A339" s="328"/>
      <c r="B339" s="52">
        <v>0.13383134736652399</v>
      </c>
      <c r="C339" s="330">
        <v>1.733626184400102E-2</v>
      </c>
      <c r="D339" s="330">
        <v>1.7610045652479811E-2</v>
      </c>
      <c r="E339" s="330">
        <v>1.8144124113263604E-2</v>
      </c>
      <c r="F339" s="331">
        <v>0.80221481593995403</v>
      </c>
      <c r="G339" s="94">
        <v>0.382640446644815</v>
      </c>
      <c r="H339" s="330">
        <v>0.8541602297427735</v>
      </c>
      <c r="I339" s="330">
        <v>1.5715492528600633E-2</v>
      </c>
      <c r="J339" s="330">
        <v>1</v>
      </c>
      <c r="K339" s="330">
        <v>0.78992179345089364</v>
      </c>
      <c r="L339" s="332">
        <v>10922.307585740065</v>
      </c>
      <c r="M339" s="330">
        <v>0</v>
      </c>
      <c r="N339" s="330">
        <v>12760.262004563785</v>
      </c>
      <c r="O339" s="330">
        <v>1117.1595547671459</v>
      </c>
      <c r="P339" s="330">
        <v>44555.860705410734</v>
      </c>
      <c r="Q339" s="333">
        <v>121807.0447082435</v>
      </c>
      <c r="R339" s="330">
        <v>20428.350885499996</v>
      </c>
      <c r="S339" s="330">
        <v>9824.6314546331632</v>
      </c>
      <c r="T339" s="332">
        <v>0.97689169211750393</v>
      </c>
      <c r="U339" s="330">
        <v>0.91484407216580754</v>
      </c>
      <c r="V339" s="330">
        <v>0.99994290205455161</v>
      </c>
      <c r="W339" s="330">
        <v>0.2084313298669164</v>
      </c>
      <c r="X339" s="330">
        <v>0.9563404876709023</v>
      </c>
      <c r="Y339" s="330">
        <v>0</v>
      </c>
      <c r="Z339" s="331">
        <v>0</v>
      </c>
      <c r="AA339" s="235"/>
      <c r="AB339" s="52">
        <v>95986.560724276133</v>
      </c>
      <c r="AC339" s="330">
        <v>4.6766222658947765</v>
      </c>
      <c r="AD339" s="330">
        <v>91360.298485827559</v>
      </c>
      <c r="AE339" s="330">
        <v>4.9332679343522683</v>
      </c>
      <c r="AF339" s="330">
        <v>4626.262238448573</v>
      </c>
      <c r="AG339" s="331">
        <v>-0.25664566845749182</v>
      </c>
      <c r="AH339" s="235"/>
      <c r="AI339" s="208">
        <f t="shared" si="40"/>
        <v>4346804.5918757617</v>
      </c>
      <c r="AJ339" s="208">
        <f t="shared" si="41"/>
        <v>4595244.2391488273</v>
      </c>
      <c r="AK339" s="208">
        <f t="shared" si="42"/>
        <v>-248439.64727306578</v>
      </c>
      <c r="AL339" s="235"/>
      <c r="AM339" s="52">
        <f t="shared" si="30"/>
        <v>0</v>
      </c>
      <c r="AN339" s="52">
        <f t="shared" si="31"/>
        <v>1</v>
      </c>
      <c r="AO339" s="52">
        <f t="shared" si="32"/>
        <v>0</v>
      </c>
      <c r="AP339" s="235"/>
      <c r="AQ339" s="3"/>
      <c r="AR339" s="3"/>
      <c r="AS339" s="3"/>
      <c r="AT339" s="3"/>
      <c r="AU339" s="235"/>
      <c r="AV339" s="360">
        <f t="shared" si="43"/>
        <v>4595244.2391488273</v>
      </c>
      <c r="AW339" s="235"/>
      <c r="AX339" s="354"/>
      <c r="AY339" s="14"/>
      <c r="AZ339" s="14">
        <f t="shared" si="45"/>
        <v>4626.262238448573</v>
      </c>
      <c r="BA339" s="14">
        <f t="shared" si="44"/>
        <v>-0.25664566845749182</v>
      </c>
      <c r="BB339" s="14">
        <f t="shared" si="33"/>
        <v>-18025.873050005597</v>
      </c>
      <c r="BC339" s="14"/>
      <c r="BD339" s="14"/>
      <c r="BE339" s="14"/>
      <c r="BF339" s="14"/>
      <c r="BG339" s="14"/>
      <c r="BH339" s="14"/>
      <c r="BI339" s="14"/>
      <c r="BJ339" s="14"/>
      <c r="BK339" s="14"/>
      <c r="BL339" s="14"/>
      <c r="BM339" s="14"/>
      <c r="BN339" s="14"/>
      <c r="BO339" s="14"/>
      <c r="BP339" s="14"/>
      <c r="BQ339" s="14"/>
      <c r="BR339" s="14"/>
      <c r="BS339" s="14"/>
      <c r="BT339" s="14"/>
      <c r="BU339" s="14"/>
      <c r="BV339" s="14"/>
      <c r="BW339" s="14"/>
      <c r="BX339" s="14"/>
      <c r="BY339" s="14"/>
      <c r="BZ339" s="14"/>
      <c r="CA339" s="14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</row>
    <row r="340" spans="1:101" ht="14.25" customHeight="1" x14ac:dyDescent="0.2">
      <c r="A340" s="328"/>
      <c r="B340" s="52">
        <v>0.14850875059278856</v>
      </c>
      <c r="C340" s="330">
        <v>0.23049404503553914</v>
      </c>
      <c r="D340" s="330">
        <v>1.4310735647782404E-2</v>
      </c>
      <c r="E340" s="330">
        <v>1.9630011072283571E-2</v>
      </c>
      <c r="F340" s="331">
        <v>0.76916084389287653</v>
      </c>
      <c r="G340" s="94">
        <v>0.43622333057049012</v>
      </c>
      <c r="H340" s="330">
        <v>5.7694661533015494E-3</v>
      </c>
      <c r="I340" s="330">
        <v>5.2396640921057334E-3</v>
      </c>
      <c r="J340" s="330">
        <v>0.99999954923934342</v>
      </c>
      <c r="K340" s="330">
        <v>0.7402170762892839</v>
      </c>
      <c r="L340" s="332">
        <v>12927.345761090713</v>
      </c>
      <c r="M340" s="330">
        <v>0</v>
      </c>
      <c r="N340" s="330">
        <v>13779.211926481523</v>
      </c>
      <c r="O340" s="330">
        <v>1306.8716018046653</v>
      </c>
      <c r="P340" s="330">
        <v>37620.280388544765</v>
      </c>
      <c r="Q340" s="333">
        <v>132617.42239564913</v>
      </c>
      <c r="R340" s="330">
        <v>31625.392338521589</v>
      </c>
      <c r="S340" s="330">
        <v>6165.2608178680894</v>
      </c>
      <c r="T340" s="332">
        <v>0.91715215244469872</v>
      </c>
      <c r="U340" s="330">
        <v>0.22591740220778372</v>
      </c>
      <c r="V340" s="330">
        <v>0.93943020306542557</v>
      </c>
      <c r="W340" s="330">
        <v>0.89078702254199948</v>
      </c>
      <c r="X340" s="330">
        <v>0.78692648351603689</v>
      </c>
      <c r="Y340" s="330">
        <v>0</v>
      </c>
      <c r="Z340" s="331">
        <v>0</v>
      </c>
      <c r="AA340" s="235"/>
      <c r="AB340" s="52">
        <v>65376.296302465977</v>
      </c>
      <c r="AC340" s="330">
        <v>3.9622460941780071</v>
      </c>
      <c r="AD340" s="330">
        <v>50059.910180006729</v>
      </c>
      <c r="AE340" s="330">
        <v>3.598995058543875</v>
      </c>
      <c r="AF340" s="330">
        <v>15316.386122459247</v>
      </c>
      <c r="AG340" s="331">
        <v>0.36325103563413208</v>
      </c>
      <c r="AH340" s="235"/>
      <c r="AI340" s="208">
        <f t="shared" si="40"/>
        <v>3698757.4931666404</v>
      </c>
      <c r="AJ340" s="208">
        <f t="shared" si="41"/>
        <v>3368985.3954366748</v>
      </c>
      <c r="AK340" s="208">
        <f t="shared" si="42"/>
        <v>329772.09772996622</v>
      </c>
      <c r="AL340" s="235"/>
      <c r="AM340" s="52">
        <f t="shared" si="30"/>
        <v>1</v>
      </c>
      <c r="AN340" s="52">
        <f t="shared" si="31"/>
        <v>0</v>
      </c>
      <c r="AO340" s="52">
        <f t="shared" si="32"/>
        <v>1</v>
      </c>
      <c r="AP340" s="235"/>
      <c r="AQ340" s="3"/>
      <c r="AR340" s="3"/>
      <c r="AS340" s="3"/>
      <c r="AT340" s="3"/>
      <c r="AU340" s="235"/>
      <c r="AV340" s="360">
        <f t="shared" si="43"/>
        <v>3698757.4931666404</v>
      </c>
      <c r="AW340" s="235"/>
      <c r="AX340" s="354"/>
      <c r="AY340" s="14"/>
      <c r="AZ340" s="14">
        <f t="shared" si="45"/>
        <v>15316.386122459247</v>
      </c>
      <c r="BA340" s="14">
        <f t="shared" si="44"/>
        <v>0.36325103563413208</v>
      </c>
      <c r="BB340" s="14">
        <f t="shared" si="33"/>
        <v>42164.741789988933</v>
      </c>
      <c r="BC340" s="14"/>
      <c r="BD340" s="14"/>
      <c r="BE340" s="14"/>
      <c r="BF340" s="14"/>
      <c r="BG340" s="14"/>
      <c r="BH340" s="14"/>
      <c r="BI340" s="14"/>
      <c r="BJ340" s="14"/>
      <c r="BK340" s="14"/>
      <c r="BL340" s="14"/>
      <c r="BM340" s="14"/>
      <c r="BN340" s="14"/>
      <c r="BO340" s="14"/>
      <c r="BP340" s="14"/>
      <c r="BQ340" s="14"/>
      <c r="BR340" s="14"/>
      <c r="BS340" s="14"/>
      <c r="BT340" s="14"/>
      <c r="BU340" s="14"/>
      <c r="BV340" s="14"/>
      <c r="BW340" s="14"/>
      <c r="BX340" s="14"/>
      <c r="BY340" s="14"/>
      <c r="BZ340" s="14"/>
      <c r="CA340" s="14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</row>
    <row r="341" spans="1:101" ht="14.25" customHeight="1" x14ac:dyDescent="0.2">
      <c r="A341" s="328"/>
      <c r="B341" s="52">
        <v>0.14939396957424039</v>
      </c>
      <c r="C341" s="330">
        <v>0.38356816198118682</v>
      </c>
      <c r="D341" s="330">
        <v>3.5394717818302723E-2</v>
      </c>
      <c r="E341" s="330">
        <v>1.7284327290074342E-2</v>
      </c>
      <c r="F341" s="331">
        <v>0.78778567552068279</v>
      </c>
      <c r="G341" s="94">
        <v>0.40580785105916672</v>
      </c>
      <c r="H341" s="330">
        <v>0.6854013293032496</v>
      </c>
      <c r="I341" s="330">
        <v>1.9430721487266323E-2</v>
      </c>
      <c r="J341" s="330">
        <v>1</v>
      </c>
      <c r="K341" s="330">
        <v>0.74617275163288455</v>
      </c>
      <c r="L341" s="332">
        <v>11829.069782058581</v>
      </c>
      <c r="M341" s="330">
        <v>0</v>
      </c>
      <c r="N341" s="330">
        <v>16599.951863959341</v>
      </c>
      <c r="O341" s="330">
        <v>1253.7193378008876</v>
      </c>
      <c r="P341" s="330">
        <v>51321.359557834505</v>
      </c>
      <c r="Q341" s="333">
        <v>93582.663073682968</v>
      </c>
      <c r="R341" s="330">
        <v>36208.898358784136</v>
      </c>
      <c r="S341" s="330">
        <v>9181.0799154371816</v>
      </c>
      <c r="T341" s="332">
        <v>0.99691025683188306</v>
      </c>
      <c r="U341" s="330">
        <v>0.70333693664506458</v>
      </c>
      <c r="V341" s="330">
        <v>0.80312786112849655</v>
      </c>
      <c r="W341" s="330">
        <v>0.99368326902740534</v>
      </c>
      <c r="X341" s="330">
        <v>0.91560104640866913</v>
      </c>
      <c r="Y341" s="330">
        <v>0</v>
      </c>
      <c r="Z341" s="331">
        <v>0</v>
      </c>
      <c r="AA341" s="235"/>
      <c r="AB341" s="52">
        <v>92208.314044626837</v>
      </c>
      <c r="AC341" s="330">
        <v>4.8536305082765701</v>
      </c>
      <c r="AD341" s="330">
        <v>85283.403344103484</v>
      </c>
      <c r="AE341" s="330">
        <v>4.2095452723120026</v>
      </c>
      <c r="AF341" s="330">
        <v>6924.9107005233527</v>
      </c>
      <c r="AG341" s="331">
        <v>0.64408523596456746</v>
      </c>
      <c r="AH341" s="235"/>
      <c r="AI341" s="208">
        <f t="shared" si="40"/>
        <v>4518740.6688181153</v>
      </c>
      <c r="AJ341" s="208">
        <f t="shared" si="41"/>
        <v>3913784.6053522988</v>
      </c>
      <c r="AK341" s="208">
        <f t="shared" si="42"/>
        <v>604956.06346581574</v>
      </c>
      <c r="AL341" s="235"/>
      <c r="AM341" s="52">
        <f t="shared" si="30"/>
        <v>1</v>
      </c>
      <c r="AN341" s="52">
        <f t="shared" si="31"/>
        <v>0</v>
      </c>
      <c r="AO341" s="52">
        <f t="shared" si="32"/>
        <v>1</v>
      </c>
      <c r="AP341" s="235"/>
      <c r="AQ341" s="3"/>
      <c r="AR341" s="3"/>
      <c r="AS341" s="3"/>
      <c r="AT341" s="3"/>
      <c r="AU341" s="235"/>
      <c r="AV341" s="360">
        <f t="shared" si="43"/>
        <v>4518740.6688181153</v>
      </c>
      <c r="AW341" s="235"/>
      <c r="AX341" s="354"/>
      <c r="AY341" s="14"/>
      <c r="AZ341" s="14">
        <f t="shared" si="45"/>
        <v>6924.9107005233527</v>
      </c>
      <c r="BA341" s="14">
        <f t="shared" si="44"/>
        <v>0.64408523596456746</v>
      </c>
      <c r="BB341" s="14">
        <f t="shared" si="33"/>
        <v>10751.543916625822</v>
      </c>
      <c r="BC341" s="14"/>
      <c r="BD341" s="14"/>
      <c r="BE341" s="14"/>
      <c r="BF341" s="14"/>
      <c r="BG341" s="14"/>
      <c r="BH341" s="14"/>
      <c r="BI341" s="14"/>
      <c r="BJ341" s="14"/>
      <c r="BK341" s="14"/>
      <c r="BL341" s="14"/>
      <c r="BM341" s="14"/>
      <c r="BN341" s="14"/>
      <c r="BO341" s="14"/>
      <c r="BP341" s="14"/>
      <c r="BQ341" s="14"/>
      <c r="BR341" s="14"/>
      <c r="BS341" s="14"/>
      <c r="BT341" s="14"/>
      <c r="BU341" s="14"/>
      <c r="BV341" s="14"/>
      <c r="BW341" s="14"/>
      <c r="BX341" s="14"/>
      <c r="BY341" s="14"/>
      <c r="BZ341" s="14"/>
      <c r="CA341" s="14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</row>
    <row r="342" spans="1:101" ht="14.25" customHeight="1" x14ac:dyDescent="0.2">
      <c r="A342" s="328"/>
      <c r="B342" s="52">
        <v>0.14584432752246673</v>
      </c>
      <c r="C342" s="330">
        <v>0.23642588882797588</v>
      </c>
      <c r="D342" s="330">
        <v>2.1173811159466704E-2</v>
      </c>
      <c r="E342" s="330">
        <v>9.691132724044477E-3</v>
      </c>
      <c r="F342" s="331">
        <v>0.75912448315671199</v>
      </c>
      <c r="G342" s="94">
        <v>0.37008929118261752</v>
      </c>
      <c r="H342" s="330">
        <v>0.61219691799928777</v>
      </c>
      <c r="I342" s="330">
        <v>1.4066077904757833E-2</v>
      </c>
      <c r="J342" s="330">
        <v>0.49652633802825108</v>
      </c>
      <c r="K342" s="330">
        <v>0.83028740748980956</v>
      </c>
      <c r="L342" s="332">
        <v>10326.290261781007</v>
      </c>
      <c r="M342" s="330">
        <v>0</v>
      </c>
      <c r="N342" s="330">
        <v>14706.743590176351</v>
      </c>
      <c r="O342" s="330">
        <v>987.68499728072879</v>
      </c>
      <c r="P342" s="330">
        <v>44317.015903906322</v>
      </c>
      <c r="Q342" s="333">
        <v>105433.0403919362</v>
      </c>
      <c r="R342" s="330">
        <v>26589.943253688351</v>
      </c>
      <c r="S342" s="330">
        <v>11496.325915582327</v>
      </c>
      <c r="T342" s="332">
        <v>0.58553253159436069</v>
      </c>
      <c r="U342" s="330">
        <v>0.85262587699167314</v>
      </c>
      <c r="V342" s="330">
        <v>0.77151597691347007</v>
      </c>
      <c r="W342" s="330">
        <v>0.35576130567524111</v>
      </c>
      <c r="X342" s="330">
        <v>0.79787330002042023</v>
      </c>
      <c r="Y342" s="330">
        <v>0</v>
      </c>
      <c r="Z342" s="331">
        <v>0</v>
      </c>
      <c r="AA342" s="235"/>
      <c r="AB342" s="52">
        <v>105367.53259597148</v>
      </c>
      <c r="AC342" s="330">
        <v>3.8153866961977605</v>
      </c>
      <c r="AD342" s="330">
        <v>109471.68643911314</v>
      </c>
      <c r="AE342" s="330">
        <v>4.3320693663810381</v>
      </c>
      <c r="AF342" s="330">
        <v>-4104.1538431416557</v>
      </c>
      <c r="AG342" s="331">
        <v>-0.51668267018327763</v>
      </c>
      <c r="AH342" s="235"/>
      <c r="AI342" s="208">
        <f t="shared" si="40"/>
        <v>3519249.828791901</v>
      </c>
      <c r="AJ342" s="208">
        <f t="shared" si="41"/>
        <v>4005994.2116228729</v>
      </c>
      <c r="AK342" s="208">
        <f t="shared" si="42"/>
        <v>-486744.38283097208</v>
      </c>
      <c r="AL342" s="235"/>
      <c r="AM342" s="52">
        <f t="shared" si="30"/>
        <v>0</v>
      </c>
      <c r="AN342" s="52">
        <f t="shared" si="31"/>
        <v>1</v>
      </c>
      <c r="AO342" s="52">
        <f t="shared" si="32"/>
        <v>0</v>
      </c>
      <c r="AP342" s="235"/>
      <c r="AQ342" s="3"/>
      <c r="AR342" s="3"/>
      <c r="AS342" s="3"/>
      <c r="AT342" s="3"/>
      <c r="AU342" s="235"/>
      <c r="AV342" s="360">
        <f t="shared" si="43"/>
        <v>4005994.2116228729</v>
      </c>
      <c r="AW342" s="235"/>
      <c r="AX342" s="354"/>
      <c r="AY342" s="14"/>
      <c r="AZ342" s="14">
        <f t="shared" si="45"/>
        <v>-4104.1538431416557</v>
      </c>
      <c r="BA342" s="14">
        <f t="shared" si="44"/>
        <v>-0.51668267018327763</v>
      </c>
      <c r="BB342" s="14">
        <f t="shared" si="33"/>
        <v>7943.2775279376619</v>
      </c>
      <c r="BC342" s="14"/>
      <c r="BD342" s="14"/>
      <c r="BE342" s="14"/>
      <c r="BF342" s="14"/>
      <c r="BG342" s="14"/>
      <c r="BH342" s="14"/>
      <c r="BI342" s="14"/>
      <c r="BJ342" s="14"/>
      <c r="BK342" s="14"/>
      <c r="BL342" s="14"/>
      <c r="BM342" s="14"/>
      <c r="BN342" s="14"/>
      <c r="BO342" s="14"/>
      <c r="BP342" s="14"/>
      <c r="BQ342" s="14"/>
      <c r="BR342" s="14"/>
      <c r="BS342" s="14"/>
      <c r="BT342" s="14"/>
      <c r="BU342" s="14"/>
      <c r="BV342" s="14"/>
      <c r="BW342" s="14"/>
      <c r="BX342" s="14"/>
      <c r="BY342" s="14"/>
      <c r="BZ342" s="14"/>
      <c r="CA342" s="14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</row>
    <row r="343" spans="1:101" ht="14.25" customHeight="1" x14ac:dyDescent="0.2">
      <c r="A343" s="328"/>
      <c r="B343" s="52">
        <v>0.13907830474131183</v>
      </c>
      <c r="C343" s="330">
        <v>1.4095262093720341E-2</v>
      </c>
      <c r="D343" s="330">
        <v>1.3689398393576009E-2</v>
      </c>
      <c r="E343" s="330">
        <v>8.8807006533187603E-3</v>
      </c>
      <c r="F343" s="331">
        <v>0.79163698009888805</v>
      </c>
      <c r="G343" s="94">
        <v>0.44720669120117895</v>
      </c>
      <c r="H343" s="330">
        <v>0.10800679404687422</v>
      </c>
      <c r="I343" s="330">
        <v>9.0220070338914039E-3</v>
      </c>
      <c r="J343" s="330">
        <v>0.99999463102856767</v>
      </c>
      <c r="K343" s="330">
        <v>0.78232199961322091</v>
      </c>
      <c r="L343" s="332">
        <v>12745.112331848757</v>
      </c>
      <c r="M343" s="330">
        <v>0</v>
      </c>
      <c r="N343" s="330">
        <v>17226.09419108972</v>
      </c>
      <c r="O343" s="330">
        <v>1287.0920247757485</v>
      </c>
      <c r="P343" s="330">
        <v>43904.745364907307</v>
      </c>
      <c r="Q343" s="333">
        <v>120934.04131361788</v>
      </c>
      <c r="R343" s="330">
        <v>14424.871409396976</v>
      </c>
      <c r="S343" s="330">
        <v>10319.519906121217</v>
      </c>
      <c r="T343" s="332">
        <v>0.59579836536394282</v>
      </c>
      <c r="U343" s="330">
        <v>0.99765067759898518</v>
      </c>
      <c r="V343" s="330">
        <v>0.97729381203610488</v>
      </c>
      <c r="W343" s="330">
        <v>0.9947310222264385</v>
      </c>
      <c r="X343" s="330">
        <v>0.14057888416000103</v>
      </c>
      <c r="Y343" s="330">
        <v>0</v>
      </c>
      <c r="Z343" s="331">
        <v>0</v>
      </c>
      <c r="AA343" s="235"/>
      <c r="AB343" s="52">
        <v>100850.46966337641</v>
      </c>
      <c r="AC343" s="330">
        <v>0.69315043230264473</v>
      </c>
      <c r="AD343" s="330">
        <v>88636.689246444817</v>
      </c>
      <c r="AE343" s="330">
        <v>0.68524149473959528</v>
      </c>
      <c r="AF343" s="330">
        <v>12213.780416931593</v>
      </c>
      <c r="AG343" s="331">
        <v>7.9089375630494452E-3</v>
      </c>
      <c r="AH343" s="235"/>
      <c r="AI343" s="208">
        <f t="shared" si="40"/>
        <v>557642.44102413603</v>
      </c>
      <c r="AJ343" s="208">
        <f t="shared" si="41"/>
        <v>562342.7307561707</v>
      </c>
      <c r="AK343" s="208">
        <f t="shared" si="42"/>
        <v>-4700.2897320346201</v>
      </c>
      <c r="AL343" s="235"/>
      <c r="AM343" s="52">
        <f t="shared" si="30"/>
        <v>0</v>
      </c>
      <c r="AN343" s="52">
        <f t="shared" si="31"/>
        <v>1</v>
      </c>
      <c r="AO343" s="52">
        <f t="shared" si="32"/>
        <v>0</v>
      </c>
      <c r="AP343" s="235"/>
      <c r="AQ343" s="3"/>
      <c r="AR343" s="3"/>
      <c r="AS343" s="3"/>
      <c r="AT343" s="3"/>
      <c r="AU343" s="235"/>
      <c r="AV343" s="360">
        <f t="shared" si="43"/>
        <v>562342.7307561707</v>
      </c>
      <c r="AW343" s="235"/>
      <c r="AX343" s="354"/>
      <c r="AY343" s="14"/>
      <c r="AZ343" s="14">
        <f t="shared" si="45"/>
        <v>12213.780416931593</v>
      </c>
      <c r="BA343" s="14">
        <f t="shared" si="44"/>
        <v>7.9089375630494452E-3</v>
      </c>
      <c r="BB343" s="14">
        <f t="shared" si="33"/>
        <v>1544301.0290022232</v>
      </c>
      <c r="BC343" s="14"/>
      <c r="BD343" s="14"/>
      <c r="BE343" s="14"/>
      <c r="BF343" s="14"/>
      <c r="BG343" s="14"/>
      <c r="BH343" s="14"/>
      <c r="BI343" s="14"/>
      <c r="BJ343" s="14"/>
      <c r="BK343" s="14"/>
      <c r="BL343" s="14"/>
      <c r="BM343" s="14"/>
      <c r="BN343" s="14"/>
      <c r="BO343" s="14"/>
      <c r="BP343" s="14"/>
      <c r="BQ343" s="14"/>
      <c r="BR343" s="14"/>
      <c r="BS343" s="14"/>
      <c r="BT343" s="14"/>
      <c r="BU343" s="14"/>
      <c r="BV343" s="14"/>
      <c r="BW343" s="14"/>
      <c r="BX343" s="14"/>
      <c r="BY343" s="14"/>
      <c r="BZ343" s="14"/>
      <c r="CA343" s="14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</row>
    <row r="344" spans="1:101" ht="14.25" customHeight="1" x14ac:dyDescent="0.2">
      <c r="A344" s="328"/>
      <c r="B344" s="52">
        <v>0.17312741717369151</v>
      </c>
      <c r="C344" s="330">
        <v>0.56852892060083149</v>
      </c>
      <c r="D344" s="330">
        <v>5.8884093568655769E-3</v>
      </c>
      <c r="E344" s="330">
        <v>1.8762349443601334E-2</v>
      </c>
      <c r="F344" s="331">
        <v>0.78777620724907571</v>
      </c>
      <c r="G344" s="94">
        <v>0.37396012138546253</v>
      </c>
      <c r="H344" s="330">
        <v>0.16533400630605039</v>
      </c>
      <c r="I344" s="330">
        <v>2.5970995441975453E-2</v>
      </c>
      <c r="J344" s="330">
        <v>0.99652611414455128</v>
      </c>
      <c r="K344" s="330">
        <v>0.78341980317444837</v>
      </c>
      <c r="L344" s="332">
        <v>11031.374934547723</v>
      </c>
      <c r="M344" s="330">
        <v>0</v>
      </c>
      <c r="N344" s="330">
        <v>25164.478645862961</v>
      </c>
      <c r="O344" s="330">
        <v>1215.4862577891936</v>
      </c>
      <c r="P344" s="330">
        <v>35755.385119378669</v>
      </c>
      <c r="Q344" s="333">
        <v>101981.15515363742</v>
      </c>
      <c r="R344" s="330">
        <v>18564.124752756103</v>
      </c>
      <c r="S344" s="330">
        <v>8134.721852952659</v>
      </c>
      <c r="T344" s="332">
        <v>0.9995560372011334</v>
      </c>
      <c r="U344" s="330">
        <v>0.97280879462634529</v>
      </c>
      <c r="V344" s="330">
        <v>0.97983821959697259</v>
      </c>
      <c r="W344" s="330">
        <v>0.99879319400169386</v>
      </c>
      <c r="X344" s="330">
        <v>0.9973601432465542</v>
      </c>
      <c r="Y344" s="330">
        <v>0</v>
      </c>
      <c r="Z344" s="331">
        <v>0</v>
      </c>
      <c r="AA344" s="235"/>
      <c r="AB344" s="52">
        <v>81943.549111378627</v>
      </c>
      <c r="AC344" s="330">
        <v>4.9543530839651302</v>
      </c>
      <c r="AD344" s="330">
        <v>71644.172582589628</v>
      </c>
      <c r="AE344" s="330">
        <v>5.045287955566395</v>
      </c>
      <c r="AF344" s="330">
        <v>10299.376528788998</v>
      </c>
      <c r="AG344" s="331">
        <v>-9.0934871601264788E-2</v>
      </c>
      <c r="AH344" s="235"/>
      <c r="AI344" s="208">
        <f t="shared" si="40"/>
        <v>4624691.8806554954</v>
      </c>
      <c r="AJ344" s="208">
        <f t="shared" si="41"/>
        <v>4721379.3852054849</v>
      </c>
      <c r="AK344" s="208">
        <f t="shared" si="42"/>
        <v>-96687.504549990554</v>
      </c>
      <c r="AL344" s="235"/>
      <c r="AM344" s="52">
        <f t="shared" si="30"/>
        <v>0</v>
      </c>
      <c r="AN344" s="52">
        <f t="shared" si="31"/>
        <v>1</v>
      </c>
      <c r="AO344" s="52">
        <f t="shared" si="32"/>
        <v>0</v>
      </c>
      <c r="AP344" s="235"/>
      <c r="AQ344" s="3"/>
      <c r="AR344" s="3"/>
      <c r="AS344" s="3"/>
      <c r="AT344" s="3"/>
      <c r="AU344" s="235"/>
      <c r="AV344" s="360">
        <f t="shared" si="43"/>
        <v>4721379.3852054849</v>
      </c>
      <c r="AW344" s="235"/>
      <c r="AX344" s="354"/>
      <c r="AY344" s="14"/>
      <c r="AZ344" s="14">
        <f t="shared" si="45"/>
        <v>10299.376528788998</v>
      </c>
      <c r="BA344" s="14">
        <f t="shared" si="44"/>
        <v>-9.0934871601264788E-2</v>
      </c>
      <c r="BB344" s="14">
        <f t="shared" si="33"/>
        <v>-113261.02239358907</v>
      </c>
      <c r="BC344" s="14"/>
      <c r="BD344" s="14"/>
      <c r="BE344" s="14"/>
      <c r="BF344" s="14"/>
      <c r="BG344" s="14"/>
      <c r="BH344" s="14"/>
      <c r="BI344" s="14"/>
      <c r="BJ344" s="14"/>
      <c r="BK344" s="14"/>
      <c r="BL344" s="14"/>
      <c r="BM344" s="14"/>
      <c r="BN344" s="14"/>
      <c r="BO344" s="14"/>
      <c r="BP344" s="14"/>
      <c r="BQ344" s="14"/>
      <c r="BR344" s="14"/>
      <c r="BS344" s="14"/>
      <c r="BT344" s="14"/>
      <c r="BU344" s="14"/>
      <c r="BV344" s="14"/>
      <c r="BW344" s="14"/>
      <c r="BX344" s="14"/>
      <c r="BY344" s="14"/>
      <c r="BZ344" s="14"/>
      <c r="CA344" s="14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</row>
    <row r="345" spans="1:101" ht="14.25" customHeight="1" x14ac:dyDescent="0.2">
      <c r="A345" s="328"/>
      <c r="B345" s="52">
        <v>0.15385625471330322</v>
      </c>
      <c r="C345" s="330">
        <v>0.20488528786956398</v>
      </c>
      <c r="D345" s="330">
        <v>1.0299456708603855E-2</v>
      </c>
      <c r="E345" s="330">
        <v>2.3429279221287125E-2</v>
      </c>
      <c r="F345" s="331">
        <v>0.81050363681854531</v>
      </c>
      <c r="G345" s="94">
        <v>0.37995542712748842</v>
      </c>
      <c r="H345" s="330">
        <v>0.71456307605073299</v>
      </c>
      <c r="I345" s="330">
        <v>1.2263803401244531E-2</v>
      </c>
      <c r="J345" s="330">
        <v>0.73133329536131919</v>
      </c>
      <c r="K345" s="330">
        <v>0.79605636531388035</v>
      </c>
      <c r="L345" s="332">
        <v>14133.285204621667</v>
      </c>
      <c r="M345" s="330">
        <v>0</v>
      </c>
      <c r="N345" s="330">
        <v>16311.772760063421</v>
      </c>
      <c r="O345" s="330">
        <v>1009.4803493683845</v>
      </c>
      <c r="P345" s="330">
        <v>42455.032246853196</v>
      </c>
      <c r="Q345" s="333">
        <v>71205.548127415648</v>
      </c>
      <c r="R345" s="330">
        <v>25966.277533757191</v>
      </c>
      <c r="S345" s="330">
        <v>10021.820267243713</v>
      </c>
      <c r="T345" s="332">
        <v>0.67001461326691314</v>
      </c>
      <c r="U345" s="330">
        <v>0.80078849960656862</v>
      </c>
      <c r="V345" s="330">
        <v>0.12299412373445152</v>
      </c>
      <c r="W345" s="330">
        <v>0.89786768954740603</v>
      </c>
      <c r="X345" s="330">
        <v>0.86412734102970568</v>
      </c>
      <c r="Y345" s="330">
        <v>0</v>
      </c>
      <c r="Z345" s="331">
        <v>0</v>
      </c>
      <c r="AA345" s="235"/>
      <c r="AB345" s="52">
        <v>102388.95461776895</v>
      </c>
      <c r="AC345" s="330">
        <v>4.2489311237140281</v>
      </c>
      <c r="AD345" s="330">
        <v>93516.902776338073</v>
      </c>
      <c r="AE345" s="330">
        <v>4.369686684043482</v>
      </c>
      <c r="AF345" s="330">
        <v>8872.0518414308754</v>
      </c>
      <c r="AG345" s="331">
        <v>-0.12075556032945389</v>
      </c>
      <c r="AH345" s="235"/>
      <c r="AI345" s="208">
        <f t="shared" si="40"/>
        <v>3934095.6129105575</v>
      </c>
      <c r="AJ345" s="208">
        <f t="shared" si="41"/>
        <v>4057685.4470649697</v>
      </c>
      <c r="AK345" s="208">
        <f t="shared" si="42"/>
        <v>-123589.83415441208</v>
      </c>
      <c r="AL345" s="235"/>
      <c r="AM345" s="52">
        <f t="shared" si="30"/>
        <v>0</v>
      </c>
      <c r="AN345" s="52">
        <f t="shared" si="31"/>
        <v>1</v>
      </c>
      <c r="AO345" s="52">
        <f t="shared" si="32"/>
        <v>0</v>
      </c>
      <c r="AP345" s="235"/>
      <c r="AQ345" s="3"/>
      <c r="AR345" s="3"/>
      <c r="AS345" s="3"/>
      <c r="AT345" s="3"/>
      <c r="AU345" s="235"/>
      <c r="AV345" s="360">
        <f t="shared" si="43"/>
        <v>4057685.4470649697</v>
      </c>
      <c r="AW345" s="235"/>
      <c r="AX345" s="354"/>
      <c r="AY345" s="14"/>
      <c r="AZ345" s="14">
        <f t="shared" si="45"/>
        <v>8872.0518414308754</v>
      </c>
      <c r="BA345" s="14">
        <f t="shared" si="44"/>
        <v>-0.12075556032945389</v>
      </c>
      <c r="BB345" s="14">
        <f t="shared" si="33"/>
        <v>-73471.166190819815</v>
      </c>
      <c r="BC345" s="14"/>
      <c r="BD345" s="14"/>
      <c r="BE345" s="14"/>
      <c r="BF345" s="14"/>
      <c r="BG345" s="14"/>
      <c r="BH345" s="14"/>
      <c r="BI345" s="14"/>
      <c r="BJ345" s="14"/>
      <c r="BK345" s="14"/>
      <c r="BL345" s="14"/>
      <c r="BM345" s="14"/>
      <c r="BN345" s="14"/>
      <c r="BO345" s="14"/>
      <c r="BP345" s="14"/>
      <c r="BQ345" s="14"/>
      <c r="BR345" s="14"/>
      <c r="BS345" s="14"/>
      <c r="BT345" s="14"/>
      <c r="BU345" s="14"/>
      <c r="BV345" s="14"/>
      <c r="BW345" s="14"/>
      <c r="BX345" s="14"/>
      <c r="BY345" s="14"/>
      <c r="BZ345" s="14"/>
      <c r="CA345" s="14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</row>
    <row r="346" spans="1:101" ht="14.25" customHeight="1" x14ac:dyDescent="0.2">
      <c r="A346" s="328"/>
      <c r="B346" s="52">
        <v>0.20386352653031747</v>
      </c>
      <c r="C346" s="330">
        <v>0.22008342145755175</v>
      </c>
      <c r="D346" s="330">
        <v>1.6846439689806703E-2</v>
      </c>
      <c r="E346" s="330">
        <v>7.9267482196075535E-3</v>
      </c>
      <c r="F346" s="331">
        <v>0.79567904373088716</v>
      </c>
      <c r="G346" s="94">
        <v>0.41278067894549397</v>
      </c>
      <c r="H346" s="330">
        <v>0.26341968941882515</v>
      </c>
      <c r="I346" s="330">
        <v>1.1654809921097964E-2</v>
      </c>
      <c r="J346" s="330">
        <v>0.8712588408002454</v>
      </c>
      <c r="K346" s="330">
        <v>0.75221181744417054</v>
      </c>
      <c r="L346" s="332">
        <v>12832.677692050424</v>
      </c>
      <c r="M346" s="330">
        <v>0</v>
      </c>
      <c r="N346" s="330">
        <v>15310.219297578185</v>
      </c>
      <c r="O346" s="330">
        <v>1099.1448452761742</v>
      </c>
      <c r="P346" s="330">
        <v>41662.171994613214</v>
      </c>
      <c r="Q346" s="333">
        <v>97435.813908358439</v>
      </c>
      <c r="R346" s="330">
        <v>25232.927396388666</v>
      </c>
      <c r="S346" s="330">
        <v>6450.5596516799387</v>
      </c>
      <c r="T346" s="332">
        <v>5.4032050813896455E-2</v>
      </c>
      <c r="U346" s="330">
        <v>0.66264738663740896</v>
      </c>
      <c r="V346" s="330">
        <v>0.99967555938966357</v>
      </c>
      <c r="W346" s="330">
        <v>0.83626151821993044</v>
      </c>
      <c r="X346" s="330">
        <v>0.86855421690949752</v>
      </c>
      <c r="Y346" s="330">
        <v>0</v>
      </c>
      <c r="Z346" s="331">
        <v>0</v>
      </c>
      <c r="AA346" s="235"/>
      <c r="AB346" s="52">
        <v>69603.911417881842</v>
      </c>
      <c r="AC346" s="330">
        <v>4.2045049087681612</v>
      </c>
      <c r="AD346" s="330">
        <v>55969.632358587776</v>
      </c>
      <c r="AE346" s="330">
        <v>4.0729071726110053</v>
      </c>
      <c r="AF346" s="330">
        <v>13634.279059294066</v>
      </c>
      <c r="AG346" s="331">
        <v>0.13159773615715586</v>
      </c>
      <c r="AH346" s="235"/>
      <c r="AI346" s="208">
        <f t="shared" si="40"/>
        <v>3924675.7519118711</v>
      </c>
      <c r="AJ346" s="208">
        <f t="shared" si="41"/>
        <v>3813292.1816218672</v>
      </c>
      <c r="AK346" s="208">
        <f t="shared" si="42"/>
        <v>111383.57029000402</v>
      </c>
      <c r="AL346" s="235"/>
      <c r="AM346" s="52">
        <f t="shared" si="30"/>
        <v>1</v>
      </c>
      <c r="AN346" s="52">
        <f t="shared" si="31"/>
        <v>0</v>
      </c>
      <c r="AO346" s="52">
        <f t="shared" si="32"/>
        <v>1</v>
      </c>
      <c r="AP346" s="235"/>
      <c r="AQ346" s="3"/>
      <c r="AR346" s="3"/>
      <c r="AS346" s="3"/>
      <c r="AT346" s="3"/>
      <c r="AU346" s="235"/>
      <c r="AV346" s="360">
        <f t="shared" si="43"/>
        <v>3924675.7519118711</v>
      </c>
      <c r="AW346" s="235"/>
      <c r="AX346" s="354"/>
      <c r="AY346" s="14"/>
      <c r="AZ346" s="14">
        <f t="shared" si="45"/>
        <v>13634.279059294066</v>
      </c>
      <c r="BA346" s="14">
        <f t="shared" si="44"/>
        <v>0.13159773615715586</v>
      </c>
      <c r="BB346" s="14">
        <f t="shared" si="33"/>
        <v>103605.72649222337</v>
      </c>
      <c r="BC346" s="14"/>
      <c r="BD346" s="14"/>
      <c r="BE346" s="14"/>
      <c r="BF346" s="14"/>
      <c r="BG346" s="14"/>
      <c r="BH346" s="14"/>
      <c r="BI346" s="14"/>
      <c r="BJ346" s="14"/>
      <c r="BK346" s="14"/>
      <c r="BL346" s="14"/>
      <c r="BM346" s="14"/>
      <c r="BN346" s="14"/>
      <c r="BO346" s="14"/>
      <c r="BP346" s="14"/>
      <c r="BQ346" s="14"/>
      <c r="BR346" s="14"/>
      <c r="BS346" s="14"/>
      <c r="BT346" s="14"/>
      <c r="BU346" s="14"/>
      <c r="BV346" s="14"/>
      <c r="BW346" s="14"/>
      <c r="BX346" s="14"/>
      <c r="BY346" s="14"/>
      <c r="BZ346" s="14"/>
      <c r="CA346" s="14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</row>
    <row r="347" spans="1:101" ht="14.25" customHeight="1" x14ac:dyDescent="0.2">
      <c r="A347" s="328"/>
      <c r="B347" s="52">
        <v>0.15990560406034326</v>
      </c>
      <c r="C347" s="330">
        <v>0.914864031192829</v>
      </c>
      <c r="D347" s="330">
        <v>2.7437275766467484E-2</v>
      </c>
      <c r="E347" s="330">
        <v>8.7405432497203346E-3</v>
      </c>
      <c r="F347" s="331">
        <v>0.76020138093343037</v>
      </c>
      <c r="G347" s="94">
        <v>0.3709438020018157</v>
      </c>
      <c r="H347" s="330">
        <v>0.24417323998893931</v>
      </c>
      <c r="I347" s="330">
        <v>4.2884244810192771E-4</v>
      </c>
      <c r="J347" s="330">
        <v>0.99999860005864427</v>
      </c>
      <c r="K347" s="330">
        <v>0.78449780406626668</v>
      </c>
      <c r="L347" s="332">
        <v>10154.0286000703</v>
      </c>
      <c r="M347" s="330">
        <v>0</v>
      </c>
      <c r="N347" s="330">
        <v>17694.500829454042</v>
      </c>
      <c r="O347" s="330">
        <v>1038.0262639205705</v>
      </c>
      <c r="P347" s="330">
        <v>59101.650057915685</v>
      </c>
      <c r="Q347" s="333">
        <v>69100.184761165481</v>
      </c>
      <c r="R347" s="330">
        <v>22468.408188533733</v>
      </c>
      <c r="S347" s="330">
        <v>13684.055247632965</v>
      </c>
      <c r="T347" s="332">
        <v>0.55951444342072676</v>
      </c>
      <c r="U347" s="330">
        <v>0.99982132999096929</v>
      </c>
      <c r="V347" s="330">
        <v>0.68252809083713895</v>
      </c>
      <c r="W347" s="330">
        <v>0.99931360911907596</v>
      </c>
      <c r="X347" s="330">
        <v>0.15098862707428115</v>
      </c>
      <c r="Y347" s="330">
        <v>0</v>
      </c>
      <c r="Z347" s="331">
        <v>0</v>
      </c>
      <c r="AA347" s="235"/>
      <c r="AB347" s="52">
        <v>125546.18492994169</v>
      </c>
      <c r="AC347" s="330">
        <v>0.90985170803705251</v>
      </c>
      <c r="AD347" s="330">
        <v>117646.68322667087</v>
      </c>
      <c r="AE347" s="330">
        <v>0.85394450245829978</v>
      </c>
      <c r="AF347" s="330">
        <v>7899.5017032708274</v>
      </c>
      <c r="AG347" s="331">
        <v>5.5907205578752728E-2</v>
      </c>
      <c r="AH347" s="235"/>
      <c r="AI347" s="208">
        <f t="shared" si="40"/>
        <v>738812.93770525826</v>
      </c>
      <c r="AJ347" s="208">
        <f t="shared" si="41"/>
        <v>693600.59410871391</v>
      </c>
      <c r="AK347" s="208">
        <f t="shared" si="42"/>
        <v>45212.343596544262</v>
      </c>
      <c r="AL347" s="235"/>
      <c r="AM347" s="52">
        <f t="shared" si="30"/>
        <v>1</v>
      </c>
      <c r="AN347" s="52">
        <f t="shared" si="31"/>
        <v>0</v>
      </c>
      <c r="AO347" s="52">
        <f t="shared" si="32"/>
        <v>1</v>
      </c>
      <c r="AP347" s="235"/>
      <c r="AQ347" s="3"/>
      <c r="AR347" s="3"/>
      <c r="AS347" s="3"/>
      <c r="AT347" s="3"/>
      <c r="AU347" s="235"/>
      <c r="AV347" s="360">
        <f t="shared" si="43"/>
        <v>738812.93770525826</v>
      </c>
      <c r="AW347" s="235"/>
      <c r="AX347" s="354"/>
      <c r="AY347" s="14"/>
      <c r="AZ347" s="14">
        <f t="shared" si="45"/>
        <v>7899.5017032708274</v>
      </c>
      <c r="BA347" s="14">
        <f t="shared" si="44"/>
        <v>5.5907205578752728E-2</v>
      </c>
      <c r="BB347" s="14">
        <f t="shared" si="33"/>
        <v>141296.66509880073</v>
      </c>
      <c r="BC347" s="14"/>
      <c r="BD347" s="14"/>
      <c r="BE347" s="14"/>
      <c r="BF347" s="14"/>
      <c r="BG347" s="14"/>
      <c r="BH347" s="14"/>
      <c r="BI347" s="14"/>
      <c r="BJ347" s="14"/>
      <c r="BK347" s="14"/>
      <c r="BL347" s="14"/>
      <c r="BM347" s="14"/>
      <c r="BN347" s="14"/>
      <c r="BO347" s="14"/>
      <c r="BP347" s="14"/>
      <c r="BQ347" s="14"/>
      <c r="BR347" s="14"/>
      <c r="BS347" s="14"/>
      <c r="BT347" s="14"/>
      <c r="BU347" s="14"/>
      <c r="BV347" s="14"/>
      <c r="BW347" s="14"/>
      <c r="BX347" s="14"/>
      <c r="BY347" s="14"/>
      <c r="BZ347" s="14"/>
      <c r="CA347" s="14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</row>
    <row r="348" spans="1:101" ht="14.25" customHeight="1" x14ac:dyDescent="0.2">
      <c r="A348" s="328"/>
      <c r="B348" s="52">
        <v>0.15915616499935148</v>
      </c>
      <c r="C348" s="330">
        <v>0.70030086078451881</v>
      </c>
      <c r="D348" s="330">
        <v>2.0510828654245694E-2</v>
      </c>
      <c r="E348" s="330">
        <v>1.3894439969993179E-2</v>
      </c>
      <c r="F348" s="331">
        <v>0.81307369574434252</v>
      </c>
      <c r="G348" s="94">
        <v>0.39960325027318649</v>
      </c>
      <c r="H348" s="330">
        <v>0.66827769821210259</v>
      </c>
      <c r="I348" s="330">
        <v>2.3186100172542745E-2</v>
      </c>
      <c r="J348" s="330">
        <v>1</v>
      </c>
      <c r="K348" s="330">
        <v>0.73640094254360433</v>
      </c>
      <c r="L348" s="332">
        <v>19982.97568753954</v>
      </c>
      <c r="M348" s="330">
        <v>0</v>
      </c>
      <c r="N348" s="330">
        <v>18553.431220890361</v>
      </c>
      <c r="O348" s="330">
        <v>1995.7413010305693</v>
      </c>
      <c r="P348" s="330">
        <v>43393.629497125417</v>
      </c>
      <c r="Q348" s="333">
        <v>118681.24306125181</v>
      </c>
      <c r="R348" s="330">
        <v>21887.248737501683</v>
      </c>
      <c r="S348" s="330">
        <v>8466.8218433242146</v>
      </c>
      <c r="T348" s="332">
        <v>0.98113095570380693</v>
      </c>
      <c r="U348" s="330">
        <v>0.32051943878420192</v>
      </c>
      <c r="V348" s="330">
        <v>9.2009271394901795E-2</v>
      </c>
      <c r="W348" s="330">
        <v>1.1184550894244801E-2</v>
      </c>
      <c r="X348" s="330">
        <v>0.50303843627978284</v>
      </c>
      <c r="Y348" s="330">
        <v>0</v>
      </c>
      <c r="Z348" s="331">
        <v>0</v>
      </c>
      <c r="AA348" s="235"/>
      <c r="AB348" s="52">
        <v>97005.744553122844</v>
      </c>
      <c r="AC348" s="330">
        <v>2.4878434659338473</v>
      </c>
      <c r="AD348" s="330">
        <v>75231.429385771058</v>
      </c>
      <c r="AE348" s="330">
        <v>2.2380633240191865</v>
      </c>
      <c r="AF348" s="330">
        <v>21774.315167351786</v>
      </c>
      <c r="AG348" s="331">
        <v>0.2497801419146608</v>
      </c>
      <c r="AH348" s="235"/>
      <c r="AI348" s="208">
        <f t="shared" si="40"/>
        <v>2266445.5480840323</v>
      </c>
      <c r="AJ348" s="208">
        <f t="shared" si="41"/>
        <v>2050928.728432456</v>
      </c>
      <c r="AK348" s="208">
        <f t="shared" si="42"/>
        <v>215516.81965157599</v>
      </c>
      <c r="AL348" s="235"/>
      <c r="AM348" s="52">
        <f t="shared" si="30"/>
        <v>1</v>
      </c>
      <c r="AN348" s="52">
        <f t="shared" si="31"/>
        <v>0</v>
      </c>
      <c r="AO348" s="52">
        <f t="shared" si="32"/>
        <v>1</v>
      </c>
      <c r="AP348" s="235"/>
      <c r="AQ348" s="3"/>
      <c r="AR348" s="3"/>
      <c r="AS348" s="3"/>
      <c r="AT348" s="3"/>
      <c r="AU348" s="235"/>
      <c r="AV348" s="360">
        <f t="shared" si="43"/>
        <v>2266445.5480840323</v>
      </c>
      <c r="AW348" s="235"/>
      <c r="AX348" s="354"/>
      <c r="AY348" s="14"/>
      <c r="AZ348" s="14">
        <f t="shared" si="45"/>
        <v>21774.315167351786</v>
      </c>
      <c r="BA348" s="14">
        <f t="shared" si="44"/>
        <v>0.2497801419146608</v>
      </c>
      <c r="BB348" s="14">
        <f t="shared" si="33"/>
        <v>87173.924237704763</v>
      </c>
      <c r="BC348" s="14"/>
      <c r="BD348" s="14"/>
      <c r="BE348" s="14"/>
      <c r="BF348" s="14"/>
      <c r="BG348" s="14"/>
      <c r="BH348" s="14"/>
      <c r="BI348" s="14"/>
      <c r="BJ348" s="14"/>
      <c r="BK348" s="14"/>
      <c r="BL348" s="14"/>
      <c r="BM348" s="14"/>
      <c r="BN348" s="14"/>
      <c r="BO348" s="14"/>
      <c r="BP348" s="14"/>
      <c r="BQ348" s="14"/>
      <c r="BR348" s="14"/>
      <c r="BS348" s="14"/>
      <c r="BT348" s="14"/>
      <c r="BU348" s="14"/>
      <c r="BV348" s="14"/>
      <c r="BW348" s="14"/>
      <c r="BX348" s="14"/>
      <c r="BY348" s="14"/>
      <c r="BZ348" s="14"/>
      <c r="CA348" s="14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</row>
    <row r="349" spans="1:101" ht="14.25" customHeight="1" x14ac:dyDescent="0.2">
      <c r="A349" s="328"/>
      <c r="B349" s="52">
        <v>0.17511634238441554</v>
      </c>
      <c r="C349" s="330">
        <v>1.4831459832814576E-2</v>
      </c>
      <c r="D349" s="330">
        <v>1.4388506277744316E-2</v>
      </c>
      <c r="E349" s="330">
        <v>1.369453170944453E-2</v>
      </c>
      <c r="F349" s="331">
        <v>0.76852170780237783</v>
      </c>
      <c r="G349" s="94">
        <v>0.4344715723971474</v>
      </c>
      <c r="H349" s="330">
        <v>0.2955907925186706</v>
      </c>
      <c r="I349" s="330">
        <v>2.1722137352013449E-2</v>
      </c>
      <c r="J349" s="330">
        <v>1</v>
      </c>
      <c r="K349" s="330">
        <v>0.76717014844494924</v>
      </c>
      <c r="L349" s="332">
        <v>18755.710088501961</v>
      </c>
      <c r="M349" s="330">
        <v>0</v>
      </c>
      <c r="N349" s="330">
        <v>16686.551216889784</v>
      </c>
      <c r="O349" s="330">
        <v>1421.8920219828472</v>
      </c>
      <c r="P349" s="330">
        <v>53492.153293863405</v>
      </c>
      <c r="Q349" s="333">
        <v>88498.012947531504</v>
      </c>
      <c r="R349" s="330">
        <v>25856.396111858205</v>
      </c>
      <c r="S349" s="330">
        <v>8148.5899507234008</v>
      </c>
      <c r="T349" s="332">
        <v>0.18085205939903359</v>
      </c>
      <c r="U349" s="330">
        <v>0.93409731238995752</v>
      </c>
      <c r="V349" s="330">
        <v>0.97029463813963168</v>
      </c>
      <c r="W349" s="330">
        <v>0.98704199884275601</v>
      </c>
      <c r="X349" s="330">
        <v>0.99903156472198185</v>
      </c>
      <c r="Y349" s="330">
        <v>0</v>
      </c>
      <c r="Z349" s="331">
        <v>0</v>
      </c>
      <c r="AA349" s="235"/>
      <c r="AB349" s="52">
        <v>86500.190514334536</v>
      </c>
      <c r="AC349" s="330">
        <v>4.7192797704929816</v>
      </c>
      <c r="AD349" s="330">
        <v>72452.159387345542</v>
      </c>
      <c r="AE349" s="330">
        <v>4.7313122409924828</v>
      </c>
      <c r="AF349" s="330">
        <v>14048.031126988993</v>
      </c>
      <c r="AG349" s="331">
        <v>-1.203247049950118E-2</v>
      </c>
      <c r="AH349" s="235"/>
      <c r="AI349" s="208">
        <f t="shared" si="40"/>
        <v>4396815.5914539983</v>
      </c>
      <c r="AJ349" s="208">
        <f t="shared" si="41"/>
        <v>4422294.469555513</v>
      </c>
      <c r="AK349" s="208">
        <f t="shared" si="42"/>
        <v>-25478.878101515114</v>
      </c>
      <c r="AL349" s="235"/>
      <c r="AM349" s="52">
        <f t="shared" si="30"/>
        <v>0</v>
      </c>
      <c r="AN349" s="52">
        <f t="shared" si="31"/>
        <v>1</v>
      </c>
      <c r="AO349" s="52">
        <f t="shared" si="32"/>
        <v>0</v>
      </c>
      <c r="AP349" s="235"/>
      <c r="AQ349" s="3"/>
      <c r="AR349" s="3"/>
      <c r="AS349" s="3"/>
      <c r="AT349" s="3"/>
      <c r="AU349" s="235"/>
      <c r="AV349" s="360">
        <f t="shared" si="43"/>
        <v>4422294.469555513</v>
      </c>
      <c r="AW349" s="235"/>
      <c r="AX349" s="354"/>
      <c r="AY349" s="14"/>
      <c r="AZ349" s="14">
        <f t="shared" si="45"/>
        <v>14048.031126988993</v>
      </c>
      <c r="BA349" s="14">
        <f t="shared" si="44"/>
        <v>-1.203247049950118E-2</v>
      </c>
      <c r="BB349" s="14">
        <f t="shared" si="33"/>
        <v>-1167510.1241736992</v>
      </c>
      <c r="BC349" s="14"/>
      <c r="BD349" s="14"/>
      <c r="BE349" s="14"/>
      <c r="BF349" s="14"/>
      <c r="BG349" s="14"/>
      <c r="BH349" s="14"/>
      <c r="BI349" s="14"/>
      <c r="BJ349" s="14"/>
      <c r="BK349" s="14"/>
      <c r="BL349" s="14"/>
      <c r="BM349" s="14"/>
      <c r="BN349" s="14"/>
      <c r="BO349" s="14"/>
      <c r="BP349" s="14"/>
      <c r="BQ349" s="14"/>
      <c r="BR349" s="14"/>
      <c r="BS349" s="14"/>
      <c r="BT349" s="14"/>
      <c r="BU349" s="14"/>
      <c r="BV349" s="14"/>
      <c r="BW349" s="14"/>
      <c r="BX349" s="14"/>
      <c r="BY349" s="14"/>
      <c r="BZ349" s="14"/>
      <c r="CA349" s="14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</row>
    <row r="350" spans="1:101" ht="14.25" customHeight="1" x14ac:dyDescent="0.2">
      <c r="A350" s="328"/>
      <c r="B350" s="52">
        <v>0.22919802632108055</v>
      </c>
      <c r="C350" s="330">
        <v>0.29514851241258577</v>
      </c>
      <c r="D350" s="330">
        <v>3.297121718967333E-2</v>
      </c>
      <c r="E350" s="330">
        <v>1.4631638325758423E-2</v>
      </c>
      <c r="F350" s="331">
        <v>0.79255795103343818</v>
      </c>
      <c r="G350" s="94">
        <v>0.41609232620873537</v>
      </c>
      <c r="H350" s="330">
        <v>0.44590051543069614</v>
      </c>
      <c r="I350" s="330">
        <v>1.2139045330721231E-2</v>
      </c>
      <c r="J350" s="330">
        <v>1</v>
      </c>
      <c r="K350" s="330">
        <v>0.76798522927257007</v>
      </c>
      <c r="L350" s="332">
        <v>10789.686018041346</v>
      </c>
      <c r="M350" s="330">
        <v>0</v>
      </c>
      <c r="N350" s="330">
        <v>19776.238514030552</v>
      </c>
      <c r="O350" s="330">
        <v>932.28591804575603</v>
      </c>
      <c r="P350" s="330">
        <v>46569.753843434672</v>
      </c>
      <c r="Q350" s="333">
        <v>103265.20668704355</v>
      </c>
      <c r="R350" s="330">
        <v>18940.555509311373</v>
      </c>
      <c r="S350" s="330">
        <v>7785.9311975282517</v>
      </c>
      <c r="T350" s="332">
        <v>0.77498053199602812</v>
      </c>
      <c r="U350" s="330">
        <v>0.93419923387359372</v>
      </c>
      <c r="V350" s="330">
        <v>0.12472562054839656</v>
      </c>
      <c r="W350" s="330">
        <v>0.99995277573481745</v>
      </c>
      <c r="X350" s="330">
        <v>0.98053105006313834</v>
      </c>
      <c r="Y350" s="330">
        <v>0</v>
      </c>
      <c r="Z350" s="331">
        <v>0</v>
      </c>
      <c r="AA350" s="235"/>
      <c r="AB350" s="52">
        <v>79292.649107293153</v>
      </c>
      <c r="AC350" s="330">
        <v>4.6987952507584385</v>
      </c>
      <c r="AD350" s="330">
        <v>68911.530097125156</v>
      </c>
      <c r="AE350" s="330">
        <v>4.8428390284283651</v>
      </c>
      <c r="AF350" s="330">
        <v>10381.119010167997</v>
      </c>
      <c r="AG350" s="331">
        <v>-0.1440437776699266</v>
      </c>
      <c r="AH350" s="235"/>
      <c r="AI350" s="208">
        <f t="shared" si="40"/>
        <v>4384562.8391132234</v>
      </c>
      <c r="AJ350" s="208">
        <f t="shared" si="41"/>
        <v>4531785.5469098222</v>
      </c>
      <c r="AK350" s="208">
        <f t="shared" si="42"/>
        <v>-147222.70779659826</v>
      </c>
      <c r="AL350" s="235"/>
      <c r="AM350" s="52">
        <f t="shared" si="30"/>
        <v>0</v>
      </c>
      <c r="AN350" s="52">
        <f t="shared" si="31"/>
        <v>1</v>
      </c>
      <c r="AO350" s="52">
        <f t="shared" si="32"/>
        <v>0</v>
      </c>
      <c r="AP350" s="235"/>
      <c r="AQ350" s="3"/>
      <c r="AR350" s="3"/>
      <c r="AS350" s="3"/>
      <c r="AT350" s="3"/>
      <c r="AU350" s="235"/>
      <c r="AV350" s="360">
        <f t="shared" si="43"/>
        <v>4531785.5469098222</v>
      </c>
      <c r="AW350" s="235"/>
      <c r="AX350" s="354"/>
      <c r="AY350" s="14"/>
      <c r="AZ350" s="14">
        <f t="shared" si="45"/>
        <v>10381.119010167997</v>
      </c>
      <c r="BA350" s="14">
        <f t="shared" si="44"/>
        <v>-0.1440437776699266</v>
      </c>
      <c r="BB350" s="14">
        <f t="shared" si="33"/>
        <v>-72069.194366424636</v>
      </c>
      <c r="BC350" s="14"/>
      <c r="BD350" s="14"/>
      <c r="BE350" s="14"/>
      <c r="BF350" s="14"/>
      <c r="BG350" s="14"/>
      <c r="BH350" s="14"/>
      <c r="BI350" s="14"/>
      <c r="BJ350" s="14"/>
      <c r="BK350" s="14"/>
      <c r="BL350" s="14"/>
      <c r="BM350" s="14"/>
      <c r="BN350" s="14"/>
      <c r="BO350" s="14"/>
      <c r="BP350" s="14"/>
      <c r="BQ350" s="14"/>
      <c r="BR350" s="14"/>
      <c r="BS350" s="14"/>
      <c r="BT350" s="14"/>
      <c r="BU350" s="14"/>
      <c r="BV350" s="14"/>
      <c r="BW350" s="14"/>
      <c r="BX350" s="14"/>
      <c r="BY350" s="14"/>
      <c r="BZ350" s="14"/>
      <c r="CA350" s="14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</row>
    <row r="351" spans="1:101" ht="14.25" customHeight="1" x14ac:dyDescent="0.2">
      <c r="A351" s="328"/>
      <c r="B351" s="52">
        <v>0.15480847504194262</v>
      </c>
      <c r="C351" s="330">
        <v>0.3403469404490842</v>
      </c>
      <c r="D351" s="330">
        <v>2.7508533911087985E-2</v>
      </c>
      <c r="E351" s="330">
        <v>2.3101430082216989E-2</v>
      </c>
      <c r="F351" s="331">
        <v>0.7705521320569293</v>
      </c>
      <c r="G351" s="94">
        <v>0.39971857224013929</v>
      </c>
      <c r="H351" s="330">
        <v>0.72032786130361615</v>
      </c>
      <c r="I351" s="330">
        <v>1.304491387993325E-2</v>
      </c>
      <c r="J351" s="330">
        <v>0.29428027327646727</v>
      </c>
      <c r="K351" s="330">
        <v>0.72473815501091288</v>
      </c>
      <c r="L351" s="332">
        <v>8585.4891377237891</v>
      </c>
      <c r="M351" s="330">
        <v>0</v>
      </c>
      <c r="N351" s="330">
        <v>20909.003307908013</v>
      </c>
      <c r="O351" s="330">
        <v>976.26435499385059</v>
      </c>
      <c r="P351" s="330">
        <v>53466.817356093648</v>
      </c>
      <c r="Q351" s="333">
        <v>100073.46187038829</v>
      </c>
      <c r="R351" s="330">
        <v>23051.488530631916</v>
      </c>
      <c r="S351" s="330">
        <v>7738.8637408633531</v>
      </c>
      <c r="T351" s="332">
        <v>0.99248323501496816</v>
      </c>
      <c r="U351" s="330">
        <v>0.94909159891990724</v>
      </c>
      <c r="V351" s="330">
        <v>0.54647033219040597</v>
      </c>
      <c r="W351" s="330">
        <v>0.33982393276606332</v>
      </c>
      <c r="X351" s="330">
        <v>0.77610548654434752</v>
      </c>
      <c r="Y351" s="330">
        <v>0</v>
      </c>
      <c r="Z351" s="331">
        <v>0</v>
      </c>
      <c r="AA351" s="235"/>
      <c r="AB351" s="52">
        <v>74377.115222685024</v>
      </c>
      <c r="AC351" s="330">
        <v>3.612989486132121</v>
      </c>
      <c r="AD351" s="330">
        <v>67805.395057457179</v>
      </c>
      <c r="AE351" s="330">
        <v>3.5025967010770902</v>
      </c>
      <c r="AF351" s="330">
        <v>6571.7201652278454</v>
      </c>
      <c r="AG351" s="331">
        <v>0.11039278505503081</v>
      </c>
      <c r="AH351" s="235"/>
      <c r="AI351" s="208">
        <f t="shared" si="40"/>
        <v>3357962.8966028299</v>
      </c>
      <c r="AJ351" s="208">
        <f t="shared" si="41"/>
        <v>3259661.4709657785</v>
      </c>
      <c r="AK351" s="208">
        <f t="shared" si="42"/>
        <v>98301.425637051419</v>
      </c>
      <c r="AL351" s="235"/>
      <c r="AM351" s="52">
        <f t="shared" si="30"/>
        <v>1</v>
      </c>
      <c r="AN351" s="52">
        <f t="shared" si="31"/>
        <v>0</v>
      </c>
      <c r="AO351" s="52">
        <f t="shared" si="32"/>
        <v>1</v>
      </c>
      <c r="AP351" s="235"/>
      <c r="AQ351" s="3"/>
      <c r="AR351" s="3"/>
      <c r="AS351" s="3"/>
      <c r="AT351" s="3"/>
      <c r="AU351" s="235"/>
      <c r="AV351" s="360">
        <f t="shared" si="43"/>
        <v>3357962.8966028299</v>
      </c>
      <c r="AW351" s="235"/>
      <c r="AX351" s="354"/>
      <c r="AY351" s="14"/>
      <c r="AZ351" s="14">
        <f t="shared" si="45"/>
        <v>6571.7201652278454</v>
      </c>
      <c r="BA351" s="14">
        <f t="shared" si="44"/>
        <v>0.11039278505503081</v>
      </c>
      <c r="BB351" s="14">
        <f t="shared" si="33"/>
        <v>59530.341244238407</v>
      </c>
      <c r="BC351" s="14"/>
      <c r="BD351" s="14"/>
      <c r="BE351" s="14"/>
      <c r="BF351" s="14"/>
      <c r="BG351" s="14"/>
      <c r="BH351" s="14"/>
      <c r="BI351" s="14"/>
      <c r="BJ351" s="14"/>
      <c r="BK351" s="14"/>
      <c r="BL351" s="14"/>
      <c r="BM351" s="14"/>
      <c r="BN351" s="14"/>
      <c r="BO351" s="14"/>
      <c r="BP351" s="14"/>
      <c r="BQ351" s="14"/>
      <c r="BR351" s="14"/>
      <c r="BS351" s="14"/>
      <c r="BT351" s="14"/>
      <c r="BU351" s="14"/>
      <c r="BV351" s="14"/>
      <c r="BW351" s="14"/>
      <c r="BX351" s="14"/>
      <c r="BY351" s="14"/>
      <c r="BZ351" s="14"/>
      <c r="CA351" s="14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</row>
    <row r="352" spans="1:101" ht="14.25" customHeight="1" x14ac:dyDescent="0.2">
      <c r="A352" s="328"/>
      <c r="B352" s="52">
        <v>0.13020432104506396</v>
      </c>
      <c r="C352" s="330">
        <v>0.11428075872716534</v>
      </c>
      <c r="D352" s="330">
        <v>9.8543817583248532E-3</v>
      </c>
      <c r="E352" s="330">
        <v>1.5129898761427289E-3</v>
      </c>
      <c r="F352" s="331">
        <v>0.81074908100684062</v>
      </c>
      <c r="G352" s="94">
        <v>0.36042727754548243</v>
      </c>
      <c r="H352" s="330">
        <v>0.47431736228187887</v>
      </c>
      <c r="I352" s="330">
        <v>1.8018912067251813E-2</v>
      </c>
      <c r="J352" s="330">
        <v>0.98934899758173955</v>
      </c>
      <c r="K352" s="330">
        <v>0.74529943560037015</v>
      </c>
      <c r="L352" s="332">
        <v>11945.949610235713</v>
      </c>
      <c r="M352" s="330">
        <v>0</v>
      </c>
      <c r="N352" s="330">
        <v>30667.8214385178</v>
      </c>
      <c r="O352" s="330">
        <v>1070.7047999670142</v>
      </c>
      <c r="P352" s="330">
        <v>40533.753206636335</v>
      </c>
      <c r="Q352" s="333">
        <v>133869.54010218222</v>
      </c>
      <c r="R352" s="330">
        <v>20643.93360390242</v>
      </c>
      <c r="S352" s="330">
        <v>8886.1393538967313</v>
      </c>
      <c r="T352" s="332">
        <v>0.99999999990864263</v>
      </c>
      <c r="U352" s="330">
        <v>0.74574617015778388</v>
      </c>
      <c r="V352" s="330">
        <v>0.68793474598547977</v>
      </c>
      <c r="W352" s="330">
        <v>0.96480462152767621</v>
      </c>
      <c r="X352" s="330">
        <v>0.32864804287000149</v>
      </c>
      <c r="Y352" s="330">
        <v>0</v>
      </c>
      <c r="Z352" s="331">
        <v>0</v>
      </c>
      <c r="AA352" s="235"/>
      <c r="AB352" s="52">
        <v>89876.83974372223</v>
      </c>
      <c r="AC352" s="330">
        <v>1.7852544901542555</v>
      </c>
      <c r="AD352" s="330">
        <v>76264.944448563343</v>
      </c>
      <c r="AE352" s="330">
        <v>1.7520185622801174</v>
      </c>
      <c r="AF352" s="330">
        <v>13611.895295158887</v>
      </c>
      <c r="AG352" s="331">
        <v>3.3235927874138094E-2</v>
      </c>
      <c r="AH352" s="235"/>
      <c r="AI352" s="208">
        <f t="shared" si="40"/>
        <v>1606114.9259028204</v>
      </c>
      <c r="AJ352" s="208">
        <f t="shared" si="41"/>
        <v>1588152.6897175482</v>
      </c>
      <c r="AK352" s="208">
        <f t="shared" si="42"/>
        <v>17962.236185272301</v>
      </c>
      <c r="AL352" s="235"/>
      <c r="AM352" s="52">
        <f t="shared" si="30"/>
        <v>1</v>
      </c>
      <c r="AN352" s="52">
        <f t="shared" si="31"/>
        <v>0</v>
      </c>
      <c r="AO352" s="52">
        <f t="shared" si="32"/>
        <v>1</v>
      </c>
      <c r="AP352" s="235"/>
      <c r="AQ352" s="3"/>
      <c r="AR352" s="3"/>
      <c r="AS352" s="3"/>
      <c r="AT352" s="3"/>
      <c r="AU352" s="235"/>
      <c r="AV352" s="360">
        <f t="shared" si="43"/>
        <v>1606114.9259028204</v>
      </c>
      <c r="AW352" s="235"/>
      <c r="AX352" s="354"/>
      <c r="AY352" s="14"/>
      <c r="AZ352" s="14">
        <f t="shared" si="45"/>
        <v>13611.895295158887</v>
      </c>
      <c r="BA352" s="14">
        <f t="shared" si="44"/>
        <v>3.3235927874138094E-2</v>
      </c>
      <c r="BB352" s="14">
        <f t="shared" si="33"/>
        <v>409553.64167072723</v>
      </c>
      <c r="BC352" s="14"/>
      <c r="BD352" s="14"/>
      <c r="BE352" s="14"/>
      <c r="BF352" s="14"/>
      <c r="BG352" s="14"/>
      <c r="BH352" s="14"/>
      <c r="BI352" s="14"/>
      <c r="BJ352" s="14"/>
      <c r="BK352" s="14"/>
      <c r="BL352" s="14"/>
      <c r="BM352" s="14"/>
      <c r="BN352" s="14"/>
      <c r="BO352" s="14"/>
      <c r="BP352" s="14"/>
      <c r="BQ352" s="14"/>
      <c r="BR352" s="14"/>
      <c r="BS352" s="14"/>
      <c r="BT352" s="14"/>
      <c r="BU352" s="14"/>
      <c r="BV352" s="14"/>
      <c r="BW352" s="14"/>
      <c r="BX352" s="14"/>
      <c r="BY352" s="14"/>
      <c r="BZ352" s="14"/>
      <c r="CA352" s="14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</row>
    <row r="353" spans="1:101" ht="14.25" customHeight="1" x14ac:dyDescent="0.2">
      <c r="A353" s="328"/>
      <c r="B353" s="52">
        <v>0.14780464936214655</v>
      </c>
      <c r="C353" s="330">
        <v>8.8767698430755271E-2</v>
      </c>
      <c r="D353" s="330">
        <v>2.5894552407371929E-2</v>
      </c>
      <c r="E353" s="330">
        <v>1.4294410656654053E-2</v>
      </c>
      <c r="F353" s="331">
        <v>0.80691361782881654</v>
      </c>
      <c r="G353" s="94">
        <v>0.43246921178473485</v>
      </c>
      <c r="H353" s="330">
        <v>0.19771145663098288</v>
      </c>
      <c r="I353" s="330">
        <v>3.5979884106803306E-2</v>
      </c>
      <c r="J353" s="330">
        <v>0.99115292473688132</v>
      </c>
      <c r="K353" s="330">
        <v>0.7514593730618736</v>
      </c>
      <c r="L353" s="332">
        <v>15952.110370175977</v>
      </c>
      <c r="M353" s="330">
        <v>0</v>
      </c>
      <c r="N353" s="330">
        <v>20050.247345022417</v>
      </c>
      <c r="O353" s="330">
        <v>1424.2528467899274</v>
      </c>
      <c r="P353" s="330">
        <v>48524.004632765573</v>
      </c>
      <c r="Q353" s="333">
        <v>141766.07694867515</v>
      </c>
      <c r="R353" s="330">
        <v>16796.871257439921</v>
      </c>
      <c r="S353" s="330">
        <v>8902.4787907614736</v>
      </c>
      <c r="T353" s="332">
        <v>0.97822230321473014</v>
      </c>
      <c r="U353" s="330">
        <v>0.54315416006540529</v>
      </c>
      <c r="V353" s="330">
        <v>0.97964197908636641</v>
      </c>
      <c r="W353" s="330">
        <v>0.51500387248193957</v>
      </c>
      <c r="X353" s="330">
        <v>0.93261485632177243</v>
      </c>
      <c r="Y353" s="330">
        <v>0</v>
      </c>
      <c r="Z353" s="331">
        <v>0</v>
      </c>
      <c r="AA353" s="235"/>
      <c r="AB353" s="52">
        <v>94017.475633722977</v>
      </c>
      <c r="AC353" s="330">
        <v>4.8633594404113198</v>
      </c>
      <c r="AD353" s="330">
        <v>77077.508862333838</v>
      </c>
      <c r="AE353" s="330">
        <v>4.2984155615999642</v>
      </c>
      <c r="AF353" s="330">
        <v>16939.966771389139</v>
      </c>
      <c r="AG353" s="331">
        <v>0.56494387881135566</v>
      </c>
      <c r="AH353" s="235"/>
      <c r="AI353" s="208">
        <f t="shared" si="40"/>
        <v>4526173.9927570308</v>
      </c>
      <c r="AJ353" s="208">
        <f t="shared" si="41"/>
        <v>4006417.2746576322</v>
      </c>
      <c r="AK353" s="208">
        <f t="shared" si="42"/>
        <v>519756.71809939877</v>
      </c>
      <c r="AL353" s="235"/>
      <c r="AM353" s="52">
        <f t="shared" si="30"/>
        <v>1</v>
      </c>
      <c r="AN353" s="52">
        <f t="shared" si="31"/>
        <v>0</v>
      </c>
      <c r="AO353" s="52">
        <f t="shared" si="32"/>
        <v>1</v>
      </c>
      <c r="AP353" s="235"/>
      <c r="AQ353" s="3"/>
      <c r="AR353" s="3"/>
      <c r="AS353" s="3"/>
      <c r="AT353" s="3"/>
      <c r="AU353" s="235"/>
      <c r="AV353" s="360">
        <f t="shared" si="43"/>
        <v>4526173.9927570308</v>
      </c>
      <c r="AW353" s="235"/>
      <c r="AX353" s="354"/>
      <c r="AY353" s="14"/>
      <c r="AZ353" s="14">
        <f t="shared" si="45"/>
        <v>16939.966771389139</v>
      </c>
      <c r="BA353" s="14">
        <f t="shared" si="44"/>
        <v>0.56494387881135566</v>
      </c>
      <c r="BB353" s="14">
        <f t="shared" si="33"/>
        <v>29985.220491336062</v>
      </c>
      <c r="BC353" s="14"/>
      <c r="BD353" s="14"/>
      <c r="BE353" s="14"/>
      <c r="BF353" s="14"/>
      <c r="BG353" s="14"/>
      <c r="BH353" s="14"/>
      <c r="BI353" s="14"/>
      <c r="BJ353" s="14"/>
      <c r="BK353" s="14"/>
      <c r="BL353" s="14"/>
      <c r="BM353" s="14"/>
      <c r="BN353" s="14"/>
      <c r="BO353" s="14"/>
      <c r="BP353" s="14"/>
      <c r="BQ353" s="14"/>
      <c r="BR353" s="14"/>
      <c r="BS353" s="14"/>
      <c r="BT353" s="14"/>
      <c r="BU353" s="14"/>
      <c r="BV353" s="14"/>
      <c r="BW353" s="14"/>
      <c r="BX353" s="14"/>
      <c r="BY353" s="14"/>
      <c r="BZ353" s="14"/>
      <c r="CA353" s="14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</row>
    <row r="354" spans="1:101" ht="14.25" customHeight="1" x14ac:dyDescent="0.2">
      <c r="A354" s="328"/>
      <c r="B354" s="52">
        <v>0.14411784840660338</v>
      </c>
      <c r="C354" s="330">
        <v>0.71742348548718859</v>
      </c>
      <c r="D354" s="330">
        <v>1.5650358480809645E-2</v>
      </c>
      <c r="E354" s="330">
        <v>2.6201387001786425E-2</v>
      </c>
      <c r="F354" s="331">
        <v>0.84526119186024873</v>
      </c>
      <c r="G354" s="94">
        <v>0.29926506528193642</v>
      </c>
      <c r="H354" s="330">
        <v>0.57161260560184091</v>
      </c>
      <c r="I354" s="330">
        <v>1.8517584158762479E-2</v>
      </c>
      <c r="J354" s="330">
        <v>0.78061479516035004</v>
      </c>
      <c r="K354" s="330">
        <v>0.75455781900547836</v>
      </c>
      <c r="L354" s="332">
        <v>11786.98292724814</v>
      </c>
      <c r="M354" s="330">
        <v>0</v>
      </c>
      <c r="N354" s="330">
        <v>15716.11396501317</v>
      </c>
      <c r="O354" s="330">
        <v>1270.8272535656931</v>
      </c>
      <c r="P354" s="330">
        <v>42832.775979765953</v>
      </c>
      <c r="Q354" s="333">
        <v>97612.023915573736</v>
      </c>
      <c r="R354" s="330">
        <v>19587.328732180616</v>
      </c>
      <c r="S354" s="330">
        <v>9640.2533182579609</v>
      </c>
      <c r="T354" s="332">
        <v>0.95570745223534126</v>
      </c>
      <c r="U354" s="330">
        <v>0.99999978016636493</v>
      </c>
      <c r="V354" s="330">
        <v>0.87566912517363227</v>
      </c>
      <c r="W354" s="330">
        <v>0.80055352891558085</v>
      </c>
      <c r="X354" s="330">
        <v>0.35772330173961808</v>
      </c>
      <c r="Y354" s="330">
        <v>0</v>
      </c>
      <c r="Z354" s="331">
        <v>0</v>
      </c>
      <c r="AA354" s="235"/>
      <c r="AB354" s="52">
        <v>101662.73999297271</v>
      </c>
      <c r="AC354" s="330">
        <v>2.422805904053388</v>
      </c>
      <c r="AD354" s="330">
        <v>82601.387763326071</v>
      </c>
      <c r="AE354" s="330">
        <v>1.9910472671257315</v>
      </c>
      <c r="AF354" s="330">
        <v>19061.35222964664</v>
      </c>
      <c r="AG354" s="331">
        <v>0.43175863692765648</v>
      </c>
      <c r="AH354" s="235"/>
      <c r="AI354" s="208">
        <f t="shared" si="40"/>
        <v>2200002.8688577455</v>
      </c>
      <c r="AJ354" s="208">
        <f t="shared" si="41"/>
        <v>1808893.5160061189</v>
      </c>
      <c r="AK354" s="208">
        <f t="shared" si="42"/>
        <v>391109.35285162705</v>
      </c>
      <c r="AL354" s="235"/>
      <c r="AM354" s="52">
        <f t="shared" si="30"/>
        <v>1</v>
      </c>
      <c r="AN354" s="52">
        <f t="shared" si="31"/>
        <v>0</v>
      </c>
      <c r="AO354" s="52">
        <f t="shared" si="32"/>
        <v>1</v>
      </c>
      <c r="AP354" s="235"/>
      <c r="AQ354" s="3"/>
      <c r="AR354" s="3"/>
      <c r="AS354" s="3"/>
      <c r="AT354" s="3"/>
      <c r="AU354" s="235"/>
      <c r="AV354" s="360">
        <f t="shared" si="43"/>
        <v>2200002.8688577455</v>
      </c>
      <c r="AW354" s="235"/>
      <c r="AX354" s="354"/>
      <c r="AY354" s="14"/>
      <c r="AZ354" s="14">
        <f t="shared" si="45"/>
        <v>19061.35222964664</v>
      </c>
      <c r="BA354" s="14">
        <f t="shared" si="44"/>
        <v>0.43175863692765648</v>
      </c>
      <c r="BB354" s="14">
        <f t="shared" si="33"/>
        <v>44148.166589752494</v>
      </c>
      <c r="BC354" s="14"/>
      <c r="BD354" s="14"/>
      <c r="BE354" s="14"/>
      <c r="BF354" s="14"/>
      <c r="BG354" s="14"/>
      <c r="BH354" s="14"/>
      <c r="BI354" s="14"/>
      <c r="BJ354" s="14"/>
      <c r="BK354" s="14"/>
      <c r="BL354" s="14"/>
      <c r="BM354" s="14"/>
      <c r="BN354" s="14"/>
      <c r="BO354" s="14"/>
      <c r="BP354" s="14"/>
      <c r="BQ354" s="14"/>
      <c r="BR354" s="14"/>
      <c r="BS354" s="14"/>
      <c r="BT354" s="14"/>
      <c r="BU354" s="14"/>
      <c r="BV354" s="14"/>
      <c r="BW354" s="14"/>
      <c r="BX354" s="14"/>
      <c r="BY354" s="14"/>
      <c r="BZ354" s="14"/>
      <c r="CA354" s="14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</row>
    <row r="355" spans="1:101" ht="14.25" customHeight="1" x14ac:dyDescent="0.2">
      <c r="A355" s="328"/>
      <c r="B355" s="52">
        <v>0.18630689779600962</v>
      </c>
      <c r="C355" s="330">
        <v>0.90795302601063044</v>
      </c>
      <c r="D355" s="330">
        <v>4.4729093920976093E-3</v>
      </c>
      <c r="E355" s="330">
        <v>1.3308392356378661E-2</v>
      </c>
      <c r="F355" s="331">
        <v>0.76262094734753605</v>
      </c>
      <c r="G355" s="94">
        <v>0.4272400139300222</v>
      </c>
      <c r="H355" s="330">
        <v>1.4036456280200643E-5</v>
      </c>
      <c r="I355" s="330">
        <v>1.2647985424108906E-2</v>
      </c>
      <c r="J355" s="330">
        <v>0.9999815882400378</v>
      </c>
      <c r="K355" s="330">
        <v>0.79784569256218696</v>
      </c>
      <c r="L355" s="332">
        <v>8322.9813000810063</v>
      </c>
      <c r="M355" s="330">
        <v>0</v>
      </c>
      <c r="N355" s="330">
        <v>21130.870879043807</v>
      </c>
      <c r="O355" s="330">
        <v>896.35338356863667</v>
      </c>
      <c r="P355" s="330">
        <v>44272.749283098368</v>
      </c>
      <c r="Q355" s="333">
        <v>106829.5874330714</v>
      </c>
      <c r="R355" s="330">
        <v>26860.687938862113</v>
      </c>
      <c r="S355" s="330">
        <v>8615.4777832543041</v>
      </c>
      <c r="T355" s="332">
        <v>0.92690504709518207</v>
      </c>
      <c r="U355" s="330">
        <v>0.99113896927345979</v>
      </c>
      <c r="V355" s="330">
        <v>0.9232390598958724</v>
      </c>
      <c r="W355" s="330">
        <v>0.34602359107751046</v>
      </c>
      <c r="X355" s="330">
        <v>0.9688781517778664</v>
      </c>
      <c r="Y355" s="330">
        <v>0</v>
      </c>
      <c r="Z355" s="331">
        <v>0</v>
      </c>
      <c r="AA355" s="235"/>
      <c r="AB355" s="52">
        <v>83631.305229565332</v>
      </c>
      <c r="AC355" s="330">
        <v>4.9446071833655472</v>
      </c>
      <c r="AD355" s="330">
        <v>75210.17079181342</v>
      </c>
      <c r="AE355" s="330">
        <v>4.832872585858154</v>
      </c>
      <c r="AF355" s="330">
        <v>8421.1344377519126</v>
      </c>
      <c r="AG355" s="331">
        <v>0.11173459750739312</v>
      </c>
      <c r="AH355" s="235"/>
      <c r="AI355" s="208">
        <f t="shared" si="40"/>
        <v>4613745.5189677048</v>
      </c>
      <c r="AJ355" s="208">
        <f t="shared" si="41"/>
        <v>4516018.7857734328</v>
      </c>
      <c r="AK355" s="208">
        <f t="shared" si="42"/>
        <v>97726.733194271554</v>
      </c>
      <c r="AL355" s="235"/>
      <c r="AM355" s="52">
        <f t="shared" si="30"/>
        <v>1</v>
      </c>
      <c r="AN355" s="52">
        <f t="shared" si="31"/>
        <v>0</v>
      </c>
      <c r="AO355" s="52">
        <f t="shared" si="32"/>
        <v>1</v>
      </c>
      <c r="AP355" s="235"/>
      <c r="AQ355" s="3"/>
      <c r="AR355" s="3"/>
      <c r="AS355" s="3"/>
      <c r="AT355" s="3"/>
      <c r="AU355" s="235"/>
      <c r="AV355" s="360">
        <f t="shared" si="43"/>
        <v>4613745.5189677048</v>
      </c>
      <c r="AW355" s="235"/>
      <c r="AX355" s="354"/>
      <c r="AY355" s="14"/>
      <c r="AZ355" s="14">
        <f t="shared" si="45"/>
        <v>8421.1344377519126</v>
      </c>
      <c r="BA355" s="14">
        <f t="shared" si="44"/>
        <v>0.11173459750739312</v>
      </c>
      <c r="BB355" s="14">
        <f t="shared" si="33"/>
        <v>75367.295588053763</v>
      </c>
      <c r="BC355" s="14"/>
      <c r="BD355" s="14"/>
      <c r="BE355" s="14"/>
      <c r="BF355" s="14"/>
      <c r="BG355" s="14"/>
      <c r="BH355" s="14"/>
      <c r="BI355" s="14"/>
      <c r="BJ355" s="14"/>
      <c r="BK355" s="14"/>
      <c r="BL355" s="14"/>
      <c r="BM355" s="14"/>
      <c r="BN355" s="14"/>
      <c r="BO355" s="14"/>
      <c r="BP355" s="14"/>
      <c r="BQ355" s="14"/>
      <c r="BR355" s="14"/>
      <c r="BS355" s="14"/>
      <c r="BT355" s="14"/>
      <c r="BU355" s="14"/>
      <c r="BV355" s="14"/>
      <c r="BW355" s="14"/>
      <c r="BX355" s="14"/>
      <c r="BY355" s="14"/>
      <c r="BZ355" s="14"/>
      <c r="CA355" s="14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</row>
    <row r="356" spans="1:101" ht="14.25" customHeight="1" x14ac:dyDescent="0.2">
      <c r="A356" s="328"/>
      <c r="B356" s="52">
        <v>0.13567372680557876</v>
      </c>
      <c r="C356" s="330">
        <v>3.8656037628247389E-2</v>
      </c>
      <c r="D356" s="330">
        <v>1.2075990797419354E-2</v>
      </c>
      <c r="E356" s="330">
        <v>1.5021361903472252E-2</v>
      </c>
      <c r="F356" s="331">
        <v>0.79509417095574064</v>
      </c>
      <c r="G356" s="94">
        <v>0.40739656501781696</v>
      </c>
      <c r="H356" s="330">
        <v>0.35327506305836326</v>
      </c>
      <c r="I356" s="330">
        <v>1.8469687934622891E-2</v>
      </c>
      <c r="J356" s="330">
        <v>0.99999999999736278</v>
      </c>
      <c r="K356" s="330">
        <v>0.76316621975428256</v>
      </c>
      <c r="L356" s="332">
        <v>12298.801844194599</v>
      </c>
      <c r="M356" s="330">
        <v>0</v>
      </c>
      <c r="N356" s="330">
        <v>13667.028462782444</v>
      </c>
      <c r="O356" s="330">
        <v>1599.2844268080285</v>
      </c>
      <c r="P356" s="330">
        <v>46789.032778826499</v>
      </c>
      <c r="Q356" s="333">
        <v>103977.33038473714</v>
      </c>
      <c r="R356" s="330">
        <v>23762.250099407876</v>
      </c>
      <c r="S356" s="330">
        <v>7093.8552770684128</v>
      </c>
      <c r="T356" s="332">
        <v>0.24428199925310429</v>
      </c>
      <c r="U356" s="330">
        <v>0.90510550285210412</v>
      </c>
      <c r="V356" s="330">
        <v>0.89502506458533504</v>
      </c>
      <c r="W356" s="330">
        <v>0.38976577852479183</v>
      </c>
      <c r="X356" s="330">
        <v>0.99194232594910436</v>
      </c>
      <c r="Y356" s="330">
        <v>0</v>
      </c>
      <c r="Z356" s="331">
        <v>0</v>
      </c>
      <c r="AA356" s="235"/>
      <c r="AB356" s="52">
        <v>73339.431319095514</v>
      </c>
      <c r="AC356" s="330">
        <v>4.8465400731633439</v>
      </c>
      <c r="AD356" s="330">
        <v>63349.142153170098</v>
      </c>
      <c r="AE356" s="330">
        <v>4.6809270417838897</v>
      </c>
      <c r="AF356" s="330">
        <v>9990.2891659254165</v>
      </c>
      <c r="AG356" s="331">
        <v>0.16561303137945416</v>
      </c>
      <c r="AH356" s="235"/>
      <c r="AI356" s="208">
        <f t="shared" si="40"/>
        <v>4530873.6381860813</v>
      </c>
      <c r="AJ356" s="208">
        <f t="shared" si="41"/>
        <v>4383531.5475415252</v>
      </c>
      <c r="AK356" s="208">
        <f t="shared" si="42"/>
        <v>147342.09064455604</v>
      </c>
      <c r="AL356" s="235"/>
      <c r="AM356" s="52">
        <f t="shared" si="30"/>
        <v>1</v>
      </c>
      <c r="AN356" s="52">
        <f t="shared" si="31"/>
        <v>0</v>
      </c>
      <c r="AO356" s="52">
        <f t="shared" si="32"/>
        <v>1</v>
      </c>
      <c r="AP356" s="235"/>
      <c r="AQ356" s="3"/>
      <c r="AR356" s="3"/>
      <c r="AS356" s="3"/>
      <c r="AT356" s="3"/>
      <c r="AU356" s="235"/>
      <c r="AV356" s="360">
        <f t="shared" si="43"/>
        <v>4530873.6381860813</v>
      </c>
      <c r="AW356" s="235"/>
      <c r="AX356" s="354"/>
      <c r="AY356" s="14"/>
      <c r="AZ356" s="14">
        <f t="shared" si="45"/>
        <v>9990.2891659254165</v>
      </c>
      <c r="BA356" s="14">
        <f t="shared" si="44"/>
        <v>0.16561303137945416</v>
      </c>
      <c r="BB356" s="14">
        <f t="shared" si="33"/>
        <v>60323.086189006288</v>
      </c>
      <c r="BC356" s="14"/>
      <c r="BD356" s="14"/>
      <c r="BE356" s="14"/>
      <c r="BF356" s="14"/>
      <c r="BG356" s="14"/>
      <c r="BH356" s="14"/>
      <c r="BI356" s="14"/>
      <c r="BJ356" s="14"/>
      <c r="BK356" s="14"/>
      <c r="BL356" s="14"/>
      <c r="BM356" s="14"/>
      <c r="BN356" s="14"/>
      <c r="BO356" s="14"/>
      <c r="BP356" s="14"/>
      <c r="BQ356" s="14"/>
      <c r="BR356" s="14"/>
      <c r="BS356" s="14"/>
      <c r="BT356" s="14"/>
      <c r="BU356" s="14"/>
      <c r="BV356" s="14"/>
      <c r="BW356" s="14"/>
      <c r="BX356" s="14"/>
      <c r="BY356" s="14"/>
      <c r="BZ356" s="14"/>
      <c r="CA356" s="14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</row>
    <row r="357" spans="1:101" ht="14.25" customHeight="1" x14ac:dyDescent="0.2">
      <c r="A357" s="328"/>
      <c r="B357" s="52">
        <v>0.14071521055740749</v>
      </c>
      <c r="C357" s="330">
        <v>1.6033578280853514E-2</v>
      </c>
      <c r="D357" s="330">
        <v>6.7463845186932162E-3</v>
      </c>
      <c r="E357" s="330">
        <v>2.7895141672182543E-3</v>
      </c>
      <c r="F357" s="331">
        <v>0.78481929065171507</v>
      </c>
      <c r="G357" s="94">
        <v>0.42000516071543303</v>
      </c>
      <c r="H357" s="330">
        <v>6.3487494492160984E-2</v>
      </c>
      <c r="I357" s="330">
        <v>2.0093969270445822E-2</v>
      </c>
      <c r="J357" s="330">
        <v>0.9995738139160425</v>
      </c>
      <c r="K357" s="330">
        <v>0.76259815572188927</v>
      </c>
      <c r="L357" s="332">
        <v>16946.773260679212</v>
      </c>
      <c r="M357" s="330">
        <v>0</v>
      </c>
      <c r="N357" s="330">
        <v>20370.479428212122</v>
      </c>
      <c r="O357" s="330">
        <v>1032.3390593051638</v>
      </c>
      <c r="P357" s="330">
        <v>51371.658803958497</v>
      </c>
      <c r="Q357" s="333">
        <v>104843.82980296118</v>
      </c>
      <c r="R357" s="330">
        <v>27054.047932970112</v>
      </c>
      <c r="S357" s="330">
        <v>6278.0016754910885</v>
      </c>
      <c r="T357" s="332">
        <v>0.98455497261012637</v>
      </c>
      <c r="U357" s="330">
        <v>0.98771593923329171</v>
      </c>
      <c r="V357" s="330">
        <v>0.97760923523333565</v>
      </c>
      <c r="W357" s="330">
        <v>0.63119890674956369</v>
      </c>
      <c r="X357" s="330">
        <v>0.92407883495517984</v>
      </c>
      <c r="Y357" s="330">
        <v>0</v>
      </c>
      <c r="Z357" s="331">
        <v>0</v>
      </c>
      <c r="AA357" s="235"/>
      <c r="AB357" s="52">
        <v>70126.613268598623</v>
      </c>
      <c r="AC357" s="330">
        <v>4.6722329024139082</v>
      </c>
      <c r="AD357" s="330">
        <v>54010.965151185032</v>
      </c>
      <c r="AE357" s="330">
        <v>4.3541081557576584</v>
      </c>
      <c r="AF357" s="330">
        <v>16115.648117413592</v>
      </c>
      <c r="AG357" s="331">
        <v>0.31812474665624979</v>
      </c>
      <c r="AH357" s="235"/>
      <c r="AI357" s="208">
        <f t="shared" si="40"/>
        <v>4368494.6440246142</v>
      </c>
      <c r="AJ357" s="208">
        <f t="shared" si="41"/>
        <v>4082391.7828185903</v>
      </c>
      <c r="AK357" s="208">
        <f t="shared" si="42"/>
        <v>286102.86120602372</v>
      </c>
      <c r="AL357" s="235"/>
      <c r="AM357" s="52">
        <f t="shared" si="30"/>
        <v>1</v>
      </c>
      <c r="AN357" s="52">
        <f t="shared" si="31"/>
        <v>0</v>
      </c>
      <c r="AO357" s="52">
        <f t="shared" si="32"/>
        <v>1</v>
      </c>
      <c r="AP357" s="235"/>
      <c r="AQ357" s="3"/>
      <c r="AR357" s="3"/>
      <c r="AS357" s="3"/>
      <c r="AT357" s="3"/>
      <c r="AU357" s="235"/>
      <c r="AV357" s="360">
        <f t="shared" si="43"/>
        <v>4368494.6440246142</v>
      </c>
      <c r="AW357" s="235"/>
      <c r="AX357" s="354"/>
      <c r="AY357" s="14"/>
      <c r="AZ357" s="14">
        <f t="shared" si="45"/>
        <v>16115.648117413592</v>
      </c>
      <c r="BA357" s="14">
        <f t="shared" si="44"/>
        <v>0.31812474665624979</v>
      </c>
      <c r="BB357" s="14">
        <f t="shared" si="33"/>
        <v>50658.266251846733</v>
      </c>
      <c r="BC357" s="14"/>
      <c r="BD357" s="14"/>
      <c r="BE357" s="14"/>
      <c r="BF357" s="14"/>
      <c r="BG357" s="14"/>
      <c r="BH357" s="14"/>
      <c r="BI357" s="14"/>
      <c r="BJ357" s="14"/>
      <c r="BK357" s="14"/>
      <c r="BL357" s="14"/>
      <c r="BM357" s="14"/>
      <c r="BN357" s="14"/>
      <c r="BO357" s="14"/>
      <c r="BP357" s="14"/>
      <c r="BQ357" s="14"/>
      <c r="BR357" s="14"/>
      <c r="BS357" s="14"/>
      <c r="BT357" s="14"/>
      <c r="BU357" s="14"/>
      <c r="BV357" s="14"/>
      <c r="BW357" s="14"/>
      <c r="BX357" s="14"/>
      <c r="BY357" s="14"/>
      <c r="BZ357" s="14"/>
      <c r="CA357" s="14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</row>
    <row r="358" spans="1:101" ht="14.25" customHeight="1" x14ac:dyDescent="0.2">
      <c r="A358" s="328"/>
      <c r="B358" s="52">
        <v>0.16719098043212044</v>
      </c>
      <c r="C358" s="330">
        <v>0.23516718046318966</v>
      </c>
      <c r="D358" s="330">
        <v>9.3128325715734154E-3</v>
      </c>
      <c r="E358" s="330">
        <v>7.8689808647939355E-3</v>
      </c>
      <c r="F358" s="331">
        <v>0.82383291219631349</v>
      </c>
      <c r="G358" s="94">
        <v>0.41841581747721757</v>
      </c>
      <c r="H358" s="330">
        <v>0.43483037288338905</v>
      </c>
      <c r="I358" s="330">
        <v>1.0741213770961374E-3</v>
      </c>
      <c r="J358" s="330">
        <v>0.15721334330209594</v>
      </c>
      <c r="K358" s="330">
        <v>0.76103404699297916</v>
      </c>
      <c r="L358" s="332">
        <v>12429.098393826409</v>
      </c>
      <c r="M358" s="330">
        <v>0</v>
      </c>
      <c r="N358" s="330">
        <v>13886.939653547985</v>
      </c>
      <c r="O358" s="330">
        <v>1112.8726863289357</v>
      </c>
      <c r="P358" s="330">
        <v>31335.970461238328</v>
      </c>
      <c r="Q358" s="333">
        <v>128349.87598595434</v>
      </c>
      <c r="R358" s="330">
        <v>24814.208414362718</v>
      </c>
      <c r="S358" s="330">
        <v>6731.4212730720528</v>
      </c>
      <c r="T358" s="332">
        <v>0.73304084038548434</v>
      </c>
      <c r="U358" s="330">
        <v>0.91204089621510875</v>
      </c>
      <c r="V358" s="330">
        <v>0.98903841708422802</v>
      </c>
      <c r="W358" s="330">
        <v>0.87824888248541833</v>
      </c>
      <c r="X358" s="330">
        <v>0.69963143969572539</v>
      </c>
      <c r="Y358" s="330">
        <v>0</v>
      </c>
      <c r="Z358" s="331">
        <v>0</v>
      </c>
      <c r="AA358" s="235"/>
      <c r="AB358" s="52">
        <v>73301.954621975514</v>
      </c>
      <c r="AC358" s="330">
        <v>3.896284930676011</v>
      </c>
      <c r="AD358" s="330">
        <v>60013.380192664787</v>
      </c>
      <c r="AE358" s="330">
        <v>3.2698749444895836</v>
      </c>
      <c r="AF358" s="330">
        <v>13288.574429310727</v>
      </c>
      <c r="AG358" s="331">
        <v>0.6264099861864274</v>
      </c>
      <c r="AH358" s="235"/>
      <c r="AI358" s="208">
        <f t="shared" si="40"/>
        <v>3628168.7295202352</v>
      </c>
      <c r="AJ358" s="208">
        <f t="shared" si="41"/>
        <v>3046367.8170724395</v>
      </c>
      <c r="AK358" s="208">
        <f t="shared" si="42"/>
        <v>581800.91244779527</v>
      </c>
      <c r="AL358" s="235"/>
      <c r="AM358" s="52">
        <f t="shared" si="30"/>
        <v>1</v>
      </c>
      <c r="AN358" s="52">
        <f t="shared" si="31"/>
        <v>0</v>
      </c>
      <c r="AO358" s="52">
        <f t="shared" si="32"/>
        <v>1</v>
      </c>
      <c r="AP358" s="235"/>
      <c r="AQ358" s="3"/>
      <c r="AR358" s="3"/>
      <c r="AS358" s="3"/>
      <c r="AT358" s="3"/>
      <c r="AU358" s="235"/>
      <c r="AV358" s="360">
        <f t="shared" si="43"/>
        <v>3628168.7295202352</v>
      </c>
      <c r="AW358" s="235"/>
      <c r="AX358" s="354"/>
      <c r="AY358" s="14"/>
      <c r="AZ358" s="14">
        <f t="shared" si="45"/>
        <v>13288.574429310727</v>
      </c>
      <c r="BA358" s="14">
        <f t="shared" si="44"/>
        <v>0.6264099861864274</v>
      </c>
      <c r="BB358" s="14">
        <f t="shared" si="33"/>
        <v>21213.861085151799</v>
      </c>
      <c r="BC358" s="14"/>
      <c r="BD358" s="14"/>
      <c r="BE358" s="14"/>
      <c r="BF358" s="14"/>
      <c r="BG358" s="14"/>
      <c r="BH358" s="14"/>
      <c r="BI358" s="14"/>
      <c r="BJ358" s="14"/>
      <c r="BK358" s="14"/>
      <c r="BL358" s="14"/>
      <c r="BM358" s="14"/>
      <c r="BN358" s="14"/>
      <c r="BO358" s="14"/>
      <c r="BP358" s="14"/>
      <c r="BQ358" s="14"/>
      <c r="BR358" s="14"/>
      <c r="BS358" s="14"/>
      <c r="BT358" s="14"/>
      <c r="BU358" s="14"/>
      <c r="BV358" s="14"/>
      <c r="BW358" s="14"/>
      <c r="BX358" s="14"/>
      <c r="BY358" s="14"/>
      <c r="BZ358" s="14"/>
      <c r="CA358" s="14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</row>
    <row r="359" spans="1:101" ht="14.25" customHeight="1" x14ac:dyDescent="0.2">
      <c r="A359" s="328"/>
      <c r="B359" s="52">
        <v>0.13733419428819332</v>
      </c>
      <c r="C359" s="330">
        <v>1.9169993241010895E-2</v>
      </c>
      <c r="D359" s="330">
        <v>2.1368419163707242E-2</v>
      </c>
      <c r="E359" s="330">
        <v>1.9718736188195529E-2</v>
      </c>
      <c r="F359" s="331">
        <v>0.77878782632196164</v>
      </c>
      <c r="G359" s="94">
        <v>0.40517149595008595</v>
      </c>
      <c r="H359" s="330">
        <v>3.5492008329800158E-2</v>
      </c>
      <c r="I359" s="330">
        <v>2.1950332201445821E-2</v>
      </c>
      <c r="J359" s="330">
        <v>0.94322316246057525</v>
      </c>
      <c r="K359" s="330">
        <v>0.82134229241339429</v>
      </c>
      <c r="L359" s="332">
        <v>14006.621175866794</v>
      </c>
      <c r="M359" s="330">
        <v>0</v>
      </c>
      <c r="N359" s="330">
        <v>19218.588331423962</v>
      </c>
      <c r="O359" s="330">
        <v>1383.993119801645</v>
      </c>
      <c r="P359" s="330">
        <v>60820.85974361714</v>
      </c>
      <c r="Q359" s="333">
        <v>102685.07674339671</v>
      </c>
      <c r="R359" s="330">
        <v>19728.756814637021</v>
      </c>
      <c r="S359" s="330">
        <v>6536.9102630226271</v>
      </c>
      <c r="T359" s="332">
        <v>0.90492995465575887</v>
      </c>
      <c r="U359" s="330">
        <v>0.74481427451266535</v>
      </c>
      <c r="V359" s="330">
        <v>0.99838658783098522</v>
      </c>
      <c r="W359" s="330">
        <v>0.84836082669085966</v>
      </c>
      <c r="X359" s="330">
        <v>0.79411127887033739</v>
      </c>
      <c r="Y359" s="330">
        <v>0</v>
      </c>
      <c r="Z359" s="331">
        <v>0</v>
      </c>
      <c r="AA359" s="235"/>
      <c r="AB359" s="52">
        <v>69185.865200781336</v>
      </c>
      <c r="AC359" s="330">
        <v>4.2834076798480849</v>
      </c>
      <c r="AD359" s="330">
        <v>60042.687909112574</v>
      </c>
      <c r="AE359" s="330">
        <v>3.9653354222002148</v>
      </c>
      <c r="AF359" s="330">
        <v>9143.1772916687623</v>
      </c>
      <c r="AG359" s="331">
        <v>0.31807225764787006</v>
      </c>
      <c r="AH359" s="235"/>
      <c r="AI359" s="208">
        <f t="shared" si="40"/>
        <v>4000051.4306548992</v>
      </c>
      <c r="AJ359" s="208">
        <f t="shared" si="41"/>
        <v>3707025.9631810915</v>
      </c>
      <c r="AK359" s="208">
        <f t="shared" si="42"/>
        <v>293025.4674738078</v>
      </c>
      <c r="AL359" s="235"/>
      <c r="AM359" s="52">
        <f t="shared" si="30"/>
        <v>1</v>
      </c>
      <c r="AN359" s="52">
        <f t="shared" si="31"/>
        <v>0</v>
      </c>
      <c r="AO359" s="52">
        <f t="shared" si="32"/>
        <v>1</v>
      </c>
      <c r="AP359" s="235"/>
      <c r="AQ359" s="3"/>
      <c r="AR359" s="3"/>
      <c r="AS359" s="3"/>
      <c r="AT359" s="3"/>
      <c r="AU359" s="235"/>
      <c r="AV359" s="360">
        <f t="shared" si="43"/>
        <v>4000051.4306548992</v>
      </c>
      <c r="AW359" s="235"/>
      <c r="AX359" s="354"/>
      <c r="AY359" s="14"/>
      <c r="AZ359" s="14">
        <f t="shared" si="45"/>
        <v>9143.1772916687623</v>
      </c>
      <c r="BA359" s="14">
        <f t="shared" si="44"/>
        <v>0.31807225764787006</v>
      </c>
      <c r="BB359" s="14">
        <f t="shared" si="33"/>
        <v>28745.598120635055</v>
      </c>
      <c r="BC359" s="14"/>
      <c r="BD359" s="14"/>
      <c r="BE359" s="14"/>
      <c r="BF359" s="14"/>
      <c r="BG359" s="14"/>
      <c r="BH359" s="14"/>
      <c r="BI359" s="14"/>
      <c r="BJ359" s="14"/>
      <c r="BK359" s="14"/>
      <c r="BL359" s="14"/>
      <c r="BM359" s="14"/>
      <c r="BN359" s="14"/>
      <c r="BO359" s="14"/>
      <c r="BP359" s="14"/>
      <c r="BQ359" s="14"/>
      <c r="BR359" s="14"/>
      <c r="BS359" s="14"/>
      <c r="BT359" s="14"/>
      <c r="BU359" s="14"/>
      <c r="BV359" s="14"/>
      <c r="BW359" s="14"/>
      <c r="BX359" s="14"/>
      <c r="BY359" s="14"/>
      <c r="BZ359" s="14"/>
      <c r="CA359" s="14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</row>
    <row r="360" spans="1:101" ht="14.25" customHeight="1" x14ac:dyDescent="0.2">
      <c r="A360" s="328"/>
      <c r="B360" s="52">
        <v>0.14624287238423103</v>
      </c>
      <c r="C360" s="330">
        <v>0.40110548456105921</v>
      </c>
      <c r="D360" s="330">
        <v>8.4642792732966127E-3</v>
      </c>
      <c r="E360" s="330">
        <v>1.0218868532662143E-2</v>
      </c>
      <c r="F360" s="331">
        <v>0.78939972584341644</v>
      </c>
      <c r="G360" s="94">
        <v>0.39744048939001508</v>
      </c>
      <c r="H360" s="330">
        <v>0.38139681392351821</v>
      </c>
      <c r="I360" s="330">
        <v>1.2746503350922058E-2</v>
      </c>
      <c r="J360" s="330">
        <v>0.58932757762838606</v>
      </c>
      <c r="K360" s="330">
        <v>0.72482213658274908</v>
      </c>
      <c r="L360" s="332">
        <v>9619.693804174356</v>
      </c>
      <c r="M360" s="330">
        <v>0</v>
      </c>
      <c r="N360" s="330">
        <v>21162.459992975128</v>
      </c>
      <c r="O360" s="330">
        <v>1141.1278752630335</v>
      </c>
      <c r="P360" s="330">
        <v>58091.471693500891</v>
      </c>
      <c r="Q360" s="333">
        <v>102747.72688711573</v>
      </c>
      <c r="R360" s="330">
        <v>26035.857895940939</v>
      </c>
      <c r="S360" s="330">
        <v>7683.3740818553715</v>
      </c>
      <c r="T360" s="332">
        <v>0.99935016117399722</v>
      </c>
      <c r="U360" s="330">
        <v>2.9938862124137262E-3</v>
      </c>
      <c r="V360" s="330">
        <v>0.99152041384447165</v>
      </c>
      <c r="W360" s="330">
        <v>0.93454156455866211</v>
      </c>
      <c r="X360" s="330">
        <v>0.98533768382115205</v>
      </c>
      <c r="Y360" s="330">
        <v>0</v>
      </c>
      <c r="Z360" s="331">
        <v>0</v>
      </c>
      <c r="AA360" s="235"/>
      <c r="AB360" s="52">
        <v>76529.632984797398</v>
      </c>
      <c r="AC360" s="330">
        <v>5.2461848581345825</v>
      </c>
      <c r="AD360" s="330">
        <v>64922.924420523632</v>
      </c>
      <c r="AE360" s="330">
        <v>4.3149217761145922</v>
      </c>
      <c r="AF360" s="330">
        <v>11606.708564273766</v>
      </c>
      <c r="AG360" s="331">
        <v>0.93126308201999031</v>
      </c>
      <c r="AH360" s="235"/>
      <c r="AI360" s="208">
        <f t="shared" si="40"/>
        <v>4907345.9822430555</v>
      </c>
      <c r="AJ360" s="208">
        <f t="shared" si="41"/>
        <v>4034252.7628883389</v>
      </c>
      <c r="AK360" s="208">
        <f t="shared" si="42"/>
        <v>873093.21935471706</v>
      </c>
      <c r="AL360" s="235"/>
      <c r="AM360" s="52">
        <f t="shared" si="30"/>
        <v>1</v>
      </c>
      <c r="AN360" s="52">
        <f t="shared" si="31"/>
        <v>0</v>
      </c>
      <c r="AO360" s="52">
        <f t="shared" si="32"/>
        <v>1</v>
      </c>
      <c r="AP360" s="235"/>
      <c r="AQ360" s="3"/>
      <c r="AR360" s="3"/>
      <c r="AS360" s="3"/>
      <c r="AT360" s="3"/>
      <c r="AU360" s="235"/>
      <c r="AV360" s="360">
        <f t="shared" si="43"/>
        <v>4907345.9822430555</v>
      </c>
      <c r="AW360" s="235"/>
      <c r="AX360" s="354"/>
      <c r="AY360" s="14"/>
      <c r="AZ360" s="14">
        <f t="shared" si="45"/>
        <v>11606.708564273766</v>
      </c>
      <c r="BA360" s="14">
        <f t="shared" si="44"/>
        <v>0.93126308201999031</v>
      </c>
      <c r="BB360" s="14">
        <f t="shared" si="33"/>
        <v>12463.404582835828</v>
      </c>
      <c r="BC360" s="14"/>
      <c r="BD360" s="14"/>
      <c r="BE360" s="14"/>
      <c r="BF360" s="14"/>
      <c r="BG360" s="14"/>
      <c r="BH360" s="14"/>
      <c r="BI360" s="14"/>
      <c r="BJ360" s="14"/>
      <c r="BK360" s="14"/>
      <c r="BL360" s="14"/>
      <c r="BM360" s="14"/>
      <c r="BN360" s="14"/>
      <c r="BO360" s="14"/>
      <c r="BP360" s="14"/>
      <c r="BQ360" s="14"/>
      <c r="BR360" s="14"/>
      <c r="BS360" s="14"/>
      <c r="BT360" s="14"/>
      <c r="BU360" s="14"/>
      <c r="BV360" s="14"/>
      <c r="BW360" s="14"/>
      <c r="BX360" s="14"/>
      <c r="BY360" s="14"/>
      <c r="BZ360" s="14"/>
      <c r="CA360" s="14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</row>
    <row r="361" spans="1:101" ht="14.25" customHeight="1" x14ac:dyDescent="0.2">
      <c r="A361" s="328"/>
      <c r="B361" s="52">
        <v>0.14270356245507484</v>
      </c>
      <c r="C361" s="330">
        <v>2.4900597357393778E-2</v>
      </c>
      <c r="D361" s="330">
        <v>7.6384869553035185E-3</v>
      </c>
      <c r="E361" s="330">
        <v>2.475541358487432E-2</v>
      </c>
      <c r="F361" s="331">
        <v>0.77473888190416329</v>
      </c>
      <c r="G361" s="94">
        <v>0.39885314545579242</v>
      </c>
      <c r="H361" s="330">
        <v>5.7012008985761441E-2</v>
      </c>
      <c r="I361" s="330">
        <v>3.8994901391333284E-3</v>
      </c>
      <c r="J361" s="330">
        <v>0.35487909985531052</v>
      </c>
      <c r="K361" s="330">
        <v>0.79787005982245784</v>
      </c>
      <c r="L361" s="332">
        <v>12769.134869918096</v>
      </c>
      <c r="M361" s="330">
        <v>0</v>
      </c>
      <c r="N361" s="330">
        <v>12589.991527477847</v>
      </c>
      <c r="O361" s="330">
        <v>1571.1488402669097</v>
      </c>
      <c r="P361" s="330">
        <v>53369.26348462177</v>
      </c>
      <c r="Q361" s="333">
        <v>110546.29852448596</v>
      </c>
      <c r="R361" s="330">
        <v>22822.673369455533</v>
      </c>
      <c r="S361" s="330">
        <v>5912.8886140363156</v>
      </c>
      <c r="T361" s="332">
        <v>3.5753168801337207E-2</v>
      </c>
      <c r="U361" s="330">
        <v>0.9999398102316237</v>
      </c>
      <c r="V361" s="330">
        <v>0.93181163041501747</v>
      </c>
      <c r="W361" s="330">
        <v>0.42878283163660802</v>
      </c>
      <c r="X361" s="330">
        <v>0.62467328071679107</v>
      </c>
      <c r="Y361" s="330">
        <v>0</v>
      </c>
      <c r="Z361" s="331">
        <v>0</v>
      </c>
      <c r="AA361" s="235"/>
      <c r="AB361" s="52">
        <v>62355.898435713963</v>
      </c>
      <c r="AC361" s="330">
        <v>2.9319543495672584</v>
      </c>
      <c r="AD361" s="330">
        <v>51979.743763652164</v>
      </c>
      <c r="AE361" s="330">
        <v>3.3286971701440877</v>
      </c>
      <c r="AF361" s="330">
        <v>10376.154672061799</v>
      </c>
      <c r="AG361" s="331">
        <v>-0.3967428205768293</v>
      </c>
      <c r="AH361" s="235"/>
      <c r="AI361" s="208">
        <f t="shared" si="40"/>
        <v>2723000.7336531812</v>
      </c>
      <c r="AJ361" s="208">
        <f t="shared" si="41"/>
        <v>3110282.5678732311</v>
      </c>
      <c r="AK361" s="208">
        <f t="shared" si="42"/>
        <v>-387281.83422004961</v>
      </c>
      <c r="AL361" s="235"/>
      <c r="AM361" s="52">
        <f t="shared" si="30"/>
        <v>0</v>
      </c>
      <c r="AN361" s="52">
        <f t="shared" si="31"/>
        <v>1</v>
      </c>
      <c r="AO361" s="52">
        <f t="shared" si="32"/>
        <v>0</v>
      </c>
      <c r="AP361" s="235"/>
      <c r="AQ361" s="3"/>
      <c r="AR361" s="3"/>
      <c r="AS361" s="3"/>
      <c r="AT361" s="3"/>
      <c r="AU361" s="235"/>
      <c r="AV361" s="360">
        <f t="shared" si="43"/>
        <v>3110282.5678732311</v>
      </c>
      <c r="AW361" s="235"/>
      <c r="AX361" s="354"/>
      <c r="AY361" s="14"/>
      <c r="AZ361" s="14">
        <f t="shared" si="45"/>
        <v>10376.154672061799</v>
      </c>
      <c r="BA361" s="14">
        <f t="shared" si="44"/>
        <v>-0.3967428205768293</v>
      </c>
      <c r="BB361" s="14">
        <f t="shared" si="33"/>
        <v>-26153.352080765519</v>
      </c>
      <c r="BC361" s="14"/>
      <c r="BD361" s="14"/>
      <c r="BE361" s="14"/>
      <c r="BF361" s="14"/>
      <c r="BG361" s="14"/>
      <c r="BH361" s="14"/>
      <c r="BI361" s="14"/>
      <c r="BJ361" s="14"/>
      <c r="BK361" s="14"/>
      <c r="BL361" s="14"/>
      <c r="BM361" s="14"/>
      <c r="BN361" s="14"/>
      <c r="BO361" s="14"/>
      <c r="BP361" s="14"/>
      <c r="BQ361" s="14"/>
      <c r="BR361" s="14"/>
      <c r="BS361" s="14"/>
      <c r="BT361" s="14"/>
      <c r="BU361" s="14"/>
      <c r="BV361" s="14"/>
      <c r="BW361" s="14"/>
      <c r="BX361" s="14"/>
      <c r="BY361" s="14"/>
      <c r="BZ361" s="14"/>
      <c r="CA361" s="14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</row>
    <row r="362" spans="1:101" ht="14.25" customHeight="1" x14ac:dyDescent="0.2">
      <c r="A362" s="328"/>
      <c r="B362" s="52">
        <v>0.14501917651420015</v>
      </c>
      <c r="C362" s="330">
        <v>0.14684266908507773</v>
      </c>
      <c r="D362" s="330">
        <v>1.7757642907490823E-2</v>
      </c>
      <c r="E362" s="330">
        <v>2.0826320496584505E-2</v>
      </c>
      <c r="F362" s="331">
        <v>0.77890230485385858</v>
      </c>
      <c r="G362" s="94">
        <v>0.41164623994372784</v>
      </c>
      <c r="H362" s="330">
        <v>1.4244623630367728E-3</v>
      </c>
      <c r="I362" s="330">
        <v>2.054168242903609E-2</v>
      </c>
      <c r="J362" s="330">
        <v>0.99999999999999978</v>
      </c>
      <c r="K362" s="330">
        <v>0.78294061627118805</v>
      </c>
      <c r="L362" s="332">
        <v>15410.408318211503</v>
      </c>
      <c r="M362" s="330">
        <v>0</v>
      </c>
      <c r="N362" s="330">
        <v>19524.526979441027</v>
      </c>
      <c r="O362" s="330">
        <v>979.20407782181246</v>
      </c>
      <c r="P362" s="330">
        <v>41155.215780931801</v>
      </c>
      <c r="Q362" s="333">
        <v>98215.918207750205</v>
      </c>
      <c r="R362" s="330">
        <v>25560.587644384359</v>
      </c>
      <c r="S362" s="330">
        <v>10475.232525581734</v>
      </c>
      <c r="T362" s="332">
        <v>0.96983274603767267</v>
      </c>
      <c r="U362" s="330">
        <v>0.39644199133396857</v>
      </c>
      <c r="V362" s="330">
        <v>9.8240634642729734E-3</v>
      </c>
      <c r="W362" s="330">
        <v>0.29473212185455594</v>
      </c>
      <c r="X362" s="330">
        <v>0.96048477004096422</v>
      </c>
      <c r="Y362" s="330">
        <v>0</v>
      </c>
      <c r="Z362" s="331">
        <v>0</v>
      </c>
      <c r="AA362" s="235"/>
      <c r="AB362" s="52">
        <v>103910.98153470033</v>
      </c>
      <c r="AC362" s="330">
        <v>4.5218256094568536</v>
      </c>
      <c r="AD362" s="330">
        <v>89805.143390001584</v>
      </c>
      <c r="AE362" s="330">
        <v>4.6173369737138525</v>
      </c>
      <c r="AF362" s="330">
        <v>14105.838144698748</v>
      </c>
      <c r="AG362" s="331">
        <v>-9.551136425699891E-2</v>
      </c>
      <c r="AH362" s="235"/>
      <c r="AI362" s="208">
        <f t="shared" si="40"/>
        <v>4191823.3474493106</v>
      </c>
      <c r="AJ362" s="208">
        <f t="shared" si="41"/>
        <v>4296664.9816381577</v>
      </c>
      <c r="AK362" s="208">
        <f t="shared" si="42"/>
        <v>-104841.63418884772</v>
      </c>
      <c r="AL362" s="235"/>
      <c r="AM362" s="52">
        <f t="shared" si="30"/>
        <v>0</v>
      </c>
      <c r="AN362" s="52">
        <f t="shared" si="31"/>
        <v>1</v>
      </c>
      <c r="AO362" s="52">
        <f t="shared" si="32"/>
        <v>0</v>
      </c>
      <c r="AP362" s="235"/>
      <c r="AQ362" s="3"/>
      <c r="AR362" s="3"/>
      <c r="AS362" s="3"/>
      <c r="AT362" s="3"/>
      <c r="AU362" s="235"/>
      <c r="AV362" s="360">
        <f t="shared" si="43"/>
        <v>4296664.9816381577</v>
      </c>
      <c r="AW362" s="235"/>
      <c r="AX362" s="354"/>
      <c r="AY362" s="14"/>
      <c r="AZ362" s="14">
        <f t="shared" si="45"/>
        <v>14105.838144698748</v>
      </c>
      <c r="BA362" s="14">
        <f t="shared" si="44"/>
        <v>-9.551136425699891E-2</v>
      </c>
      <c r="BB362" s="14">
        <f t="shared" si="33"/>
        <v>-147687.53702170154</v>
      </c>
      <c r="BC362" s="14"/>
      <c r="BD362" s="14"/>
      <c r="BE362" s="14"/>
      <c r="BF362" s="14"/>
      <c r="BG362" s="14"/>
      <c r="BH362" s="14"/>
      <c r="BI362" s="14"/>
      <c r="BJ362" s="14"/>
      <c r="BK362" s="14"/>
      <c r="BL362" s="14"/>
      <c r="BM362" s="14"/>
      <c r="BN362" s="14"/>
      <c r="BO362" s="14"/>
      <c r="BP362" s="14"/>
      <c r="BQ362" s="14"/>
      <c r="BR362" s="14"/>
      <c r="BS362" s="14"/>
      <c r="BT362" s="14"/>
      <c r="BU362" s="14"/>
      <c r="BV362" s="14"/>
      <c r="BW362" s="14"/>
      <c r="BX362" s="14"/>
      <c r="BY362" s="14"/>
      <c r="BZ362" s="14"/>
      <c r="CA362" s="14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</row>
    <row r="363" spans="1:101" ht="14.25" customHeight="1" x14ac:dyDescent="0.2">
      <c r="A363" s="328"/>
      <c r="B363" s="52">
        <v>0.13896733197477934</v>
      </c>
      <c r="C363" s="330">
        <v>0.38981703806820289</v>
      </c>
      <c r="D363" s="330">
        <v>1.4483184999177112E-2</v>
      </c>
      <c r="E363" s="330">
        <v>1.5900658951117586E-2</v>
      </c>
      <c r="F363" s="331">
        <v>0.81181864630109846</v>
      </c>
      <c r="G363" s="94">
        <v>0.37711811202996781</v>
      </c>
      <c r="H363" s="330">
        <v>0.87073319395787174</v>
      </c>
      <c r="I363" s="330">
        <v>1.6724771128054372E-2</v>
      </c>
      <c r="J363" s="330">
        <v>0.95967600730419345</v>
      </c>
      <c r="K363" s="330">
        <v>0.79358210594927148</v>
      </c>
      <c r="L363" s="332">
        <v>17680.529476006021</v>
      </c>
      <c r="M363" s="330">
        <v>0</v>
      </c>
      <c r="N363" s="330">
        <v>15920.229953455282</v>
      </c>
      <c r="O363" s="330">
        <v>1289.6355051293135</v>
      </c>
      <c r="P363" s="330">
        <v>46806.955820535106</v>
      </c>
      <c r="Q363" s="333">
        <v>118429.73180481212</v>
      </c>
      <c r="R363" s="330">
        <v>20617.71505472199</v>
      </c>
      <c r="S363" s="330">
        <v>8020.1769132369927</v>
      </c>
      <c r="T363" s="332">
        <v>0.19083737777318519</v>
      </c>
      <c r="U363" s="330">
        <v>0.82355653682944074</v>
      </c>
      <c r="V363" s="330">
        <v>0.95789953655905324</v>
      </c>
      <c r="W363" s="330">
        <v>0.95141570553449684</v>
      </c>
      <c r="X363" s="330">
        <v>0.91801517825779899</v>
      </c>
      <c r="Y363" s="330">
        <v>0</v>
      </c>
      <c r="Z363" s="331">
        <v>0</v>
      </c>
      <c r="AA363" s="235"/>
      <c r="AB363" s="52">
        <v>89087.302535423398</v>
      </c>
      <c r="AC363" s="330">
        <v>4.5319985655174406</v>
      </c>
      <c r="AD363" s="330">
        <v>76621.405917363591</v>
      </c>
      <c r="AE363" s="330">
        <v>4.4198608564995077</v>
      </c>
      <c r="AF363" s="330">
        <v>12465.896618059807</v>
      </c>
      <c r="AG363" s="331">
        <v>0.11213770901793296</v>
      </c>
      <c r="AH363" s="235"/>
      <c r="AI363" s="208">
        <f t="shared" si="40"/>
        <v>4216311.3347061453</v>
      </c>
      <c r="AJ363" s="208">
        <f t="shared" si="41"/>
        <v>4122246.4077571682</v>
      </c>
      <c r="AK363" s="208">
        <f t="shared" si="42"/>
        <v>94064.926948976514</v>
      </c>
      <c r="AL363" s="235"/>
      <c r="AM363" s="52">
        <f t="shared" si="30"/>
        <v>1</v>
      </c>
      <c r="AN363" s="52">
        <f t="shared" si="31"/>
        <v>0</v>
      </c>
      <c r="AO363" s="52">
        <f t="shared" si="32"/>
        <v>1</v>
      </c>
      <c r="AP363" s="235"/>
      <c r="AQ363" s="3"/>
      <c r="AR363" s="3"/>
      <c r="AS363" s="3"/>
      <c r="AT363" s="3"/>
      <c r="AU363" s="235"/>
      <c r="AV363" s="360">
        <f t="shared" si="43"/>
        <v>4216311.3347061453</v>
      </c>
      <c r="AW363" s="235"/>
      <c r="AX363" s="354"/>
      <c r="AY363" s="14"/>
      <c r="AZ363" s="14">
        <f t="shared" si="45"/>
        <v>12465.896618059807</v>
      </c>
      <c r="BA363" s="14">
        <f t="shared" si="44"/>
        <v>0.11213770901793296</v>
      </c>
      <c r="BB363" s="14">
        <f t="shared" si="33"/>
        <v>111165.96484119604</v>
      </c>
      <c r="BC363" s="14"/>
      <c r="BD363" s="14"/>
      <c r="BE363" s="14"/>
      <c r="BF363" s="14"/>
      <c r="BG363" s="14"/>
      <c r="BH363" s="14"/>
      <c r="BI363" s="14"/>
      <c r="BJ363" s="14"/>
      <c r="BK363" s="14"/>
      <c r="BL363" s="14"/>
      <c r="BM363" s="14"/>
      <c r="BN363" s="14"/>
      <c r="BO363" s="14"/>
      <c r="BP363" s="14"/>
      <c r="BQ363" s="14"/>
      <c r="BR363" s="14"/>
      <c r="BS363" s="14"/>
      <c r="BT363" s="14"/>
      <c r="BU363" s="14"/>
      <c r="BV363" s="14"/>
      <c r="BW363" s="14"/>
      <c r="BX363" s="14"/>
      <c r="BY363" s="14"/>
      <c r="BZ363" s="14"/>
      <c r="CA363" s="14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</row>
    <row r="364" spans="1:101" ht="14.25" customHeight="1" x14ac:dyDescent="0.2">
      <c r="A364" s="328"/>
      <c r="B364" s="52">
        <v>0.16049656848803207</v>
      </c>
      <c r="C364" s="330">
        <v>3.2453772009163176E-2</v>
      </c>
      <c r="D364" s="330">
        <v>2.3103091698524092E-2</v>
      </c>
      <c r="E364" s="330">
        <v>1.6175205407717996E-2</v>
      </c>
      <c r="F364" s="331">
        <v>0.77552152841128619</v>
      </c>
      <c r="G364" s="94">
        <v>0.34183380965820337</v>
      </c>
      <c r="H364" s="330">
        <v>0.89568440907254343</v>
      </c>
      <c r="I364" s="330">
        <v>2.041766864138117E-2</v>
      </c>
      <c r="J364" s="330">
        <v>1</v>
      </c>
      <c r="K364" s="330">
        <v>0.76390913540882455</v>
      </c>
      <c r="L364" s="332">
        <v>9221.8917645062174</v>
      </c>
      <c r="M364" s="330">
        <v>0</v>
      </c>
      <c r="N364" s="330">
        <v>16504.186618333042</v>
      </c>
      <c r="O364" s="330">
        <v>1373.2215493983811</v>
      </c>
      <c r="P364" s="330">
        <v>34126.88170907757</v>
      </c>
      <c r="Q364" s="333">
        <v>75582.17856356845</v>
      </c>
      <c r="R364" s="330">
        <v>27884.387227160765</v>
      </c>
      <c r="S364" s="330">
        <v>8468.8450566799929</v>
      </c>
      <c r="T364" s="332">
        <v>0.86142242994779716</v>
      </c>
      <c r="U364" s="330">
        <v>0.9123155403090013</v>
      </c>
      <c r="V364" s="330">
        <v>0.97632663874720538</v>
      </c>
      <c r="W364" s="330">
        <v>0.93163339617307117</v>
      </c>
      <c r="X364" s="330">
        <v>0.81927296003731942</v>
      </c>
      <c r="Y364" s="330">
        <v>0</v>
      </c>
      <c r="Z364" s="331">
        <v>0</v>
      </c>
      <c r="AA364" s="235"/>
      <c r="AB364" s="52">
        <v>80351.100632437432</v>
      </c>
      <c r="AC364" s="330">
        <v>4.302003686034614</v>
      </c>
      <c r="AD364" s="330">
        <v>79144.750018072169</v>
      </c>
      <c r="AE364" s="330">
        <v>3.9168273135515363</v>
      </c>
      <c r="AF364" s="330">
        <v>1206.350614365263</v>
      </c>
      <c r="AG364" s="331">
        <v>0.38517637248307768</v>
      </c>
      <c r="AH364" s="235"/>
      <c r="AI364" s="208">
        <f t="shared" si="40"/>
        <v>4006552.401100446</v>
      </c>
      <c r="AJ364" s="208">
        <f t="shared" si="41"/>
        <v>3641841.197855887</v>
      </c>
      <c r="AK364" s="208">
        <f t="shared" si="42"/>
        <v>364711.20324455854</v>
      </c>
      <c r="AL364" s="235"/>
      <c r="AM364" s="52">
        <f t="shared" si="30"/>
        <v>1</v>
      </c>
      <c r="AN364" s="52">
        <f t="shared" si="31"/>
        <v>0</v>
      </c>
      <c r="AO364" s="52">
        <f t="shared" si="32"/>
        <v>1</v>
      </c>
      <c r="AP364" s="235"/>
      <c r="AQ364" s="3"/>
      <c r="AR364" s="3"/>
      <c r="AS364" s="3"/>
      <c r="AT364" s="3"/>
      <c r="AU364" s="235"/>
      <c r="AV364" s="360">
        <f t="shared" si="43"/>
        <v>4006552.401100446</v>
      </c>
      <c r="AW364" s="235"/>
      <c r="AX364" s="354"/>
      <c r="AY364" s="14"/>
      <c r="AZ364" s="14">
        <f t="shared" si="45"/>
        <v>1206.350614365263</v>
      </c>
      <c r="BA364" s="14">
        <f t="shared" si="44"/>
        <v>0.38517637248307768</v>
      </c>
      <c r="BB364" s="14">
        <f t="shared" si="33"/>
        <v>3131.9434434371042</v>
      </c>
      <c r="BC364" s="14"/>
      <c r="BD364" s="14"/>
      <c r="BE364" s="14"/>
      <c r="BF364" s="14"/>
      <c r="BG364" s="14"/>
      <c r="BH364" s="14"/>
      <c r="BI364" s="14"/>
      <c r="BJ364" s="14"/>
      <c r="BK364" s="14"/>
      <c r="BL364" s="14"/>
      <c r="BM364" s="14"/>
      <c r="BN364" s="14"/>
      <c r="BO364" s="14"/>
      <c r="BP364" s="14"/>
      <c r="BQ364" s="14"/>
      <c r="BR364" s="14"/>
      <c r="BS364" s="14"/>
      <c r="BT364" s="14"/>
      <c r="BU364" s="14"/>
      <c r="BV364" s="14"/>
      <c r="BW364" s="14"/>
      <c r="BX364" s="14"/>
      <c r="BY364" s="14"/>
      <c r="BZ364" s="14"/>
      <c r="CA364" s="14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</row>
    <row r="365" spans="1:101" ht="14.25" customHeight="1" x14ac:dyDescent="0.2">
      <c r="A365" s="328"/>
      <c r="B365" s="52">
        <v>0.13552109521305719</v>
      </c>
      <c r="C365" s="330">
        <v>0.38336581522105506</v>
      </c>
      <c r="D365" s="330">
        <v>1.1254531231540589E-2</v>
      </c>
      <c r="E365" s="330">
        <v>1.1734969996015575E-2</v>
      </c>
      <c r="F365" s="331">
        <v>0.72711144907579295</v>
      </c>
      <c r="G365" s="94">
        <v>0.38812927936392255</v>
      </c>
      <c r="H365" s="330">
        <v>0.38601896137815711</v>
      </c>
      <c r="I365" s="330">
        <v>2.640976667419193E-3</v>
      </c>
      <c r="J365" s="330">
        <v>0.99999999999999922</v>
      </c>
      <c r="K365" s="330">
        <v>0.76526129338096904</v>
      </c>
      <c r="L365" s="332">
        <v>14023.816774035789</v>
      </c>
      <c r="M365" s="330">
        <v>0</v>
      </c>
      <c r="N365" s="330">
        <v>27569.644951673308</v>
      </c>
      <c r="O365" s="330">
        <v>915.73682830594419</v>
      </c>
      <c r="P365" s="330">
        <v>44875.860108915032</v>
      </c>
      <c r="Q365" s="333">
        <v>124172.76243784446</v>
      </c>
      <c r="R365" s="330">
        <v>27114.677737421298</v>
      </c>
      <c r="S365" s="330">
        <v>13803.957368513238</v>
      </c>
      <c r="T365" s="332">
        <v>0.98523056411707977</v>
      </c>
      <c r="U365" s="330">
        <v>0.12228853318306497</v>
      </c>
      <c r="V365" s="330">
        <v>0.94243389874363148</v>
      </c>
      <c r="W365" s="330">
        <v>0.97627540533347335</v>
      </c>
      <c r="X365" s="330">
        <v>5.5837765884896272E-2</v>
      </c>
      <c r="Y365" s="330">
        <v>0</v>
      </c>
      <c r="Z365" s="331">
        <v>0</v>
      </c>
      <c r="AA365" s="235"/>
      <c r="AB365" s="52">
        <v>123456.86088174868</v>
      </c>
      <c r="AC365" s="330">
        <v>0.50885834577470557</v>
      </c>
      <c r="AD365" s="330">
        <v>117980.15830689743</v>
      </c>
      <c r="AE365" s="330">
        <v>0.28199887262961248</v>
      </c>
      <c r="AF365" s="330">
        <v>5476.7025748512533</v>
      </c>
      <c r="AG365" s="331">
        <v>0.22685947314509308</v>
      </c>
      <c r="AH365" s="235"/>
      <c r="AI365" s="208">
        <f t="shared" si="40"/>
        <v>359958.56760422164</v>
      </c>
      <c r="AJ365" s="208">
        <f t="shared" si="41"/>
        <v>149918.77069123444</v>
      </c>
      <c r="AK365" s="208">
        <f t="shared" si="42"/>
        <v>210039.79691298716</v>
      </c>
      <c r="AL365" s="235"/>
      <c r="AM365" s="52">
        <f t="shared" si="30"/>
        <v>1</v>
      </c>
      <c r="AN365" s="52">
        <f t="shared" si="31"/>
        <v>0</v>
      </c>
      <c r="AO365" s="52">
        <f t="shared" si="32"/>
        <v>1</v>
      </c>
      <c r="AP365" s="235"/>
      <c r="AQ365" s="3"/>
      <c r="AR365" s="3"/>
      <c r="AS365" s="3"/>
      <c r="AT365" s="3"/>
      <c r="AU365" s="235"/>
      <c r="AV365" s="360">
        <f t="shared" si="43"/>
        <v>359958.56760422164</v>
      </c>
      <c r="AW365" s="235"/>
      <c r="AX365" s="354"/>
      <c r="AY365" s="14"/>
      <c r="AZ365" s="14">
        <f t="shared" si="45"/>
        <v>5476.7025748512533</v>
      </c>
      <c r="BA365" s="14">
        <f t="shared" si="44"/>
        <v>0.22685947314509308</v>
      </c>
      <c r="BB365" s="14">
        <f t="shared" si="33"/>
        <v>24141.388053689541</v>
      </c>
      <c r="BC365" s="14"/>
      <c r="BD365" s="14"/>
      <c r="BE365" s="14"/>
      <c r="BF365" s="14"/>
      <c r="BG365" s="14"/>
      <c r="BH365" s="14"/>
      <c r="BI365" s="14"/>
      <c r="BJ365" s="14"/>
      <c r="BK365" s="14"/>
      <c r="BL365" s="14"/>
      <c r="BM365" s="14"/>
      <c r="BN365" s="14"/>
      <c r="BO365" s="14"/>
      <c r="BP365" s="14"/>
      <c r="BQ365" s="14"/>
      <c r="BR365" s="14"/>
      <c r="BS365" s="14"/>
      <c r="BT365" s="14"/>
      <c r="BU365" s="14"/>
      <c r="BV365" s="14"/>
      <c r="BW365" s="14"/>
      <c r="BX365" s="14"/>
      <c r="BY365" s="14"/>
      <c r="BZ365" s="14"/>
      <c r="CA365" s="14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</row>
    <row r="366" spans="1:101" ht="14.25" customHeight="1" x14ac:dyDescent="0.2">
      <c r="A366" s="328"/>
      <c r="B366" s="52">
        <v>0.19467447519360759</v>
      </c>
      <c r="C366" s="330">
        <v>0.33193413007718908</v>
      </c>
      <c r="D366" s="330">
        <v>3.8636778899063806E-2</v>
      </c>
      <c r="E366" s="330">
        <v>1.8867988289786419E-2</v>
      </c>
      <c r="F366" s="331">
        <v>0.80830257293067198</v>
      </c>
      <c r="G366" s="94">
        <v>0.44099059742150004</v>
      </c>
      <c r="H366" s="330">
        <v>0.20464336044760592</v>
      </c>
      <c r="I366" s="330">
        <v>2.7835665279239308E-2</v>
      </c>
      <c r="J366" s="330">
        <v>0.56286495343969212</v>
      </c>
      <c r="K366" s="330">
        <v>0.70750811458552731</v>
      </c>
      <c r="L366" s="332">
        <v>15656.872507102464</v>
      </c>
      <c r="M366" s="330">
        <v>0</v>
      </c>
      <c r="N366" s="330">
        <v>17841.315171291324</v>
      </c>
      <c r="O366" s="330">
        <v>1543.2445325304457</v>
      </c>
      <c r="P366" s="330">
        <v>47516.1285723455</v>
      </c>
      <c r="Q366" s="333">
        <v>99789.294038199994</v>
      </c>
      <c r="R366" s="330">
        <v>16288.1521108862</v>
      </c>
      <c r="S366" s="330">
        <v>8455.7301123157904</v>
      </c>
      <c r="T366" s="332">
        <v>9.0951060540328657E-2</v>
      </c>
      <c r="U366" s="330">
        <v>0.69476388772385744</v>
      </c>
      <c r="V366" s="330">
        <v>3.033316340154792E-2</v>
      </c>
      <c r="W366" s="330">
        <v>0.78490736893771207</v>
      </c>
      <c r="X366" s="330">
        <v>0.88037544191761319</v>
      </c>
      <c r="Y366" s="330">
        <v>0</v>
      </c>
      <c r="Z366" s="331">
        <v>0</v>
      </c>
      <c r="AA366" s="235"/>
      <c r="AB366" s="52">
        <v>91115.37366148438</v>
      </c>
      <c r="AC366" s="330">
        <v>4.2991642483341339</v>
      </c>
      <c r="AD366" s="330">
        <v>68052.025903469825</v>
      </c>
      <c r="AE366" s="330">
        <v>3.7786929453243983</v>
      </c>
      <c r="AF366" s="330">
        <v>23063.347758014555</v>
      </c>
      <c r="AG366" s="331">
        <v>0.52047130300973565</v>
      </c>
      <c r="AH366" s="235"/>
      <c r="AI366" s="208">
        <f t="shared" si="40"/>
        <v>3993090.6622559428</v>
      </c>
      <c r="AJ366" s="208">
        <f t="shared" si="41"/>
        <v>3521706.2721547084</v>
      </c>
      <c r="AK366" s="208">
        <f t="shared" si="42"/>
        <v>471384.39010123431</v>
      </c>
      <c r="AL366" s="235"/>
      <c r="AM366" s="52">
        <f t="shared" si="30"/>
        <v>1</v>
      </c>
      <c r="AN366" s="52">
        <f t="shared" si="31"/>
        <v>0</v>
      </c>
      <c r="AO366" s="52">
        <f t="shared" si="32"/>
        <v>1</v>
      </c>
      <c r="AP366" s="235"/>
      <c r="AQ366" s="3"/>
      <c r="AR366" s="3"/>
      <c r="AS366" s="3"/>
      <c r="AT366" s="3"/>
      <c r="AU366" s="235"/>
      <c r="AV366" s="360">
        <f t="shared" si="43"/>
        <v>3993090.6622559428</v>
      </c>
      <c r="AW366" s="235"/>
      <c r="AX366" s="354"/>
      <c r="AY366" s="14"/>
      <c r="AZ366" s="14">
        <f t="shared" si="45"/>
        <v>23063.347758014555</v>
      </c>
      <c r="BA366" s="14">
        <f t="shared" si="44"/>
        <v>0.52047130300973565</v>
      </c>
      <c r="BB366" s="14">
        <f t="shared" si="33"/>
        <v>44312.429186097019</v>
      </c>
      <c r="BC366" s="14"/>
      <c r="BD366" s="14"/>
      <c r="BE366" s="14"/>
      <c r="BF366" s="14"/>
      <c r="BG366" s="14"/>
      <c r="BH366" s="14"/>
      <c r="BI366" s="14"/>
      <c r="BJ366" s="14"/>
      <c r="BK366" s="14"/>
      <c r="BL366" s="14"/>
      <c r="BM366" s="14"/>
      <c r="BN366" s="14"/>
      <c r="BO366" s="14"/>
      <c r="BP366" s="14"/>
      <c r="BQ366" s="14"/>
      <c r="BR366" s="14"/>
      <c r="BS366" s="14"/>
      <c r="BT366" s="14"/>
      <c r="BU366" s="14"/>
      <c r="BV366" s="14"/>
      <c r="BW366" s="14"/>
      <c r="BX366" s="14"/>
      <c r="BY366" s="14"/>
      <c r="BZ366" s="14"/>
      <c r="CA366" s="14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</row>
    <row r="367" spans="1:101" ht="14.25" customHeight="1" x14ac:dyDescent="0.2">
      <c r="A367" s="328"/>
      <c r="B367" s="52">
        <v>0.18596483850037682</v>
      </c>
      <c r="C367" s="330">
        <v>0.13033312252593554</v>
      </c>
      <c r="D367" s="330">
        <v>9.0961305172838451E-3</v>
      </c>
      <c r="E367" s="330">
        <v>1.790800685536964E-2</v>
      </c>
      <c r="F367" s="331">
        <v>0.77282624359829877</v>
      </c>
      <c r="G367" s="94">
        <v>0.35754041685057597</v>
      </c>
      <c r="H367" s="330">
        <v>0.79152264252279769</v>
      </c>
      <c r="I367" s="330">
        <v>5.6202724530611632E-3</v>
      </c>
      <c r="J367" s="330">
        <v>5.8710486998221553E-3</v>
      </c>
      <c r="K367" s="330">
        <v>0.76063396425865282</v>
      </c>
      <c r="L367" s="332">
        <v>8182.6098995484408</v>
      </c>
      <c r="M367" s="330">
        <v>0</v>
      </c>
      <c r="N367" s="330">
        <v>21592.85158209311</v>
      </c>
      <c r="O367" s="330">
        <v>1447.3303311919699</v>
      </c>
      <c r="P367" s="330">
        <v>43357.150918204083</v>
      </c>
      <c r="Q367" s="333">
        <v>83891.300000530246</v>
      </c>
      <c r="R367" s="330">
        <v>20250.600434128901</v>
      </c>
      <c r="S367" s="330">
        <v>6920.7771411014564</v>
      </c>
      <c r="T367" s="332">
        <v>0.99554686890396371</v>
      </c>
      <c r="U367" s="330">
        <v>0.70806587237755525</v>
      </c>
      <c r="V367" s="330">
        <v>0.93714229221595202</v>
      </c>
      <c r="W367" s="330">
        <v>0.17749802187217376</v>
      </c>
      <c r="X367" s="330">
        <v>0.76984895114689078</v>
      </c>
      <c r="Y367" s="330">
        <v>0</v>
      </c>
      <c r="Z367" s="331">
        <v>0</v>
      </c>
      <c r="AA367" s="235"/>
      <c r="AB367" s="52">
        <v>66483.073641554583</v>
      </c>
      <c r="AC367" s="330">
        <v>3.8800889918858066</v>
      </c>
      <c r="AD367" s="330">
        <v>62881.97714360473</v>
      </c>
      <c r="AE367" s="330">
        <v>3.6818006160338181</v>
      </c>
      <c r="AF367" s="330">
        <v>3601.0964979498531</v>
      </c>
      <c r="AG367" s="331">
        <v>0.19828837585198844</v>
      </c>
      <c r="AH367" s="235"/>
      <c r="AI367" s="208">
        <f t="shared" si="40"/>
        <v>3619601.468649962</v>
      </c>
      <c r="AJ367" s="208">
        <f t="shared" si="41"/>
        <v>3434828.6080885227</v>
      </c>
      <c r="AK367" s="208">
        <f t="shared" si="42"/>
        <v>184772.86056143916</v>
      </c>
      <c r="AL367" s="235"/>
      <c r="AM367" s="52">
        <f t="shared" si="30"/>
        <v>1</v>
      </c>
      <c r="AN367" s="52">
        <f t="shared" si="31"/>
        <v>0</v>
      </c>
      <c r="AO367" s="52">
        <f t="shared" si="32"/>
        <v>1</v>
      </c>
      <c r="AP367" s="235"/>
      <c r="AQ367" s="3"/>
      <c r="AR367" s="3"/>
      <c r="AS367" s="3"/>
      <c r="AT367" s="3"/>
      <c r="AU367" s="235"/>
      <c r="AV367" s="360">
        <f t="shared" si="43"/>
        <v>3619601.468649962</v>
      </c>
      <c r="AW367" s="235"/>
      <c r="AX367" s="354"/>
      <c r="AY367" s="14"/>
      <c r="AZ367" s="14">
        <f t="shared" si="45"/>
        <v>3601.0964979498531</v>
      </c>
      <c r="BA367" s="14">
        <f t="shared" si="44"/>
        <v>0.19828837585198844</v>
      </c>
      <c r="BB367" s="14">
        <f t="shared" si="33"/>
        <v>18160.905713595017</v>
      </c>
      <c r="BC367" s="14"/>
      <c r="BD367" s="14"/>
      <c r="BE367" s="14"/>
      <c r="BF367" s="14"/>
      <c r="BG367" s="14"/>
      <c r="BH367" s="14"/>
      <c r="BI367" s="14"/>
      <c r="BJ367" s="14"/>
      <c r="BK367" s="14"/>
      <c r="BL367" s="14"/>
      <c r="BM367" s="14"/>
      <c r="BN367" s="14"/>
      <c r="BO367" s="14"/>
      <c r="BP367" s="14"/>
      <c r="BQ367" s="14"/>
      <c r="BR367" s="14"/>
      <c r="BS367" s="14"/>
      <c r="BT367" s="14"/>
      <c r="BU367" s="14"/>
      <c r="BV367" s="14"/>
      <c r="BW367" s="14"/>
      <c r="BX367" s="14"/>
      <c r="BY367" s="14"/>
      <c r="BZ367" s="14"/>
      <c r="CA367" s="14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</row>
    <row r="368" spans="1:101" ht="14.25" customHeight="1" x14ac:dyDescent="0.2">
      <c r="A368" s="328"/>
      <c r="B368" s="52">
        <v>0.17390262063738315</v>
      </c>
      <c r="C368" s="330">
        <v>3.9645460263873375E-2</v>
      </c>
      <c r="D368" s="330">
        <v>1.4958702990417683E-2</v>
      </c>
      <c r="E368" s="330">
        <v>1.5577805587379756E-2</v>
      </c>
      <c r="F368" s="331">
        <v>0.73040718975215657</v>
      </c>
      <c r="G368" s="94">
        <v>0.38804081665114654</v>
      </c>
      <c r="H368" s="330">
        <v>5.3784332806695756E-2</v>
      </c>
      <c r="I368" s="330">
        <v>1.8456563146269533E-2</v>
      </c>
      <c r="J368" s="330">
        <v>0.99933980761212726</v>
      </c>
      <c r="K368" s="330">
        <v>0.8244842146731981</v>
      </c>
      <c r="L368" s="332">
        <v>9495.6015893448675</v>
      </c>
      <c r="M368" s="330">
        <v>0</v>
      </c>
      <c r="N368" s="330">
        <v>11435.31764951647</v>
      </c>
      <c r="O368" s="330">
        <v>990.24529795317164</v>
      </c>
      <c r="P368" s="330">
        <v>55089.192990302967</v>
      </c>
      <c r="Q368" s="333">
        <v>104832.81016534434</v>
      </c>
      <c r="R368" s="330">
        <v>21938.204260224687</v>
      </c>
      <c r="S368" s="330">
        <v>10366.234131684585</v>
      </c>
      <c r="T368" s="332">
        <v>0.23214964198810448</v>
      </c>
      <c r="U368" s="330">
        <v>0.56618519188649508</v>
      </c>
      <c r="V368" s="330">
        <v>0.99530670354454676</v>
      </c>
      <c r="W368" s="330">
        <v>0.12584294175116537</v>
      </c>
      <c r="X368" s="330">
        <v>0.89656937656156288</v>
      </c>
      <c r="Y368" s="330">
        <v>0</v>
      </c>
      <c r="Z368" s="331">
        <v>0</v>
      </c>
      <c r="AA368" s="235"/>
      <c r="AB368" s="52">
        <v>91346.752711832465</v>
      </c>
      <c r="AC368" s="330">
        <v>3.9721003719768371</v>
      </c>
      <c r="AD368" s="330">
        <v>93784.474073232486</v>
      </c>
      <c r="AE368" s="330">
        <v>4.7261629866240149</v>
      </c>
      <c r="AF368" s="330">
        <v>-2437.7213614000211</v>
      </c>
      <c r="AG368" s="331">
        <v>-0.75406261464717783</v>
      </c>
      <c r="AH368" s="235"/>
      <c r="AI368" s="208">
        <f t="shared" si="40"/>
        <v>3682148.6006661626</v>
      </c>
      <c r="AJ368" s="208">
        <f t="shared" si="41"/>
        <v>4396070.3632195815</v>
      </c>
      <c r="AK368" s="208">
        <f t="shared" si="42"/>
        <v>-713921.76255341899</v>
      </c>
      <c r="AL368" s="235"/>
      <c r="AM368" s="52">
        <f t="shared" si="30"/>
        <v>0</v>
      </c>
      <c r="AN368" s="52">
        <f t="shared" si="31"/>
        <v>1</v>
      </c>
      <c r="AO368" s="52">
        <f t="shared" si="32"/>
        <v>0</v>
      </c>
      <c r="AP368" s="235"/>
      <c r="AQ368" s="3"/>
      <c r="AR368" s="3"/>
      <c r="AS368" s="3"/>
      <c r="AT368" s="3"/>
      <c r="AU368" s="235"/>
      <c r="AV368" s="360">
        <f t="shared" si="43"/>
        <v>4396070.3632195815</v>
      </c>
      <c r="AW368" s="235"/>
      <c r="AX368" s="354"/>
      <c r="AY368" s="14"/>
      <c r="AZ368" s="14">
        <f t="shared" si="45"/>
        <v>-2437.7213614000211</v>
      </c>
      <c r="BA368" s="14">
        <f t="shared" si="44"/>
        <v>-0.75406261464717783</v>
      </c>
      <c r="BB368" s="14">
        <f t="shared" si="33"/>
        <v>3232.7837424225295</v>
      </c>
      <c r="BC368" s="14"/>
      <c r="BD368" s="14"/>
      <c r="BE368" s="14"/>
      <c r="BF368" s="14"/>
      <c r="BG368" s="14"/>
      <c r="BH368" s="14"/>
      <c r="BI368" s="14"/>
      <c r="BJ368" s="14"/>
      <c r="BK368" s="14"/>
      <c r="BL368" s="14"/>
      <c r="BM368" s="14"/>
      <c r="BN368" s="14"/>
      <c r="BO368" s="14"/>
      <c r="BP368" s="14"/>
      <c r="BQ368" s="14"/>
      <c r="BR368" s="14"/>
      <c r="BS368" s="14"/>
      <c r="BT368" s="14"/>
      <c r="BU368" s="14"/>
      <c r="BV368" s="14"/>
      <c r="BW368" s="14"/>
      <c r="BX368" s="14"/>
      <c r="BY368" s="14"/>
      <c r="BZ368" s="14"/>
      <c r="CA368" s="14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</row>
    <row r="369" spans="1:101" ht="14.25" customHeight="1" x14ac:dyDescent="0.2">
      <c r="A369" s="328"/>
      <c r="B369" s="52">
        <v>0.16508733931427488</v>
      </c>
      <c r="C369" s="330">
        <v>0.6067073162574842</v>
      </c>
      <c r="D369" s="330">
        <v>2.776971276224427E-2</v>
      </c>
      <c r="E369" s="330">
        <v>1.1017655640842535E-2</v>
      </c>
      <c r="F369" s="331">
        <v>0.80615353881295171</v>
      </c>
      <c r="G369" s="94">
        <v>0.38512500917911269</v>
      </c>
      <c r="H369" s="330">
        <v>0.67611587828050679</v>
      </c>
      <c r="I369" s="330">
        <v>2.207769010582783E-2</v>
      </c>
      <c r="J369" s="330">
        <v>1.5442135055283586E-2</v>
      </c>
      <c r="K369" s="330">
        <v>0.73773256333511517</v>
      </c>
      <c r="L369" s="332">
        <v>10707.569843753789</v>
      </c>
      <c r="M369" s="330">
        <v>0</v>
      </c>
      <c r="N369" s="330">
        <v>21844.798639426201</v>
      </c>
      <c r="O369" s="330">
        <v>997.20472174202712</v>
      </c>
      <c r="P369" s="330">
        <v>53651.915428542401</v>
      </c>
      <c r="Q369" s="333">
        <v>97934.374613271997</v>
      </c>
      <c r="R369" s="330">
        <v>31579.53189827238</v>
      </c>
      <c r="S369" s="330">
        <v>10839.118918130986</v>
      </c>
      <c r="T369" s="332">
        <v>0.97936721924962122</v>
      </c>
      <c r="U369" s="330">
        <v>0.99996194147202866</v>
      </c>
      <c r="V369" s="330">
        <v>0.56644822284920382</v>
      </c>
      <c r="W369" s="330">
        <v>4.4966582633623506E-2</v>
      </c>
      <c r="X369" s="330">
        <v>0.95583615622042306</v>
      </c>
      <c r="Y369" s="330">
        <v>0</v>
      </c>
      <c r="Z369" s="331">
        <v>0</v>
      </c>
      <c r="AA369" s="235"/>
      <c r="AB369" s="52">
        <v>108257.41371901095</v>
      </c>
      <c r="AC369" s="330">
        <v>4.9098498464373908</v>
      </c>
      <c r="AD369" s="330">
        <v>95241.901291710499</v>
      </c>
      <c r="AE369" s="330">
        <v>4.5486469017804403</v>
      </c>
      <c r="AF369" s="330">
        <v>13015.512427300448</v>
      </c>
      <c r="AG369" s="331">
        <v>0.36120294465695046</v>
      </c>
      <c r="AH369" s="235"/>
      <c r="AI369" s="208">
        <f t="shared" si="40"/>
        <v>4556099.940396511</v>
      </c>
      <c r="AJ369" s="208">
        <f t="shared" si="41"/>
        <v>4225972.6553997081</v>
      </c>
      <c r="AK369" s="208">
        <f t="shared" si="42"/>
        <v>330127.28499680251</v>
      </c>
      <c r="AL369" s="235"/>
      <c r="AM369" s="52">
        <f t="shared" si="30"/>
        <v>1</v>
      </c>
      <c r="AN369" s="52">
        <f t="shared" si="31"/>
        <v>0</v>
      </c>
      <c r="AO369" s="52">
        <f t="shared" si="32"/>
        <v>1</v>
      </c>
      <c r="AP369" s="235"/>
      <c r="AQ369" s="3"/>
      <c r="AR369" s="3"/>
      <c r="AS369" s="3"/>
      <c r="AT369" s="3"/>
      <c r="AU369" s="235"/>
      <c r="AV369" s="360">
        <f t="shared" si="43"/>
        <v>4556099.940396511</v>
      </c>
      <c r="AW369" s="235"/>
      <c r="AX369" s="354"/>
      <c r="AY369" s="14"/>
      <c r="AZ369" s="14">
        <f t="shared" si="45"/>
        <v>13015.512427300448</v>
      </c>
      <c r="BA369" s="14">
        <f t="shared" si="44"/>
        <v>0.36120294465695046</v>
      </c>
      <c r="BB369" s="14">
        <f t="shared" si="33"/>
        <v>36033.793798834682</v>
      </c>
      <c r="BC369" s="14"/>
      <c r="BD369" s="14"/>
      <c r="BE369" s="14"/>
      <c r="BF369" s="14"/>
      <c r="BG369" s="14"/>
      <c r="BH369" s="14"/>
      <c r="BI369" s="14"/>
      <c r="BJ369" s="14"/>
      <c r="BK369" s="14"/>
      <c r="BL369" s="14"/>
      <c r="BM369" s="14"/>
      <c r="BN369" s="14"/>
      <c r="BO369" s="14"/>
      <c r="BP369" s="14"/>
      <c r="BQ369" s="14"/>
      <c r="BR369" s="14"/>
      <c r="BS369" s="14"/>
      <c r="BT369" s="14"/>
      <c r="BU369" s="14"/>
      <c r="BV369" s="14"/>
      <c r="BW369" s="14"/>
      <c r="BX369" s="14"/>
      <c r="BY369" s="14"/>
      <c r="BZ369" s="14"/>
      <c r="CA369" s="14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</row>
    <row r="370" spans="1:101" ht="14.25" customHeight="1" x14ac:dyDescent="0.2">
      <c r="A370" s="328"/>
      <c r="B370" s="52">
        <v>0.19368737350827303</v>
      </c>
      <c r="C370" s="330">
        <v>0.64608086400491815</v>
      </c>
      <c r="D370" s="330">
        <v>1.7909053314234979E-2</v>
      </c>
      <c r="E370" s="330">
        <v>1.9966726816030622E-2</v>
      </c>
      <c r="F370" s="331">
        <v>0.80209512385056225</v>
      </c>
      <c r="G370" s="94">
        <v>0.41166727412330928</v>
      </c>
      <c r="H370" s="330">
        <v>0.7034189109318254</v>
      </c>
      <c r="I370" s="330">
        <v>2.3139470595674339E-2</v>
      </c>
      <c r="J370" s="330">
        <v>0.99999997927809303</v>
      </c>
      <c r="K370" s="330">
        <v>0.74027378400114863</v>
      </c>
      <c r="L370" s="332">
        <v>11240.301858783234</v>
      </c>
      <c r="M370" s="330">
        <v>0</v>
      </c>
      <c r="N370" s="330">
        <v>22667.065986663598</v>
      </c>
      <c r="O370" s="330">
        <v>1428.0140360105595</v>
      </c>
      <c r="P370" s="330">
        <v>38604.258532291795</v>
      </c>
      <c r="Q370" s="333">
        <v>92873.680830392826</v>
      </c>
      <c r="R370" s="330">
        <v>25692.447515850334</v>
      </c>
      <c r="S370" s="330">
        <v>13543.673293580843</v>
      </c>
      <c r="T370" s="332">
        <v>0.99978088502949003</v>
      </c>
      <c r="U370" s="330">
        <v>0.88382505024492963</v>
      </c>
      <c r="V370" s="330">
        <v>0.99954632359509077</v>
      </c>
      <c r="W370" s="330">
        <v>0.99030835280646101</v>
      </c>
      <c r="X370" s="330">
        <v>0.96951886989484271</v>
      </c>
      <c r="Y370" s="330">
        <v>0</v>
      </c>
      <c r="Z370" s="331">
        <v>0</v>
      </c>
      <c r="AA370" s="235"/>
      <c r="AB370" s="52">
        <v>131635.1222243697</v>
      </c>
      <c r="AC370" s="330">
        <v>5.1627292990119713</v>
      </c>
      <c r="AD370" s="330">
        <v>117073.66802610211</v>
      </c>
      <c r="AE370" s="330">
        <v>4.5105113222196369</v>
      </c>
      <c r="AF370" s="330">
        <v>14561.454198267587</v>
      </c>
      <c r="AG370" s="331">
        <v>0.6522179767923344</v>
      </c>
      <c r="AH370" s="235"/>
      <c r="AI370" s="208">
        <f t="shared" si="40"/>
        <v>4772957.711837003</v>
      </c>
      <c r="AJ370" s="208">
        <f t="shared" si="41"/>
        <v>4167912.0880825524</v>
      </c>
      <c r="AK370" s="208">
        <f t="shared" si="42"/>
        <v>605045.62375445012</v>
      </c>
      <c r="AL370" s="235"/>
      <c r="AM370" s="52">
        <f t="shared" si="30"/>
        <v>1</v>
      </c>
      <c r="AN370" s="52">
        <f t="shared" si="31"/>
        <v>0</v>
      </c>
      <c r="AO370" s="52">
        <f t="shared" si="32"/>
        <v>1</v>
      </c>
      <c r="AP370" s="235"/>
      <c r="AQ370" s="3"/>
      <c r="AR370" s="3"/>
      <c r="AS370" s="3"/>
      <c r="AT370" s="3"/>
      <c r="AU370" s="235"/>
      <c r="AV370" s="360">
        <f t="shared" si="43"/>
        <v>4772957.711837003</v>
      </c>
      <c r="AW370" s="235"/>
      <c r="AX370" s="354"/>
      <c r="AY370" s="14"/>
      <c r="AZ370" s="14">
        <f t="shared" si="45"/>
        <v>14561.454198267587</v>
      </c>
      <c r="BA370" s="14">
        <f t="shared" si="44"/>
        <v>0.6522179767923344</v>
      </c>
      <c r="BB370" s="14">
        <f t="shared" si="33"/>
        <v>22326.054657190078</v>
      </c>
      <c r="BC370" s="14"/>
      <c r="BD370" s="14"/>
      <c r="BE370" s="14"/>
      <c r="BF370" s="14"/>
      <c r="BG370" s="14"/>
      <c r="BH370" s="14"/>
      <c r="BI370" s="14"/>
      <c r="BJ370" s="14"/>
      <c r="BK370" s="14"/>
      <c r="BL370" s="14"/>
      <c r="BM370" s="14"/>
      <c r="BN370" s="14"/>
      <c r="BO370" s="14"/>
      <c r="BP370" s="14"/>
      <c r="BQ370" s="14"/>
      <c r="BR370" s="14"/>
      <c r="BS370" s="14"/>
      <c r="BT370" s="14"/>
      <c r="BU370" s="14"/>
      <c r="BV370" s="14"/>
      <c r="BW370" s="14"/>
      <c r="BX370" s="14"/>
      <c r="BY370" s="14"/>
      <c r="BZ370" s="14"/>
      <c r="CA370" s="14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</row>
    <row r="371" spans="1:101" ht="14.25" customHeight="1" x14ac:dyDescent="0.2">
      <c r="A371" s="328"/>
      <c r="B371" s="52">
        <v>0.13915313104435725</v>
      </c>
      <c r="C371" s="330">
        <v>0.65513617323449602</v>
      </c>
      <c r="D371" s="330">
        <v>1.6052741781158675E-2</v>
      </c>
      <c r="E371" s="330">
        <v>1.7808515511737122E-2</v>
      </c>
      <c r="F371" s="331">
        <v>0.79938247638470239</v>
      </c>
      <c r="G371" s="94">
        <v>0.42360859627578507</v>
      </c>
      <c r="H371" s="330">
        <v>0.65756611348239979</v>
      </c>
      <c r="I371" s="330">
        <v>8.823025451154062E-3</v>
      </c>
      <c r="J371" s="330">
        <v>0.99999592981437635</v>
      </c>
      <c r="K371" s="330">
        <v>0.78537307496384146</v>
      </c>
      <c r="L371" s="332">
        <v>15168.791231580419</v>
      </c>
      <c r="M371" s="330">
        <v>0</v>
      </c>
      <c r="N371" s="330">
        <v>14960.389288254495</v>
      </c>
      <c r="O371" s="330">
        <v>1280.6125094147199</v>
      </c>
      <c r="P371" s="330">
        <v>34809.062463122871</v>
      </c>
      <c r="Q371" s="333">
        <v>79239.134597520053</v>
      </c>
      <c r="R371" s="330">
        <v>22803.670386003403</v>
      </c>
      <c r="S371" s="330">
        <v>7033.5610062117958</v>
      </c>
      <c r="T371" s="332">
        <v>0.72612090149994701</v>
      </c>
      <c r="U371" s="330">
        <v>0.91096001897449608</v>
      </c>
      <c r="V371" s="330">
        <v>0.99959038389085797</v>
      </c>
      <c r="W371" s="330">
        <v>0.5797250627032754</v>
      </c>
      <c r="X371" s="330">
        <v>0.77036037328424189</v>
      </c>
      <c r="Y371" s="330">
        <v>0</v>
      </c>
      <c r="Z371" s="331">
        <v>0</v>
      </c>
      <c r="AA371" s="235"/>
      <c r="AB371" s="52">
        <v>77941.26129928742</v>
      </c>
      <c r="AC371" s="330">
        <v>3.8759521994667567</v>
      </c>
      <c r="AD371" s="330">
        <v>66655.412371850092</v>
      </c>
      <c r="AE371" s="330">
        <v>3.8038161542112485</v>
      </c>
      <c r="AF371" s="330">
        <v>11285.848927437328</v>
      </c>
      <c r="AG371" s="331">
        <v>7.2136045255508208E-2</v>
      </c>
      <c r="AH371" s="235"/>
      <c r="AI371" s="208">
        <f t="shared" si="40"/>
        <v>3604213.3281941316</v>
      </c>
      <c r="AJ371" s="208">
        <f t="shared" si="41"/>
        <v>3546969.9341288358</v>
      </c>
      <c r="AK371" s="208">
        <f t="shared" si="42"/>
        <v>57243.394065295462</v>
      </c>
      <c r="AL371" s="235"/>
      <c r="AM371" s="52">
        <f t="shared" si="30"/>
        <v>1</v>
      </c>
      <c r="AN371" s="52">
        <f t="shared" si="31"/>
        <v>0</v>
      </c>
      <c r="AO371" s="52">
        <f t="shared" si="32"/>
        <v>1</v>
      </c>
      <c r="AP371" s="235"/>
      <c r="AQ371" s="3"/>
      <c r="AR371" s="3"/>
      <c r="AS371" s="3"/>
      <c r="AT371" s="3"/>
      <c r="AU371" s="235"/>
      <c r="AV371" s="360">
        <f t="shared" si="43"/>
        <v>3604213.3281941316</v>
      </c>
      <c r="AW371" s="235"/>
      <c r="AX371" s="354"/>
      <c r="AY371" s="14"/>
      <c r="AZ371" s="14">
        <f t="shared" si="45"/>
        <v>11285.848927437328</v>
      </c>
      <c r="BA371" s="14">
        <f t="shared" si="44"/>
        <v>7.2136045255508208E-2</v>
      </c>
      <c r="BB371" s="14">
        <f t="shared" si="33"/>
        <v>156452.28245411132</v>
      </c>
      <c r="BC371" s="14"/>
      <c r="BD371" s="14"/>
      <c r="BE371" s="14"/>
      <c r="BF371" s="14"/>
      <c r="BG371" s="14"/>
      <c r="BH371" s="14"/>
      <c r="BI371" s="14"/>
      <c r="BJ371" s="14"/>
      <c r="BK371" s="14"/>
      <c r="BL371" s="14"/>
      <c r="BM371" s="14"/>
      <c r="BN371" s="14"/>
      <c r="BO371" s="14"/>
      <c r="BP371" s="14"/>
      <c r="BQ371" s="14"/>
      <c r="BR371" s="14"/>
      <c r="BS371" s="14"/>
      <c r="BT371" s="14"/>
      <c r="BU371" s="14"/>
      <c r="BV371" s="14"/>
      <c r="BW371" s="14"/>
      <c r="BX371" s="14"/>
      <c r="BY371" s="14"/>
      <c r="BZ371" s="14"/>
      <c r="CA371" s="14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</row>
    <row r="372" spans="1:101" ht="14.25" customHeight="1" x14ac:dyDescent="0.2">
      <c r="A372" s="328"/>
      <c r="B372" s="52">
        <v>0.12619255625965764</v>
      </c>
      <c r="C372" s="330">
        <v>0.22262040098471791</v>
      </c>
      <c r="D372" s="330">
        <v>1.6710413568304827E-2</v>
      </c>
      <c r="E372" s="330">
        <v>1.2877412014546098E-2</v>
      </c>
      <c r="F372" s="331">
        <v>0.79975746438179918</v>
      </c>
      <c r="G372" s="94">
        <v>0.34053042532734018</v>
      </c>
      <c r="H372" s="330">
        <v>0.25590367658592045</v>
      </c>
      <c r="I372" s="330">
        <v>2.3361722838647681E-2</v>
      </c>
      <c r="J372" s="330">
        <v>0.87514365115216142</v>
      </c>
      <c r="K372" s="330">
        <v>0.71603000835964048</v>
      </c>
      <c r="L372" s="332">
        <v>9996.113067876764</v>
      </c>
      <c r="M372" s="330">
        <v>0</v>
      </c>
      <c r="N372" s="330">
        <v>17770.203158090364</v>
      </c>
      <c r="O372" s="330">
        <v>1099.8528078893091</v>
      </c>
      <c r="P372" s="330">
        <v>59465.564342941158</v>
      </c>
      <c r="Q372" s="333">
        <v>95180.358202119169</v>
      </c>
      <c r="R372" s="330">
        <v>16360.338028192195</v>
      </c>
      <c r="S372" s="330">
        <v>12222.519285424254</v>
      </c>
      <c r="T372" s="332">
        <v>0.17730601937736976</v>
      </c>
      <c r="U372" s="330">
        <v>0.82504039248699568</v>
      </c>
      <c r="V372" s="330">
        <v>0.97361826476409896</v>
      </c>
      <c r="W372" s="330">
        <v>0.8670371871153959</v>
      </c>
      <c r="X372" s="330">
        <v>1.3558191573304415E-3</v>
      </c>
      <c r="Y372" s="330">
        <v>0</v>
      </c>
      <c r="Z372" s="331">
        <v>0</v>
      </c>
      <c r="AA372" s="235"/>
      <c r="AB372" s="52">
        <v>115695.65822171271</v>
      </c>
      <c r="AC372" s="330">
        <v>0.10124634472954061</v>
      </c>
      <c r="AD372" s="330">
        <v>97007.224544150798</v>
      </c>
      <c r="AE372" s="330">
        <v>7.7927120732244004E-2</v>
      </c>
      <c r="AF372" s="330">
        <v>18688.433677561916</v>
      </c>
      <c r="AG372" s="331">
        <v>2.3319223997296606E-2</v>
      </c>
      <c r="AH372" s="235"/>
      <c r="AI372" s="208">
        <f t="shared" si="40"/>
        <v>-19511.630728649136</v>
      </c>
      <c r="AJ372" s="208">
        <f t="shared" si="41"/>
        <v>-22976.459848518993</v>
      </c>
      <c r="AK372" s="208">
        <f t="shared" si="42"/>
        <v>3464.8291198698607</v>
      </c>
      <c r="AL372" s="235"/>
      <c r="AM372" s="52">
        <f t="shared" si="30"/>
        <v>1</v>
      </c>
      <c r="AN372" s="52">
        <f t="shared" si="31"/>
        <v>0</v>
      </c>
      <c r="AO372" s="52">
        <f t="shared" si="32"/>
        <v>1</v>
      </c>
      <c r="AP372" s="235"/>
      <c r="AQ372" s="3"/>
      <c r="AR372" s="3"/>
      <c r="AS372" s="3"/>
      <c r="AT372" s="3"/>
      <c r="AU372" s="235"/>
      <c r="AV372" s="360">
        <f t="shared" si="43"/>
        <v>-19511.630728649136</v>
      </c>
      <c r="AW372" s="235"/>
      <c r="AX372" s="354"/>
      <c r="AY372" s="14"/>
      <c r="AZ372" s="14">
        <f t="shared" si="45"/>
        <v>18688.433677561916</v>
      </c>
      <c r="BA372" s="14">
        <f t="shared" si="44"/>
        <v>2.3319223997296606E-2</v>
      </c>
      <c r="BB372" s="14">
        <f t="shared" si="33"/>
        <v>801417.47768829972</v>
      </c>
      <c r="BC372" s="14"/>
      <c r="BD372" s="14"/>
      <c r="BE372" s="14"/>
      <c r="BF372" s="14"/>
      <c r="BG372" s="14"/>
      <c r="BH372" s="14"/>
      <c r="BI372" s="14"/>
      <c r="BJ372" s="14"/>
      <c r="BK372" s="14"/>
      <c r="BL372" s="14"/>
      <c r="BM372" s="14"/>
      <c r="BN372" s="14"/>
      <c r="BO372" s="14"/>
      <c r="BP372" s="14"/>
      <c r="BQ372" s="14"/>
      <c r="BR372" s="14"/>
      <c r="BS372" s="14"/>
      <c r="BT372" s="14"/>
      <c r="BU372" s="14"/>
      <c r="BV372" s="14"/>
      <c r="BW372" s="14"/>
      <c r="BX372" s="14"/>
      <c r="BY372" s="14"/>
      <c r="BZ372" s="14"/>
      <c r="CA372" s="14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</row>
    <row r="373" spans="1:101" ht="14.25" customHeight="1" x14ac:dyDescent="0.2">
      <c r="A373" s="328"/>
      <c r="B373" s="52">
        <v>0.1684370186929427</v>
      </c>
      <c r="C373" s="330">
        <v>0.28151851660004223</v>
      </c>
      <c r="D373" s="330">
        <v>8.3560019391540029E-3</v>
      </c>
      <c r="E373" s="330">
        <v>3.983453267140491E-2</v>
      </c>
      <c r="F373" s="331">
        <v>0.80307578527469636</v>
      </c>
      <c r="G373" s="94">
        <v>0.37176687255849333</v>
      </c>
      <c r="H373" s="330">
        <v>1.0115872158364052E-2</v>
      </c>
      <c r="I373" s="330">
        <v>1.9500562294973545E-2</v>
      </c>
      <c r="J373" s="330">
        <v>0.99999999335390333</v>
      </c>
      <c r="K373" s="330">
        <v>0.76400338280417868</v>
      </c>
      <c r="L373" s="332">
        <v>12650.632557065015</v>
      </c>
      <c r="M373" s="330">
        <v>0</v>
      </c>
      <c r="N373" s="330">
        <v>16915.766422222223</v>
      </c>
      <c r="O373" s="330">
        <v>981.41324709175251</v>
      </c>
      <c r="P373" s="330">
        <v>43584.688348970725</v>
      </c>
      <c r="Q373" s="333">
        <v>150464.34596479867</v>
      </c>
      <c r="R373" s="330">
        <v>19640.385270954888</v>
      </c>
      <c r="S373" s="330">
        <v>10192.667813853972</v>
      </c>
      <c r="T373" s="332">
        <v>0.9671479147125267</v>
      </c>
      <c r="U373" s="330">
        <v>0.17562737782089924</v>
      </c>
      <c r="V373" s="330">
        <v>0.86233182068289349</v>
      </c>
      <c r="W373" s="330">
        <v>0.93725832786109742</v>
      </c>
      <c r="X373" s="330">
        <v>0.9974780268016844</v>
      </c>
      <c r="Y373" s="330">
        <v>0</v>
      </c>
      <c r="Z373" s="331">
        <v>0</v>
      </c>
      <c r="AA373" s="235"/>
      <c r="AB373" s="52">
        <v>101802.74344798071</v>
      </c>
      <c r="AC373" s="330">
        <v>4.8505005449441034</v>
      </c>
      <c r="AD373" s="330">
        <v>85573.382111617146</v>
      </c>
      <c r="AE373" s="330">
        <v>4.6340316546012934</v>
      </c>
      <c r="AF373" s="330">
        <v>16229.361336363567</v>
      </c>
      <c r="AG373" s="331">
        <v>0.21646889034281003</v>
      </c>
      <c r="AH373" s="235"/>
      <c r="AI373" s="208">
        <f t="shared" si="40"/>
        <v>4506172.7742489176</v>
      </c>
      <c r="AJ373" s="208">
        <f t="shared" si="41"/>
        <v>4316756.6897596112</v>
      </c>
      <c r="AK373" s="208">
        <f t="shared" si="42"/>
        <v>189416.08448930597</v>
      </c>
      <c r="AL373" s="235"/>
      <c r="AM373" s="52">
        <f t="shared" si="30"/>
        <v>1</v>
      </c>
      <c r="AN373" s="52">
        <f t="shared" si="31"/>
        <v>0</v>
      </c>
      <c r="AO373" s="52">
        <f t="shared" si="32"/>
        <v>1</v>
      </c>
      <c r="AP373" s="235"/>
      <c r="AQ373" s="3"/>
      <c r="AR373" s="3"/>
      <c r="AS373" s="3"/>
      <c r="AT373" s="3"/>
      <c r="AU373" s="235"/>
      <c r="AV373" s="360">
        <f t="shared" si="43"/>
        <v>4506172.7742489176</v>
      </c>
      <c r="AW373" s="235"/>
      <c r="AX373" s="354"/>
      <c r="AY373" s="14"/>
      <c r="AZ373" s="14">
        <f t="shared" si="45"/>
        <v>16229.361336363567</v>
      </c>
      <c r="BA373" s="14">
        <f t="shared" si="44"/>
        <v>0.21646889034281003</v>
      </c>
      <c r="BB373" s="14">
        <f t="shared" si="33"/>
        <v>74973.181183966008</v>
      </c>
      <c r="BC373" s="14"/>
      <c r="BD373" s="14"/>
      <c r="BE373" s="14"/>
      <c r="BF373" s="14"/>
      <c r="BG373" s="14"/>
      <c r="BH373" s="14"/>
      <c r="BI373" s="14"/>
      <c r="BJ373" s="14"/>
      <c r="BK373" s="14"/>
      <c r="BL373" s="14"/>
      <c r="BM373" s="14"/>
      <c r="BN373" s="14"/>
      <c r="BO373" s="14"/>
      <c r="BP373" s="14"/>
      <c r="BQ373" s="14"/>
      <c r="BR373" s="14"/>
      <c r="BS373" s="14"/>
      <c r="BT373" s="14"/>
      <c r="BU373" s="14"/>
      <c r="BV373" s="14"/>
      <c r="BW373" s="14"/>
      <c r="BX373" s="14"/>
      <c r="BY373" s="14"/>
      <c r="BZ373" s="14"/>
      <c r="CA373" s="14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</row>
    <row r="374" spans="1:101" ht="14.25" customHeight="1" x14ac:dyDescent="0.2">
      <c r="A374" s="328"/>
      <c r="B374" s="52">
        <v>0.1851912375712319</v>
      </c>
      <c r="C374" s="330">
        <v>0.59499144384151514</v>
      </c>
      <c r="D374" s="330">
        <v>1.4925253057830656E-2</v>
      </c>
      <c r="E374" s="330">
        <v>2.7349356793019863E-2</v>
      </c>
      <c r="F374" s="331">
        <v>0.80029020215385094</v>
      </c>
      <c r="G374" s="94">
        <v>0.48247419049664197</v>
      </c>
      <c r="H374" s="330">
        <v>6.7367310884044532E-2</v>
      </c>
      <c r="I374" s="330">
        <v>1.6887398847720503E-2</v>
      </c>
      <c r="J374" s="330">
        <v>0.99999999976722731</v>
      </c>
      <c r="K374" s="330">
        <v>0.71766191295995241</v>
      </c>
      <c r="L374" s="332">
        <v>14162.621914403277</v>
      </c>
      <c r="M374" s="330">
        <v>0</v>
      </c>
      <c r="N374" s="330">
        <v>22683.631960188522</v>
      </c>
      <c r="O374" s="330">
        <v>1111.523951275436</v>
      </c>
      <c r="P374" s="330">
        <v>51971.53158921023</v>
      </c>
      <c r="Q374" s="333">
        <v>89862.820438483541</v>
      </c>
      <c r="R374" s="330">
        <v>26782.557027303359</v>
      </c>
      <c r="S374" s="330">
        <v>7079.6783876512318</v>
      </c>
      <c r="T374" s="332">
        <v>0.14842485036443334</v>
      </c>
      <c r="U374" s="330">
        <v>0.88199148705129093</v>
      </c>
      <c r="V374" s="330">
        <v>0.77312939666135905</v>
      </c>
      <c r="W374" s="330">
        <v>0.96692651346431724</v>
      </c>
      <c r="X374" s="330">
        <v>0.98810071905401853</v>
      </c>
      <c r="Y374" s="330">
        <v>0</v>
      </c>
      <c r="Z374" s="331">
        <v>0</v>
      </c>
      <c r="AA374" s="235"/>
      <c r="AB374" s="52">
        <v>78374.568730567742</v>
      </c>
      <c r="AC374" s="330">
        <v>4.8190741193518214</v>
      </c>
      <c r="AD374" s="330">
        <v>57385.786752558255</v>
      </c>
      <c r="AE374" s="330">
        <v>4.5425524000807158</v>
      </c>
      <c r="AF374" s="330">
        <v>20988.781978009487</v>
      </c>
      <c r="AG374" s="331">
        <v>0.27652171927110558</v>
      </c>
      <c r="AH374" s="235"/>
      <c r="AI374" s="208">
        <f t="shared" si="40"/>
        <v>4499745.8446536623</v>
      </c>
      <c r="AJ374" s="208">
        <f t="shared" si="41"/>
        <v>4258038.9933241215</v>
      </c>
      <c r="AK374" s="208">
        <f t="shared" si="42"/>
        <v>241706.85132954078</v>
      </c>
      <c r="AL374" s="235"/>
      <c r="AM374" s="52">
        <f t="shared" si="30"/>
        <v>1</v>
      </c>
      <c r="AN374" s="52">
        <f t="shared" si="31"/>
        <v>0</v>
      </c>
      <c r="AO374" s="52">
        <f t="shared" si="32"/>
        <v>1</v>
      </c>
      <c r="AP374" s="235"/>
      <c r="AQ374" s="3"/>
      <c r="AR374" s="3"/>
      <c r="AS374" s="3"/>
      <c r="AT374" s="3"/>
      <c r="AU374" s="235"/>
      <c r="AV374" s="360">
        <f t="shared" si="43"/>
        <v>4499745.8446536623</v>
      </c>
      <c r="AW374" s="235"/>
      <c r="AX374" s="354"/>
      <c r="AY374" s="14"/>
      <c r="AZ374" s="14">
        <f t="shared" si="45"/>
        <v>20988.781978009487</v>
      </c>
      <c r="BA374" s="14">
        <f t="shared" si="44"/>
        <v>0.27652171927110558</v>
      </c>
      <c r="BB374" s="14">
        <f t="shared" si="33"/>
        <v>75902.833359110591</v>
      </c>
      <c r="BC374" s="14"/>
      <c r="BD374" s="14"/>
      <c r="BE374" s="14"/>
      <c r="BF374" s="14"/>
      <c r="BG374" s="14"/>
      <c r="BH374" s="14"/>
      <c r="BI374" s="14"/>
      <c r="BJ374" s="14"/>
      <c r="BK374" s="14"/>
      <c r="BL374" s="14"/>
      <c r="BM374" s="14"/>
      <c r="BN374" s="14"/>
      <c r="BO374" s="14"/>
      <c r="BP374" s="14"/>
      <c r="BQ374" s="14"/>
      <c r="BR374" s="14"/>
      <c r="BS374" s="14"/>
      <c r="BT374" s="14"/>
      <c r="BU374" s="14"/>
      <c r="BV374" s="14"/>
      <c r="BW374" s="14"/>
      <c r="BX374" s="14"/>
      <c r="BY374" s="14"/>
      <c r="BZ374" s="14"/>
      <c r="CA374" s="14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</row>
    <row r="375" spans="1:101" ht="14.25" customHeight="1" x14ac:dyDescent="0.2">
      <c r="A375" s="328"/>
      <c r="B375" s="52">
        <v>0.18880298040903565</v>
      </c>
      <c r="C375" s="330">
        <v>0.31798135156397478</v>
      </c>
      <c r="D375" s="330">
        <v>1.3430005211244088E-2</v>
      </c>
      <c r="E375" s="330">
        <v>1.249212222271634E-2</v>
      </c>
      <c r="F375" s="331">
        <v>0.78772074602185183</v>
      </c>
      <c r="G375" s="94">
        <v>0.31791151682791097</v>
      </c>
      <c r="H375" s="330">
        <v>0.12203131638742117</v>
      </c>
      <c r="I375" s="330">
        <v>1.7980062680288511E-2</v>
      </c>
      <c r="J375" s="330">
        <v>0.99883717522657189</v>
      </c>
      <c r="K375" s="330">
        <v>0.75293505062726396</v>
      </c>
      <c r="L375" s="332">
        <v>9583.1579061014963</v>
      </c>
      <c r="M375" s="330">
        <v>0</v>
      </c>
      <c r="N375" s="330">
        <v>14796.835193844687</v>
      </c>
      <c r="O375" s="330">
        <v>1495.3873141545807</v>
      </c>
      <c r="P375" s="330">
        <v>45794.135743639388</v>
      </c>
      <c r="Q375" s="333">
        <v>62959.79608680158</v>
      </c>
      <c r="R375" s="330">
        <v>15643.639755036158</v>
      </c>
      <c r="S375" s="330">
        <v>9710.7124180117626</v>
      </c>
      <c r="T375" s="332">
        <v>2.365509213703983E-2</v>
      </c>
      <c r="U375" s="330">
        <v>0.98870997328418975</v>
      </c>
      <c r="V375" s="330">
        <v>0.79021384397925232</v>
      </c>
      <c r="W375" s="330">
        <v>0.72507713237536531</v>
      </c>
      <c r="X375" s="330">
        <v>0.93691972107380495</v>
      </c>
      <c r="Y375" s="330">
        <v>0</v>
      </c>
      <c r="Z375" s="331">
        <v>0</v>
      </c>
      <c r="AA375" s="235"/>
      <c r="AB375" s="52">
        <v>93052.95735764163</v>
      </c>
      <c r="AC375" s="330">
        <v>4.4602866120190328</v>
      </c>
      <c r="AD375" s="330">
        <v>80267.42327497575</v>
      </c>
      <c r="AE375" s="330">
        <v>4.5755837847919425</v>
      </c>
      <c r="AF375" s="330">
        <v>12785.534082665879</v>
      </c>
      <c r="AG375" s="331">
        <v>-0.11529717277290974</v>
      </c>
      <c r="AH375" s="235"/>
      <c r="AI375" s="208">
        <f t="shared" si="40"/>
        <v>4144219.3240604396</v>
      </c>
      <c r="AJ375" s="208">
        <f t="shared" si="41"/>
        <v>4266537.1722773695</v>
      </c>
      <c r="AK375" s="208">
        <f t="shared" si="42"/>
        <v>-122317.84821693013</v>
      </c>
      <c r="AL375" s="235"/>
      <c r="AM375" s="52">
        <f t="shared" si="30"/>
        <v>0</v>
      </c>
      <c r="AN375" s="52">
        <f t="shared" si="31"/>
        <v>1</v>
      </c>
      <c r="AO375" s="52">
        <f t="shared" si="32"/>
        <v>0</v>
      </c>
      <c r="AP375" s="235"/>
      <c r="AQ375" s="3"/>
      <c r="AR375" s="3"/>
      <c r="AS375" s="3"/>
      <c r="AT375" s="3"/>
      <c r="AU375" s="235"/>
      <c r="AV375" s="360">
        <f t="shared" si="43"/>
        <v>4266537.1722773695</v>
      </c>
      <c r="AW375" s="235"/>
      <c r="AX375" s="354"/>
      <c r="AY375" s="14"/>
      <c r="AZ375" s="14">
        <f t="shared" si="45"/>
        <v>12785.534082665879</v>
      </c>
      <c r="BA375" s="14">
        <f t="shared" si="44"/>
        <v>-0.11529717277290974</v>
      </c>
      <c r="BB375" s="14">
        <f t="shared" si="33"/>
        <v>-110891.99999594415</v>
      </c>
      <c r="BC375" s="14"/>
      <c r="BD375" s="14"/>
      <c r="BE375" s="14"/>
      <c r="BF375" s="14"/>
      <c r="BG375" s="14"/>
      <c r="BH375" s="14"/>
      <c r="BI375" s="14"/>
      <c r="BJ375" s="14"/>
      <c r="BK375" s="14"/>
      <c r="BL375" s="14"/>
      <c r="BM375" s="14"/>
      <c r="BN375" s="14"/>
      <c r="BO375" s="14"/>
      <c r="BP375" s="14"/>
      <c r="BQ375" s="14"/>
      <c r="BR375" s="14"/>
      <c r="BS375" s="14"/>
      <c r="BT375" s="14"/>
      <c r="BU375" s="14"/>
      <c r="BV375" s="14"/>
      <c r="BW375" s="14"/>
      <c r="BX375" s="14"/>
      <c r="BY375" s="14"/>
      <c r="BZ375" s="14"/>
      <c r="CA375" s="14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</row>
    <row r="376" spans="1:101" ht="14.25" customHeight="1" x14ac:dyDescent="0.2">
      <c r="A376" s="328"/>
      <c r="B376" s="52">
        <v>0.15641841975567389</v>
      </c>
      <c r="C376" s="330">
        <v>0.70411612751648978</v>
      </c>
      <c r="D376" s="330">
        <v>2.2829548341598005E-2</v>
      </c>
      <c r="E376" s="330">
        <v>2.1157022064038467E-2</v>
      </c>
      <c r="F376" s="331">
        <v>0.800765248502878</v>
      </c>
      <c r="G376" s="94">
        <v>0.42509421749162213</v>
      </c>
      <c r="H376" s="330">
        <v>0.14276302891906054</v>
      </c>
      <c r="I376" s="330">
        <v>1.9865193803979943E-3</v>
      </c>
      <c r="J376" s="330">
        <v>0.99999774095647964</v>
      </c>
      <c r="K376" s="330">
        <v>0.69397008470412158</v>
      </c>
      <c r="L376" s="332">
        <v>11114.934950447805</v>
      </c>
      <c r="M376" s="330">
        <v>0</v>
      </c>
      <c r="N376" s="330">
        <v>15146.732937540935</v>
      </c>
      <c r="O376" s="330">
        <v>1051.5316475378904</v>
      </c>
      <c r="P376" s="330">
        <v>51932.999219934769</v>
      </c>
      <c r="Q376" s="333">
        <v>105475.68166918232</v>
      </c>
      <c r="R376" s="330">
        <v>23820.966380303071</v>
      </c>
      <c r="S376" s="330">
        <v>10612.213862865783</v>
      </c>
      <c r="T376" s="332">
        <v>0.99852110979885</v>
      </c>
      <c r="U376" s="330">
        <v>0.47711465319923507</v>
      </c>
      <c r="V376" s="330">
        <v>0.9943221606931999</v>
      </c>
      <c r="W376" s="330">
        <v>0.99021741090252569</v>
      </c>
      <c r="X376" s="330">
        <v>0.32804729211887246</v>
      </c>
      <c r="Y376" s="330">
        <v>0</v>
      </c>
      <c r="Z376" s="331">
        <v>0</v>
      </c>
      <c r="AA376" s="235"/>
      <c r="AB376" s="52">
        <v>105477.53998234196</v>
      </c>
      <c r="AC376" s="330">
        <v>1.8083324587368017</v>
      </c>
      <c r="AD376" s="330">
        <v>81080.433667809193</v>
      </c>
      <c r="AE376" s="330">
        <v>1.4373358600235875</v>
      </c>
      <c r="AF376" s="330">
        <v>24397.106314532764</v>
      </c>
      <c r="AG376" s="331">
        <v>0.37099659871321422</v>
      </c>
      <c r="AH376" s="235"/>
      <c r="AI376" s="208">
        <f t="shared" si="40"/>
        <v>1612438.2958176197</v>
      </c>
      <c r="AJ376" s="208">
        <f t="shared" si="41"/>
        <v>1284388.6333545989</v>
      </c>
      <c r="AK376" s="208">
        <f t="shared" si="42"/>
        <v>328049.66246302077</v>
      </c>
      <c r="AL376" s="235"/>
      <c r="AM376" s="52">
        <f t="shared" si="30"/>
        <v>1</v>
      </c>
      <c r="AN376" s="52">
        <f t="shared" si="31"/>
        <v>0</v>
      </c>
      <c r="AO376" s="52">
        <f t="shared" si="32"/>
        <v>1</v>
      </c>
      <c r="AP376" s="235"/>
      <c r="AQ376" s="3"/>
      <c r="AR376" s="3"/>
      <c r="AS376" s="3"/>
      <c r="AT376" s="3"/>
      <c r="AU376" s="235"/>
      <c r="AV376" s="360">
        <f t="shared" si="43"/>
        <v>1612438.2958176197</v>
      </c>
      <c r="AW376" s="235"/>
      <c r="AX376" s="354"/>
      <c r="AY376" s="14"/>
      <c r="AZ376" s="14">
        <f t="shared" si="45"/>
        <v>24397.106314532764</v>
      </c>
      <c r="BA376" s="14">
        <f t="shared" si="44"/>
        <v>0.37099659871321422</v>
      </c>
      <c r="BB376" s="14">
        <f t="shared" si="33"/>
        <v>65760.997268312116</v>
      </c>
      <c r="BC376" s="14"/>
      <c r="BD376" s="14"/>
      <c r="BE376" s="14"/>
      <c r="BF376" s="14"/>
      <c r="BG376" s="14"/>
      <c r="BH376" s="14"/>
      <c r="BI376" s="14"/>
      <c r="BJ376" s="14"/>
      <c r="BK376" s="14"/>
      <c r="BL376" s="14"/>
      <c r="BM376" s="14"/>
      <c r="BN376" s="14"/>
      <c r="BO376" s="14"/>
      <c r="BP376" s="14"/>
      <c r="BQ376" s="14"/>
      <c r="BR376" s="14"/>
      <c r="BS376" s="14"/>
      <c r="BT376" s="14"/>
      <c r="BU376" s="14"/>
      <c r="BV376" s="14"/>
      <c r="BW376" s="14"/>
      <c r="BX376" s="14"/>
      <c r="BY376" s="14"/>
      <c r="BZ376" s="14"/>
      <c r="CA376" s="14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</row>
    <row r="377" spans="1:101" ht="14.25" customHeight="1" x14ac:dyDescent="0.2">
      <c r="A377" s="328"/>
      <c r="B377" s="52">
        <v>0.14685820555444257</v>
      </c>
      <c r="C377" s="330">
        <v>2.1155328026502586E-2</v>
      </c>
      <c r="D377" s="330">
        <v>1.698204277350257E-2</v>
      </c>
      <c r="E377" s="330">
        <v>2.5798556914920057E-2</v>
      </c>
      <c r="F377" s="331">
        <v>0.77725954009064657</v>
      </c>
      <c r="G377" s="94">
        <v>0.37877345791828043</v>
      </c>
      <c r="H377" s="330">
        <v>0.24678430711118238</v>
      </c>
      <c r="I377" s="330">
        <v>1.9933356340793407E-2</v>
      </c>
      <c r="J377" s="330">
        <v>0.99999999761212899</v>
      </c>
      <c r="K377" s="330">
        <v>0.83442599664310979</v>
      </c>
      <c r="L377" s="332">
        <v>12780.752240293543</v>
      </c>
      <c r="M377" s="330">
        <v>0</v>
      </c>
      <c r="N377" s="330">
        <v>18593.410008517949</v>
      </c>
      <c r="O377" s="330">
        <v>1350.4806157255834</v>
      </c>
      <c r="P377" s="330">
        <v>26733.058895296392</v>
      </c>
      <c r="Q377" s="333">
        <v>104067.30906282862</v>
      </c>
      <c r="R377" s="330">
        <v>33843.466925600551</v>
      </c>
      <c r="S377" s="330">
        <v>9712.6897053521352</v>
      </c>
      <c r="T377" s="332">
        <v>0.99421279638828064</v>
      </c>
      <c r="U377" s="330">
        <v>0.97205891322505056</v>
      </c>
      <c r="V377" s="330">
        <v>0.99998568675589672</v>
      </c>
      <c r="W377" s="330">
        <v>0.99976239116096888</v>
      </c>
      <c r="X377" s="330">
        <v>0.57981864689067042</v>
      </c>
      <c r="Y377" s="330">
        <v>0</v>
      </c>
      <c r="Z377" s="331">
        <v>0</v>
      </c>
      <c r="AA377" s="235"/>
      <c r="AB377" s="52">
        <v>94359.760144132597</v>
      </c>
      <c r="AC377" s="330">
        <v>2.906686749445885</v>
      </c>
      <c r="AD377" s="330">
        <v>91716.845700114965</v>
      </c>
      <c r="AE377" s="330">
        <v>2.9968272020938103</v>
      </c>
      <c r="AF377" s="330">
        <v>2642.9144440176315</v>
      </c>
      <c r="AG377" s="331">
        <v>-9.0140452647925251E-2</v>
      </c>
      <c r="AH377" s="235"/>
      <c r="AI377" s="208">
        <f t="shared" si="40"/>
        <v>2666992.6518294583</v>
      </c>
      <c r="AJ377" s="208">
        <f t="shared" si="41"/>
        <v>2755268.9962890046</v>
      </c>
      <c r="AK377" s="208">
        <f t="shared" si="42"/>
        <v>-88276.344459546614</v>
      </c>
      <c r="AL377" s="235"/>
      <c r="AM377" s="52">
        <f t="shared" si="30"/>
        <v>0</v>
      </c>
      <c r="AN377" s="52">
        <f t="shared" si="31"/>
        <v>1</v>
      </c>
      <c r="AO377" s="52">
        <f t="shared" si="32"/>
        <v>0</v>
      </c>
      <c r="AP377" s="235"/>
      <c r="AQ377" s="3"/>
      <c r="AR377" s="3"/>
      <c r="AS377" s="3"/>
      <c r="AT377" s="3"/>
      <c r="AU377" s="235"/>
      <c r="AV377" s="360">
        <f t="shared" si="43"/>
        <v>2755268.9962890046</v>
      </c>
      <c r="AW377" s="235"/>
      <c r="AX377" s="354"/>
      <c r="AY377" s="14"/>
      <c r="AZ377" s="14">
        <f t="shared" si="45"/>
        <v>2642.9144440176315</v>
      </c>
      <c r="BA377" s="14">
        <f t="shared" si="44"/>
        <v>-9.0140452647925251E-2</v>
      </c>
      <c r="BB377" s="14">
        <f t="shared" si="33"/>
        <v>-29319.959755920561</v>
      </c>
      <c r="BC377" s="14"/>
      <c r="BD377" s="14"/>
      <c r="BE377" s="14"/>
      <c r="BF377" s="14"/>
      <c r="BG377" s="14"/>
      <c r="BH377" s="14"/>
      <c r="BI377" s="14"/>
      <c r="BJ377" s="14"/>
      <c r="BK377" s="14"/>
      <c r="BL377" s="14"/>
      <c r="BM377" s="14"/>
      <c r="BN377" s="14"/>
      <c r="BO377" s="14"/>
      <c r="BP377" s="14"/>
      <c r="BQ377" s="14"/>
      <c r="BR377" s="14"/>
      <c r="BS377" s="14"/>
      <c r="BT377" s="14"/>
      <c r="BU377" s="14"/>
      <c r="BV377" s="14"/>
      <c r="BW377" s="14"/>
      <c r="BX377" s="14"/>
      <c r="BY377" s="14"/>
      <c r="BZ377" s="14"/>
      <c r="CA377" s="14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</row>
    <row r="378" spans="1:101" ht="14.25" customHeight="1" x14ac:dyDescent="0.2">
      <c r="A378" s="328"/>
      <c r="B378" s="52">
        <v>0.19429153131021037</v>
      </c>
      <c r="C378" s="330">
        <v>0.43582342462836776</v>
      </c>
      <c r="D378" s="330">
        <v>8.5431779941012777E-3</v>
      </c>
      <c r="E378" s="330">
        <v>1.8829110317698072E-2</v>
      </c>
      <c r="F378" s="331">
        <v>0.77253516345709727</v>
      </c>
      <c r="G378" s="94">
        <v>0.43002160958356683</v>
      </c>
      <c r="H378" s="330">
        <v>0.13823301929561643</v>
      </c>
      <c r="I378" s="330">
        <v>5.9971984893020915E-3</v>
      </c>
      <c r="J378" s="330">
        <v>7.1267193384247076E-3</v>
      </c>
      <c r="K378" s="330">
        <v>0.75153847651193806</v>
      </c>
      <c r="L378" s="332">
        <v>13655.441107513039</v>
      </c>
      <c r="M378" s="330">
        <v>0</v>
      </c>
      <c r="N378" s="330">
        <v>16099.073244183544</v>
      </c>
      <c r="O378" s="330">
        <v>1250.1415697086625</v>
      </c>
      <c r="P378" s="330">
        <v>44552.583166142307</v>
      </c>
      <c r="Q378" s="333">
        <v>119371.50165021715</v>
      </c>
      <c r="R378" s="330">
        <v>21388.109018651943</v>
      </c>
      <c r="S378" s="330">
        <v>9922.5099307928467</v>
      </c>
      <c r="T378" s="332">
        <v>2.7733067107417013E-2</v>
      </c>
      <c r="U378" s="330">
        <v>0.86786243653917727</v>
      </c>
      <c r="V378" s="330">
        <v>0.85095641575169534</v>
      </c>
      <c r="W378" s="330">
        <v>0.99995252683071256</v>
      </c>
      <c r="X378" s="330">
        <v>0.84167278179639127</v>
      </c>
      <c r="Y378" s="330">
        <v>0</v>
      </c>
      <c r="Z378" s="331">
        <v>0</v>
      </c>
      <c r="AA378" s="235"/>
      <c r="AB378" s="52">
        <v>98169.568837431318</v>
      </c>
      <c r="AC378" s="330">
        <v>3.9379729314050134</v>
      </c>
      <c r="AD378" s="330">
        <v>82158.724477237643</v>
      </c>
      <c r="AE378" s="330">
        <v>4.1167489596191755</v>
      </c>
      <c r="AF378" s="330">
        <v>16010.844360193674</v>
      </c>
      <c r="AG378" s="331">
        <v>-0.17877602821416216</v>
      </c>
      <c r="AH378" s="235"/>
      <c r="AI378" s="208">
        <f t="shared" si="40"/>
        <v>3642904.7159973313</v>
      </c>
      <c r="AJ378" s="208">
        <f t="shared" si="41"/>
        <v>3828752.7871609791</v>
      </c>
      <c r="AK378" s="208">
        <f t="shared" si="42"/>
        <v>-185848.07116364772</v>
      </c>
      <c r="AL378" s="235"/>
      <c r="AM378" s="52">
        <f t="shared" si="30"/>
        <v>0</v>
      </c>
      <c r="AN378" s="52">
        <f t="shared" si="31"/>
        <v>1</v>
      </c>
      <c r="AO378" s="52">
        <f t="shared" si="32"/>
        <v>0</v>
      </c>
      <c r="AP378" s="235"/>
      <c r="AQ378" s="3"/>
      <c r="AR378" s="3"/>
      <c r="AS378" s="3"/>
      <c r="AT378" s="3"/>
      <c r="AU378" s="235"/>
      <c r="AV378" s="360">
        <f t="shared" si="43"/>
        <v>3828752.7871609791</v>
      </c>
      <c r="AW378" s="235"/>
      <c r="AX378" s="354"/>
      <c r="AY378" s="14"/>
      <c r="AZ378" s="14">
        <f t="shared" si="45"/>
        <v>16010.844360193674</v>
      </c>
      <c r="BA378" s="14">
        <f t="shared" si="44"/>
        <v>-0.17877602821416216</v>
      </c>
      <c r="BB378" s="14">
        <f t="shared" si="33"/>
        <v>-89558.116488714659</v>
      </c>
      <c r="BC378" s="14"/>
      <c r="BD378" s="14"/>
      <c r="BE378" s="14"/>
      <c r="BF378" s="14"/>
      <c r="BG378" s="14"/>
      <c r="BH378" s="14"/>
      <c r="BI378" s="14"/>
      <c r="BJ378" s="14"/>
      <c r="BK378" s="14"/>
      <c r="BL378" s="14"/>
      <c r="BM378" s="14"/>
      <c r="BN378" s="14"/>
      <c r="BO378" s="14"/>
      <c r="BP378" s="14"/>
      <c r="BQ378" s="14"/>
      <c r="BR378" s="14"/>
      <c r="BS378" s="14"/>
      <c r="BT378" s="14"/>
      <c r="BU378" s="14"/>
      <c r="BV378" s="14"/>
      <c r="BW378" s="14"/>
      <c r="BX378" s="14"/>
      <c r="BY378" s="14"/>
      <c r="BZ378" s="14"/>
      <c r="CA378" s="14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</row>
    <row r="379" spans="1:101" ht="14.25" customHeight="1" x14ac:dyDescent="0.2">
      <c r="A379" s="328"/>
      <c r="B379" s="52">
        <v>0.13321715066890369</v>
      </c>
      <c r="C379" s="330">
        <v>0.69061865766204067</v>
      </c>
      <c r="D379" s="330">
        <v>2.3619051502428601E-2</v>
      </c>
      <c r="E379" s="330">
        <v>1.7851926259165984E-2</v>
      </c>
      <c r="F379" s="331">
        <v>0.77955730510441523</v>
      </c>
      <c r="G379" s="94">
        <v>0.38946519671381485</v>
      </c>
      <c r="H379" s="330">
        <v>0.43152107181606608</v>
      </c>
      <c r="I379" s="330">
        <v>2.3321638128596445E-2</v>
      </c>
      <c r="J379" s="330">
        <v>0.99980138098070837</v>
      </c>
      <c r="K379" s="330">
        <v>0.74701999092829074</v>
      </c>
      <c r="L379" s="332">
        <v>13494.57626287434</v>
      </c>
      <c r="M379" s="330">
        <v>0</v>
      </c>
      <c r="N379" s="330">
        <v>20461.225721701914</v>
      </c>
      <c r="O379" s="330">
        <v>1267.2221275820314</v>
      </c>
      <c r="P379" s="330">
        <v>53159.089733535904</v>
      </c>
      <c r="Q379" s="333">
        <v>88415.566571864241</v>
      </c>
      <c r="R379" s="330">
        <v>23469.687628743668</v>
      </c>
      <c r="S379" s="330">
        <v>8703.2213817773736</v>
      </c>
      <c r="T379" s="332">
        <v>0.98316282128833599</v>
      </c>
      <c r="U379" s="330">
        <v>0.64744980412561348</v>
      </c>
      <c r="V379" s="330">
        <v>0.60380351326224102</v>
      </c>
      <c r="W379" s="330">
        <v>0.53633497098857241</v>
      </c>
      <c r="X379" s="330">
        <v>0.78167659791556299</v>
      </c>
      <c r="Y379" s="330">
        <v>0</v>
      </c>
      <c r="Z379" s="331">
        <v>0</v>
      </c>
      <c r="AA379" s="235"/>
      <c r="AB379" s="52">
        <v>88912.741107224574</v>
      </c>
      <c r="AC379" s="330">
        <v>3.9065873356673322</v>
      </c>
      <c r="AD379" s="330">
        <v>75733.66782267057</v>
      </c>
      <c r="AE379" s="330">
        <v>3.5673994196933148</v>
      </c>
      <c r="AF379" s="330">
        <v>13179.073284554004</v>
      </c>
      <c r="AG379" s="331">
        <v>0.33918791597401743</v>
      </c>
      <c r="AH379" s="235"/>
      <c r="AI379" s="208">
        <f t="shared" si="40"/>
        <v>3622345.2277767411</v>
      </c>
      <c r="AJ379" s="208">
        <f t="shared" si="41"/>
        <v>3313295.7808859781</v>
      </c>
      <c r="AK379" s="208">
        <f t="shared" si="42"/>
        <v>309049.44689076254</v>
      </c>
      <c r="AL379" s="235"/>
      <c r="AM379" s="52">
        <f t="shared" si="30"/>
        <v>1</v>
      </c>
      <c r="AN379" s="52">
        <f t="shared" si="31"/>
        <v>0</v>
      </c>
      <c r="AO379" s="52">
        <f t="shared" si="32"/>
        <v>1</v>
      </c>
      <c r="AP379" s="235"/>
      <c r="AQ379" s="3"/>
      <c r="AR379" s="3"/>
      <c r="AS379" s="3"/>
      <c r="AT379" s="3"/>
      <c r="AU379" s="235"/>
      <c r="AV379" s="360">
        <f t="shared" si="43"/>
        <v>3622345.2277767411</v>
      </c>
      <c r="AW379" s="235"/>
      <c r="AX379" s="354"/>
      <c r="AY379" s="14"/>
      <c r="AZ379" s="14">
        <f t="shared" si="45"/>
        <v>13179.073284554004</v>
      </c>
      <c r="BA379" s="14">
        <f t="shared" si="44"/>
        <v>0.33918791597401743</v>
      </c>
      <c r="BB379" s="14">
        <f t="shared" si="33"/>
        <v>38854.78421808975</v>
      </c>
      <c r="BC379" s="14"/>
      <c r="BD379" s="14"/>
      <c r="BE379" s="14"/>
      <c r="BF379" s="14"/>
      <c r="BG379" s="14"/>
      <c r="BH379" s="14"/>
      <c r="BI379" s="14"/>
      <c r="BJ379" s="14"/>
      <c r="BK379" s="14"/>
      <c r="BL379" s="14"/>
      <c r="BM379" s="14"/>
      <c r="BN379" s="14"/>
      <c r="BO379" s="14"/>
      <c r="BP379" s="14"/>
      <c r="BQ379" s="14"/>
      <c r="BR379" s="14"/>
      <c r="BS379" s="14"/>
      <c r="BT379" s="14"/>
      <c r="BU379" s="14"/>
      <c r="BV379" s="14"/>
      <c r="BW379" s="14"/>
      <c r="BX379" s="14"/>
      <c r="BY379" s="14"/>
      <c r="BZ379" s="14"/>
      <c r="CA379" s="14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</row>
    <row r="380" spans="1:101" ht="14.25" customHeight="1" x14ac:dyDescent="0.2">
      <c r="A380" s="328"/>
      <c r="B380" s="52">
        <v>0.17554885696894929</v>
      </c>
      <c r="C380" s="330">
        <v>0.36370185901434948</v>
      </c>
      <c r="D380" s="330">
        <v>1.5397364709340056E-2</v>
      </c>
      <c r="E380" s="330">
        <v>1.4704207666406566E-2</v>
      </c>
      <c r="F380" s="331">
        <v>0.78713249136702002</v>
      </c>
      <c r="G380" s="94">
        <v>0.40815084269988322</v>
      </c>
      <c r="H380" s="330">
        <v>0.41657184924259955</v>
      </c>
      <c r="I380" s="330">
        <v>7.7028470036725905E-3</v>
      </c>
      <c r="J380" s="330">
        <v>0.99999961024066075</v>
      </c>
      <c r="K380" s="330">
        <v>0.77141417712807236</v>
      </c>
      <c r="L380" s="332">
        <v>13597.171508976307</v>
      </c>
      <c r="M380" s="330">
        <v>0</v>
      </c>
      <c r="N380" s="330">
        <v>19964.466358298392</v>
      </c>
      <c r="O380" s="330">
        <v>1195.4286783849666</v>
      </c>
      <c r="P380" s="330">
        <v>49773.294913457001</v>
      </c>
      <c r="Q380" s="333">
        <v>63038.428727537728</v>
      </c>
      <c r="R380" s="330">
        <v>29857.638247484385</v>
      </c>
      <c r="S380" s="330">
        <v>12695.889672772963</v>
      </c>
      <c r="T380" s="332">
        <v>0.59849485311917272</v>
      </c>
      <c r="U380" s="330">
        <v>0.98092041317714784</v>
      </c>
      <c r="V380" s="330">
        <v>0.64183288345129219</v>
      </c>
      <c r="W380" s="330">
        <v>0.4581435487440399</v>
      </c>
      <c r="X380" s="330">
        <v>0.72898240786870971</v>
      </c>
      <c r="Y380" s="330">
        <v>0</v>
      </c>
      <c r="Z380" s="331">
        <v>0</v>
      </c>
      <c r="AA380" s="235"/>
      <c r="AB380" s="52">
        <v>123127.44628942107</v>
      </c>
      <c r="AC380" s="330">
        <v>3.5827801150388532</v>
      </c>
      <c r="AD380" s="330">
        <v>111076.32786796421</v>
      </c>
      <c r="AE380" s="330">
        <v>3.663427328314679</v>
      </c>
      <c r="AF380" s="330">
        <v>12051.118421456864</v>
      </c>
      <c r="AG380" s="331">
        <v>-8.0647213275825802E-2</v>
      </c>
      <c r="AH380" s="235"/>
      <c r="AI380" s="208">
        <f t="shared" si="40"/>
        <v>3280513.6629974893</v>
      </c>
      <c r="AJ380" s="208">
        <f t="shared" si="41"/>
        <v>3369179.6340309805</v>
      </c>
      <c r="AK380" s="208">
        <f t="shared" si="42"/>
        <v>-88665.971033491369</v>
      </c>
      <c r="AL380" s="235"/>
      <c r="AM380" s="52">
        <f t="shared" si="30"/>
        <v>0</v>
      </c>
      <c r="AN380" s="52">
        <f t="shared" si="31"/>
        <v>1</v>
      </c>
      <c r="AO380" s="52">
        <f t="shared" si="32"/>
        <v>0</v>
      </c>
      <c r="AP380" s="235"/>
      <c r="AQ380" s="3"/>
      <c r="AR380" s="3"/>
      <c r="AS380" s="3"/>
      <c r="AT380" s="3"/>
      <c r="AU380" s="235"/>
      <c r="AV380" s="360">
        <f t="shared" si="43"/>
        <v>3369179.6340309805</v>
      </c>
      <c r="AW380" s="235"/>
      <c r="AX380" s="354"/>
      <c r="AY380" s="14"/>
      <c r="AZ380" s="14">
        <f t="shared" si="45"/>
        <v>12051.118421456864</v>
      </c>
      <c r="BA380" s="14">
        <f t="shared" si="44"/>
        <v>-8.0647213275825802E-2</v>
      </c>
      <c r="BB380" s="14">
        <f t="shared" si="33"/>
        <v>-149430.06623477733</v>
      </c>
      <c r="BC380" s="14"/>
      <c r="BD380" s="14"/>
      <c r="BE380" s="14"/>
      <c r="BF380" s="14"/>
      <c r="BG380" s="14"/>
      <c r="BH380" s="14"/>
      <c r="BI380" s="14"/>
      <c r="BJ380" s="14"/>
      <c r="BK380" s="14"/>
      <c r="BL380" s="14"/>
      <c r="BM380" s="14"/>
      <c r="BN380" s="14"/>
      <c r="BO380" s="14"/>
      <c r="BP380" s="14"/>
      <c r="BQ380" s="14"/>
      <c r="BR380" s="14"/>
      <c r="BS380" s="14"/>
      <c r="BT380" s="14"/>
      <c r="BU380" s="14"/>
      <c r="BV380" s="14"/>
      <c r="BW380" s="14"/>
      <c r="BX380" s="14"/>
      <c r="BY380" s="14"/>
      <c r="BZ380" s="14"/>
      <c r="CA380" s="14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</row>
    <row r="381" spans="1:101" ht="14.25" customHeight="1" x14ac:dyDescent="0.2">
      <c r="A381" s="328"/>
      <c r="B381" s="52">
        <v>0.17510294765589818</v>
      </c>
      <c r="C381" s="330">
        <v>0.1474367693321636</v>
      </c>
      <c r="D381" s="330">
        <v>8.6680574054331782E-3</v>
      </c>
      <c r="E381" s="330">
        <v>7.5581892130264445E-3</v>
      </c>
      <c r="F381" s="331">
        <v>0.79818547374811744</v>
      </c>
      <c r="G381" s="94">
        <v>0.42041981209704749</v>
      </c>
      <c r="H381" s="330">
        <v>0.92150802509260332</v>
      </c>
      <c r="I381" s="330">
        <v>9.4755387418387002E-3</v>
      </c>
      <c r="J381" s="330">
        <v>0.99115431830710732</v>
      </c>
      <c r="K381" s="330">
        <v>0.71157343800360273</v>
      </c>
      <c r="L381" s="332">
        <v>15303.902765755996</v>
      </c>
      <c r="M381" s="330">
        <v>0</v>
      </c>
      <c r="N381" s="330">
        <v>21824.783387534429</v>
      </c>
      <c r="O381" s="330">
        <v>1497.8270783438502</v>
      </c>
      <c r="P381" s="330">
        <v>43503.587091190129</v>
      </c>
      <c r="Q381" s="333">
        <v>76999.984690304758</v>
      </c>
      <c r="R381" s="330">
        <v>29470.70334121869</v>
      </c>
      <c r="S381" s="330">
        <v>9605.4601148241854</v>
      </c>
      <c r="T381" s="332">
        <v>0.95829460218662521</v>
      </c>
      <c r="U381" s="330">
        <v>0.6058059057214854</v>
      </c>
      <c r="V381" s="330">
        <v>0.95902011615229577</v>
      </c>
      <c r="W381" s="330">
        <v>0.98292534513177987</v>
      </c>
      <c r="X381" s="330">
        <v>0.76765838651932194</v>
      </c>
      <c r="Y381" s="330">
        <v>0</v>
      </c>
      <c r="Z381" s="331">
        <v>0</v>
      </c>
      <c r="AA381" s="235"/>
      <c r="AB381" s="52">
        <v>98720.323335071211</v>
      </c>
      <c r="AC381" s="330">
        <v>4.0844287652411007</v>
      </c>
      <c r="AD381" s="330">
        <v>85868.938325015319</v>
      </c>
      <c r="AE381" s="330">
        <v>3.3432313551219206</v>
      </c>
      <c r="AF381" s="330">
        <v>12851.385010055892</v>
      </c>
      <c r="AG381" s="331">
        <v>0.74119741011918006</v>
      </c>
      <c r="AH381" s="235"/>
      <c r="AI381" s="208">
        <f t="shared" si="40"/>
        <v>3781487.0036439747</v>
      </c>
      <c r="AJ381" s="208">
        <f t="shared" si="41"/>
        <v>3090200.8490408091</v>
      </c>
      <c r="AK381" s="208">
        <f t="shared" si="42"/>
        <v>691286.15460316523</v>
      </c>
      <c r="AL381" s="235"/>
      <c r="AM381" s="52">
        <f t="shared" si="30"/>
        <v>1</v>
      </c>
      <c r="AN381" s="52">
        <f t="shared" si="31"/>
        <v>0</v>
      </c>
      <c r="AO381" s="52">
        <f t="shared" si="32"/>
        <v>1</v>
      </c>
      <c r="AP381" s="235"/>
      <c r="AQ381" s="3"/>
      <c r="AR381" s="3"/>
      <c r="AS381" s="3"/>
      <c r="AT381" s="3"/>
      <c r="AU381" s="235"/>
      <c r="AV381" s="360">
        <f t="shared" si="43"/>
        <v>3781487.0036439747</v>
      </c>
      <c r="AW381" s="235"/>
      <c r="AX381" s="354"/>
      <c r="AY381" s="14"/>
      <c r="AZ381" s="14">
        <f t="shared" si="45"/>
        <v>12851.385010055892</v>
      </c>
      <c r="BA381" s="14">
        <f t="shared" si="44"/>
        <v>0.74119741011918006</v>
      </c>
      <c r="BB381" s="14">
        <f t="shared" si="33"/>
        <v>17338.680403631559</v>
      </c>
      <c r="BC381" s="14"/>
      <c r="BD381" s="14"/>
      <c r="BE381" s="14"/>
      <c r="BF381" s="14"/>
      <c r="BG381" s="14"/>
      <c r="BH381" s="14"/>
      <c r="BI381" s="14"/>
      <c r="BJ381" s="14"/>
      <c r="BK381" s="14"/>
      <c r="BL381" s="14"/>
      <c r="BM381" s="14"/>
      <c r="BN381" s="14"/>
      <c r="BO381" s="14"/>
      <c r="BP381" s="14"/>
      <c r="BQ381" s="14"/>
      <c r="BR381" s="14"/>
      <c r="BS381" s="14"/>
      <c r="BT381" s="14"/>
      <c r="BU381" s="14"/>
      <c r="BV381" s="14"/>
      <c r="BW381" s="14"/>
      <c r="BX381" s="14"/>
      <c r="BY381" s="14"/>
      <c r="BZ381" s="14"/>
      <c r="CA381" s="14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</row>
    <row r="382" spans="1:101" ht="14.25" customHeight="1" x14ac:dyDescent="0.2">
      <c r="A382" s="328"/>
      <c r="B382" s="52">
        <v>0.16935967306651656</v>
      </c>
      <c r="C382" s="330">
        <v>0.15800167260820097</v>
      </c>
      <c r="D382" s="330">
        <v>3.6139661480378615E-2</v>
      </c>
      <c r="E382" s="330">
        <v>2.3278248628565867E-2</v>
      </c>
      <c r="F382" s="331">
        <v>0.77186292339332996</v>
      </c>
      <c r="G382" s="94">
        <v>0.38073667108708703</v>
      </c>
      <c r="H382" s="330">
        <v>0.32502776051264737</v>
      </c>
      <c r="I382" s="330">
        <v>1.5984489744283903E-2</v>
      </c>
      <c r="J382" s="330">
        <v>0.99999999994838329</v>
      </c>
      <c r="K382" s="330">
        <v>0.7722392815061514</v>
      </c>
      <c r="L382" s="332">
        <v>15449.636886345432</v>
      </c>
      <c r="M382" s="330">
        <v>0</v>
      </c>
      <c r="N382" s="330">
        <v>12843.722246751795</v>
      </c>
      <c r="O382" s="330">
        <v>1125.3885446173681</v>
      </c>
      <c r="P382" s="330">
        <v>59078.958709664526</v>
      </c>
      <c r="Q382" s="333">
        <v>96354.896014313097</v>
      </c>
      <c r="R382" s="330">
        <v>29337.831211238801</v>
      </c>
      <c r="S382" s="330">
        <v>10008.311536785215</v>
      </c>
      <c r="T382" s="332">
        <v>0.80069968885129461</v>
      </c>
      <c r="U382" s="330">
        <v>0.92977609453864773</v>
      </c>
      <c r="V382" s="330">
        <v>0.93688587946747104</v>
      </c>
      <c r="W382" s="330">
        <v>0.92262787679405533</v>
      </c>
      <c r="X382" s="330">
        <v>0.99993721739981034</v>
      </c>
      <c r="Y382" s="330">
        <v>0</v>
      </c>
      <c r="Z382" s="331">
        <v>0</v>
      </c>
      <c r="AA382" s="235"/>
      <c r="AB382" s="52">
        <v>99924.524048400155</v>
      </c>
      <c r="AC382" s="330">
        <v>5.0609917309276051</v>
      </c>
      <c r="AD382" s="330">
        <v>87992.990017442178</v>
      </c>
      <c r="AE382" s="330">
        <v>4.7314946475238777</v>
      </c>
      <c r="AF382" s="330">
        <v>11931.534030957977</v>
      </c>
      <c r="AG382" s="331">
        <v>0.32949708340372741</v>
      </c>
      <c r="AH382" s="235"/>
      <c r="AI382" s="208">
        <f t="shared" si="40"/>
        <v>4708017.620332825</v>
      </c>
      <c r="AJ382" s="208">
        <f t="shared" si="41"/>
        <v>4406926.9251302416</v>
      </c>
      <c r="AK382" s="208">
        <f t="shared" si="42"/>
        <v>301090.6952025831</v>
      </c>
      <c r="AL382" s="235"/>
      <c r="AM382" s="52">
        <f t="shared" si="30"/>
        <v>1</v>
      </c>
      <c r="AN382" s="52">
        <f t="shared" si="31"/>
        <v>0</v>
      </c>
      <c r="AO382" s="52">
        <f t="shared" si="32"/>
        <v>1</v>
      </c>
      <c r="AP382" s="235"/>
      <c r="AQ382" s="3"/>
      <c r="AR382" s="3"/>
      <c r="AS382" s="3"/>
      <c r="AT382" s="3"/>
      <c r="AU382" s="235"/>
      <c r="AV382" s="360">
        <f t="shared" si="43"/>
        <v>4708017.620332825</v>
      </c>
      <c r="AW382" s="235"/>
      <c r="AX382" s="354"/>
      <c r="AY382" s="14"/>
      <c r="AZ382" s="14">
        <f t="shared" si="45"/>
        <v>11931.534030957977</v>
      </c>
      <c r="BA382" s="14">
        <f t="shared" si="44"/>
        <v>0.32949708340372741</v>
      </c>
      <c r="BB382" s="14">
        <f t="shared" si="33"/>
        <v>36211.349453246788</v>
      </c>
      <c r="BC382" s="14"/>
      <c r="BD382" s="14"/>
      <c r="BE382" s="14"/>
      <c r="BF382" s="14"/>
      <c r="BG382" s="14"/>
      <c r="BH382" s="14"/>
      <c r="BI382" s="14"/>
      <c r="BJ382" s="14"/>
      <c r="BK382" s="14"/>
      <c r="BL382" s="14"/>
      <c r="BM382" s="14"/>
      <c r="BN382" s="14"/>
      <c r="BO382" s="14"/>
      <c r="BP382" s="14"/>
      <c r="BQ382" s="14"/>
      <c r="BR382" s="14"/>
      <c r="BS382" s="14"/>
      <c r="BT382" s="14"/>
      <c r="BU382" s="14"/>
      <c r="BV382" s="14"/>
      <c r="BW382" s="14"/>
      <c r="BX382" s="14"/>
      <c r="BY382" s="14"/>
      <c r="BZ382" s="14"/>
      <c r="CA382" s="14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</row>
    <row r="383" spans="1:101" ht="14.25" customHeight="1" x14ac:dyDescent="0.2">
      <c r="A383" s="328"/>
      <c r="B383" s="52">
        <v>0.19710246049519942</v>
      </c>
      <c r="C383" s="330">
        <v>0.42841964931450238</v>
      </c>
      <c r="D383" s="330">
        <v>1.646964822972441E-2</v>
      </c>
      <c r="E383" s="330">
        <v>1.611718789991412E-2</v>
      </c>
      <c r="F383" s="331">
        <v>0.78852773346437033</v>
      </c>
      <c r="G383" s="94">
        <v>0.43455259256213863</v>
      </c>
      <c r="H383" s="330">
        <v>0.16330705742058493</v>
      </c>
      <c r="I383" s="330">
        <v>3.437379627363979E-2</v>
      </c>
      <c r="J383" s="330">
        <v>0.99997512103248365</v>
      </c>
      <c r="K383" s="330">
        <v>0.81597354760140028</v>
      </c>
      <c r="L383" s="332">
        <v>14699.795947918203</v>
      </c>
      <c r="M383" s="330">
        <v>0</v>
      </c>
      <c r="N383" s="330">
        <v>22838.982348840851</v>
      </c>
      <c r="O383" s="330">
        <v>1171.4447018799924</v>
      </c>
      <c r="P383" s="330">
        <v>39911.306187572511</v>
      </c>
      <c r="Q383" s="333">
        <v>116065.69524275122</v>
      </c>
      <c r="R383" s="330">
        <v>22398.050503677514</v>
      </c>
      <c r="S383" s="330">
        <v>7697.852772302017</v>
      </c>
      <c r="T383" s="332">
        <v>0.99063091082283306</v>
      </c>
      <c r="U383" s="330">
        <v>0.74007540149421036</v>
      </c>
      <c r="V383" s="330">
        <v>0.91376553195028476</v>
      </c>
      <c r="W383" s="330">
        <v>0.83094643707124916</v>
      </c>
      <c r="X383" s="330">
        <v>0.66992748518714251</v>
      </c>
      <c r="Y383" s="330">
        <v>0</v>
      </c>
      <c r="Z383" s="331">
        <v>0</v>
      </c>
      <c r="AA383" s="235"/>
      <c r="AB383" s="52">
        <v>82340.352125556208</v>
      </c>
      <c r="AC383" s="330">
        <v>3.1994455637876538</v>
      </c>
      <c r="AD383" s="330">
        <v>72263.715959426263</v>
      </c>
      <c r="AE383" s="330">
        <v>3.6060789951844399</v>
      </c>
      <c r="AF383" s="330">
        <v>10076.636166129945</v>
      </c>
      <c r="AG383" s="331">
        <v>-0.40663343139678609</v>
      </c>
      <c r="AH383" s="235"/>
      <c r="AI383" s="208">
        <f t="shared" si="40"/>
        <v>2957132.9334727149</v>
      </c>
      <c r="AJ383" s="208">
        <f t="shared" si="41"/>
        <v>3353511.3294657916</v>
      </c>
      <c r="AK383" s="208">
        <f t="shared" si="42"/>
        <v>-396378.39599307673</v>
      </c>
      <c r="AL383" s="235"/>
      <c r="AM383" s="52">
        <f t="shared" si="30"/>
        <v>0</v>
      </c>
      <c r="AN383" s="52">
        <f t="shared" si="31"/>
        <v>1</v>
      </c>
      <c r="AO383" s="52">
        <f t="shared" si="32"/>
        <v>0</v>
      </c>
      <c r="AP383" s="235"/>
      <c r="AQ383" s="3"/>
      <c r="AR383" s="3"/>
      <c r="AS383" s="3"/>
      <c r="AT383" s="3"/>
      <c r="AU383" s="235"/>
      <c r="AV383" s="360">
        <f t="shared" si="43"/>
        <v>3353511.3294657916</v>
      </c>
      <c r="AW383" s="235"/>
      <c r="AX383" s="354"/>
      <c r="AY383" s="14"/>
      <c r="AZ383" s="14">
        <f t="shared" si="45"/>
        <v>10076.636166129945</v>
      </c>
      <c r="BA383" s="14">
        <f t="shared" si="44"/>
        <v>-0.40663343139678609</v>
      </c>
      <c r="BB383" s="14">
        <f t="shared" si="33"/>
        <v>-24780.638747573445</v>
      </c>
      <c r="BC383" s="14"/>
      <c r="BD383" s="14"/>
      <c r="BE383" s="14"/>
      <c r="BF383" s="14"/>
      <c r="BG383" s="14"/>
      <c r="BH383" s="14"/>
      <c r="BI383" s="14"/>
      <c r="BJ383" s="14"/>
      <c r="BK383" s="14"/>
      <c r="BL383" s="14"/>
      <c r="BM383" s="14"/>
      <c r="BN383" s="14"/>
      <c r="BO383" s="14"/>
      <c r="BP383" s="14"/>
      <c r="BQ383" s="14"/>
      <c r="BR383" s="14"/>
      <c r="BS383" s="14"/>
      <c r="BT383" s="14"/>
      <c r="BU383" s="14"/>
      <c r="BV383" s="14"/>
      <c r="BW383" s="14"/>
      <c r="BX383" s="14"/>
      <c r="BY383" s="14"/>
      <c r="BZ383" s="14"/>
      <c r="CA383" s="14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</row>
    <row r="384" spans="1:101" ht="14.25" customHeight="1" x14ac:dyDescent="0.2">
      <c r="A384" s="328"/>
      <c r="B384" s="52">
        <v>0.15278755726057136</v>
      </c>
      <c r="C384" s="330">
        <v>0.20971792804938186</v>
      </c>
      <c r="D384" s="330">
        <v>1.3720019958833787E-2</v>
      </c>
      <c r="E384" s="330">
        <v>1.3982909402491171E-2</v>
      </c>
      <c r="F384" s="331">
        <v>0.7979227916170869</v>
      </c>
      <c r="G384" s="94">
        <v>0.38430397566760011</v>
      </c>
      <c r="H384" s="330">
        <v>0.12099452930450752</v>
      </c>
      <c r="I384" s="330">
        <v>7.4642136634360786E-3</v>
      </c>
      <c r="J384" s="330">
        <v>0.96852188225554436</v>
      </c>
      <c r="K384" s="330">
        <v>0.71469179301249885</v>
      </c>
      <c r="L384" s="332">
        <v>7964.7997082446655</v>
      </c>
      <c r="M384" s="330">
        <v>0</v>
      </c>
      <c r="N384" s="330">
        <v>16835.859315930382</v>
      </c>
      <c r="O384" s="330">
        <v>1358.1892445261458</v>
      </c>
      <c r="P384" s="330">
        <v>40166.031283302786</v>
      </c>
      <c r="Q384" s="333">
        <v>75286.923956652638</v>
      </c>
      <c r="R384" s="330">
        <v>26905.594300531036</v>
      </c>
      <c r="S384" s="330">
        <v>9967.2394202991964</v>
      </c>
      <c r="T384" s="332">
        <v>0.89504162659094422</v>
      </c>
      <c r="U384" s="330">
        <v>0.20981163796077659</v>
      </c>
      <c r="V384" s="330">
        <v>0.99992490262265055</v>
      </c>
      <c r="W384" s="330">
        <v>0.99322282140212936</v>
      </c>
      <c r="X384" s="330">
        <v>0.27641457876717535</v>
      </c>
      <c r="Y384" s="330">
        <v>0</v>
      </c>
      <c r="Z384" s="331">
        <v>0</v>
      </c>
      <c r="AA384" s="235"/>
      <c r="AB384" s="52">
        <v>94540.343218106718</v>
      </c>
      <c r="AC384" s="330">
        <v>1.3324701598351334</v>
      </c>
      <c r="AD384" s="330">
        <v>78598.1779141023</v>
      </c>
      <c r="AE384" s="330">
        <v>1.2533881140199434</v>
      </c>
      <c r="AF384" s="330">
        <v>15942.165304004418</v>
      </c>
      <c r="AG384" s="331">
        <v>7.9082045815189961E-2</v>
      </c>
      <c r="AH384" s="235"/>
      <c r="AI384" s="208">
        <f t="shared" si="40"/>
        <v>1171306.3086252699</v>
      </c>
      <c r="AJ384" s="208">
        <f t="shared" si="41"/>
        <v>1112120.5304048439</v>
      </c>
      <c r="AK384" s="208">
        <f t="shared" si="42"/>
        <v>59185.778220426044</v>
      </c>
      <c r="AL384" s="235"/>
      <c r="AM384" s="52">
        <f t="shared" si="30"/>
        <v>1</v>
      </c>
      <c r="AN384" s="52">
        <f t="shared" si="31"/>
        <v>0</v>
      </c>
      <c r="AO384" s="52">
        <f t="shared" si="32"/>
        <v>1</v>
      </c>
      <c r="AP384" s="235"/>
      <c r="AQ384" s="3"/>
      <c r="AR384" s="3"/>
      <c r="AS384" s="3"/>
      <c r="AT384" s="3"/>
      <c r="AU384" s="235"/>
      <c r="AV384" s="360">
        <f t="shared" si="43"/>
        <v>1171306.3086252699</v>
      </c>
      <c r="AW384" s="235"/>
      <c r="AX384" s="354"/>
      <c r="AY384" s="14"/>
      <c r="AZ384" s="14">
        <f t="shared" si="45"/>
        <v>15942.165304004418</v>
      </c>
      <c r="BA384" s="14">
        <f t="shared" si="44"/>
        <v>7.9082045815189961E-2</v>
      </c>
      <c r="BB384" s="14">
        <f t="shared" si="33"/>
        <v>201590.1983777748</v>
      </c>
      <c r="BC384" s="14"/>
      <c r="BD384" s="14"/>
      <c r="BE384" s="14"/>
      <c r="BF384" s="14"/>
      <c r="BG384" s="14"/>
      <c r="BH384" s="14"/>
      <c r="BI384" s="14"/>
      <c r="BJ384" s="14"/>
      <c r="BK384" s="14"/>
      <c r="BL384" s="14"/>
      <c r="BM384" s="14"/>
      <c r="BN384" s="14"/>
      <c r="BO384" s="14"/>
      <c r="BP384" s="14"/>
      <c r="BQ384" s="14"/>
      <c r="BR384" s="14"/>
      <c r="BS384" s="14"/>
      <c r="BT384" s="14"/>
      <c r="BU384" s="14"/>
      <c r="BV384" s="14"/>
      <c r="BW384" s="14"/>
      <c r="BX384" s="14"/>
      <c r="BY384" s="14"/>
      <c r="BZ384" s="14"/>
      <c r="CA384" s="14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</row>
    <row r="385" spans="1:101" ht="14.25" customHeight="1" x14ac:dyDescent="0.2">
      <c r="A385" s="328"/>
      <c r="B385" s="52">
        <v>0.12925957547579087</v>
      </c>
      <c r="C385" s="330">
        <v>0.2237739890534606</v>
      </c>
      <c r="D385" s="330">
        <v>8.9647630476177836E-3</v>
      </c>
      <c r="E385" s="330">
        <v>2.6681378434191605E-2</v>
      </c>
      <c r="F385" s="331">
        <v>0.79974175829255312</v>
      </c>
      <c r="G385" s="94">
        <v>0.37375628098343971</v>
      </c>
      <c r="H385" s="330">
        <v>3.13857441151872E-3</v>
      </c>
      <c r="I385" s="330">
        <v>1.1528157143702337E-2</v>
      </c>
      <c r="J385" s="330">
        <v>0.99949031626367557</v>
      </c>
      <c r="K385" s="330">
        <v>0.75653215258703788</v>
      </c>
      <c r="L385" s="332">
        <v>11825.398039651762</v>
      </c>
      <c r="M385" s="330">
        <v>0</v>
      </c>
      <c r="N385" s="330">
        <v>14033.744431104271</v>
      </c>
      <c r="O385" s="330">
        <v>1567.9778996385573</v>
      </c>
      <c r="P385" s="330">
        <v>33478.660521040518</v>
      </c>
      <c r="Q385" s="333">
        <v>76397.807841635731</v>
      </c>
      <c r="R385" s="330">
        <v>21840.133548244921</v>
      </c>
      <c r="S385" s="330">
        <v>10612.422911286458</v>
      </c>
      <c r="T385" s="332">
        <v>0.97641046826886835</v>
      </c>
      <c r="U385" s="330">
        <v>0.52687412684355839</v>
      </c>
      <c r="V385" s="330">
        <v>0.92569153959256401</v>
      </c>
      <c r="W385" s="330">
        <v>0.70716006606595372</v>
      </c>
      <c r="X385" s="330">
        <v>0.99983150185961112</v>
      </c>
      <c r="Y385" s="330">
        <v>0</v>
      </c>
      <c r="Z385" s="331">
        <v>0</v>
      </c>
      <c r="AA385" s="235"/>
      <c r="AB385" s="52">
        <v>103827.87790818284</v>
      </c>
      <c r="AC385" s="330">
        <v>5.0954789423184472</v>
      </c>
      <c r="AD385" s="330">
        <v>87323.39761357542</v>
      </c>
      <c r="AE385" s="330">
        <v>4.657793805217108</v>
      </c>
      <c r="AF385" s="330">
        <v>16504.48029460742</v>
      </c>
      <c r="AG385" s="331">
        <v>0.43768513710133927</v>
      </c>
      <c r="AH385" s="235"/>
      <c r="AI385" s="208">
        <f t="shared" si="40"/>
        <v>4736877.1172943413</v>
      </c>
      <c r="AJ385" s="208">
        <f t="shared" si="41"/>
        <v>4337580.7173426766</v>
      </c>
      <c r="AK385" s="208">
        <f t="shared" si="42"/>
        <v>399296.39995166491</v>
      </c>
      <c r="AL385" s="235"/>
      <c r="AM385" s="52">
        <f t="shared" si="30"/>
        <v>1</v>
      </c>
      <c r="AN385" s="52">
        <f t="shared" si="31"/>
        <v>0</v>
      </c>
      <c r="AO385" s="52">
        <f t="shared" si="32"/>
        <v>1</v>
      </c>
      <c r="AP385" s="235"/>
      <c r="AQ385" s="3"/>
      <c r="AR385" s="3"/>
      <c r="AS385" s="3"/>
      <c r="AT385" s="3"/>
      <c r="AU385" s="235"/>
      <c r="AV385" s="360">
        <f t="shared" si="43"/>
        <v>4736877.1172943413</v>
      </c>
      <c r="AW385" s="235"/>
      <c r="AX385" s="354"/>
      <c r="AY385" s="14"/>
      <c r="AZ385" s="14">
        <f t="shared" si="45"/>
        <v>16504.48029460742</v>
      </c>
      <c r="BA385" s="14">
        <f t="shared" si="44"/>
        <v>0.43768513710133927</v>
      </c>
      <c r="BB385" s="14">
        <f t="shared" si="33"/>
        <v>37708.569232923393</v>
      </c>
      <c r="BC385" s="14"/>
      <c r="BD385" s="14"/>
      <c r="BE385" s="14"/>
      <c r="BF385" s="14"/>
      <c r="BG385" s="14"/>
      <c r="BH385" s="14"/>
      <c r="BI385" s="14"/>
      <c r="BJ385" s="14"/>
      <c r="BK385" s="14"/>
      <c r="BL385" s="14"/>
      <c r="BM385" s="14"/>
      <c r="BN385" s="14"/>
      <c r="BO385" s="14"/>
      <c r="BP385" s="14"/>
      <c r="BQ385" s="14"/>
      <c r="BR385" s="14"/>
      <c r="BS385" s="14"/>
      <c r="BT385" s="14"/>
      <c r="BU385" s="14"/>
      <c r="BV385" s="14"/>
      <c r="BW385" s="14"/>
      <c r="BX385" s="14"/>
      <c r="BY385" s="14"/>
      <c r="BZ385" s="14"/>
      <c r="CA385" s="14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</row>
    <row r="386" spans="1:101" ht="14.25" customHeight="1" x14ac:dyDescent="0.2">
      <c r="A386" s="328"/>
      <c r="B386" s="52">
        <v>0.1348019720857534</v>
      </c>
      <c r="C386" s="330">
        <v>0.77670886462436328</v>
      </c>
      <c r="D386" s="330">
        <v>2.2617537875149307E-2</v>
      </c>
      <c r="E386" s="330">
        <v>7.0853500362650177E-3</v>
      </c>
      <c r="F386" s="331">
        <v>0.80629454237832798</v>
      </c>
      <c r="G386" s="94">
        <v>0.42441647829512519</v>
      </c>
      <c r="H386" s="330">
        <v>0.52993599446207962</v>
      </c>
      <c r="I386" s="330">
        <v>2.1645796215574387E-2</v>
      </c>
      <c r="J386" s="330">
        <v>0.99999946378838012</v>
      </c>
      <c r="K386" s="330">
        <v>0.77444254948050628</v>
      </c>
      <c r="L386" s="332">
        <v>15003.291371627756</v>
      </c>
      <c r="M386" s="330">
        <v>0</v>
      </c>
      <c r="N386" s="330">
        <v>21123.401847749577</v>
      </c>
      <c r="O386" s="330">
        <v>1059.36389099145</v>
      </c>
      <c r="P386" s="330">
        <v>63529.274181324181</v>
      </c>
      <c r="Q386" s="333">
        <v>106015.01147969333</v>
      </c>
      <c r="R386" s="330">
        <v>22141.228316691111</v>
      </c>
      <c r="S386" s="330">
        <v>6847.1924954631513</v>
      </c>
      <c r="T386" s="332">
        <v>0.33076196657104623</v>
      </c>
      <c r="U386" s="330">
        <v>0.99431370217662951</v>
      </c>
      <c r="V386" s="330">
        <v>0.98003224995700089</v>
      </c>
      <c r="W386" s="330">
        <v>0.96449543024561002</v>
      </c>
      <c r="X386" s="330">
        <v>0.27906683174722186</v>
      </c>
      <c r="Y386" s="330">
        <v>0</v>
      </c>
      <c r="Z386" s="331">
        <v>0</v>
      </c>
      <c r="AA386" s="235"/>
      <c r="AB386" s="52">
        <v>77034.941220728273</v>
      </c>
      <c r="AC386" s="330">
        <v>1.4159192987184093</v>
      </c>
      <c r="AD386" s="330">
        <v>64136.415428293767</v>
      </c>
      <c r="AE386" s="330">
        <v>1.4227999288478568</v>
      </c>
      <c r="AF386" s="330">
        <v>12898.525792434506</v>
      </c>
      <c r="AG386" s="331">
        <v>-6.880630129447507E-3</v>
      </c>
      <c r="AH386" s="235"/>
      <c r="AI386" s="208">
        <f t="shared" si="40"/>
        <v>1268088.3925617605</v>
      </c>
      <c r="AJ386" s="208">
        <f t="shared" si="41"/>
        <v>1287523.51697717</v>
      </c>
      <c r="AK386" s="208">
        <f t="shared" si="42"/>
        <v>-19435.124415409638</v>
      </c>
      <c r="AL386" s="235"/>
      <c r="AM386" s="52">
        <f t="shared" si="30"/>
        <v>0</v>
      </c>
      <c r="AN386" s="52">
        <f t="shared" si="31"/>
        <v>1</v>
      </c>
      <c r="AO386" s="52">
        <f t="shared" si="32"/>
        <v>0</v>
      </c>
      <c r="AP386" s="235"/>
      <c r="AQ386" s="3"/>
      <c r="AR386" s="3"/>
      <c r="AS386" s="3"/>
      <c r="AT386" s="3"/>
      <c r="AU386" s="235"/>
      <c r="AV386" s="360">
        <f t="shared" si="43"/>
        <v>1287523.51697717</v>
      </c>
      <c r="AW386" s="235"/>
      <c r="AX386" s="354"/>
      <c r="AY386" s="14"/>
      <c r="AZ386" s="14">
        <f t="shared" si="45"/>
        <v>12898.525792434506</v>
      </c>
      <c r="BA386" s="14">
        <f t="shared" si="44"/>
        <v>-6.880630129447507E-3</v>
      </c>
      <c r="BB386" s="14">
        <f t="shared" si="33"/>
        <v>-1874614.0324026132</v>
      </c>
      <c r="BC386" s="14"/>
      <c r="BD386" s="14"/>
      <c r="BE386" s="14"/>
      <c r="BF386" s="14"/>
      <c r="BG386" s="14"/>
      <c r="BH386" s="14"/>
      <c r="BI386" s="14"/>
      <c r="BJ386" s="14"/>
      <c r="BK386" s="14"/>
      <c r="BL386" s="14"/>
      <c r="BM386" s="14"/>
      <c r="BN386" s="14"/>
      <c r="BO386" s="14"/>
      <c r="BP386" s="14"/>
      <c r="BQ386" s="14"/>
      <c r="BR386" s="14"/>
      <c r="BS386" s="14"/>
      <c r="BT386" s="14"/>
      <c r="BU386" s="14"/>
      <c r="BV386" s="14"/>
      <c r="BW386" s="14"/>
      <c r="BX386" s="14"/>
      <c r="BY386" s="14"/>
      <c r="BZ386" s="14"/>
      <c r="CA386" s="14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</row>
    <row r="387" spans="1:101" ht="14.25" customHeight="1" x14ac:dyDescent="0.2">
      <c r="A387" s="328"/>
      <c r="B387" s="52">
        <v>0.18399588467865025</v>
      </c>
      <c r="C387" s="330">
        <v>8.8436727899911791E-2</v>
      </c>
      <c r="D387" s="330">
        <v>1.150271860920065E-2</v>
      </c>
      <c r="E387" s="330">
        <v>1.5701174277728436E-2</v>
      </c>
      <c r="F387" s="331">
        <v>0.7822361708903165</v>
      </c>
      <c r="G387" s="94">
        <v>0.35383928512021451</v>
      </c>
      <c r="H387" s="330">
        <v>0.87602273213801918</v>
      </c>
      <c r="I387" s="330">
        <v>1.6602647816748473E-2</v>
      </c>
      <c r="J387" s="330">
        <v>1</v>
      </c>
      <c r="K387" s="330">
        <v>0.780266455767337</v>
      </c>
      <c r="L387" s="332">
        <v>12798.22295862246</v>
      </c>
      <c r="M387" s="330">
        <v>0</v>
      </c>
      <c r="N387" s="330">
        <v>15781.214112391797</v>
      </c>
      <c r="O387" s="330">
        <v>1342.177711884086</v>
      </c>
      <c r="P387" s="330">
        <v>36342.037494785887</v>
      </c>
      <c r="Q387" s="333">
        <v>130716.90180236116</v>
      </c>
      <c r="R387" s="330">
        <v>27794.828317072523</v>
      </c>
      <c r="S387" s="330">
        <v>11260.721802532864</v>
      </c>
      <c r="T387" s="332">
        <v>0.98536604432940256</v>
      </c>
      <c r="U387" s="330">
        <v>0.99998715493932966</v>
      </c>
      <c r="V387" s="330">
        <v>0.99599157608081756</v>
      </c>
      <c r="W387" s="330">
        <v>0.98110385975405756</v>
      </c>
      <c r="X387" s="330">
        <v>0.18199566446878243</v>
      </c>
      <c r="Y387" s="330">
        <v>0</v>
      </c>
      <c r="Z387" s="331">
        <v>0</v>
      </c>
      <c r="AA387" s="235"/>
      <c r="AB387" s="52">
        <v>108302.36549216477</v>
      </c>
      <c r="AC387" s="330">
        <v>0.91557675277911577</v>
      </c>
      <c r="AD387" s="330">
        <v>104324.53582464569</v>
      </c>
      <c r="AE387" s="330">
        <v>0.88219952070796448</v>
      </c>
      <c r="AF387" s="330">
        <v>3977.8296675190795</v>
      </c>
      <c r="AG387" s="331">
        <v>3.3377232071151286E-2</v>
      </c>
      <c r="AH387" s="235"/>
      <c r="AI387" s="208">
        <f t="shared" si="40"/>
        <v>761495.54964799527</v>
      </c>
      <c r="AJ387" s="208">
        <f t="shared" si="41"/>
        <v>733765.00884792057</v>
      </c>
      <c r="AK387" s="208">
        <f t="shared" si="42"/>
        <v>27730.540800074643</v>
      </c>
      <c r="AL387" s="235"/>
      <c r="AM387" s="52">
        <f t="shared" si="30"/>
        <v>1</v>
      </c>
      <c r="AN387" s="52">
        <f t="shared" si="31"/>
        <v>0</v>
      </c>
      <c r="AO387" s="52">
        <f t="shared" si="32"/>
        <v>1</v>
      </c>
      <c r="AP387" s="235"/>
      <c r="AQ387" s="3"/>
      <c r="AR387" s="3"/>
      <c r="AS387" s="3"/>
      <c r="AT387" s="3"/>
      <c r="AU387" s="235"/>
      <c r="AV387" s="360">
        <f t="shared" si="43"/>
        <v>761495.54964799527</v>
      </c>
      <c r="AW387" s="235"/>
      <c r="AX387" s="354"/>
      <c r="AY387" s="14"/>
      <c r="AZ387" s="14">
        <f t="shared" si="45"/>
        <v>3977.8296675190795</v>
      </c>
      <c r="BA387" s="14">
        <f t="shared" si="44"/>
        <v>3.3377232071151286E-2</v>
      </c>
      <c r="BB387" s="14">
        <f t="shared" si="33"/>
        <v>119177.93719501414</v>
      </c>
      <c r="BC387" s="14"/>
      <c r="BD387" s="14"/>
      <c r="BE387" s="14"/>
      <c r="BF387" s="14"/>
      <c r="BG387" s="14"/>
      <c r="BH387" s="14"/>
      <c r="BI387" s="14"/>
      <c r="BJ387" s="14"/>
      <c r="BK387" s="14"/>
      <c r="BL387" s="14"/>
      <c r="BM387" s="14"/>
      <c r="BN387" s="14"/>
      <c r="BO387" s="14"/>
      <c r="BP387" s="14"/>
      <c r="BQ387" s="14"/>
      <c r="BR387" s="14"/>
      <c r="BS387" s="14"/>
      <c r="BT387" s="14"/>
      <c r="BU387" s="14"/>
      <c r="BV387" s="14"/>
      <c r="BW387" s="14"/>
      <c r="BX387" s="14"/>
      <c r="BY387" s="14"/>
      <c r="BZ387" s="14"/>
      <c r="CA387" s="14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</row>
    <row r="388" spans="1:101" ht="14.25" customHeight="1" x14ac:dyDescent="0.2">
      <c r="A388" s="328"/>
      <c r="B388" s="52">
        <v>0.1902355694831066</v>
      </c>
      <c r="C388" s="330">
        <v>0.12107928914305575</v>
      </c>
      <c r="D388" s="330">
        <v>8.0728630967738749E-3</v>
      </c>
      <c r="E388" s="330">
        <v>1.7383755860910788E-2</v>
      </c>
      <c r="F388" s="331">
        <v>0.77875231610280471</v>
      </c>
      <c r="G388" s="94">
        <v>0.31702524135891941</v>
      </c>
      <c r="H388" s="330">
        <v>0.97442977604811498</v>
      </c>
      <c r="I388" s="330">
        <v>1.0346166003189272E-2</v>
      </c>
      <c r="J388" s="330">
        <v>0.99509645000907465</v>
      </c>
      <c r="K388" s="330">
        <v>0.75463237474505729</v>
      </c>
      <c r="L388" s="332">
        <v>13744.334292966068</v>
      </c>
      <c r="M388" s="330">
        <v>0</v>
      </c>
      <c r="N388" s="330">
        <v>26815.064068109608</v>
      </c>
      <c r="O388" s="330">
        <v>1065.4367631752416</v>
      </c>
      <c r="P388" s="330">
        <v>41331.976351442005</v>
      </c>
      <c r="Q388" s="333">
        <v>115438.11067876144</v>
      </c>
      <c r="R388" s="330">
        <v>20943.284752817621</v>
      </c>
      <c r="S388" s="330">
        <v>7944.5730164471479</v>
      </c>
      <c r="T388" s="332">
        <v>0.96106840274788496</v>
      </c>
      <c r="U388" s="330">
        <v>0.98989017463707873</v>
      </c>
      <c r="V388" s="330">
        <v>3.6139029528124617E-2</v>
      </c>
      <c r="W388" s="330">
        <v>0.99073285864969884</v>
      </c>
      <c r="X388" s="330">
        <v>0.97983764361427794</v>
      </c>
      <c r="Y388" s="330">
        <v>0</v>
      </c>
      <c r="Z388" s="331">
        <v>0</v>
      </c>
      <c r="AA388" s="235"/>
      <c r="AB388" s="52">
        <v>81001.088115077247</v>
      </c>
      <c r="AC388" s="330">
        <v>4.6237884838984709</v>
      </c>
      <c r="AD388" s="330">
        <v>71686.209128036498</v>
      </c>
      <c r="AE388" s="330">
        <v>4.8117006804338613</v>
      </c>
      <c r="AF388" s="330">
        <v>9314.8789870407491</v>
      </c>
      <c r="AG388" s="331">
        <v>-0.18791219653539049</v>
      </c>
      <c r="AH388" s="235"/>
      <c r="AI388" s="208">
        <f t="shared" si="40"/>
        <v>4311597.97158847</v>
      </c>
      <c r="AJ388" s="208">
        <f t="shared" si="41"/>
        <v>4499429.4372841325</v>
      </c>
      <c r="AK388" s="208">
        <f t="shared" si="42"/>
        <v>-187831.4656956617</v>
      </c>
      <c r="AL388" s="235"/>
      <c r="AM388" s="52">
        <f t="shared" si="30"/>
        <v>0</v>
      </c>
      <c r="AN388" s="52">
        <f t="shared" si="31"/>
        <v>1</v>
      </c>
      <c r="AO388" s="52">
        <f t="shared" si="32"/>
        <v>0</v>
      </c>
      <c r="AP388" s="235"/>
      <c r="AQ388" s="3"/>
      <c r="AR388" s="3"/>
      <c r="AS388" s="3"/>
      <c r="AT388" s="3"/>
      <c r="AU388" s="235"/>
      <c r="AV388" s="360">
        <f t="shared" si="43"/>
        <v>4499429.4372841325</v>
      </c>
      <c r="AW388" s="235"/>
      <c r="AX388" s="354"/>
      <c r="AY388" s="14"/>
      <c r="AZ388" s="14">
        <f t="shared" si="45"/>
        <v>9314.8789870407491</v>
      </c>
      <c r="BA388" s="14">
        <f t="shared" si="44"/>
        <v>-0.18791219653539049</v>
      </c>
      <c r="BB388" s="14">
        <f t="shared" si="33"/>
        <v>-49570.379990137728</v>
      </c>
      <c r="BC388" s="14"/>
      <c r="BD388" s="14"/>
      <c r="BE388" s="14"/>
      <c r="BF388" s="14"/>
      <c r="BG388" s="14"/>
      <c r="BH388" s="14"/>
      <c r="BI388" s="14"/>
      <c r="BJ388" s="14"/>
      <c r="BK388" s="14"/>
      <c r="BL388" s="14"/>
      <c r="BM388" s="14"/>
      <c r="BN388" s="14"/>
      <c r="BO388" s="14"/>
      <c r="BP388" s="14"/>
      <c r="BQ388" s="14"/>
      <c r="BR388" s="14"/>
      <c r="BS388" s="14"/>
      <c r="BT388" s="14"/>
      <c r="BU388" s="14"/>
      <c r="BV388" s="14"/>
      <c r="BW388" s="14"/>
      <c r="BX388" s="14"/>
      <c r="BY388" s="14"/>
      <c r="BZ388" s="14"/>
      <c r="CA388" s="14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</row>
    <row r="389" spans="1:101" ht="14.25" customHeight="1" x14ac:dyDescent="0.2">
      <c r="A389" s="328"/>
      <c r="B389" s="52">
        <v>0.15950287313240907</v>
      </c>
      <c r="C389" s="330">
        <v>0.46337998730566066</v>
      </c>
      <c r="D389" s="330">
        <v>1.7788548526359471E-2</v>
      </c>
      <c r="E389" s="330">
        <v>3.5284473713548814E-2</v>
      </c>
      <c r="F389" s="331">
        <v>0.79478804916480938</v>
      </c>
      <c r="G389" s="94">
        <v>0.46323589437763846</v>
      </c>
      <c r="H389" s="330">
        <v>0.93047590074307429</v>
      </c>
      <c r="I389" s="330">
        <v>4.0266647716758697E-2</v>
      </c>
      <c r="J389" s="330">
        <v>1</v>
      </c>
      <c r="K389" s="330">
        <v>0.79651766333462659</v>
      </c>
      <c r="L389" s="332">
        <v>11719.255263987196</v>
      </c>
      <c r="M389" s="330">
        <v>0</v>
      </c>
      <c r="N389" s="330">
        <v>17718.329421452137</v>
      </c>
      <c r="O389" s="330">
        <v>1499.0467113484922</v>
      </c>
      <c r="P389" s="330">
        <v>85478.734587634506</v>
      </c>
      <c r="Q389" s="333">
        <v>123017.13527981241</v>
      </c>
      <c r="R389" s="330">
        <v>23079.623689623626</v>
      </c>
      <c r="S389" s="330">
        <v>6670.459803790287</v>
      </c>
      <c r="T389" s="332">
        <v>0.99970917424593486</v>
      </c>
      <c r="U389" s="330">
        <v>0.96584314579935771</v>
      </c>
      <c r="V389" s="330">
        <v>0.95033293114543715</v>
      </c>
      <c r="W389" s="330">
        <v>0.96472274455252405</v>
      </c>
      <c r="X389" s="330">
        <v>0.81394976544163422</v>
      </c>
      <c r="Y389" s="330">
        <v>0</v>
      </c>
      <c r="Z389" s="331">
        <v>0</v>
      </c>
      <c r="AA389" s="235"/>
      <c r="AB389" s="52">
        <v>70916.267943156257</v>
      </c>
      <c r="AC389" s="330">
        <v>3.9324489789887256</v>
      </c>
      <c r="AD389" s="330">
        <v>71677.420000268874</v>
      </c>
      <c r="AE389" s="330">
        <v>4.122745952324907</v>
      </c>
      <c r="AF389" s="330">
        <v>-761.1520571126166</v>
      </c>
      <c r="AG389" s="331">
        <v>-0.19029697333618145</v>
      </c>
      <c r="AH389" s="235"/>
      <c r="AI389" s="208">
        <f t="shared" si="40"/>
        <v>3664910.2620961331</v>
      </c>
      <c r="AJ389" s="208">
        <f t="shared" si="41"/>
        <v>3844931.2347083925</v>
      </c>
      <c r="AK389" s="208">
        <f t="shared" si="42"/>
        <v>-180020.97261225973</v>
      </c>
      <c r="AL389" s="235"/>
      <c r="AM389" s="52">
        <f t="shared" si="30"/>
        <v>0</v>
      </c>
      <c r="AN389" s="52">
        <f t="shared" si="31"/>
        <v>1</v>
      </c>
      <c r="AO389" s="52">
        <f t="shared" si="32"/>
        <v>0</v>
      </c>
      <c r="AP389" s="235"/>
      <c r="AQ389" s="3"/>
      <c r="AR389" s="3"/>
      <c r="AS389" s="3"/>
      <c r="AT389" s="3"/>
      <c r="AU389" s="235"/>
      <c r="AV389" s="360">
        <f t="shared" si="43"/>
        <v>3844931.2347083925</v>
      </c>
      <c r="AW389" s="235"/>
      <c r="AX389" s="354"/>
      <c r="AY389" s="14"/>
      <c r="AZ389" s="14">
        <f t="shared" si="45"/>
        <v>-761.1520571126166</v>
      </c>
      <c r="BA389" s="14">
        <f t="shared" si="44"/>
        <v>-0.19029697333618145</v>
      </c>
      <c r="BB389" s="14">
        <f t="shared" si="33"/>
        <v>3999.8116825954667</v>
      </c>
      <c r="BC389" s="14"/>
      <c r="BD389" s="14"/>
      <c r="BE389" s="14"/>
      <c r="BF389" s="14"/>
      <c r="BG389" s="14"/>
      <c r="BH389" s="14"/>
      <c r="BI389" s="14"/>
      <c r="BJ389" s="14"/>
      <c r="BK389" s="14"/>
      <c r="BL389" s="14"/>
      <c r="BM389" s="14"/>
      <c r="BN389" s="14"/>
      <c r="BO389" s="14"/>
      <c r="BP389" s="14"/>
      <c r="BQ389" s="14"/>
      <c r="BR389" s="14"/>
      <c r="BS389" s="14"/>
      <c r="BT389" s="14"/>
      <c r="BU389" s="14"/>
      <c r="BV389" s="14"/>
      <c r="BW389" s="14"/>
      <c r="BX389" s="14"/>
      <c r="BY389" s="14"/>
      <c r="BZ389" s="14"/>
      <c r="CA389" s="14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</row>
    <row r="390" spans="1:101" ht="14.25" customHeight="1" x14ac:dyDescent="0.2">
      <c r="A390" s="328"/>
      <c r="B390" s="52">
        <v>0.14487218715091985</v>
      </c>
      <c r="C390" s="330">
        <v>6.8987230232069721E-2</v>
      </c>
      <c r="D390" s="330">
        <v>1.6476255916974658E-2</v>
      </c>
      <c r="E390" s="330">
        <v>1.6415274136589386E-2</v>
      </c>
      <c r="F390" s="331">
        <v>0.77139924020774031</v>
      </c>
      <c r="G390" s="94">
        <v>0.36819907824083303</v>
      </c>
      <c r="H390" s="330">
        <v>1.9903319067371923E-2</v>
      </c>
      <c r="I390" s="330">
        <v>1.0630487942991863E-2</v>
      </c>
      <c r="J390" s="330">
        <v>0.99999999539527751</v>
      </c>
      <c r="K390" s="330">
        <v>0.79127168726404218</v>
      </c>
      <c r="L390" s="332">
        <v>12100.87783939126</v>
      </c>
      <c r="M390" s="330">
        <v>0</v>
      </c>
      <c r="N390" s="330">
        <v>11826.559552390758</v>
      </c>
      <c r="O390" s="330">
        <v>902.15122349539286</v>
      </c>
      <c r="P390" s="330">
        <v>52151.151325528539</v>
      </c>
      <c r="Q390" s="333">
        <v>114041.64773459996</v>
      </c>
      <c r="R390" s="330">
        <v>18288.511843052023</v>
      </c>
      <c r="S390" s="330">
        <v>10683.04772137594</v>
      </c>
      <c r="T390" s="332">
        <v>0.99701232921260075</v>
      </c>
      <c r="U390" s="330">
        <v>0.61363136460921441</v>
      </c>
      <c r="V390" s="330">
        <v>0.66992147964801207</v>
      </c>
      <c r="W390" s="330">
        <v>0.19433218483554979</v>
      </c>
      <c r="X390" s="330">
        <v>0.99922903762459181</v>
      </c>
      <c r="Y390" s="330">
        <v>0</v>
      </c>
      <c r="Z390" s="331">
        <v>0</v>
      </c>
      <c r="AA390" s="235"/>
      <c r="AB390" s="52">
        <v>101124.02357620375</v>
      </c>
      <c r="AC390" s="330">
        <v>4.6583215196731542</v>
      </c>
      <c r="AD390" s="330">
        <v>91879.6732248513</v>
      </c>
      <c r="AE390" s="330">
        <v>4.9778108123212519</v>
      </c>
      <c r="AF390" s="330">
        <v>9244.3503513524483</v>
      </c>
      <c r="AG390" s="331">
        <v>-0.31948929264809767</v>
      </c>
      <c r="AH390" s="235"/>
      <c r="AI390" s="208">
        <f t="shared" si="40"/>
        <v>4324281.4201132925</v>
      </c>
      <c r="AJ390" s="208">
        <f t="shared" si="41"/>
        <v>4637040.5984803382</v>
      </c>
      <c r="AK390" s="208">
        <f t="shared" si="42"/>
        <v>-312759.17836704524</v>
      </c>
      <c r="AL390" s="235"/>
      <c r="AM390" s="52">
        <f t="shared" si="30"/>
        <v>0</v>
      </c>
      <c r="AN390" s="52">
        <f t="shared" si="31"/>
        <v>1</v>
      </c>
      <c r="AO390" s="52">
        <f t="shared" si="32"/>
        <v>0</v>
      </c>
      <c r="AP390" s="235"/>
      <c r="AQ390" s="3"/>
      <c r="AR390" s="3"/>
      <c r="AS390" s="3"/>
      <c r="AT390" s="3"/>
      <c r="AU390" s="235"/>
      <c r="AV390" s="360">
        <f t="shared" si="43"/>
        <v>4637040.5984803382</v>
      </c>
      <c r="AW390" s="235"/>
      <c r="AX390" s="354"/>
      <c r="AY390" s="14"/>
      <c r="AZ390" s="14">
        <f t="shared" si="45"/>
        <v>9244.3503513524483</v>
      </c>
      <c r="BA390" s="14">
        <f t="shared" si="44"/>
        <v>-0.31948929264809767</v>
      </c>
      <c r="BB390" s="14">
        <f t="shared" si="33"/>
        <v>-28934.773602991016</v>
      </c>
      <c r="BC390" s="14"/>
      <c r="BD390" s="14"/>
      <c r="BE390" s="14"/>
      <c r="BF390" s="14"/>
      <c r="BG390" s="14"/>
      <c r="BH390" s="14"/>
      <c r="BI390" s="14"/>
      <c r="BJ390" s="14"/>
      <c r="BK390" s="14"/>
      <c r="BL390" s="14"/>
      <c r="BM390" s="14"/>
      <c r="BN390" s="14"/>
      <c r="BO390" s="14"/>
      <c r="BP390" s="14"/>
      <c r="BQ390" s="14"/>
      <c r="BR390" s="14"/>
      <c r="BS390" s="14"/>
      <c r="BT390" s="14"/>
      <c r="BU390" s="14"/>
      <c r="BV390" s="14"/>
      <c r="BW390" s="14"/>
      <c r="BX390" s="14"/>
      <c r="BY390" s="14"/>
      <c r="BZ390" s="14"/>
      <c r="CA390" s="14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</row>
    <row r="391" spans="1:101" ht="14.25" customHeight="1" x14ac:dyDescent="0.2">
      <c r="A391" s="328"/>
      <c r="B391" s="52">
        <v>0.16829856016529887</v>
      </c>
      <c r="C391" s="330">
        <v>0.18033478233687039</v>
      </c>
      <c r="D391" s="330">
        <v>1.7172767994808713E-2</v>
      </c>
      <c r="E391" s="330">
        <v>1.4989095808915387E-2</v>
      </c>
      <c r="F391" s="331">
        <v>0.77213976705436926</v>
      </c>
      <c r="G391" s="94">
        <v>0.36295465893144341</v>
      </c>
      <c r="H391" s="330">
        <v>0.24031172527590455</v>
      </c>
      <c r="I391" s="330">
        <v>3.6546749657088373E-2</v>
      </c>
      <c r="J391" s="330">
        <v>0.47450423190777152</v>
      </c>
      <c r="K391" s="330">
        <v>0.77435729167393652</v>
      </c>
      <c r="L391" s="332">
        <v>13895.010096811058</v>
      </c>
      <c r="M391" s="330">
        <v>0</v>
      </c>
      <c r="N391" s="330">
        <v>16707.22974525069</v>
      </c>
      <c r="O391" s="330">
        <v>1100.0076363994483</v>
      </c>
      <c r="P391" s="330">
        <v>40969.087240923654</v>
      </c>
      <c r="Q391" s="333">
        <v>99477.044956648053</v>
      </c>
      <c r="R391" s="330">
        <v>15536.110597364697</v>
      </c>
      <c r="S391" s="330">
        <v>7406.6904167106268</v>
      </c>
      <c r="T391" s="332">
        <v>0.99934742033281476</v>
      </c>
      <c r="U391" s="330">
        <v>0.50592757430209734</v>
      </c>
      <c r="V391" s="330">
        <v>0.89374175692483804</v>
      </c>
      <c r="W391" s="330">
        <v>0.49256395515440143</v>
      </c>
      <c r="X391" s="330">
        <v>0.74128639998939727</v>
      </c>
      <c r="Y391" s="330">
        <v>0</v>
      </c>
      <c r="Z391" s="331">
        <v>0</v>
      </c>
      <c r="AA391" s="235"/>
      <c r="AB391" s="52">
        <v>76213.578376210178</v>
      </c>
      <c r="AC391" s="330">
        <v>3.6456419806440135</v>
      </c>
      <c r="AD391" s="330">
        <v>64972.727808842727</v>
      </c>
      <c r="AE391" s="330">
        <v>3.4941181034659894</v>
      </c>
      <c r="AF391" s="330">
        <v>11240.850567367452</v>
      </c>
      <c r="AG391" s="331">
        <v>0.15152387717802407</v>
      </c>
      <c r="AH391" s="235"/>
      <c r="AI391" s="208">
        <f t="shared" si="40"/>
        <v>3387146.3032356026</v>
      </c>
      <c r="AJ391" s="208">
        <f t="shared" si="41"/>
        <v>3254439.470483847</v>
      </c>
      <c r="AK391" s="208">
        <f t="shared" si="42"/>
        <v>132706.83275175543</v>
      </c>
      <c r="AL391" s="235"/>
      <c r="AM391" s="52">
        <f t="shared" si="30"/>
        <v>1</v>
      </c>
      <c r="AN391" s="52">
        <f t="shared" si="31"/>
        <v>0</v>
      </c>
      <c r="AO391" s="52">
        <f t="shared" si="32"/>
        <v>1</v>
      </c>
      <c r="AP391" s="235"/>
      <c r="AQ391" s="3"/>
      <c r="AR391" s="3"/>
      <c r="AS391" s="3"/>
      <c r="AT391" s="3"/>
      <c r="AU391" s="235"/>
      <c r="AV391" s="360">
        <f t="shared" si="43"/>
        <v>3387146.3032356026</v>
      </c>
      <c r="AW391" s="235"/>
      <c r="AX391" s="354"/>
      <c r="AY391" s="14"/>
      <c r="AZ391" s="14">
        <f t="shared" si="45"/>
        <v>11240.850567367452</v>
      </c>
      <c r="BA391" s="14">
        <f t="shared" si="44"/>
        <v>0.15152387717802407</v>
      </c>
      <c r="BB391" s="14">
        <f t="shared" si="33"/>
        <v>74185.341457179558</v>
      </c>
      <c r="BC391" s="14"/>
      <c r="BD391" s="14"/>
      <c r="BE391" s="14"/>
      <c r="BF391" s="14"/>
      <c r="BG391" s="14"/>
      <c r="BH391" s="14"/>
      <c r="BI391" s="14"/>
      <c r="BJ391" s="14"/>
      <c r="BK391" s="14"/>
      <c r="BL391" s="14"/>
      <c r="BM391" s="14"/>
      <c r="BN391" s="14"/>
      <c r="BO391" s="14"/>
      <c r="BP391" s="14"/>
      <c r="BQ391" s="14"/>
      <c r="BR391" s="14"/>
      <c r="BS391" s="14"/>
      <c r="BT391" s="14"/>
      <c r="BU391" s="14"/>
      <c r="BV391" s="14"/>
      <c r="BW391" s="14"/>
      <c r="BX391" s="14"/>
      <c r="BY391" s="14"/>
      <c r="BZ391" s="14"/>
      <c r="CA391" s="14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</row>
    <row r="392" spans="1:101" ht="14.25" customHeight="1" x14ac:dyDescent="0.2">
      <c r="A392" s="328"/>
      <c r="B392" s="52">
        <v>0.18045246644769153</v>
      </c>
      <c r="C392" s="330">
        <v>3.452191713942683E-2</v>
      </c>
      <c r="D392" s="330">
        <v>1.4730236146230369E-2</v>
      </c>
      <c r="E392" s="330">
        <v>1.5778810430845835E-2</v>
      </c>
      <c r="F392" s="331">
        <v>0.74536623925259082</v>
      </c>
      <c r="G392" s="94">
        <v>0.40294381274849289</v>
      </c>
      <c r="H392" s="330">
        <v>5.1721260176406714E-2</v>
      </c>
      <c r="I392" s="330">
        <v>1.1156403886607718E-2</v>
      </c>
      <c r="J392" s="330">
        <v>0.12222771209630852</v>
      </c>
      <c r="K392" s="330">
        <v>0.72780867748082678</v>
      </c>
      <c r="L392" s="332">
        <v>12255.073253638189</v>
      </c>
      <c r="M392" s="330">
        <v>0</v>
      </c>
      <c r="N392" s="330">
        <v>15048.542328971214</v>
      </c>
      <c r="O392" s="330">
        <v>927.852695769246</v>
      </c>
      <c r="P392" s="330">
        <v>55303.070855976832</v>
      </c>
      <c r="Q392" s="333">
        <v>101328.00208045717</v>
      </c>
      <c r="R392" s="330">
        <v>37107.643070681952</v>
      </c>
      <c r="S392" s="330">
        <v>8306.0842364044802</v>
      </c>
      <c r="T392" s="332">
        <v>0.58765814914688008</v>
      </c>
      <c r="U392" s="330">
        <v>0.25371516365378494</v>
      </c>
      <c r="V392" s="330">
        <v>8.0366930691325292E-2</v>
      </c>
      <c r="W392" s="330">
        <v>0.95808722418847969</v>
      </c>
      <c r="X392" s="330">
        <v>0.18803441084366762</v>
      </c>
      <c r="Y392" s="330">
        <v>0</v>
      </c>
      <c r="Z392" s="331">
        <v>0</v>
      </c>
      <c r="AA392" s="235"/>
      <c r="AB392" s="52">
        <v>79363.817616273795</v>
      </c>
      <c r="AC392" s="330">
        <v>0.8543556181600136</v>
      </c>
      <c r="AD392" s="330">
        <v>66511.391372953731</v>
      </c>
      <c r="AE392" s="330">
        <v>0.89368912172660164</v>
      </c>
      <c r="AF392" s="330">
        <v>12852.426243320064</v>
      </c>
      <c r="AG392" s="331">
        <v>-3.9333503566588046E-2</v>
      </c>
      <c r="AH392" s="235"/>
      <c r="AI392" s="208">
        <f t="shared" si="40"/>
        <v>732274.01963573915</v>
      </c>
      <c r="AJ392" s="208">
        <f t="shared" si="41"/>
        <v>782493.27426731784</v>
      </c>
      <c r="AK392" s="208">
        <f t="shared" si="42"/>
        <v>-50219.254631578711</v>
      </c>
      <c r="AL392" s="235"/>
      <c r="AM392" s="52">
        <f t="shared" si="30"/>
        <v>0</v>
      </c>
      <c r="AN392" s="52">
        <f t="shared" si="31"/>
        <v>1</v>
      </c>
      <c r="AO392" s="52">
        <f t="shared" si="32"/>
        <v>0</v>
      </c>
      <c r="AP392" s="235"/>
      <c r="AQ392" s="3"/>
      <c r="AR392" s="3"/>
      <c r="AS392" s="3"/>
      <c r="AT392" s="3"/>
      <c r="AU392" s="235"/>
      <c r="AV392" s="360">
        <f t="shared" si="43"/>
        <v>782493.27426731784</v>
      </c>
      <c r="AW392" s="235"/>
      <c r="AX392" s="354"/>
      <c r="AY392" s="14"/>
      <c r="AZ392" s="14">
        <f t="shared" si="45"/>
        <v>12852.426243320064</v>
      </c>
      <c r="BA392" s="14">
        <f t="shared" si="44"/>
        <v>-3.9333503566588046E-2</v>
      </c>
      <c r="BB392" s="14">
        <f t="shared" si="33"/>
        <v>-326755.18522173021</v>
      </c>
      <c r="BC392" s="14"/>
      <c r="BD392" s="14"/>
      <c r="BE392" s="14"/>
      <c r="BF392" s="14"/>
      <c r="BG392" s="14"/>
      <c r="BH392" s="14"/>
      <c r="BI392" s="14"/>
      <c r="BJ392" s="14"/>
      <c r="BK392" s="14"/>
      <c r="BL392" s="14"/>
      <c r="BM392" s="14"/>
      <c r="BN392" s="14"/>
      <c r="BO392" s="14"/>
      <c r="BP392" s="14"/>
      <c r="BQ392" s="14"/>
      <c r="BR392" s="14"/>
      <c r="BS392" s="14"/>
      <c r="BT392" s="14"/>
      <c r="BU392" s="14"/>
      <c r="BV392" s="14"/>
      <c r="BW392" s="14"/>
      <c r="BX392" s="14"/>
      <c r="BY392" s="14"/>
      <c r="BZ392" s="14"/>
      <c r="CA392" s="14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</row>
    <row r="393" spans="1:101" ht="14.25" customHeight="1" x14ac:dyDescent="0.2">
      <c r="A393" s="328"/>
      <c r="B393" s="52">
        <v>0.176209917690758</v>
      </c>
      <c r="C393" s="330">
        <v>0.64235288562035575</v>
      </c>
      <c r="D393" s="330">
        <v>1.8398447376042348E-2</v>
      </c>
      <c r="E393" s="330">
        <v>1.2032362739955319E-2</v>
      </c>
      <c r="F393" s="331">
        <v>0.79590651282573144</v>
      </c>
      <c r="G393" s="94">
        <v>0.36729324577984146</v>
      </c>
      <c r="H393" s="330">
        <v>0.71452537889414025</v>
      </c>
      <c r="I393" s="330">
        <v>1.1787983536831869E-2</v>
      </c>
      <c r="J393" s="330">
        <v>0.99981522967432512</v>
      </c>
      <c r="K393" s="330">
        <v>0.75536066573791549</v>
      </c>
      <c r="L393" s="332">
        <v>10429.352002985201</v>
      </c>
      <c r="M393" s="330">
        <v>0</v>
      </c>
      <c r="N393" s="330">
        <v>15855.56272561643</v>
      </c>
      <c r="O393" s="330">
        <v>851.91656251693973</v>
      </c>
      <c r="P393" s="330">
        <v>36739.970448240041</v>
      </c>
      <c r="Q393" s="333">
        <v>79423.162197483485</v>
      </c>
      <c r="R393" s="330">
        <v>25713.31771924458</v>
      </c>
      <c r="S393" s="330">
        <v>12162.128853863978</v>
      </c>
      <c r="T393" s="332">
        <v>0.99930491161598778</v>
      </c>
      <c r="U393" s="330">
        <v>0.99989987874551178</v>
      </c>
      <c r="V393" s="330">
        <v>0.19754025860542612</v>
      </c>
      <c r="W393" s="330">
        <v>0.99759814306212458</v>
      </c>
      <c r="X393" s="330">
        <v>0.98991922895540796</v>
      </c>
      <c r="Y393" s="330">
        <v>0</v>
      </c>
      <c r="Z393" s="331">
        <v>0</v>
      </c>
      <c r="AA393" s="235"/>
      <c r="AB393" s="52">
        <v>117626.90635099483</v>
      </c>
      <c r="AC393" s="330">
        <v>4.7705701921647661</v>
      </c>
      <c r="AD393" s="330">
        <v>106210.24086009504</v>
      </c>
      <c r="AE393" s="330">
        <v>4.9267593393191307</v>
      </c>
      <c r="AF393" s="330">
        <v>11416.665490899788</v>
      </c>
      <c r="AG393" s="331">
        <v>-0.1561891471543646</v>
      </c>
      <c r="AH393" s="235"/>
      <c r="AI393" s="208">
        <f t="shared" si="40"/>
        <v>4414414.7762055332</v>
      </c>
      <c r="AJ393" s="208">
        <f t="shared" si="41"/>
        <v>4574211.1314930785</v>
      </c>
      <c r="AK393" s="208">
        <f t="shared" si="42"/>
        <v>-159796.35528754618</v>
      </c>
      <c r="AL393" s="235"/>
      <c r="AM393" s="52">
        <f t="shared" si="30"/>
        <v>0</v>
      </c>
      <c r="AN393" s="52">
        <f t="shared" si="31"/>
        <v>1</v>
      </c>
      <c r="AO393" s="52">
        <f t="shared" si="32"/>
        <v>0</v>
      </c>
      <c r="AP393" s="235"/>
      <c r="AQ393" s="3"/>
      <c r="AR393" s="3"/>
      <c r="AS393" s="3"/>
      <c r="AT393" s="3"/>
      <c r="AU393" s="235"/>
      <c r="AV393" s="360">
        <f t="shared" si="43"/>
        <v>4574211.1314930785</v>
      </c>
      <c r="AW393" s="235"/>
      <c r="AX393" s="354"/>
      <c r="AY393" s="14"/>
      <c r="AZ393" s="14">
        <f t="shared" si="45"/>
        <v>11416.665490899788</v>
      </c>
      <c r="BA393" s="14">
        <f t="shared" si="44"/>
        <v>-0.1561891471543646</v>
      </c>
      <c r="BB393" s="14">
        <f t="shared" si="33"/>
        <v>-73095.126639090275</v>
      </c>
      <c r="BC393" s="14"/>
      <c r="BD393" s="14"/>
      <c r="BE393" s="14"/>
      <c r="BF393" s="14"/>
      <c r="BG393" s="14"/>
      <c r="BH393" s="14"/>
      <c r="BI393" s="14"/>
      <c r="BJ393" s="14"/>
      <c r="BK393" s="14"/>
      <c r="BL393" s="14"/>
      <c r="BM393" s="14"/>
      <c r="BN393" s="14"/>
      <c r="BO393" s="14"/>
      <c r="BP393" s="14"/>
      <c r="BQ393" s="14"/>
      <c r="BR393" s="14"/>
      <c r="BS393" s="14"/>
      <c r="BT393" s="14"/>
      <c r="BU393" s="14"/>
      <c r="BV393" s="14"/>
      <c r="BW393" s="14"/>
      <c r="BX393" s="14"/>
      <c r="BY393" s="14"/>
      <c r="BZ393" s="14"/>
      <c r="CA393" s="14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</row>
    <row r="394" spans="1:101" ht="14.25" customHeight="1" x14ac:dyDescent="0.2">
      <c r="A394" s="328"/>
      <c r="B394" s="52">
        <v>0.18285011976406906</v>
      </c>
      <c r="C394" s="330">
        <v>0.82608980144045252</v>
      </c>
      <c r="D394" s="330">
        <v>1.0071966735233813E-2</v>
      </c>
      <c r="E394" s="330">
        <v>1.3367236185898397E-2</v>
      </c>
      <c r="F394" s="331">
        <v>0.79968749658200444</v>
      </c>
      <c r="G394" s="94">
        <v>0.38337863431228786</v>
      </c>
      <c r="H394" s="330">
        <v>0.47446036583262502</v>
      </c>
      <c r="I394" s="330">
        <v>9.3188801177058623E-3</v>
      </c>
      <c r="J394" s="330">
        <v>0.99996439099343426</v>
      </c>
      <c r="K394" s="330">
        <v>0.70937089308487733</v>
      </c>
      <c r="L394" s="332">
        <v>14888.387151404653</v>
      </c>
      <c r="M394" s="330">
        <v>0</v>
      </c>
      <c r="N394" s="330">
        <v>12569.537050766701</v>
      </c>
      <c r="O394" s="330">
        <v>914.66114055882781</v>
      </c>
      <c r="P394" s="330">
        <v>65138.255708274104</v>
      </c>
      <c r="Q394" s="333">
        <v>120758.88033793434</v>
      </c>
      <c r="R394" s="330">
        <v>27687.963781828847</v>
      </c>
      <c r="S394" s="330">
        <v>6174.0859158908697</v>
      </c>
      <c r="T394" s="332">
        <v>0.99971483083185142</v>
      </c>
      <c r="U394" s="330">
        <v>0.97348829699073636</v>
      </c>
      <c r="V394" s="330">
        <v>0.97597952644426922</v>
      </c>
      <c r="W394" s="330">
        <v>0.94836297399870362</v>
      </c>
      <c r="X394" s="330">
        <v>0.74756243313167636</v>
      </c>
      <c r="Y394" s="330">
        <v>0</v>
      </c>
      <c r="Z394" s="331">
        <v>0</v>
      </c>
      <c r="AA394" s="235"/>
      <c r="AB394" s="52">
        <v>72445.956971807129</v>
      </c>
      <c r="AC394" s="330">
        <v>3.9753235063422521</v>
      </c>
      <c r="AD394" s="330">
        <v>53130.627219234331</v>
      </c>
      <c r="AE394" s="330">
        <v>3.2202753828600854</v>
      </c>
      <c r="AF394" s="330">
        <v>19315.329752572798</v>
      </c>
      <c r="AG394" s="331">
        <v>0.75504812348216666</v>
      </c>
      <c r="AH394" s="235"/>
      <c r="AI394" s="208">
        <f t="shared" si="40"/>
        <v>3704111.3740533325</v>
      </c>
      <c r="AJ394" s="208">
        <f t="shared" si="41"/>
        <v>3006130.9864978469</v>
      </c>
      <c r="AK394" s="208">
        <f t="shared" si="42"/>
        <v>697980.38755548547</v>
      </c>
      <c r="AL394" s="235"/>
      <c r="AM394" s="52">
        <f t="shared" si="30"/>
        <v>1</v>
      </c>
      <c r="AN394" s="52">
        <f t="shared" si="31"/>
        <v>0</v>
      </c>
      <c r="AO394" s="52">
        <f t="shared" si="32"/>
        <v>1</v>
      </c>
      <c r="AP394" s="235"/>
      <c r="AQ394" s="3"/>
      <c r="AR394" s="3"/>
      <c r="AS394" s="3"/>
      <c r="AT394" s="3"/>
      <c r="AU394" s="235"/>
      <c r="AV394" s="360">
        <f t="shared" si="43"/>
        <v>3704111.3740533325</v>
      </c>
      <c r="AW394" s="235"/>
      <c r="AX394" s="354"/>
      <c r="AY394" s="14"/>
      <c r="AZ394" s="14">
        <f t="shared" si="45"/>
        <v>19315.329752572798</v>
      </c>
      <c r="BA394" s="14">
        <f t="shared" si="44"/>
        <v>0.75504812348216666</v>
      </c>
      <c r="BB394" s="14">
        <f t="shared" si="33"/>
        <v>25581.587652312075</v>
      </c>
      <c r="BC394" s="14"/>
      <c r="BD394" s="14"/>
      <c r="BE394" s="14"/>
      <c r="BF394" s="14"/>
      <c r="BG394" s="14"/>
      <c r="BH394" s="14"/>
      <c r="BI394" s="14"/>
      <c r="BJ394" s="14"/>
      <c r="BK394" s="14"/>
      <c r="BL394" s="14"/>
      <c r="BM394" s="14"/>
      <c r="BN394" s="14"/>
      <c r="BO394" s="14"/>
      <c r="BP394" s="14"/>
      <c r="BQ394" s="14"/>
      <c r="BR394" s="14"/>
      <c r="BS394" s="14"/>
      <c r="BT394" s="14"/>
      <c r="BU394" s="14"/>
      <c r="BV394" s="14"/>
      <c r="BW394" s="14"/>
      <c r="BX394" s="14"/>
      <c r="BY394" s="14"/>
      <c r="BZ394" s="14"/>
      <c r="CA394" s="14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</row>
    <row r="395" spans="1:101" ht="14.25" customHeight="1" x14ac:dyDescent="0.2">
      <c r="A395" s="328"/>
      <c r="B395" s="52">
        <v>0.17407384327042386</v>
      </c>
      <c r="C395" s="330">
        <v>0.58016619906716205</v>
      </c>
      <c r="D395" s="330">
        <v>1.4303722953958525E-2</v>
      </c>
      <c r="E395" s="330">
        <v>2.6149509735946319E-2</v>
      </c>
      <c r="F395" s="331">
        <v>0.79010589272613185</v>
      </c>
      <c r="G395" s="94">
        <v>0.38408490408404733</v>
      </c>
      <c r="H395" s="330">
        <v>0.64713115044879921</v>
      </c>
      <c r="I395" s="330">
        <v>1.6341961321629239E-2</v>
      </c>
      <c r="J395" s="330">
        <v>0.99980098348762869</v>
      </c>
      <c r="K395" s="330">
        <v>0.7846554871845326</v>
      </c>
      <c r="L395" s="332">
        <v>12514.515585323055</v>
      </c>
      <c r="M395" s="330">
        <v>0</v>
      </c>
      <c r="N395" s="330">
        <v>21717.647577622909</v>
      </c>
      <c r="O395" s="330">
        <v>1267.0466505505492</v>
      </c>
      <c r="P395" s="330">
        <v>51197.720908396979</v>
      </c>
      <c r="Q395" s="333">
        <v>117025.93730338413</v>
      </c>
      <c r="R395" s="330">
        <v>21402.677792306178</v>
      </c>
      <c r="S395" s="330">
        <v>9507.8972161857382</v>
      </c>
      <c r="T395" s="332">
        <v>0.76541692721858634</v>
      </c>
      <c r="U395" s="330">
        <v>0.54320259110679991</v>
      </c>
      <c r="V395" s="330">
        <v>0.81017742500534806</v>
      </c>
      <c r="W395" s="330">
        <v>0.59741210673838763</v>
      </c>
      <c r="X395" s="330">
        <v>0.47229408620527374</v>
      </c>
      <c r="Y395" s="330">
        <v>0</v>
      </c>
      <c r="Z395" s="331">
        <v>0</v>
      </c>
      <c r="AA395" s="235"/>
      <c r="AB395" s="52">
        <v>95808.34532770401</v>
      </c>
      <c r="AC395" s="330">
        <v>2.578964181005714</v>
      </c>
      <c r="AD395" s="330">
        <v>87049.00985305685</v>
      </c>
      <c r="AE395" s="330">
        <v>2.4008274470342204</v>
      </c>
      <c r="AF395" s="330">
        <v>8759.3354746471596</v>
      </c>
      <c r="AG395" s="331">
        <v>0.17813673397149365</v>
      </c>
      <c r="AH395" s="235"/>
      <c r="AI395" s="208">
        <f t="shared" si="40"/>
        <v>2354207.6266277242</v>
      </c>
      <c r="AJ395" s="208">
        <f t="shared" si="41"/>
        <v>2193737.0648294529</v>
      </c>
      <c r="AK395" s="208">
        <f t="shared" si="42"/>
        <v>160470.56179827184</v>
      </c>
      <c r="AL395" s="235"/>
      <c r="AM395" s="52">
        <f t="shared" si="30"/>
        <v>1</v>
      </c>
      <c r="AN395" s="52">
        <f t="shared" si="31"/>
        <v>0</v>
      </c>
      <c r="AO395" s="52">
        <f t="shared" si="32"/>
        <v>1</v>
      </c>
      <c r="AP395" s="235"/>
      <c r="AQ395" s="3"/>
      <c r="AR395" s="3"/>
      <c r="AS395" s="3"/>
      <c r="AT395" s="3"/>
      <c r="AU395" s="235"/>
      <c r="AV395" s="360">
        <f t="shared" si="43"/>
        <v>2354207.6266277242</v>
      </c>
      <c r="AW395" s="235"/>
      <c r="AX395" s="354"/>
      <c r="AY395" s="14"/>
      <c r="AZ395" s="14">
        <f t="shared" si="45"/>
        <v>8759.3354746471596</v>
      </c>
      <c r="BA395" s="14">
        <f t="shared" si="44"/>
        <v>0.17813673397149365</v>
      </c>
      <c r="BB395" s="14">
        <f t="shared" si="33"/>
        <v>49171.977499311695</v>
      </c>
      <c r="BC395" s="14"/>
      <c r="BD395" s="14"/>
      <c r="BE395" s="14"/>
      <c r="BF395" s="14"/>
      <c r="BG395" s="14"/>
      <c r="BH395" s="14"/>
      <c r="BI395" s="14"/>
      <c r="BJ395" s="14"/>
      <c r="BK395" s="14"/>
      <c r="BL395" s="14"/>
      <c r="BM395" s="14"/>
      <c r="BN395" s="14"/>
      <c r="BO395" s="14"/>
      <c r="BP395" s="14"/>
      <c r="BQ395" s="14"/>
      <c r="BR395" s="14"/>
      <c r="BS395" s="14"/>
      <c r="BT395" s="14"/>
      <c r="BU395" s="14"/>
      <c r="BV395" s="14"/>
      <c r="BW395" s="14"/>
      <c r="BX395" s="14"/>
      <c r="BY395" s="14"/>
      <c r="BZ395" s="14"/>
      <c r="CA395" s="14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</row>
    <row r="396" spans="1:101" ht="14.25" customHeight="1" x14ac:dyDescent="0.2">
      <c r="A396" s="328"/>
      <c r="B396" s="52">
        <v>0.15878391553404883</v>
      </c>
      <c r="C396" s="330">
        <v>0.2948949298167105</v>
      </c>
      <c r="D396" s="330">
        <v>1.2117140851841389E-2</v>
      </c>
      <c r="E396" s="330">
        <v>1.1659853325867003E-2</v>
      </c>
      <c r="F396" s="331">
        <v>0.80248223644776351</v>
      </c>
      <c r="G396" s="94">
        <v>0.40888629246251973</v>
      </c>
      <c r="H396" s="330">
        <v>0.65875136542985302</v>
      </c>
      <c r="I396" s="330">
        <v>1.3428937911889899E-2</v>
      </c>
      <c r="J396" s="330">
        <v>0.9999999999863165</v>
      </c>
      <c r="K396" s="330">
        <v>0.71967229237338615</v>
      </c>
      <c r="L396" s="332">
        <v>15124.606345938626</v>
      </c>
      <c r="M396" s="330">
        <v>0</v>
      </c>
      <c r="N396" s="330">
        <v>12167.949933435013</v>
      </c>
      <c r="O396" s="330">
        <v>1058.9660484843228</v>
      </c>
      <c r="P396" s="330">
        <v>30050.0087568419</v>
      </c>
      <c r="Q396" s="333">
        <v>116813.24178455553</v>
      </c>
      <c r="R396" s="330">
        <v>26123.688421846364</v>
      </c>
      <c r="S396" s="330">
        <v>11100.098611452493</v>
      </c>
      <c r="T396" s="332">
        <v>0.99800465966417162</v>
      </c>
      <c r="U396" s="330">
        <v>0.96168543467031897</v>
      </c>
      <c r="V396" s="330">
        <v>0.21720923657593683</v>
      </c>
      <c r="W396" s="330">
        <v>0.99997720248813837</v>
      </c>
      <c r="X396" s="330">
        <v>0.80678358377149617</v>
      </c>
      <c r="Y396" s="330">
        <v>0</v>
      </c>
      <c r="Z396" s="331">
        <v>0</v>
      </c>
      <c r="AA396" s="235"/>
      <c r="AB396" s="52">
        <v>112331.53889062341</v>
      </c>
      <c r="AC396" s="330">
        <v>4.0142706434093718</v>
      </c>
      <c r="AD396" s="330">
        <v>94016.286892421951</v>
      </c>
      <c r="AE396" s="330">
        <v>3.5898401141504115</v>
      </c>
      <c r="AF396" s="330">
        <v>18315.251998201464</v>
      </c>
      <c r="AG396" s="331">
        <v>0.4244305292589603</v>
      </c>
      <c r="AH396" s="235"/>
      <c r="AI396" s="208">
        <f t="shared" si="40"/>
        <v>3701225.5723482799</v>
      </c>
      <c r="AJ396" s="208">
        <f t="shared" si="41"/>
        <v>3316331.8215504689</v>
      </c>
      <c r="AK396" s="208">
        <f t="shared" si="42"/>
        <v>384893.75079781079</v>
      </c>
      <c r="AL396" s="235"/>
      <c r="AM396" s="52">
        <f t="shared" si="30"/>
        <v>1</v>
      </c>
      <c r="AN396" s="52">
        <f t="shared" si="31"/>
        <v>0</v>
      </c>
      <c r="AO396" s="52">
        <f t="shared" si="32"/>
        <v>1</v>
      </c>
      <c r="AP396" s="235"/>
      <c r="AQ396" s="3"/>
      <c r="AR396" s="3"/>
      <c r="AS396" s="3"/>
      <c r="AT396" s="3"/>
      <c r="AU396" s="235"/>
      <c r="AV396" s="360">
        <f t="shared" si="43"/>
        <v>3701225.5723482799</v>
      </c>
      <c r="AW396" s="235"/>
      <c r="AX396" s="354"/>
      <c r="AY396" s="14"/>
      <c r="AZ396" s="14">
        <f t="shared" si="45"/>
        <v>18315.251998201464</v>
      </c>
      <c r="BA396" s="14">
        <f t="shared" si="44"/>
        <v>0.4244305292589603</v>
      </c>
      <c r="BB396" s="14">
        <f t="shared" si="33"/>
        <v>43152.532006072237</v>
      </c>
      <c r="BC396" s="14"/>
      <c r="BD396" s="14"/>
      <c r="BE396" s="14"/>
      <c r="BF396" s="14"/>
      <c r="BG396" s="14"/>
      <c r="BH396" s="14"/>
      <c r="BI396" s="14"/>
      <c r="BJ396" s="14"/>
      <c r="BK396" s="14"/>
      <c r="BL396" s="14"/>
      <c r="BM396" s="14"/>
      <c r="BN396" s="14"/>
      <c r="BO396" s="14"/>
      <c r="BP396" s="14"/>
      <c r="BQ396" s="14"/>
      <c r="BR396" s="14"/>
      <c r="BS396" s="14"/>
      <c r="BT396" s="14"/>
      <c r="BU396" s="14"/>
      <c r="BV396" s="14"/>
      <c r="BW396" s="14"/>
      <c r="BX396" s="14"/>
      <c r="BY396" s="14"/>
      <c r="BZ396" s="14"/>
      <c r="CA396" s="14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</row>
    <row r="397" spans="1:101" ht="14.25" customHeight="1" x14ac:dyDescent="0.2">
      <c r="A397" s="328"/>
      <c r="B397" s="52">
        <v>0.20306338399433177</v>
      </c>
      <c r="C397" s="330">
        <v>0.40519556455583028</v>
      </c>
      <c r="D397" s="330">
        <v>1.0065331931015284E-2</v>
      </c>
      <c r="E397" s="330">
        <v>1.3345775473956586E-2</v>
      </c>
      <c r="F397" s="331">
        <v>0.79198392851053456</v>
      </c>
      <c r="G397" s="94">
        <v>0.44110216358468224</v>
      </c>
      <c r="H397" s="330">
        <v>0.76500652952922688</v>
      </c>
      <c r="I397" s="330">
        <v>1.3782342258660988E-2</v>
      </c>
      <c r="J397" s="330">
        <v>0.99619230546745097</v>
      </c>
      <c r="K397" s="330">
        <v>0.77004939097536973</v>
      </c>
      <c r="L397" s="332">
        <v>12495.027199965711</v>
      </c>
      <c r="M397" s="330">
        <v>0</v>
      </c>
      <c r="N397" s="330">
        <v>18540.283342578561</v>
      </c>
      <c r="O397" s="330">
        <v>1086.4420210315759</v>
      </c>
      <c r="P397" s="330">
        <v>41086.608168969135</v>
      </c>
      <c r="Q397" s="333">
        <v>84167.340808456604</v>
      </c>
      <c r="R397" s="330">
        <v>35482.890384803351</v>
      </c>
      <c r="S397" s="330">
        <v>5845.9051662269922</v>
      </c>
      <c r="T397" s="332">
        <v>0.33337415493001965</v>
      </c>
      <c r="U397" s="330">
        <v>0.72772206001393691</v>
      </c>
      <c r="V397" s="330">
        <v>0.99980253125531882</v>
      </c>
      <c r="W397" s="330">
        <v>0.45375889996990154</v>
      </c>
      <c r="X397" s="330">
        <v>0.89216058429562439</v>
      </c>
      <c r="Y397" s="330">
        <v>0</v>
      </c>
      <c r="Z397" s="331">
        <v>0</v>
      </c>
      <c r="AA397" s="235"/>
      <c r="AB397" s="52">
        <v>65492.975678687893</v>
      </c>
      <c r="AC397" s="330">
        <v>4.3203828557273676</v>
      </c>
      <c r="AD397" s="330">
        <v>61556.075172118683</v>
      </c>
      <c r="AE397" s="330">
        <v>4.3419657961020794</v>
      </c>
      <c r="AF397" s="330">
        <v>3936.9005065692108</v>
      </c>
      <c r="AG397" s="331">
        <v>-2.1582940374711868E-2</v>
      </c>
      <c r="AH397" s="235"/>
      <c r="AI397" s="208">
        <f t="shared" si="40"/>
        <v>4038870.7372623114</v>
      </c>
      <c r="AJ397" s="208">
        <f t="shared" si="41"/>
        <v>4063311.4311248567</v>
      </c>
      <c r="AK397" s="208">
        <f t="shared" si="42"/>
        <v>-24440.693862545486</v>
      </c>
      <c r="AL397" s="235"/>
      <c r="AM397" s="52">
        <f t="shared" si="30"/>
        <v>0</v>
      </c>
      <c r="AN397" s="52">
        <f t="shared" si="31"/>
        <v>1</v>
      </c>
      <c r="AO397" s="52">
        <f t="shared" si="32"/>
        <v>0</v>
      </c>
      <c r="AP397" s="235"/>
      <c r="AQ397" s="3"/>
      <c r="AR397" s="3"/>
      <c r="AS397" s="3"/>
      <c r="AT397" s="3"/>
      <c r="AU397" s="235"/>
      <c r="AV397" s="360">
        <f t="shared" si="43"/>
        <v>4063311.4311248567</v>
      </c>
      <c r="AW397" s="235"/>
      <c r="AX397" s="354"/>
      <c r="AY397" s="14"/>
      <c r="AZ397" s="14">
        <f t="shared" si="45"/>
        <v>3936.9005065692108</v>
      </c>
      <c r="BA397" s="14">
        <f t="shared" si="44"/>
        <v>-2.1582940374711868E-2</v>
      </c>
      <c r="BB397" s="14">
        <f t="shared" si="33"/>
        <v>-182407.97769992304</v>
      </c>
      <c r="BC397" s="14"/>
      <c r="BD397" s="14"/>
      <c r="BE397" s="14"/>
      <c r="BF397" s="14"/>
      <c r="BG397" s="14"/>
      <c r="BH397" s="14"/>
      <c r="BI397" s="14"/>
      <c r="BJ397" s="14"/>
      <c r="BK397" s="14"/>
      <c r="BL397" s="14"/>
      <c r="BM397" s="14"/>
      <c r="BN397" s="14"/>
      <c r="BO397" s="14"/>
      <c r="BP397" s="14"/>
      <c r="BQ397" s="14"/>
      <c r="BR397" s="14"/>
      <c r="BS397" s="14"/>
      <c r="BT397" s="14"/>
      <c r="BU397" s="14"/>
      <c r="BV397" s="14"/>
      <c r="BW397" s="14"/>
      <c r="BX397" s="14"/>
      <c r="BY397" s="14"/>
      <c r="BZ397" s="14"/>
      <c r="CA397" s="14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</row>
    <row r="398" spans="1:101" ht="14.25" customHeight="1" x14ac:dyDescent="0.2">
      <c r="A398" s="328"/>
      <c r="B398" s="52">
        <v>0.14374182032156729</v>
      </c>
      <c r="C398" s="330">
        <v>0.25123137903106596</v>
      </c>
      <c r="D398" s="330">
        <v>1.1275513257661162E-2</v>
      </c>
      <c r="E398" s="330">
        <v>1.4928798476019467E-2</v>
      </c>
      <c r="F398" s="331">
        <v>0.79079483010738305</v>
      </c>
      <c r="G398" s="94">
        <v>0.41262553629304366</v>
      </c>
      <c r="H398" s="330">
        <v>4.3467492915283991E-3</v>
      </c>
      <c r="I398" s="330">
        <v>1.9091075959033477E-2</v>
      </c>
      <c r="J398" s="330">
        <v>1</v>
      </c>
      <c r="K398" s="330">
        <v>0.78937663169490779</v>
      </c>
      <c r="L398" s="332">
        <v>8663.7407884338754</v>
      </c>
      <c r="M398" s="330">
        <v>0</v>
      </c>
      <c r="N398" s="330">
        <v>16506.951897426974</v>
      </c>
      <c r="O398" s="330">
        <v>1259.5740352831788</v>
      </c>
      <c r="P398" s="330">
        <v>52773.478260699754</v>
      </c>
      <c r="Q398" s="333">
        <v>81391.185493124038</v>
      </c>
      <c r="R398" s="330">
        <v>29300.387034853429</v>
      </c>
      <c r="S398" s="330">
        <v>8102.2638150590028</v>
      </c>
      <c r="T398" s="332">
        <v>0.99965730990472057</v>
      </c>
      <c r="U398" s="330">
        <v>0.89984341719558814</v>
      </c>
      <c r="V398" s="330">
        <v>0.83117321643214492</v>
      </c>
      <c r="W398" s="330">
        <v>0.15254588507083455</v>
      </c>
      <c r="X398" s="330">
        <v>7.9382841541167593E-2</v>
      </c>
      <c r="Y398" s="330">
        <v>0</v>
      </c>
      <c r="Z398" s="331">
        <v>0</v>
      </c>
      <c r="AA398" s="235"/>
      <c r="AB398" s="52">
        <v>78793.94440727256</v>
      </c>
      <c r="AC398" s="330">
        <v>0.61989438421110055</v>
      </c>
      <c r="AD398" s="330">
        <v>70450.320200174159</v>
      </c>
      <c r="AE398" s="330">
        <v>0.78300021178754697</v>
      </c>
      <c r="AF398" s="330">
        <v>8343.6242070984008</v>
      </c>
      <c r="AG398" s="331">
        <v>-0.16310582757644643</v>
      </c>
      <c r="AH398" s="235"/>
      <c r="AI398" s="208">
        <f t="shared" ref="AI398:AI461" si="46">AC398*cRatio-AB398</f>
        <v>510105.720593273</v>
      </c>
      <c r="AJ398" s="208">
        <f t="shared" ref="AJ398:AJ461" si="47">AE398*cRatio-AD398</f>
        <v>673399.8809979955</v>
      </c>
      <c r="AK398" s="208">
        <f t="shared" ref="AK398:AK461" si="48">AG398*cRatio-AF398</f>
        <v>-163294.1604047225</v>
      </c>
      <c r="AL398" s="235"/>
      <c r="AM398" s="52">
        <f t="shared" si="30"/>
        <v>0</v>
      </c>
      <c r="AN398" s="52">
        <f t="shared" si="31"/>
        <v>1</v>
      </c>
      <c r="AO398" s="52">
        <f t="shared" si="32"/>
        <v>0</v>
      </c>
      <c r="AP398" s="235"/>
      <c r="AQ398" s="3"/>
      <c r="AR398" s="3"/>
      <c r="AS398" s="3"/>
      <c r="AT398" s="3"/>
      <c r="AU398" s="235"/>
      <c r="AV398" s="360">
        <f t="shared" si="43"/>
        <v>673399.8809979955</v>
      </c>
      <c r="AW398" s="235"/>
      <c r="AX398" s="354"/>
      <c r="AY398" s="14"/>
      <c r="AZ398" s="14">
        <f t="shared" si="45"/>
        <v>8343.6242070984008</v>
      </c>
      <c r="BA398" s="14">
        <f t="shared" si="44"/>
        <v>-0.16310582757644643</v>
      </c>
      <c r="BB398" s="14">
        <f t="shared" si="33"/>
        <v>-51154.666458424421</v>
      </c>
      <c r="BC398" s="14"/>
      <c r="BD398" s="14"/>
      <c r="BE398" s="14"/>
      <c r="BF398" s="14"/>
      <c r="BG398" s="14"/>
      <c r="BH398" s="14"/>
      <c r="BI398" s="14"/>
      <c r="BJ398" s="14"/>
      <c r="BK398" s="14"/>
      <c r="BL398" s="14"/>
      <c r="BM398" s="14"/>
      <c r="BN398" s="14"/>
      <c r="BO398" s="14"/>
      <c r="BP398" s="14"/>
      <c r="BQ398" s="14"/>
      <c r="BR398" s="14"/>
      <c r="BS398" s="14"/>
      <c r="BT398" s="14"/>
      <c r="BU398" s="14"/>
      <c r="BV398" s="14"/>
      <c r="BW398" s="14"/>
      <c r="BX398" s="14"/>
      <c r="BY398" s="14"/>
      <c r="BZ398" s="14"/>
      <c r="CA398" s="14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</row>
    <row r="399" spans="1:101" ht="14.25" customHeight="1" x14ac:dyDescent="0.2">
      <c r="A399" s="328"/>
      <c r="B399" s="52">
        <v>0.17392235995251959</v>
      </c>
      <c r="C399" s="330">
        <v>1.6080713491660681E-2</v>
      </c>
      <c r="D399" s="330">
        <v>1.2377287437721953E-2</v>
      </c>
      <c r="E399" s="330">
        <v>1.0300212824118842E-2</v>
      </c>
      <c r="F399" s="331">
        <v>0.80040353372459672</v>
      </c>
      <c r="G399" s="94">
        <v>0.33607814637899219</v>
      </c>
      <c r="H399" s="330">
        <v>2.718477515778504E-2</v>
      </c>
      <c r="I399" s="330">
        <v>6.5998059351810995E-3</v>
      </c>
      <c r="J399" s="330">
        <v>0.99983952639580631</v>
      </c>
      <c r="K399" s="330">
        <v>0.76277324196569796</v>
      </c>
      <c r="L399" s="332">
        <v>13093.526528787337</v>
      </c>
      <c r="M399" s="330">
        <v>0</v>
      </c>
      <c r="N399" s="330">
        <v>18295.639499819375</v>
      </c>
      <c r="O399" s="330">
        <v>1174.1479345668758</v>
      </c>
      <c r="P399" s="330">
        <v>55015.247456088662</v>
      </c>
      <c r="Q399" s="333">
        <v>103796.72735530863</v>
      </c>
      <c r="R399" s="330">
        <v>24452.782638171906</v>
      </c>
      <c r="S399" s="330">
        <v>9500.1619917440603</v>
      </c>
      <c r="T399" s="332">
        <v>0.78725087766888735</v>
      </c>
      <c r="U399" s="330">
        <v>0.24019989849354725</v>
      </c>
      <c r="V399" s="330">
        <v>0.9842676621351818</v>
      </c>
      <c r="W399" s="330">
        <v>0.99775586917729819</v>
      </c>
      <c r="X399" s="330">
        <v>0.2685175161458217</v>
      </c>
      <c r="Y399" s="330">
        <v>0</v>
      </c>
      <c r="Z399" s="331">
        <v>0</v>
      </c>
      <c r="AA399" s="235"/>
      <c r="AB399" s="52">
        <v>95191.081951819404</v>
      </c>
      <c r="AC399" s="330">
        <v>1.435028991998037</v>
      </c>
      <c r="AD399" s="330">
        <v>78773.755114532614</v>
      </c>
      <c r="AE399" s="330">
        <v>1.3095481896218055</v>
      </c>
      <c r="AF399" s="330">
        <v>16417.32683728679</v>
      </c>
      <c r="AG399" s="331">
        <v>0.12548080237623149</v>
      </c>
      <c r="AH399" s="235"/>
      <c r="AI399" s="208">
        <f t="shared" si="46"/>
        <v>1268086.4604463158</v>
      </c>
      <c r="AJ399" s="208">
        <f t="shared" si="47"/>
        <v>1165297.0250261826</v>
      </c>
      <c r="AK399" s="208">
        <f t="shared" si="48"/>
        <v>102789.43542013313</v>
      </c>
      <c r="AL399" s="235"/>
      <c r="AM399" s="52">
        <f t="shared" si="30"/>
        <v>1</v>
      </c>
      <c r="AN399" s="52">
        <f t="shared" si="31"/>
        <v>0</v>
      </c>
      <c r="AO399" s="52">
        <f t="shared" si="32"/>
        <v>1</v>
      </c>
      <c r="AP399" s="235"/>
      <c r="AQ399" s="3"/>
      <c r="AR399" s="3"/>
      <c r="AS399" s="3"/>
      <c r="AT399" s="3"/>
      <c r="AU399" s="235"/>
      <c r="AV399" s="360">
        <f t="shared" ref="AV399:AV462" si="49">MAX(AI399:AJ399)</f>
        <v>1268086.4604463158</v>
      </c>
      <c r="AW399" s="235"/>
      <c r="AX399" s="354"/>
      <c r="AY399" s="14"/>
      <c r="AZ399" s="14">
        <f t="shared" si="45"/>
        <v>16417.32683728679</v>
      </c>
      <c r="BA399" s="14">
        <f t="shared" ref="BA399:BA462" si="50">AG399</f>
        <v>0.12548080237623149</v>
      </c>
      <c r="BB399" s="14">
        <f t="shared" si="33"/>
        <v>130835.36705529189</v>
      </c>
      <c r="BC399" s="14"/>
      <c r="BD399" s="14"/>
      <c r="BE399" s="14"/>
      <c r="BF399" s="14"/>
      <c r="BG399" s="14"/>
      <c r="BH399" s="14"/>
      <c r="BI399" s="14"/>
      <c r="BJ399" s="14"/>
      <c r="BK399" s="14"/>
      <c r="BL399" s="14"/>
      <c r="BM399" s="14"/>
      <c r="BN399" s="14"/>
      <c r="BO399" s="14"/>
      <c r="BP399" s="14"/>
      <c r="BQ399" s="14"/>
      <c r="BR399" s="14"/>
      <c r="BS399" s="14"/>
      <c r="BT399" s="14"/>
      <c r="BU399" s="14"/>
      <c r="BV399" s="14"/>
      <c r="BW399" s="14"/>
      <c r="BX399" s="14"/>
      <c r="BY399" s="14"/>
      <c r="BZ399" s="14"/>
      <c r="CA399" s="14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</row>
    <row r="400" spans="1:101" ht="14.25" customHeight="1" x14ac:dyDescent="0.2">
      <c r="A400" s="328"/>
      <c r="B400" s="52">
        <v>0.1693658488472275</v>
      </c>
      <c r="C400" s="330">
        <v>0.36597386714643465</v>
      </c>
      <c r="D400" s="330">
        <v>2.1866257528796784E-2</v>
      </c>
      <c r="E400" s="330">
        <v>2.2527745630622542E-2</v>
      </c>
      <c r="F400" s="331">
        <v>0.80896364656953645</v>
      </c>
      <c r="G400" s="94">
        <v>0.37122578969841746</v>
      </c>
      <c r="H400" s="330">
        <v>0.82250795948210975</v>
      </c>
      <c r="I400" s="330">
        <v>1.5166817014537915E-2</v>
      </c>
      <c r="J400" s="330">
        <v>0.96792181851558201</v>
      </c>
      <c r="K400" s="330">
        <v>0.7540682026233434</v>
      </c>
      <c r="L400" s="332">
        <v>10315.482539824619</v>
      </c>
      <c r="M400" s="330">
        <v>0</v>
      </c>
      <c r="N400" s="330">
        <v>21524.31860700747</v>
      </c>
      <c r="O400" s="330">
        <v>779.39968194090704</v>
      </c>
      <c r="P400" s="330">
        <v>53643.847434827927</v>
      </c>
      <c r="Q400" s="333">
        <v>104437.55132964041</v>
      </c>
      <c r="R400" s="330">
        <v>26659.212530797442</v>
      </c>
      <c r="S400" s="330">
        <v>10556.668140173657</v>
      </c>
      <c r="T400" s="332">
        <v>0.9999966706372494</v>
      </c>
      <c r="U400" s="330">
        <v>4.7009976962917539E-2</v>
      </c>
      <c r="V400" s="330">
        <v>0.96902074496526014</v>
      </c>
      <c r="W400" s="330">
        <v>0.99995410759876924</v>
      </c>
      <c r="X400" s="330">
        <v>0.71273365975184677</v>
      </c>
      <c r="Y400" s="330">
        <v>0</v>
      </c>
      <c r="Z400" s="331">
        <v>0</v>
      </c>
      <c r="AA400" s="235"/>
      <c r="AB400" s="52">
        <v>104137.25573359411</v>
      </c>
      <c r="AC400" s="330">
        <v>4.0469336945613374</v>
      </c>
      <c r="AD400" s="330">
        <v>94783.895821859842</v>
      </c>
      <c r="AE400" s="330">
        <v>3.2579906596688399</v>
      </c>
      <c r="AF400" s="330">
        <v>9353.3599117342674</v>
      </c>
      <c r="AG400" s="331">
        <v>0.78894303489249751</v>
      </c>
      <c r="AH400" s="235"/>
      <c r="AI400" s="208">
        <f t="shared" si="46"/>
        <v>3740449.7540996764</v>
      </c>
      <c r="AJ400" s="208">
        <f t="shared" si="47"/>
        <v>3000307.2308635381</v>
      </c>
      <c r="AK400" s="208">
        <f t="shared" si="48"/>
        <v>740142.5232361384</v>
      </c>
      <c r="AL400" s="235"/>
      <c r="AM400" s="52">
        <f t="shared" si="30"/>
        <v>1</v>
      </c>
      <c r="AN400" s="52">
        <f t="shared" si="31"/>
        <v>0</v>
      </c>
      <c r="AO400" s="52">
        <f t="shared" si="32"/>
        <v>1</v>
      </c>
      <c r="AP400" s="235"/>
      <c r="AQ400" s="3"/>
      <c r="AR400" s="3"/>
      <c r="AS400" s="3"/>
      <c r="AT400" s="3"/>
      <c r="AU400" s="235"/>
      <c r="AV400" s="360">
        <f t="shared" si="49"/>
        <v>3740449.7540996764</v>
      </c>
      <c r="AW400" s="235"/>
      <c r="AX400" s="354"/>
      <c r="AY400" s="14"/>
      <c r="AZ400" s="14">
        <f t="shared" ref="AZ400:AZ463" si="51">AF400</f>
        <v>9353.3599117342674</v>
      </c>
      <c r="BA400" s="14">
        <f t="shared" si="50"/>
        <v>0.78894303489249751</v>
      </c>
      <c r="BB400" s="14">
        <f t="shared" si="33"/>
        <v>11855.558003638082</v>
      </c>
      <c r="BC400" s="14"/>
      <c r="BD400" s="14"/>
      <c r="BE400" s="14"/>
      <c r="BF400" s="14"/>
      <c r="BG400" s="14"/>
      <c r="BH400" s="14"/>
      <c r="BI400" s="14"/>
      <c r="BJ400" s="14"/>
      <c r="BK400" s="14"/>
      <c r="BL400" s="14"/>
      <c r="BM400" s="14"/>
      <c r="BN400" s="14"/>
      <c r="BO400" s="14"/>
      <c r="BP400" s="14"/>
      <c r="BQ400" s="14"/>
      <c r="BR400" s="14"/>
      <c r="BS400" s="14"/>
      <c r="BT400" s="14"/>
      <c r="BU400" s="14"/>
      <c r="BV400" s="14"/>
      <c r="BW400" s="14"/>
      <c r="BX400" s="14"/>
      <c r="BY400" s="14"/>
      <c r="BZ400" s="14"/>
      <c r="CA400" s="14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</row>
    <row r="401" spans="1:101" ht="14.25" customHeight="1" x14ac:dyDescent="0.2">
      <c r="A401" s="328"/>
      <c r="B401" s="52">
        <v>0.17177278474020197</v>
      </c>
      <c r="C401" s="330">
        <v>4.6142321327679939E-2</v>
      </c>
      <c r="D401" s="330">
        <v>2.4212834379024994E-2</v>
      </c>
      <c r="E401" s="330">
        <v>7.3672469257420603E-3</v>
      </c>
      <c r="F401" s="331">
        <v>0.80306167856261057</v>
      </c>
      <c r="G401" s="94">
        <v>0.38257512186412829</v>
      </c>
      <c r="H401" s="330">
        <v>0.3678627712257595</v>
      </c>
      <c r="I401" s="330">
        <v>1.2077108859663652E-2</v>
      </c>
      <c r="J401" s="330">
        <v>0.99999993991589387</v>
      </c>
      <c r="K401" s="330">
        <v>0.81003680059486483</v>
      </c>
      <c r="L401" s="332">
        <v>10657.139876851614</v>
      </c>
      <c r="M401" s="330">
        <v>0</v>
      </c>
      <c r="N401" s="330">
        <v>14053.64352128192</v>
      </c>
      <c r="O401" s="330">
        <v>837.1089444403683</v>
      </c>
      <c r="P401" s="330">
        <v>40413.983541777729</v>
      </c>
      <c r="Q401" s="333">
        <v>118481.33487520261</v>
      </c>
      <c r="R401" s="330">
        <v>24465.999724746282</v>
      </c>
      <c r="S401" s="330">
        <v>8769.1924216333391</v>
      </c>
      <c r="T401" s="332">
        <v>0.53816076889040465</v>
      </c>
      <c r="U401" s="330">
        <v>0.80956000672312767</v>
      </c>
      <c r="V401" s="330">
        <v>0.77324669953032843</v>
      </c>
      <c r="W401" s="330">
        <v>0.79220587746731064</v>
      </c>
      <c r="X401" s="330">
        <v>0.97053483748267144</v>
      </c>
      <c r="Y401" s="330">
        <v>0</v>
      </c>
      <c r="Z401" s="331">
        <v>0</v>
      </c>
      <c r="AA401" s="235"/>
      <c r="AB401" s="52">
        <v>87060.797658888041</v>
      </c>
      <c r="AC401" s="330">
        <v>4.9081165228613495</v>
      </c>
      <c r="AD401" s="330">
        <v>80754.09948887238</v>
      </c>
      <c r="AE401" s="330">
        <v>4.9112783957787265</v>
      </c>
      <c r="AF401" s="330">
        <v>6306.6981700156612</v>
      </c>
      <c r="AG401" s="331">
        <v>-3.1618729173770177E-3</v>
      </c>
      <c r="AH401" s="235"/>
      <c r="AI401" s="208">
        <f t="shared" si="46"/>
        <v>4575649.8990593944</v>
      </c>
      <c r="AJ401" s="208">
        <f t="shared" si="47"/>
        <v>4584960.3765009176</v>
      </c>
      <c r="AK401" s="208">
        <f t="shared" si="48"/>
        <v>-9310.477441523828</v>
      </c>
      <c r="AL401" s="235"/>
      <c r="AM401" s="52">
        <f t="shared" si="30"/>
        <v>0</v>
      </c>
      <c r="AN401" s="52">
        <f t="shared" si="31"/>
        <v>1</v>
      </c>
      <c r="AO401" s="52">
        <f t="shared" si="32"/>
        <v>0</v>
      </c>
      <c r="AP401" s="235"/>
      <c r="AQ401" s="3"/>
      <c r="AR401" s="3"/>
      <c r="AS401" s="3"/>
      <c r="AT401" s="3"/>
      <c r="AU401" s="235"/>
      <c r="AV401" s="360">
        <f t="shared" si="49"/>
        <v>4584960.3765009176</v>
      </c>
      <c r="AW401" s="235"/>
      <c r="AX401" s="354"/>
      <c r="AY401" s="14"/>
      <c r="AZ401" s="14">
        <f t="shared" si="51"/>
        <v>6306.6981700156612</v>
      </c>
      <c r="BA401" s="14">
        <f t="shared" si="50"/>
        <v>-3.1618729173770177E-3</v>
      </c>
      <c r="BB401" s="14">
        <f t="shared" si="33"/>
        <v>-1994608.3649837147</v>
      </c>
      <c r="BC401" s="14"/>
      <c r="BD401" s="14"/>
      <c r="BE401" s="14"/>
      <c r="BF401" s="14"/>
      <c r="BG401" s="14"/>
      <c r="BH401" s="14"/>
      <c r="BI401" s="14"/>
      <c r="BJ401" s="14"/>
      <c r="BK401" s="14"/>
      <c r="BL401" s="14"/>
      <c r="BM401" s="14"/>
      <c r="BN401" s="14"/>
      <c r="BO401" s="14"/>
      <c r="BP401" s="14"/>
      <c r="BQ401" s="14"/>
      <c r="BR401" s="14"/>
      <c r="BS401" s="14"/>
      <c r="BT401" s="14"/>
      <c r="BU401" s="14"/>
      <c r="BV401" s="14"/>
      <c r="BW401" s="14"/>
      <c r="BX401" s="14"/>
      <c r="BY401" s="14"/>
      <c r="BZ401" s="14"/>
      <c r="CA401" s="14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</row>
    <row r="402" spans="1:101" ht="14.25" customHeight="1" x14ac:dyDescent="0.2">
      <c r="A402" s="328"/>
      <c r="B402" s="52">
        <v>0.16113124685270819</v>
      </c>
      <c r="C402" s="330">
        <v>3.4205030429557991E-2</v>
      </c>
      <c r="D402" s="330">
        <v>9.974347580010803E-3</v>
      </c>
      <c r="E402" s="330">
        <v>1.6631657119599796E-2</v>
      </c>
      <c r="F402" s="331">
        <v>0.80914969533702252</v>
      </c>
      <c r="G402" s="94">
        <v>0.44964347523691339</v>
      </c>
      <c r="H402" s="330">
        <v>0.50425835481674541</v>
      </c>
      <c r="I402" s="330">
        <v>2.1878752424679515E-2</v>
      </c>
      <c r="J402" s="330">
        <v>0.90378674950057158</v>
      </c>
      <c r="K402" s="330">
        <v>0.74841776787497272</v>
      </c>
      <c r="L402" s="332">
        <v>12344.430363901476</v>
      </c>
      <c r="M402" s="330">
        <v>0</v>
      </c>
      <c r="N402" s="330">
        <v>12599.756463264865</v>
      </c>
      <c r="O402" s="330">
        <v>1389.8367392388611</v>
      </c>
      <c r="P402" s="330">
        <v>50043.794694465185</v>
      </c>
      <c r="Q402" s="333">
        <v>88753.113122838709</v>
      </c>
      <c r="R402" s="330">
        <v>22469.69834587786</v>
      </c>
      <c r="S402" s="330">
        <v>12283.283613679245</v>
      </c>
      <c r="T402" s="332">
        <v>0.98971641055637771</v>
      </c>
      <c r="U402" s="330">
        <v>0.95402270327969507</v>
      </c>
      <c r="V402" s="330">
        <v>0.95782551013262607</v>
      </c>
      <c r="W402" s="330">
        <v>0.66296833619853168</v>
      </c>
      <c r="X402" s="330">
        <v>0.91705718574611628</v>
      </c>
      <c r="Y402" s="330">
        <v>0</v>
      </c>
      <c r="Z402" s="331">
        <v>0</v>
      </c>
      <c r="AA402" s="235"/>
      <c r="AB402" s="52">
        <v>119494.40549815254</v>
      </c>
      <c r="AC402" s="330">
        <v>4.7395540337689663</v>
      </c>
      <c r="AD402" s="330">
        <v>105698.32579948545</v>
      </c>
      <c r="AE402" s="330">
        <v>4.2857427709759399</v>
      </c>
      <c r="AF402" s="330">
        <v>13796.07969866709</v>
      </c>
      <c r="AG402" s="331">
        <v>0.45381126279302642</v>
      </c>
      <c r="AH402" s="235"/>
      <c r="AI402" s="208">
        <f t="shared" si="46"/>
        <v>4383081.9265823653</v>
      </c>
      <c r="AJ402" s="208">
        <f t="shared" si="47"/>
        <v>3965757.3066276573</v>
      </c>
      <c r="AK402" s="208">
        <f t="shared" si="48"/>
        <v>417324.61995470797</v>
      </c>
      <c r="AL402" s="235"/>
      <c r="AM402" s="52">
        <f t="shared" si="30"/>
        <v>1</v>
      </c>
      <c r="AN402" s="52">
        <f t="shared" si="31"/>
        <v>0</v>
      </c>
      <c r="AO402" s="52">
        <f t="shared" si="32"/>
        <v>1</v>
      </c>
      <c r="AP402" s="235"/>
      <c r="AQ402" s="3"/>
      <c r="AR402" s="3"/>
      <c r="AS402" s="3"/>
      <c r="AT402" s="3"/>
      <c r="AU402" s="235"/>
      <c r="AV402" s="360">
        <f t="shared" si="49"/>
        <v>4383081.9265823653</v>
      </c>
      <c r="AW402" s="235"/>
      <c r="AX402" s="354"/>
      <c r="AY402" s="14"/>
      <c r="AZ402" s="14">
        <f t="shared" si="51"/>
        <v>13796.07969866709</v>
      </c>
      <c r="BA402" s="14">
        <f t="shared" si="50"/>
        <v>0.45381126279302642</v>
      </c>
      <c r="BB402" s="14">
        <f t="shared" si="33"/>
        <v>30400.478854926936</v>
      </c>
      <c r="BC402" s="14"/>
      <c r="BD402" s="14"/>
      <c r="BE402" s="14"/>
      <c r="BF402" s="14"/>
      <c r="BG402" s="14"/>
      <c r="BH402" s="14"/>
      <c r="BI402" s="14"/>
      <c r="BJ402" s="14"/>
      <c r="BK402" s="14"/>
      <c r="BL402" s="14"/>
      <c r="BM402" s="14"/>
      <c r="BN402" s="14"/>
      <c r="BO402" s="14"/>
      <c r="BP402" s="14"/>
      <c r="BQ402" s="14"/>
      <c r="BR402" s="14"/>
      <c r="BS402" s="14"/>
      <c r="BT402" s="14"/>
      <c r="BU402" s="14"/>
      <c r="BV402" s="14"/>
      <c r="BW402" s="14"/>
      <c r="BX402" s="14"/>
      <c r="BY402" s="14"/>
      <c r="BZ402" s="14"/>
      <c r="CA402" s="14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</row>
    <row r="403" spans="1:101" ht="14.25" customHeight="1" x14ac:dyDescent="0.2">
      <c r="A403" s="328"/>
      <c r="B403" s="52">
        <v>0.16256603265010228</v>
      </c>
      <c r="C403" s="330">
        <v>0.22957112608918609</v>
      </c>
      <c r="D403" s="330">
        <v>3.2502193764980314E-2</v>
      </c>
      <c r="E403" s="330">
        <v>1.5072137950864151E-2</v>
      </c>
      <c r="F403" s="331">
        <v>0.81038025903674216</v>
      </c>
      <c r="G403" s="94">
        <v>0.43639677523363407</v>
      </c>
      <c r="H403" s="330">
        <v>0.4213553622067352</v>
      </c>
      <c r="I403" s="330">
        <v>1.6404493884491833E-2</v>
      </c>
      <c r="J403" s="330">
        <v>0.9888390329049529</v>
      </c>
      <c r="K403" s="330">
        <v>0.77634747317447927</v>
      </c>
      <c r="L403" s="332">
        <v>13827.358349360029</v>
      </c>
      <c r="M403" s="330">
        <v>0</v>
      </c>
      <c r="N403" s="330">
        <v>19133.700852102425</v>
      </c>
      <c r="O403" s="330">
        <v>1104.3613060305315</v>
      </c>
      <c r="P403" s="330">
        <v>42175.877577934771</v>
      </c>
      <c r="Q403" s="333">
        <v>117914.31320081043</v>
      </c>
      <c r="R403" s="330">
        <v>24579.316664035901</v>
      </c>
      <c r="S403" s="330">
        <v>9934.5403814004203</v>
      </c>
      <c r="T403" s="332">
        <v>0.30886227692251533</v>
      </c>
      <c r="U403" s="330">
        <v>0.12537407883117785</v>
      </c>
      <c r="V403" s="330">
        <v>0.8579992949420161</v>
      </c>
      <c r="W403" s="330">
        <v>0.98259697067646867</v>
      </c>
      <c r="X403" s="330">
        <v>0.34204739368552256</v>
      </c>
      <c r="Y403" s="330">
        <v>0</v>
      </c>
      <c r="Z403" s="331">
        <v>0</v>
      </c>
      <c r="AA403" s="235"/>
      <c r="AB403" s="52">
        <v>101946.63237911969</v>
      </c>
      <c r="AC403" s="330">
        <v>1.7394701934276657</v>
      </c>
      <c r="AD403" s="330">
        <v>89012.221501497552</v>
      </c>
      <c r="AE403" s="330">
        <v>1.6357042613379138</v>
      </c>
      <c r="AF403" s="330">
        <v>12934.41087762214</v>
      </c>
      <c r="AG403" s="331">
        <v>0.10376593208975193</v>
      </c>
      <c r="AH403" s="235"/>
      <c r="AI403" s="208">
        <f t="shared" si="46"/>
        <v>1550550.0513771628</v>
      </c>
      <c r="AJ403" s="208">
        <f t="shared" si="47"/>
        <v>1464906.8267695205</v>
      </c>
      <c r="AK403" s="208">
        <f t="shared" si="48"/>
        <v>85643.224607642202</v>
      </c>
      <c r="AL403" s="235"/>
      <c r="AM403" s="52">
        <f t="shared" si="30"/>
        <v>1</v>
      </c>
      <c r="AN403" s="52">
        <f t="shared" si="31"/>
        <v>0</v>
      </c>
      <c r="AO403" s="52">
        <f t="shared" si="32"/>
        <v>1</v>
      </c>
      <c r="AP403" s="235"/>
      <c r="AQ403" s="3"/>
      <c r="AR403" s="3"/>
      <c r="AS403" s="3"/>
      <c r="AT403" s="3"/>
      <c r="AU403" s="235"/>
      <c r="AV403" s="360">
        <f t="shared" si="49"/>
        <v>1550550.0513771628</v>
      </c>
      <c r="AW403" s="235"/>
      <c r="AX403" s="354"/>
      <c r="AY403" s="14"/>
      <c r="AZ403" s="14">
        <f t="shared" si="51"/>
        <v>12934.41087762214</v>
      </c>
      <c r="BA403" s="14">
        <f t="shared" si="50"/>
        <v>0.10376593208975193</v>
      </c>
      <c r="BB403" s="14">
        <f t="shared" si="33"/>
        <v>124649.87898373594</v>
      </c>
      <c r="BC403" s="14"/>
      <c r="BD403" s="14"/>
      <c r="BE403" s="14"/>
      <c r="BF403" s="14"/>
      <c r="BG403" s="14"/>
      <c r="BH403" s="14"/>
      <c r="BI403" s="14"/>
      <c r="BJ403" s="14"/>
      <c r="BK403" s="14"/>
      <c r="BL403" s="14"/>
      <c r="BM403" s="14"/>
      <c r="BN403" s="14"/>
      <c r="BO403" s="14"/>
      <c r="BP403" s="14"/>
      <c r="BQ403" s="14"/>
      <c r="BR403" s="14"/>
      <c r="BS403" s="14"/>
      <c r="BT403" s="14"/>
      <c r="BU403" s="14"/>
      <c r="BV403" s="14"/>
      <c r="BW403" s="14"/>
      <c r="BX403" s="14"/>
      <c r="BY403" s="14"/>
      <c r="BZ403" s="14"/>
      <c r="CA403" s="14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</row>
    <row r="404" spans="1:101" ht="14.25" customHeight="1" x14ac:dyDescent="0.2">
      <c r="A404" s="328"/>
      <c r="B404" s="52">
        <v>0.17545588327114281</v>
      </c>
      <c r="C404" s="330">
        <v>0.73371983146908459</v>
      </c>
      <c r="D404" s="330">
        <v>1.0217863892708182E-2</v>
      </c>
      <c r="E404" s="330">
        <v>1.5599474660382806E-2</v>
      </c>
      <c r="F404" s="331">
        <v>0.79092640844328566</v>
      </c>
      <c r="G404" s="94">
        <v>0.38400175354170296</v>
      </c>
      <c r="H404" s="330">
        <v>1.8454705650962663E-3</v>
      </c>
      <c r="I404" s="330">
        <v>1.9417200813725222E-2</v>
      </c>
      <c r="J404" s="330">
        <v>0.9419762170120497</v>
      </c>
      <c r="K404" s="330">
        <v>0.75945172205007261</v>
      </c>
      <c r="L404" s="332">
        <v>17901.556368634796</v>
      </c>
      <c r="M404" s="330">
        <v>0</v>
      </c>
      <c r="N404" s="330">
        <v>19482.450141596953</v>
      </c>
      <c r="O404" s="330">
        <v>1281.2445597039082</v>
      </c>
      <c r="P404" s="330">
        <v>53221.578629456955</v>
      </c>
      <c r="Q404" s="333">
        <v>96423.115211952114</v>
      </c>
      <c r="R404" s="330">
        <v>17335.977178633526</v>
      </c>
      <c r="S404" s="330">
        <v>8892.6875250100293</v>
      </c>
      <c r="T404" s="332">
        <v>0.91765378838717471</v>
      </c>
      <c r="U404" s="330">
        <v>0.8986528754299753</v>
      </c>
      <c r="V404" s="330">
        <v>0.80447467238375414</v>
      </c>
      <c r="W404" s="330">
        <v>0.79367920465301844</v>
      </c>
      <c r="X404" s="330">
        <v>0.61266642698966878</v>
      </c>
      <c r="Y404" s="330">
        <v>0</v>
      </c>
      <c r="Z404" s="331">
        <v>0</v>
      </c>
      <c r="AA404" s="235"/>
      <c r="AB404" s="52">
        <v>96010.713402231282</v>
      </c>
      <c r="AC404" s="330">
        <v>3.3175381623371831</v>
      </c>
      <c r="AD404" s="330">
        <v>74302.574148147571</v>
      </c>
      <c r="AE404" s="330">
        <v>2.9869730510359536</v>
      </c>
      <c r="AF404" s="330">
        <v>21708.139254083711</v>
      </c>
      <c r="AG404" s="331">
        <v>0.33056511130122956</v>
      </c>
      <c r="AH404" s="235"/>
      <c r="AI404" s="208">
        <f t="shared" si="46"/>
        <v>3055650.5408180929</v>
      </c>
      <c r="AJ404" s="208">
        <f t="shared" si="47"/>
        <v>2763321.8243360086</v>
      </c>
      <c r="AK404" s="208">
        <f t="shared" si="48"/>
        <v>292328.71648208436</v>
      </c>
      <c r="AL404" s="235"/>
      <c r="AM404" s="52">
        <f t="shared" si="30"/>
        <v>1</v>
      </c>
      <c r="AN404" s="52">
        <f t="shared" si="31"/>
        <v>0</v>
      </c>
      <c r="AO404" s="52">
        <f t="shared" si="32"/>
        <v>1</v>
      </c>
      <c r="AP404" s="235"/>
      <c r="AQ404" s="3"/>
      <c r="AR404" s="3"/>
      <c r="AS404" s="3"/>
      <c r="AT404" s="3"/>
      <c r="AU404" s="235"/>
      <c r="AV404" s="360">
        <f t="shared" si="49"/>
        <v>3055650.5408180929</v>
      </c>
      <c r="AW404" s="235"/>
      <c r="AX404" s="354"/>
      <c r="AY404" s="14"/>
      <c r="AZ404" s="14">
        <f t="shared" si="51"/>
        <v>21708.139254083711</v>
      </c>
      <c r="BA404" s="14">
        <f t="shared" si="50"/>
        <v>0.33056511130122956</v>
      </c>
      <c r="BB404" s="14">
        <f t="shared" si="33"/>
        <v>65669.783385888033</v>
      </c>
      <c r="BC404" s="14"/>
      <c r="BD404" s="14"/>
      <c r="BE404" s="14"/>
      <c r="BF404" s="14"/>
      <c r="BG404" s="14"/>
      <c r="BH404" s="14"/>
      <c r="BI404" s="14"/>
      <c r="BJ404" s="14"/>
      <c r="BK404" s="14"/>
      <c r="BL404" s="14"/>
      <c r="BM404" s="14"/>
      <c r="BN404" s="14"/>
      <c r="BO404" s="14"/>
      <c r="BP404" s="14"/>
      <c r="BQ404" s="14"/>
      <c r="BR404" s="14"/>
      <c r="BS404" s="14"/>
      <c r="BT404" s="14"/>
      <c r="BU404" s="14"/>
      <c r="BV404" s="14"/>
      <c r="BW404" s="14"/>
      <c r="BX404" s="14"/>
      <c r="BY404" s="14"/>
      <c r="BZ404" s="14"/>
      <c r="CA404" s="14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</row>
    <row r="405" spans="1:101" ht="14.25" customHeight="1" x14ac:dyDescent="0.2">
      <c r="A405" s="328"/>
      <c r="B405" s="52">
        <v>0.16392612423953257</v>
      </c>
      <c r="C405" s="330">
        <v>0.45835482313371756</v>
      </c>
      <c r="D405" s="330">
        <v>1.3296166784788092E-2</v>
      </c>
      <c r="E405" s="330">
        <v>1.1086839547385579E-2</v>
      </c>
      <c r="F405" s="331">
        <v>0.77251537401419823</v>
      </c>
      <c r="G405" s="94">
        <v>0.37234055903608171</v>
      </c>
      <c r="H405" s="330">
        <v>0.98191065361241314</v>
      </c>
      <c r="I405" s="330">
        <v>9.8680833191039392E-3</v>
      </c>
      <c r="J405" s="330">
        <v>0.38777792784946402</v>
      </c>
      <c r="K405" s="330">
        <v>0.79809813643291461</v>
      </c>
      <c r="L405" s="332">
        <v>12290.657757239054</v>
      </c>
      <c r="M405" s="330">
        <v>0</v>
      </c>
      <c r="N405" s="330">
        <v>17100.438789313703</v>
      </c>
      <c r="O405" s="330">
        <v>1443.377437977834</v>
      </c>
      <c r="P405" s="330">
        <v>38286.305642749277</v>
      </c>
      <c r="Q405" s="333">
        <v>83732.433730299454</v>
      </c>
      <c r="R405" s="330">
        <v>22783.716547250107</v>
      </c>
      <c r="S405" s="330">
        <v>6901.3219201657403</v>
      </c>
      <c r="T405" s="332">
        <v>0.77920813991873716</v>
      </c>
      <c r="U405" s="330">
        <v>0.9997135755440385</v>
      </c>
      <c r="V405" s="330">
        <v>0.98850823989099501</v>
      </c>
      <c r="W405" s="330">
        <v>0.52801976416893026</v>
      </c>
      <c r="X405" s="330">
        <v>0.99085155152823612</v>
      </c>
      <c r="Y405" s="330">
        <v>0</v>
      </c>
      <c r="Z405" s="331">
        <v>0</v>
      </c>
      <c r="AA405" s="235"/>
      <c r="AB405" s="52">
        <v>71635.233213721949</v>
      </c>
      <c r="AC405" s="330">
        <v>4.6598193795873826</v>
      </c>
      <c r="AD405" s="330">
        <v>68316.909807330652</v>
      </c>
      <c r="AE405" s="330">
        <v>4.858359627901943</v>
      </c>
      <c r="AF405" s="330">
        <v>3318.3234063912969</v>
      </c>
      <c r="AG405" s="331">
        <v>-0.19854024831456041</v>
      </c>
      <c r="AH405" s="235"/>
      <c r="AI405" s="208">
        <f t="shared" si="46"/>
        <v>4355193.1773942914</v>
      </c>
      <c r="AJ405" s="208">
        <f t="shared" si="47"/>
        <v>4547124.736699515</v>
      </c>
      <c r="AK405" s="208">
        <f t="shared" si="48"/>
        <v>-191931.55930522369</v>
      </c>
      <c r="AL405" s="235"/>
      <c r="AM405" s="52">
        <f t="shared" si="30"/>
        <v>0</v>
      </c>
      <c r="AN405" s="52">
        <f t="shared" si="31"/>
        <v>1</v>
      </c>
      <c r="AO405" s="52">
        <f t="shared" si="32"/>
        <v>0</v>
      </c>
      <c r="AP405" s="235"/>
      <c r="AQ405" s="3"/>
      <c r="AR405" s="3"/>
      <c r="AS405" s="3"/>
      <c r="AT405" s="3"/>
      <c r="AU405" s="235"/>
      <c r="AV405" s="360">
        <f t="shared" si="49"/>
        <v>4547124.736699515</v>
      </c>
      <c r="AW405" s="235"/>
      <c r="AX405" s="354"/>
      <c r="AY405" s="14"/>
      <c r="AZ405" s="14">
        <f t="shared" si="51"/>
        <v>3318.3234063912969</v>
      </c>
      <c r="BA405" s="14">
        <f t="shared" si="50"/>
        <v>-0.19854024831456041</v>
      </c>
      <c r="BB405" s="14">
        <f t="shared" si="33"/>
        <v>-16713.605601690688</v>
      </c>
      <c r="BC405" s="14"/>
      <c r="BD405" s="14"/>
      <c r="BE405" s="14"/>
      <c r="BF405" s="14"/>
      <c r="BG405" s="14"/>
      <c r="BH405" s="14"/>
      <c r="BI405" s="14"/>
      <c r="BJ405" s="14"/>
      <c r="BK405" s="14"/>
      <c r="BL405" s="14"/>
      <c r="BM405" s="14"/>
      <c r="BN405" s="14"/>
      <c r="BO405" s="14"/>
      <c r="BP405" s="14"/>
      <c r="BQ405" s="14"/>
      <c r="BR405" s="14"/>
      <c r="BS405" s="14"/>
      <c r="BT405" s="14"/>
      <c r="BU405" s="14"/>
      <c r="BV405" s="14"/>
      <c r="BW405" s="14"/>
      <c r="BX405" s="14"/>
      <c r="BY405" s="14"/>
      <c r="BZ405" s="14"/>
      <c r="CA405" s="14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</row>
    <row r="406" spans="1:101" ht="14.25" customHeight="1" x14ac:dyDescent="0.2">
      <c r="A406" s="328"/>
      <c r="B406" s="52">
        <v>0.15876773530421226</v>
      </c>
      <c r="C406" s="330">
        <v>0.7889464423071838</v>
      </c>
      <c r="D406" s="330">
        <v>1.0245157185828493E-2</v>
      </c>
      <c r="E406" s="330">
        <v>1.8389507633359226E-2</v>
      </c>
      <c r="F406" s="331">
        <v>0.77220023758213929</v>
      </c>
      <c r="G406" s="94">
        <v>0.36873596908621842</v>
      </c>
      <c r="H406" s="330">
        <v>0.34154775060671705</v>
      </c>
      <c r="I406" s="330">
        <v>2.1817196548187701E-2</v>
      </c>
      <c r="J406" s="330">
        <v>1</v>
      </c>
      <c r="K406" s="330">
        <v>0.79277060660252729</v>
      </c>
      <c r="L406" s="332">
        <v>11068.617959766678</v>
      </c>
      <c r="M406" s="330">
        <v>0</v>
      </c>
      <c r="N406" s="330">
        <v>18551.200014622606</v>
      </c>
      <c r="O406" s="330">
        <v>1737.4446853559061</v>
      </c>
      <c r="P406" s="330">
        <v>38511.285921349503</v>
      </c>
      <c r="Q406" s="333">
        <v>65026.661581997396</v>
      </c>
      <c r="R406" s="330">
        <v>29196.625019221832</v>
      </c>
      <c r="S406" s="330">
        <v>8745.7120102904009</v>
      </c>
      <c r="T406" s="332">
        <v>0.19453494598234772</v>
      </c>
      <c r="U406" s="330">
        <v>0.92780610716742362</v>
      </c>
      <c r="V406" s="330">
        <v>0.88395861478151827</v>
      </c>
      <c r="W406" s="330">
        <v>0.7029549080662203</v>
      </c>
      <c r="X406" s="330">
        <v>0.84908617915678752</v>
      </c>
      <c r="Y406" s="330">
        <v>0</v>
      </c>
      <c r="Z406" s="331">
        <v>0</v>
      </c>
      <c r="AA406" s="235"/>
      <c r="AB406" s="52">
        <v>87581.830548890517</v>
      </c>
      <c r="AC406" s="330">
        <v>4.0196837844197963</v>
      </c>
      <c r="AD406" s="330">
        <v>79808.286680530728</v>
      </c>
      <c r="AE406" s="330">
        <v>4.3005739547959729</v>
      </c>
      <c r="AF406" s="330">
        <v>7773.5438683597895</v>
      </c>
      <c r="AG406" s="331">
        <v>-0.28089017037617658</v>
      </c>
      <c r="AH406" s="235"/>
      <c r="AI406" s="208">
        <f t="shared" si="46"/>
        <v>3731117.764649916</v>
      </c>
      <c r="AJ406" s="208">
        <f t="shared" si="47"/>
        <v>4005736.9703756436</v>
      </c>
      <c r="AK406" s="208">
        <f t="shared" si="48"/>
        <v>-274619.2057257276</v>
      </c>
      <c r="AL406" s="235"/>
      <c r="AM406" s="52">
        <f t="shared" si="30"/>
        <v>0</v>
      </c>
      <c r="AN406" s="52">
        <f t="shared" si="31"/>
        <v>1</v>
      </c>
      <c r="AO406" s="52">
        <f t="shared" si="32"/>
        <v>0</v>
      </c>
      <c r="AP406" s="235"/>
      <c r="AQ406" s="3"/>
      <c r="AR406" s="3"/>
      <c r="AS406" s="3"/>
      <c r="AT406" s="3"/>
      <c r="AU406" s="235"/>
      <c r="AV406" s="360">
        <f t="shared" si="49"/>
        <v>4005736.9703756436</v>
      </c>
      <c r="AW406" s="235"/>
      <c r="AX406" s="354"/>
      <c r="AY406" s="14"/>
      <c r="AZ406" s="14">
        <f t="shared" si="51"/>
        <v>7773.5438683597895</v>
      </c>
      <c r="BA406" s="14">
        <f t="shared" si="50"/>
        <v>-0.28089017037617658</v>
      </c>
      <c r="BB406" s="14">
        <f t="shared" si="33"/>
        <v>-27674.673905282001</v>
      </c>
      <c r="BC406" s="14"/>
      <c r="BD406" s="14"/>
      <c r="BE406" s="14"/>
      <c r="BF406" s="14"/>
      <c r="BG406" s="14"/>
      <c r="BH406" s="14"/>
      <c r="BI406" s="14"/>
      <c r="BJ406" s="14"/>
      <c r="BK406" s="14"/>
      <c r="BL406" s="14"/>
      <c r="BM406" s="14"/>
      <c r="BN406" s="14"/>
      <c r="BO406" s="14"/>
      <c r="BP406" s="14"/>
      <c r="BQ406" s="14"/>
      <c r="BR406" s="14"/>
      <c r="BS406" s="14"/>
      <c r="BT406" s="14"/>
      <c r="BU406" s="14"/>
      <c r="BV406" s="14"/>
      <c r="BW406" s="14"/>
      <c r="BX406" s="14"/>
      <c r="BY406" s="14"/>
      <c r="BZ406" s="14"/>
      <c r="CA406" s="14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</row>
    <row r="407" spans="1:101" ht="14.25" customHeight="1" x14ac:dyDescent="0.2">
      <c r="A407" s="328"/>
      <c r="B407" s="52">
        <v>0.15901875393876763</v>
      </c>
      <c r="C407" s="330">
        <v>0.40185137114830294</v>
      </c>
      <c r="D407" s="330">
        <v>8.0665106788728024E-3</v>
      </c>
      <c r="E407" s="330">
        <v>2.9923948907340958E-2</v>
      </c>
      <c r="F407" s="331">
        <v>0.7469358648579687</v>
      </c>
      <c r="G407" s="94">
        <v>0.4103902137320844</v>
      </c>
      <c r="H407" s="330">
        <v>1.5301123229487143E-2</v>
      </c>
      <c r="I407" s="330">
        <v>3.606427453236305E-2</v>
      </c>
      <c r="J407" s="330">
        <v>0.99683174370184136</v>
      </c>
      <c r="K407" s="330">
        <v>0.77069174831282272</v>
      </c>
      <c r="L407" s="332">
        <v>12662.390168963488</v>
      </c>
      <c r="M407" s="330">
        <v>0</v>
      </c>
      <c r="N407" s="330">
        <v>17679.205977624075</v>
      </c>
      <c r="O407" s="330">
        <v>1032.8773125703879</v>
      </c>
      <c r="P407" s="330">
        <v>44635.489107432193</v>
      </c>
      <c r="Q407" s="333">
        <v>79594.484510636874</v>
      </c>
      <c r="R407" s="330">
        <v>26606.29217895108</v>
      </c>
      <c r="S407" s="330">
        <v>7144.7659365075033</v>
      </c>
      <c r="T407" s="332">
        <v>0.99768405270769167</v>
      </c>
      <c r="U407" s="330">
        <v>0.98264620450662421</v>
      </c>
      <c r="V407" s="330">
        <v>0.37811383406482973</v>
      </c>
      <c r="W407" s="330">
        <v>0.98059926706143907</v>
      </c>
      <c r="X407" s="330">
        <v>0.88111860683864029</v>
      </c>
      <c r="Y407" s="330">
        <v>0</v>
      </c>
      <c r="Z407" s="331">
        <v>0</v>
      </c>
      <c r="AA407" s="235"/>
      <c r="AB407" s="52">
        <v>71900.487582232599</v>
      </c>
      <c r="AC407" s="330">
        <v>4.0238853037637199</v>
      </c>
      <c r="AD407" s="330">
        <v>61931.149058195057</v>
      </c>
      <c r="AE407" s="330">
        <v>4.4167223058972835</v>
      </c>
      <c r="AF407" s="330">
        <v>9969.3385240375428</v>
      </c>
      <c r="AG407" s="331">
        <v>-0.39283700213356365</v>
      </c>
      <c r="AH407" s="235"/>
      <c r="AI407" s="208">
        <f t="shared" si="46"/>
        <v>3750790.550993301</v>
      </c>
      <c r="AJ407" s="208">
        <f t="shared" si="47"/>
        <v>4133955.0415442241</v>
      </c>
      <c r="AK407" s="208">
        <f t="shared" si="48"/>
        <v>-383164.49055092304</v>
      </c>
      <c r="AL407" s="235"/>
      <c r="AM407" s="52">
        <f t="shared" si="30"/>
        <v>0</v>
      </c>
      <c r="AN407" s="52">
        <f t="shared" si="31"/>
        <v>1</v>
      </c>
      <c r="AO407" s="52">
        <f t="shared" si="32"/>
        <v>0</v>
      </c>
      <c r="AP407" s="235"/>
      <c r="AQ407" s="3"/>
      <c r="AR407" s="3"/>
      <c r="AS407" s="3"/>
      <c r="AT407" s="3"/>
      <c r="AU407" s="235"/>
      <c r="AV407" s="360">
        <f t="shared" si="49"/>
        <v>4133955.0415442241</v>
      </c>
      <c r="AW407" s="235"/>
      <c r="AX407" s="354"/>
      <c r="AY407" s="14"/>
      <c r="AZ407" s="14">
        <f t="shared" si="51"/>
        <v>9969.3385240375428</v>
      </c>
      <c r="BA407" s="14">
        <f t="shared" si="50"/>
        <v>-0.39283700213356365</v>
      </c>
      <c r="BB407" s="14">
        <f t="shared" si="33"/>
        <v>-25377.799112335124</v>
      </c>
      <c r="BC407" s="14"/>
      <c r="BD407" s="14"/>
      <c r="BE407" s="14"/>
      <c r="BF407" s="14"/>
      <c r="BG407" s="14"/>
      <c r="BH407" s="14"/>
      <c r="BI407" s="14"/>
      <c r="BJ407" s="14"/>
      <c r="BK407" s="14"/>
      <c r="BL407" s="14"/>
      <c r="BM407" s="14"/>
      <c r="BN407" s="14"/>
      <c r="BO407" s="14"/>
      <c r="BP407" s="14"/>
      <c r="BQ407" s="14"/>
      <c r="BR407" s="14"/>
      <c r="BS407" s="14"/>
      <c r="BT407" s="14"/>
      <c r="BU407" s="14"/>
      <c r="BV407" s="14"/>
      <c r="BW407" s="14"/>
      <c r="BX407" s="14"/>
      <c r="BY407" s="14"/>
      <c r="BZ407" s="14"/>
      <c r="CA407" s="14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</row>
    <row r="408" spans="1:101" ht="14.25" customHeight="1" x14ac:dyDescent="0.2">
      <c r="A408" s="328"/>
      <c r="B408" s="52">
        <v>0.16556174616826524</v>
      </c>
      <c r="C408" s="330">
        <v>4.7645784435438564E-2</v>
      </c>
      <c r="D408" s="330">
        <v>1.8176541651196532E-2</v>
      </c>
      <c r="E408" s="330">
        <v>1.1858090762815273E-2</v>
      </c>
      <c r="F408" s="331">
        <v>0.7905340427803923</v>
      </c>
      <c r="G408" s="94">
        <v>0.40110467250540671</v>
      </c>
      <c r="H408" s="330">
        <v>4.6948416432897037E-2</v>
      </c>
      <c r="I408" s="330">
        <v>1.9112332940636856E-2</v>
      </c>
      <c r="J408" s="330">
        <v>0.26797135445990816</v>
      </c>
      <c r="K408" s="330">
        <v>0.72581765523983877</v>
      </c>
      <c r="L408" s="332">
        <v>10815.289814309655</v>
      </c>
      <c r="M408" s="330">
        <v>0</v>
      </c>
      <c r="N408" s="330">
        <v>15525.527733879078</v>
      </c>
      <c r="O408" s="330">
        <v>1335.1940280038148</v>
      </c>
      <c r="P408" s="330">
        <v>58221.226909254852</v>
      </c>
      <c r="Q408" s="333">
        <v>67502.58880431141</v>
      </c>
      <c r="R408" s="330">
        <v>20070.331953391633</v>
      </c>
      <c r="S408" s="330">
        <v>10588.321478296451</v>
      </c>
      <c r="T408" s="332">
        <v>0.99978485442023102</v>
      </c>
      <c r="U408" s="330">
        <v>0.99339460539616331</v>
      </c>
      <c r="V408" s="330">
        <v>0.99275520675487239</v>
      </c>
      <c r="W408" s="330">
        <v>0.81890500962708146</v>
      </c>
      <c r="X408" s="330">
        <v>0.77670727764321024</v>
      </c>
      <c r="Y408" s="330">
        <v>0</v>
      </c>
      <c r="Z408" s="331">
        <v>0</v>
      </c>
      <c r="AA408" s="235"/>
      <c r="AB408" s="52">
        <v>101225.44294573425</v>
      </c>
      <c r="AC408" s="330">
        <v>3.7724260831052523</v>
      </c>
      <c r="AD408" s="330">
        <v>84054.141814015922</v>
      </c>
      <c r="AE408" s="330">
        <v>3.4702088682608352</v>
      </c>
      <c r="AF408" s="330">
        <v>17171.301131718326</v>
      </c>
      <c r="AG408" s="331">
        <v>0.3022172148444171</v>
      </c>
      <c r="AH408" s="235"/>
      <c r="AI408" s="208">
        <f t="shared" si="46"/>
        <v>3482579.3360042553</v>
      </c>
      <c r="AJ408" s="208">
        <f t="shared" si="47"/>
        <v>3212644.2830337775</v>
      </c>
      <c r="AK408" s="208">
        <f t="shared" si="48"/>
        <v>269935.0529704779</v>
      </c>
      <c r="AL408" s="235"/>
      <c r="AM408" s="52">
        <f t="shared" si="30"/>
        <v>1</v>
      </c>
      <c r="AN408" s="52">
        <f t="shared" si="31"/>
        <v>0</v>
      </c>
      <c r="AO408" s="52">
        <f t="shared" si="32"/>
        <v>1</v>
      </c>
      <c r="AP408" s="235"/>
      <c r="AQ408" s="3"/>
      <c r="AR408" s="3"/>
      <c r="AS408" s="3"/>
      <c r="AT408" s="3"/>
      <c r="AU408" s="235"/>
      <c r="AV408" s="360">
        <f t="shared" si="49"/>
        <v>3482579.3360042553</v>
      </c>
      <c r="AW408" s="235"/>
      <c r="AX408" s="354"/>
      <c r="AY408" s="14"/>
      <c r="AZ408" s="14">
        <f t="shared" si="51"/>
        <v>17171.301131718326</v>
      </c>
      <c r="BA408" s="14">
        <f t="shared" si="50"/>
        <v>0.3022172148444171</v>
      </c>
      <c r="BB408" s="14">
        <f t="shared" si="33"/>
        <v>56817.746601755287</v>
      </c>
      <c r="BC408" s="14"/>
      <c r="BD408" s="14"/>
      <c r="BE408" s="14"/>
      <c r="BF408" s="14"/>
      <c r="BG408" s="14"/>
      <c r="BH408" s="14"/>
      <c r="BI408" s="14"/>
      <c r="BJ408" s="14"/>
      <c r="BK408" s="14"/>
      <c r="BL408" s="14"/>
      <c r="BM408" s="14"/>
      <c r="BN408" s="14"/>
      <c r="BO408" s="14"/>
      <c r="BP408" s="14"/>
      <c r="BQ408" s="14"/>
      <c r="BR408" s="14"/>
      <c r="BS408" s="14"/>
      <c r="BT408" s="14"/>
      <c r="BU408" s="14"/>
      <c r="BV408" s="14"/>
      <c r="BW408" s="14"/>
      <c r="BX408" s="14"/>
      <c r="BY408" s="14"/>
      <c r="BZ408" s="14"/>
      <c r="CA408" s="14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</row>
    <row r="409" spans="1:101" ht="14.25" customHeight="1" x14ac:dyDescent="0.2">
      <c r="A409" s="328"/>
      <c r="B409" s="52">
        <v>0.18034319828167233</v>
      </c>
      <c r="C409" s="330">
        <v>8.2026875731730023E-2</v>
      </c>
      <c r="D409" s="330">
        <v>1.2403799933578619E-2</v>
      </c>
      <c r="E409" s="330">
        <v>2.1702967712065924E-2</v>
      </c>
      <c r="F409" s="331">
        <v>0.77383956152012767</v>
      </c>
      <c r="G409" s="94">
        <v>0.38281081124863309</v>
      </c>
      <c r="H409" s="330">
        <v>0.18499737116324966</v>
      </c>
      <c r="I409" s="330">
        <v>9.9020936349820347E-3</v>
      </c>
      <c r="J409" s="330">
        <v>0.9999999998100555</v>
      </c>
      <c r="K409" s="330">
        <v>0.75226519536056569</v>
      </c>
      <c r="L409" s="332">
        <v>13028.19115031215</v>
      </c>
      <c r="M409" s="330">
        <v>0</v>
      </c>
      <c r="N409" s="330">
        <v>18281.626286229981</v>
      </c>
      <c r="O409" s="330">
        <v>1437.9803047419637</v>
      </c>
      <c r="P409" s="330">
        <v>43393.566490502126</v>
      </c>
      <c r="Q409" s="333">
        <v>125910.29113820584</v>
      </c>
      <c r="R409" s="330">
        <v>17039.105220829166</v>
      </c>
      <c r="S409" s="330">
        <v>9337.1023955426208</v>
      </c>
      <c r="T409" s="332">
        <v>0.5893194117519478</v>
      </c>
      <c r="U409" s="330">
        <v>0.99911817812456827</v>
      </c>
      <c r="V409" s="330">
        <v>0.94246647281864004</v>
      </c>
      <c r="W409" s="330">
        <v>0.98838990769602542</v>
      </c>
      <c r="X409" s="330">
        <v>0.44736767683453027</v>
      </c>
      <c r="Y409" s="330">
        <v>0</v>
      </c>
      <c r="Z409" s="331">
        <v>0</v>
      </c>
      <c r="AA409" s="235"/>
      <c r="AB409" s="52">
        <v>91361.873260230888</v>
      </c>
      <c r="AC409" s="330">
        <v>2.0983022566378691</v>
      </c>
      <c r="AD409" s="330">
        <v>77837.506158263888</v>
      </c>
      <c r="AE409" s="330">
        <v>2.0716908822608255</v>
      </c>
      <c r="AF409" s="330">
        <v>13524.367101967</v>
      </c>
      <c r="AG409" s="331">
        <v>2.6611374377043528E-2</v>
      </c>
      <c r="AH409" s="235"/>
      <c r="AI409" s="208">
        <f t="shared" si="46"/>
        <v>1902025.2705457446</v>
      </c>
      <c r="AJ409" s="208">
        <f t="shared" si="47"/>
        <v>1890268.8319895205</v>
      </c>
      <c r="AK409" s="208">
        <f t="shared" si="48"/>
        <v>11756.438556224351</v>
      </c>
      <c r="AL409" s="235"/>
      <c r="AM409" s="52">
        <f t="shared" si="30"/>
        <v>1</v>
      </c>
      <c r="AN409" s="52">
        <f t="shared" si="31"/>
        <v>0</v>
      </c>
      <c r="AO409" s="52">
        <f t="shared" si="32"/>
        <v>1</v>
      </c>
      <c r="AP409" s="235"/>
      <c r="AQ409" s="3"/>
      <c r="AR409" s="3"/>
      <c r="AS409" s="3"/>
      <c r="AT409" s="3"/>
      <c r="AU409" s="235"/>
      <c r="AV409" s="360">
        <f t="shared" si="49"/>
        <v>1902025.2705457446</v>
      </c>
      <c r="AW409" s="235"/>
      <c r="AX409" s="354"/>
      <c r="AY409" s="14"/>
      <c r="AZ409" s="14">
        <f t="shared" si="51"/>
        <v>13524.367101967</v>
      </c>
      <c r="BA409" s="14">
        <f t="shared" si="50"/>
        <v>2.6611374377043528E-2</v>
      </c>
      <c r="BB409" s="14">
        <f t="shared" si="33"/>
        <v>508217.53549241263</v>
      </c>
      <c r="BC409" s="14"/>
      <c r="BD409" s="14"/>
      <c r="BE409" s="14"/>
      <c r="BF409" s="14"/>
      <c r="BG409" s="14"/>
      <c r="BH409" s="14"/>
      <c r="BI409" s="14"/>
      <c r="BJ409" s="14"/>
      <c r="BK409" s="14"/>
      <c r="BL409" s="14"/>
      <c r="BM409" s="14"/>
      <c r="BN409" s="14"/>
      <c r="BO409" s="14"/>
      <c r="BP409" s="14"/>
      <c r="BQ409" s="14"/>
      <c r="BR409" s="14"/>
      <c r="BS409" s="14"/>
      <c r="BT409" s="14"/>
      <c r="BU409" s="14"/>
      <c r="BV409" s="14"/>
      <c r="BW409" s="14"/>
      <c r="BX409" s="14"/>
      <c r="BY409" s="14"/>
      <c r="BZ409" s="14"/>
      <c r="CA409" s="14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</row>
    <row r="410" spans="1:101" ht="14.25" customHeight="1" x14ac:dyDescent="0.2">
      <c r="A410" s="328"/>
      <c r="B410" s="52">
        <v>0.12901438489538278</v>
      </c>
      <c r="C410" s="330">
        <v>2.7551799985413912E-2</v>
      </c>
      <c r="D410" s="330">
        <v>1.3617662395391798E-2</v>
      </c>
      <c r="E410" s="330">
        <v>1.3355593900273115E-2</v>
      </c>
      <c r="F410" s="331">
        <v>0.7893139565640741</v>
      </c>
      <c r="G410" s="94">
        <v>0.29795397853899624</v>
      </c>
      <c r="H410" s="330">
        <v>0.30919370426700554</v>
      </c>
      <c r="I410" s="330">
        <v>1.6128713213290569E-2</v>
      </c>
      <c r="J410" s="330">
        <v>0.99901592964569375</v>
      </c>
      <c r="K410" s="330">
        <v>0.71638120731164068</v>
      </c>
      <c r="L410" s="332">
        <v>15100.596626551987</v>
      </c>
      <c r="M410" s="330">
        <v>0</v>
      </c>
      <c r="N410" s="330">
        <v>20874.243593607811</v>
      </c>
      <c r="O410" s="330">
        <v>1217.9875298096979</v>
      </c>
      <c r="P410" s="330">
        <v>51255.964346237728</v>
      </c>
      <c r="Q410" s="333">
        <v>86978.609522335188</v>
      </c>
      <c r="R410" s="330">
        <v>27019.42692988172</v>
      </c>
      <c r="S410" s="330">
        <v>7404.9058196933456</v>
      </c>
      <c r="T410" s="332">
        <v>0.42974902848554014</v>
      </c>
      <c r="U410" s="330">
        <v>0.98747901873163113</v>
      </c>
      <c r="V410" s="330">
        <v>0.99040825590604964</v>
      </c>
      <c r="W410" s="330">
        <v>0.9773971958568336</v>
      </c>
      <c r="X410" s="330">
        <v>0.98207202666252313</v>
      </c>
      <c r="Y410" s="330">
        <v>0</v>
      </c>
      <c r="Z410" s="331">
        <v>0</v>
      </c>
      <c r="AA410" s="235"/>
      <c r="AB410" s="52">
        <v>78230.132539151804</v>
      </c>
      <c r="AC410" s="330">
        <v>4.7877875582790734</v>
      </c>
      <c r="AD410" s="330">
        <v>60506.129122142615</v>
      </c>
      <c r="AE410" s="330">
        <v>4.5177917289446459</v>
      </c>
      <c r="AF410" s="330">
        <v>17724.003417009189</v>
      </c>
      <c r="AG410" s="331">
        <v>0.26999582933442756</v>
      </c>
      <c r="AH410" s="235"/>
      <c r="AI410" s="208">
        <f t="shared" si="46"/>
        <v>4470168.0478259679</v>
      </c>
      <c r="AJ410" s="208">
        <f t="shared" si="47"/>
        <v>4231396.0133752711</v>
      </c>
      <c r="AK410" s="208">
        <f t="shared" si="48"/>
        <v>238772.03445069699</v>
      </c>
      <c r="AL410" s="235"/>
      <c r="AM410" s="52">
        <f t="shared" si="30"/>
        <v>1</v>
      </c>
      <c r="AN410" s="52">
        <f t="shared" si="31"/>
        <v>0</v>
      </c>
      <c r="AO410" s="52">
        <f t="shared" si="32"/>
        <v>1</v>
      </c>
      <c r="AP410" s="235"/>
      <c r="AQ410" s="3"/>
      <c r="AR410" s="3"/>
      <c r="AS410" s="3"/>
      <c r="AT410" s="3"/>
      <c r="AU410" s="235"/>
      <c r="AV410" s="360">
        <f t="shared" si="49"/>
        <v>4470168.0478259679</v>
      </c>
      <c r="AW410" s="235"/>
      <c r="AX410" s="354"/>
      <c r="AY410" s="14"/>
      <c r="AZ410" s="14">
        <f t="shared" si="51"/>
        <v>17724.003417009189</v>
      </c>
      <c r="BA410" s="14">
        <f t="shared" si="50"/>
        <v>0.26999582933442756</v>
      </c>
      <c r="BB410" s="14">
        <f t="shared" si="33"/>
        <v>65645.47111968731</v>
      </c>
      <c r="BC410" s="14"/>
      <c r="BD410" s="14"/>
      <c r="BE410" s="14"/>
      <c r="BF410" s="14"/>
      <c r="BG410" s="14"/>
      <c r="BH410" s="14"/>
      <c r="BI410" s="14"/>
      <c r="BJ410" s="14"/>
      <c r="BK410" s="14"/>
      <c r="BL410" s="14"/>
      <c r="BM410" s="14"/>
      <c r="BN410" s="14"/>
      <c r="BO410" s="14"/>
      <c r="BP410" s="14"/>
      <c r="BQ410" s="14"/>
      <c r="BR410" s="14"/>
      <c r="BS410" s="14"/>
      <c r="BT410" s="14"/>
      <c r="BU410" s="14"/>
      <c r="BV410" s="14"/>
      <c r="BW410" s="14"/>
      <c r="BX410" s="14"/>
      <c r="BY410" s="14"/>
      <c r="BZ410" s="14"/>
      <c r="CA410" s="14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</row>
    <row r="411" spans="1:101" ht="14.25" customHeight="1" x14ac:dyDescent="0.2">
      <c r="A411" s="328"/>
      <c r="B411" s="52">
        <v>0.14683764575562885</v>
      </c>
      <c r="C411" s="330">
        <v>0.60781806699934293</v>
      </c>
      <c r="D411" s="330">
        <v>7.6463580230485923E-3</v>
      </c>
      <c r="E411" s="330">
        <v>1.7948520147890945E-2</v>
      </c>
      <c r="F411" s="331">
        <v>0.76941608616270707</v>
      </c>
      <c r="G411" s="94">
        <v>0.42535941543983591</v>
      </c>
      <c r="H411" s="330">
        <v>0.63526313315318084</v>
      </c>
      <c r="I411" s="330">
        <v>1.6633711661415029E-2</v>
      </c>
      <c r="J411" s="330">
        <v>0.99917830427517618</v>
      </c>
      <c r="K411" s="330">
        <v>0.75274152731535005</v>
      </c>
      <c r="L411" s="332">
        <v>14089.522479901125</v>
      </c>
      <c r="M411" s="330">
        <v>0</v>
      </c>
      <c r="N411" s="330">
        <v>18040.404663186931</v>
      </c>
      <c r="O411" s="330">
        <v>995.94948459111527</v>
      </c>
      <c r="P411" s="330">
        <v>41138.42424021443</v>
      </c>
      <c r="Q411" s="333">
        <v>123475.91188852812</v>
      </c>
      <c r="R411" s="330">
        <v>24309.93688641908</v>
      </c>
      <c r="S411" s="330">
        <v>13111.43214035741</v>
      </c>
      <c r="T411" s="332">
        <v>0.80803180379568762</v>
      </c>
      <c r="U411" s="330">
        <v>0.29746204115689689</v>
      </c>
      <c r="V411" s="330">
        <v>0.89955399863438656</v>
      </c>
      <c r="W411" s="330">
        <v>0.98843519424649884</v>
      </c>
      <c r="X411" s="330">
        <v>0.99260273588153014</v>
      </c>
      <c r="Y411" s="330">
        <v>0</v>
      </c>
      <c r="Z411" s="331">
        <v>0</v>
      </c>
      <c r="AA411" s="235"/>
      <c r="AB411" s="52">
        <v>124803.50564814763</v>
      </c>
      <c r="AC411" s="330">
        <v>4.9995436805842424</v>
      </c>
      <c r="AD411" s="330">
        <v>114191.91922792111</v>
      </c>
      <c r="AE411" s="330">
        <v>4.5421174362125507</v>
      </c>
      <c r="AF411" s="330">
        <v>10611.586420226522</v>
      </c>
      <c r="AG411" s="331">
        <v>0.45742624437169166</v>
      </c>
      <c r="AH411" s="235"/>
      <c r="AI411" s="208">
        <f t="shared" si="46"/>
        <v>4624762.990906883</v>
      </c>
      <c r="AJ411" s="208">
        <f t="shared" si="47"/>
        <v>4200819.6451740013</v>
      </c>
      <c r="AK411" s="208">
        <f t="shared" si="48"/>
        <v>423943.34573288052</v>
      </c>
      <c r="AL411" s="235"/>
      <c r="AM411" s="52">
        <f t="shared" si="30"/>
        <v>1</v>
      </c>
      <c r="AN411" s="52">
        <f t="shared" si="31"/>
        <v>0</v>
      </c>
      <c r="AO411" s="52">
        <f t="shared" si="32"/>
        <v>1</v>
      </c>
      <c r="AP411" s="235"/>
      <c r="AQ411" s="3"/>
      <c r="AR411" s="3"/>
      <c r="AS411" s="3"/>
      <c r="AT411" s="3"/>
      <c r="AU411" s="235"/>
      <c r="AV411" s="360">
        <f t="shared" si="49"/>
        <v>4624762.990906883</v>
      </c>
      <c r="AW411" s="235"/>
      <c r="AX411" s="354"/>
      <c r="AY411" s="14"/>
      <c r="AZ411" s="14">
        <f t="shared" si="51"/>
        <v>10611.586420226522</v>
      </c>
      <c r="BA411" s="14">
        <f t="shared" si="50"/>
        <v>0.45742624437169166</v>
      </c>
      <c r="BB411" s="14">
        <f t="shared" si="33"/>
        <v>23198.464344349788</v>
      </c>
      <c r="BC411" s="14"/>
      <c r="BD411" s="14"/>
      <c r="BE411" s="14"/>
      <c r="BF411" s="14"/>
      <c r="BG411" s="14"/>
      <c r="BH411" s="14"/>
      <c r="BI411" s="14"/>
      <c r="BJ411" s="14"/>
      <c r="BK411" s="14"/>
      <c r="BL411" s="14"/>
      <c r="BM411" s="14"/>
      <c r="BN411" s="14"/>
      <c r="BO411" s="14"/>
      <c r="BP411" s="14"/>
      <c r="BQ411" s="14"/>
      <c r="BR411" s="14"/>
      <c r="BS411" s="14"/>
      <c r="BT411" s="14"/>
      <c r="BU411" s="14"/>
      <c r="BV411" s="14"/>
      <c r="BW411" s="14"/>
      <c r="BX411" s="14"/>
      <c r="BY411" s="14"/>
      <c r="BZ411" s="14"/>
      <c r="CA411" s="14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</row>
    <row r="412" spans="1:101" ht="14.25" customHeight="1" x14ac:dyDescent="0.2">
      <c r="A412" s="328"/>
      <c r="B412" s="52">
        <v>0.17441268604386428</v>
      </c>
      <c r="C412" s="330">
        <v>0.50613109294259018</v>
      </c>
      <c r="D412" s="330">
        <v>2.5156197421671633E-2</v>
      </c>
      <c r="E412" s="330">
        <v>1.7969303556177096E-2</v>
      </c>
      <c r="F412" s="331">
        <v>0.77222464115414335</v>
      </c>
      <c r="G412" s="94">
        <v>0.38318541426668307</v>
      </c>
      <c r="H412" s="330">
        <v>0.74586295576244832</v>
      </c>
      <c r="I412" s="330">
        <v>1.5409793845796636E-2</v>
      </c>
      <c r="J412" s="330">
        <v>0.99999953382753393</v>
      </c>
      <c r="K412" s="330">
        <v>0.73013535991152267</v>
      </c>
      <c r="L412" s="332">
        <v>11535.645720895289</v>
      </c>
      <c r="M412" s="330">
        <v>0</v>
      </c>
      <c r="N412" s="330">
        <v>21580.187441647711</v>
      </c>
      <c r="O412" s="330">
        <v>1136.5307213607391</v>
      </c>
      <c r="P412" s="330">
        <v>48288.253554767631</v>
      </c>
      <c r="Q412" s="333">
        <v>105843.30833198471</v>
      </c>
      <c r="R412" s="330">
        <v>32514.563050251603</v>
      </c>
      <c r="S412" s="330">
        <v>12886.778232290431</v>
      </c>
      <c r="T412" s="332">
        <v>0.53386522875491516</v>
      </c>
      <c r="U412" s="330">
        <v>0.31301907365256387</v>
      </c>
      <c r="V412" s="330">
        <v>0.74871310601124352</v>
      </c>
      <c r="W412" s="330">
        <v>0.99798660610312928</v>
      </c>
      <c r="X412" s="330">
        <v>0.86246491031899752</v>
      </c>
      <c r="Y412" s="330">
        <v>0</v>
      </c>
      <c r="Z412" s="331">
        <v>0</v>
      </c>
      <c r="AA412" s="235"/>
      <c r="AB412" s="52">
        <v>121865.73473782519</v>
      </c>
      <c r="AC412" s="330">
        <v>4.0290816524489195</v>
      </c>
      <c r="AD412" s="330">
        <v>111690.9524751834</v>
      </c>
      <c r="AE412" s="330">
        <v>3.8274730699858024</v>
      </c>
      <c r="AF412" s="330">
        <v>10174.782262641791</v>
      </c>
      <c r="AG412" s="331">
        <v>0.20160858246311708</v>
      </c>
      <c r="AH412" s="235"/>
      <c r="AI412" s="208">
        <f t="shared" si="46"/>
        <v>3705761.8350886484</v>
      </c>
      <c r="AJ412" s="208">
        <f t="shared" si="47"/>
        <v>3524408.4640113292</v>
      </c>
      <c r="AK412" s="208">
        <f t="shared" si="48"/>
        <v>181353.37107731943</v>
      </c>
      <c r="AL412" s="235"/>
      <c r="AM412" s="52">
        <f t="shared" si="30"/>
        <v>1</v>
      </c>
      <c r="AN412" s="52">
        <f t="shared" si="31"/>
        <v>0</v>
      </c>
      <c r="AO412" s="52">
        <f t="shared" si="32"/>
        <v>1</v>
      </c>
      <c r="AP412" s="235"/>
      <c r="AQ412" s="3"/>
      <c r="AR412" s="3"/>
      <c r="AS412" s="3"/>
      <c r="AT412" s="3"/>
      <c r="AU412" s="235"/>
      <c r="AV412" s="360">
        <f t="shared" si="49"/>
        <v>3705761.8350886484</v>
      </c>
      <c r="AW412" s="235"/>
      <c r="AX412" s="354"/>
      <c r="AY412" s="14"/>
      <c r="AZ412" s="14">
        <f t="shared" si="51"/>
        <v>10174.782262641791</v>
      </c>
      <c r="BA412" s="14">
        <f t="shared" si="50"/>
        <v>0.20160858246311708</v>
      </c>
      <c r="BB412" s="14">
        <f t="shared" si="33"/>
        <v>50468.001601584583</v>
      </c>
      <c r="BC412" s="14"/>
      <c r="BD412" s="14"/>
      <c r="BE412" s="14"/>
      <c r="BF412" s="14"/>
      <c r="BG412" s="14"/>
      <c r="BH412" s="14"/>
      <c r="BI412" s="14"/>
      <c r="BJ412" s="14"/>
      <c r="BK412" s="14"/>
      <c r="BL412" s="14"/>
      <c r="BM412" s="14"/>
      <c r="BN412" s="14"/>
      <c r="BO412" s="14"/>
      <c r="BP412" s="14"/>
      <c r="BQ412" s="14"/>
      <c r="BR412" s="14"/>
      <c r="BS412" s="14"/>
      <c r="BT412" s="14"/>
      <c r="BU412" s="14"/>
      <c r="BV412" s="14"/>
      <c r="BW412" s="14"/>
      <c r="BX412" s="14"/>
      <c r="BY412" s="14"/>
      <c r="BZ412" s="14"/>
      <c r="CA412" s="14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</row>
    <row r="413" spans="1:101" ht="14.25" customHeight="1" x14ac:dyDescent="0.2">
      <c r="A413" s="328"/>
      <c r="B413" s="52">
        <v>0.17537803595791635</v>
      </c>
      <c r="C413" s="330">
        <v>8.3361295300280649E-2</v>
      </c>
      <c r="D413" s="330">
        <v>1.8166283750326029E-2</v>
      </c>
      <c r="E413" s="330">
        <v>1.1084573239735274E-2</v>
      </c>
      <c r="F413" s="331">
        <v>0.76135769073300619</v>
      </c>
      <c r="G413" s="94">
        <v>0.36859329375554639</v>
      </c>
      <c r="H413" s="330">
        <v>0.93903896181159263</v>
      </c>
      <c r="I413" s="330">
        <v>1.1962013363857037E-2</v>
      </c>
      <c r="J413" s="330">
        <v>1</v>
      </c>
      <c r="K413" s="330">
        <v>0.77218623503607708</v>
      </c>
      <c r="L413" s="332">
        <v>13391.942697363053</v>
      </c>
      <c r="M413" s="330">
        <v>0</v>
      </c>
      <c r="N413" s="330">
        <v>22711.097016313095</v>
      </c>
      <c r="O413" s="330">
        <v>1075.4249327184812</v>
      </c>
      <c r="P413" s="330">
        <v>43122.465467830538</v>
      </c>
      <c r="Q413" s="333">
        <v>105182.257112224</v>
      </c>
      <c r="R413" s="330">
        <v>29820.976522697129</v>
      </c>
      <c r="S413" s="330">
        <v>8458.7982781457486</v>
      </c>
      <c r="T413" s="332">
        <v>0.36318911403116994</v>
      </c>
      <c r="U413" s="330">
        <v>0.31779413912070703</v>
      </c>
      <c r="V413" s="330">
        <v>0.7628569684146177</v>
      </c>
      <c r="W413" s="330">
        <v>0.99610955308397431</v>
      </c>
      <c r="X413" s="330">
        <v>0.98169306297324255</v>
      </c>
      <c r="Y413" s="330">
        <v>0</v>
      </c>
      <c r="Z413" s="331">
        <v>0</v>
      </c>
      <c r="AA413" s="235"/>
      <c r="AB413" s="52">
        <v>83464.921440802107</v>
      </c>
      <c r="AC413" s="330">
        <v>4.5309338696273969</v>
      </c>
      <c r="AD413" s="330">
        <v>81453.563615325867</v>
      </c>
      <c r="AE413" s="330">
        <v>4.6094693216426128</v>
      </c>
      <c r="AF413" s="330">
        <v>2011.3578254762397</v>
      </c>
      <c r="AG413" s="331">
        <v>-7.8535452015215945E-2</v>
      </c>
      <c r="AH413" s="235"/>
      <c r="AI413" s="208">
        <f t="shared" si="46"/>
        <v>4220922.2547052242</v>
      </c>
      <c r="AJ413" s="208">
        <f t="shared" si="47"/>
        <v>4297542.2919451566</v>
      </c>
      <c r="AK413" s="208">
        <f t="shared" si="48"/>
        <v>-76620.037239931393</v>
      </c>
      <c r="AL413" s="235"/>
      <c r="AM413" s="52">
        <f t="shared" si="30"/>
        <v>0</v>
      </c>
      <c r="AN413" s="52">
        <f t="shared" si="31"/>
        <v>1</v>
      </c>
      <c r="AO413" s="52">
        <f t="shared" si="32"/>
        <v>0</v>
      </c>
      <c r="AP413" s="235"/>
      <c r="AQ413" s="3"/>
      <c r="AR413" s="3"/>
      <c r="AS413" s="3"/>
      <c r="AT413" s="3"/>
      <c r="AU413" s="235"/>
      <c r="AV413" s="360">
        <f t="shared" si="49"/>
        <v>4297542.2919451566</v>
      </c>
      <c r="AW413" s="235"/>
      <c r="AX413" s="354"/>
      <c r="AY413" s="14"/>
      <c r="AZ413" s="14">
        <f t="shared" si="51"/>
        <v>2011.3578254762397</v>
      </c>
      <c r="BA413" s="14">
        <f t="shared" si="50"/>
        <v>-7.8535452015215945E-2</v>
      </c>
      <c r="BB413" s="14">
        <f t="shared" si="33"/>
        <v>-25610.826370319315</v>
      </c>
      <c r="BC413" s="14"/>
      <c r="BD413" s="14"/>
      <c r="BE413" s="14"/>
      <c r="BF413" s="14"/>
      <c r="BG413" s="14"/>
      <c r="BH413" s="14"/>
      <c r="BI413" s="14"/>
      <c r="BJ413" s="14"/>
      <c r="BK413" s="14"/>
      <c r="BL413" s="14"/>
      <c r="BM413" s="14"/>
      <c r="BN413" s="14"/>
      <c r="BO413" s="14"/>
      <c r="BP413" s="14"/>
      <c r="BQ413" s="14"/>
      <c r="BR413" s="14"/>
      <c r="BS413" s="14"/>
      <c r="BT413" s="14"/>
      <c r="BU413" s="14"/>
      <c r="BV413" s="14"/>
      <c r="BW413" s="14"/>
      <c r="BX413" s="14"/>
      <c r="BY413" s="14"/>
      <c r="BZ413" s="14"/>
      <c r="CA413" s="14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</row>
    <row r="414" spans="1:101" ht="14.25" customHeight="1" x14ac:dyDescent="0.2">
      <c r="A414" s="328"/>
      <c r="B414" s="52">
        <v>0.1579020800589426</v>
      </c>
      <c r="C414" s="330">
        <v>0.74894894503661735</v>
      </c>
      <c r="D414" s="330">
        <v>2.9349087748085201E-2</v>
      </c>
      <c r="E414" s="330">
        <v>2.0947237813567665E-2</v>
      </c>
      <c r="F414" s="331">
        <v>0.784105464560651</v>
      </c>
      <c r="G414" s="94">
        <v>0.34794694714525681</v>
      </c>
      <c r="H414" s="330">
        <v>0.1198050057528034</v>
      </c>
      <c r="I414" s="330">
        <v>2.3459955631345508E-2</v>
      </c>
      <c r="J414" s="330">
        <v>0.99538527794227094</v>
      </c>
      <c r="K414" s="330">
        <v>0.72917221133948962</v>
      </c>
      <c r="L414" s="332">
        <v>12702.464167956443</v>
      </c>
      <c r="M414" s="330">
        <v>0</v>
      </c>
      <c r="N414" s="330">
        <v>18575.213291045566</v>
      </c>
      <c r="O414" s="330">
        <v>843.86432396136763</v>
      </c>
      <c r="P414" s="330">
        <v>41452.124132829507</v>
      </c>
      <c r="Q414" s="333">
        <v>138299.205142452</v>
      </c>
      <c r="R414" s="330">
        <v>18051.016988720297</v>
      </c>
      <c r="S414" s="330">
        <v>7952.1586082940203</v>
      </c>
      <c r="T414" s="332">
        <v>0.99919483275012888</v>
      </c>
      <c r="U414" s="330">
        <v>0.99945482632759775</v>
      </c>
      <c r="V414" s="330">
        <v>0.80310612754655186</v>
      </c>
      <c r="W414" s="330">
        <v>0.94544556900970678</v>
      </c>
      <c r="X414" s="330">
        <v>0.98853638276807954</v>
      </c>
      <c r="Y414" s="330">
        <v>0</v>
      </c>
      <c r="Z414" s="331">
        <v>0</v>
      </c>
      <c r="AA414" s="235"/>
      <c r="AB414" s="52">
        <v>82529.960067233711</v>
      </c>
      <c r="AC414" s="330">
        <v>5.08220293564223</v>
      </c>
      <c r="AD414" s="330">
        <v>64980.406372944679</v>
      </c>
      <c r="AE414" s="330">
        <v>4.5455672330398684</v>
      </c>
      <c r="AF414" s="330">
        <v>17549.553694289032</v>
      </c>
      <c r="AG414" s="331">
        <v>0.5366357026023616</v>
      </c>
      <c r="AH414" s="235"/>
      <c r="AI414" s="208">
        <f t="shared" si="46"/>
        <v>4745562.8287928849</v>
      </c>
      <c r="AJ414" s="208">
        <f t="shared" si="47"/>
        <v>4253308.4650149299</v>
      </c>
      <c r="AK414" s="208">
        <f t="shared" si="48"/>
        <v>492254.36377795448</v>
      </c>
      <c r="AL414" s="235"/>
      <c r="AM414" s="52">
        <f t="shared" si="30"/>
        <v>1</v>
      </c>
      <c r="AN414" s="52">
        <f t="shared" si="31"/>
        <v>0</v>
      </c>
      <c r="AO414" s="52">
        <f t="shared" si="32"/>
        <v>1</v>
      </c>
      <c r="AP414" s="235"/>
      <c r="AQ414" s="3"/>
      <c r="AR414" s="3"/>
      <c r="AS414" s="3"/>
      <c r="AT414" s="3"/>
      <c r="AU414" s="235"/>
      <c r="AV414" s="360">
        <f t="shared" si="49"/>
        <v>4745562.8287928849</v>
      </c>
      <c r="AW414" s="235"/>
      <c r="AX414" s="354"/>
      <c r="AY414" s="14"/>
      <c r="AZ414" s="14">
        <f t="shared" si="51"/>
        <v>17549.553694289032</v>
      </c>
      <c r="BA414" s="14">
        <f t="shared" si="50"/>
        <v>0.5366357026023616</v>
      </c>
      <c r="BB414" s="14">
        <f t="shared" si="33"/>
        <v>32702.918589248187</v>
      </c>
      <c r="BC414" s="14"/>
      <c r="BD414" s="14"/>
      <c r="BE414" s="14"/>
      <c r="BF414" s="14"/>
      <c r="BG414" s="14"/>
      <c r="BH414" s="14"/>
      <c r="BI414" s="14"/>
      <c r="BJ414" s="14"/>
      <c r="BK414" s="14"/>
      <c r="BL414" s="14"/>
      <c r="BM414" s="14"/>
      <c r="BN414" s="14"/>
      <c r="BO414" s="14"/>
      <c r="BP414" s="14"/>
      <c r="BQ414" s="14"/>
      <c r="BR414" s="14"/>
      <c r="BS414" s="14"/>
      <c r="BT414" s="14"/>
      <c r="BU414" s="14"/>
      <c r="BV414" s="14"/>
      <c r="BW414" s="14"/>
      <c r="BX414" s="14"/>
      <c r="BY414" s="14"/>
      <c r="BZ414" s="14"/>
      <c r="CA414" s="14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</row>
    <row r="415" spans="1:101" ht="14.25" customHeight="1" x14ac:dyDescent="0.2">
      <c r="A415" s="328"/>
      <c r="B415" s="52">
        <v>0.14363411676692031</v>
      </c>
      <c r="C415" s="330">
        <v>3.0933931758825878E-2</v>
      </c>
      <c r="D415" s="330">
        <v>1.8327007181204946E-2</v>
      </c>
      <c r="E415" s="330">
        <v>1.7019646454219828E-2</v>
      </c>
      <c r="F415" s="331">
        <v>0.80309765095582697</v>
      </c>
      <c r="G415" s="94">
        <v>0.44589907204039259</v>
      </c>
      <c r="H415" s="330">
        <v>0.51149832780506732</v>
      </c>
      <c r="I415" s="330">
        <v>2.8461872312175895E-2</v>
      </c>
      <c r="J415" s="330">
        <v>0.99986523193986199</v>
      </c>
      <c r="K415" s="330">
        <v>0.72153313690993803</v>
      </c>
      <c r="L415" s="332">
        <v>8732.724444524034</v>
      </c>
      <c r="M415" s="330">
        <v>0</v>
      </c>
      <c r="N415" s="330">
        <v>20971.909095417766</v>
      </c>
      <c r="O415" s="330">
        <v>1185.044328770191</v>
      </c>
      <c r="P415" s="330">
        <v>35636.965328958657</v>
      </c>
      <c r="Q415" s="333">
        <v>110698.08734616832</v>
      </c>
      <c r="R415" s="330">
        <v>16756.553008323008</v>
      </c>
      <c r="S415" s="330">
        <v>9465.8717443983878</v>
      </c>
      <c r="T415" s="332">
        <v>0.6502374706828703</v>
      </c>
      <c r="U415" s="330">
        <v>0.20278076663012881</v>
      </c>
      <c r="V415" s="330">
        <v>0.92572884898878538</v>
      </c>
      <c r="W415" s="330">
        <v>0.97764782887553026</v>
      </c>
      <c r="X415" s="330">
        <v>0.68239795440268103</v>
      </c>
      <c r="Y415" s="330">
        <v>0</v>
      </c>
      <c r="Z415" s="331">
        <v>0</v>
      </c>
      <c r="AA415" s="235"/>
      <c r="AB415" s="52">
        <v>90850.353360538909</v>
      </c>
      <c r="AC415" s="330">
        <v>3.4410387930968138</v>
      </c>
      <c r="AD415" s="330">
        <v>79664.875205273886</v>
      </c>
      <c r="AE415" s="330">
        <v>3.0072181907160305</v>
      </c>
      <c r="AF415" s="330">
        <v>11185.478155265024</v>
      </c>
      <c r="AG415" s="331">
        <v>0.43382060238078335</v>
      </c>
      <c r="AH415" s="235"/>
      <c r="AI415" s="208">
        <f t="shared" si="46"/>
        <v>3178136.5000814344</v>
      </c>
      <c r="AJ415" s="208">
        <f t="shared" si="47"/>
        <v>2777192.4059749553</v>
      </c>
      <c r="AK415" s="208">
        <f t="shared" si="48"/>
        <v>400944.09410647914</v>
      </c>
      <c r="AL415" s="235"/>
      <c r="AM415" s="52">
        <f t="shared" si="30"/>
        <v>1</v>
      </c>
      <c r="AN415" s="52">
        <f t="shared" si="31"/>
        <v>0</v>
      </c>
      <c r="AO415" s="52">
        <f t="shared" si="32"/>
        <v>1</v>
      </c>
      <c r="AP415" s="235"/>
      <c r="AQ415" s="3"/>
      <c r="AR415" s="3"/>
      <c r="AS415" s="3"/>
      <c r="AT415" s="3"/>
      <c r="AU415" s="235"/>
      <c r="AV415" s="360">
        <f t="shared" si="49"/>
        <v>3178136.5000814344</v>
      </c>
      <c r="AW415" s="235"/>
      <c r="AX415" s="354"/>
      <c r="AY415" s="14"/>
      <c r="AZ415" s="14">
        <f t="shared" si="51"/>
        <v>11185.478155265024</v>
      </c>
      <c r="BA415" s="14">
        <f t="shared" si="50"/>
        <v>0.43382060238078335</v>
      </c>
      <c r="BB415" s="14">
        <f t="shared" si="33"/>
        <v>25783.649033447793</v>
      </c>
      <c r="BC415" s="14"/>
      <c r="BD415" s="14"/>
      <c r="BE415" s="14"/>
      <c r="BF415" s="14"/>
      <c r="BG415" s="14"/>
      <c r="BH415" s="14"/>
      <c r="BI415" s="14"/>
      <c r="BJ415" s="14"/>
      <c r="BK415" s="14"/>
      <c r="BL415" s="14"/>
      <c r="BM415" s="14"/>
      <c r="BN415" s="14"/>
      <c r="BO415" s="14"/>
      <c r="BP415" s="14"/>
      <c r="BQ415" s="14"/>
      <c r="BR415" s="14"/>
      <c r="BS415" s="14"/>
      <c r="BT415" s="14"/>
      <c r="BU415" s="14"/>
      <c r="BV415" s="14"/>
      <c r="BW415" s="14"/>
      <c r="BX415" s="14"/>
      <c r="BY415" s="14"/>
      <c r="BZ415" s="14"/>
      <c r="CA415" s="14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</row>
    <row r="416" spans="1:101" ht="14.25" customHeight="1" x14ac:dyDescent="0.2">
      <c r="A416" s="328"/>
      <c r="B416" s="52">
        <v>0.14013962642526359</v>
      </c>
      <c r="C416" s="330">
        <v>0.44533812319914245</v>
      </c>
      <c r="D416" s="330">
        <v>4.491101761754452E-3</v>
      </c>
      <c r="E416" s="330">
        <v>2.1798659853418001E-2</v>
      </c>
      <c r="F416" s="331">
        <v>0.78701583526355867</v>
      </c>
      <c r="G416" s="94">
        <v>0.42975678967338671</v>
      </c>
      <c r="H416" s="330">
        <v>0.56872451473338159</v>
      </c>
      <c r="I416" s="330">
        <v>4.8679628698975796E-2</v>
      </c>
      <c r="J416" s="330">
        <v>0.99830763788554222</v>
      </c>
      <c r="K416" s="330">
        <v>0.75677891034391565</v>
      </c>
      <c r="L416" s="332">
        <v>6620.0393194289982</v>
      </c>
      <c r="M416" s="330">
        <v>0</v>
      </c>
      <c r="N416" s="330">
        <v>27031.810393899654</v>
      </c>
      <c r="O416" s="330">
        <v>1641.1442642372633</v>
      </c>
      <c r="P416" s="330">
        <v>46730.472490968765</v>
      </c>
      <c r="Q416" s="333">
        <v>86020.981895107092</v>
      </c>
      <c r="R416" s="330">
        <v>17850.502077240104</v>
      </c>
      <c r="S416" s="330">
        <v>5833.4794624939896</v>
      </c>
      <c r="T416" s="332">
        <v>0.99994942402430309</v>
      </c>
      <c r="U416" s="330">
        <v>0.94820029150359897</v>
      </c>
      <c r="V416" s="330">
        <v>0.99957333817629779</v>
      </c>
      <c r="W416" s="330">
        <v>0.84546985985539169</v>
      </c>
      <c r="X416" s="330">
        <v>0.99927620240947101</v>
      </c>
      <c r="Y416" s="330">
        <v>0</v>
      </c>
      <c r="Z416" s="331">
        <v>0</v>
      </c>
      <c r="AA416" s="235"/>
      <c r="AB416" s="52">
        <v>57286.741553543012</v>
      </c>
      <c r="AC416" s="330">
        <v>4.7571858561414579</v>
      </c>
      <c r="AD416" s="330">
        <v>55736.90820386244</v>
      </c>
      <c r="AE416" s="330">
        <v>4.7284442826017443</v>
      </c>
      <c r="AF416" s="330">
        <v>1549.8333496805717</v>
      </c>
      <c r="AG416" s="331">
        <v>2.8741573539713627E-2</v>
      </c>
      <c r="AH416" s="235"/>
      <c r="AI416" s="208">
        <f t="shared" si="46"/>
        <v>4462039.8217808418</v>
      </c>
      <c r="AJ416" s="208">
        <f t="shared" si="47"/>
        <v>4436285.1602677945</v>
      </c>
      <c r="AK416" s="208">
        <f t="shared" si="48"/>
        <v>25754.661513047373</v>
      </c>
      <c r="AL416" s="235"/>
      <c r="AM416" s="52">
        <f t="shared" si="30"/>
        <v>1</v>
      </c>
      <c r="AN416" s="52">
        <f t="shared" si="31"/>
        <v>0</v>
      </c>
      <c r="AO416" s="52">
        <f t="shared" si="32"/>
        <v>1</v>
      </c>
      <c r="AP416" s="235"/>
      <c r="AQ416" s="3"/>
      <c r="AR416" s="3"/>
      <c r="AS416" s="3"/>
      <c r="AT416" s="3"/>
      <c r="AU416" s="235"/>
      <c r="AV416" s="360">
        <f t="shared" si="49"/>
        <v>4462039.8217808418</v>
      </c>
      <c r="AW416" s="235"/>
      <c r="AX416" s="354"/>
      <c r="AY416" s="14"/>
      <c r="AZ416" s="14">
        <f t="shared" si="51"/>
        <v>1549.8333496805717</v>
      </c>
      <c r="BA416" s="14">
        <f t="shared" si="50"/>
        <v>2.8741573539713627E-2</v>
      </c>
      <c r="BB416" s="14">
        <f t="shared" si="33"/>
        <v>53923.051482866511</v>
      </c>
      <c r="BC416" s="14"/>
      <c r="BD416" s="14"/>
      <c r="BE416" s="14"/>
      <c r="BF416" s="14"/>
      <c r="BG416" s="14"/>
      <c r="BH416" s="14"/>
      <c r="BI416" s="14"/>
      <c r="BJ416" s="14"/>
      <c r="BK416" s="14"/>
      <c r="BL416" s="14"/>
      <c r="BM416" s="14"/>
      <c r="BN416" s="14"/>
      <c r="BO416" s="14"/>
      <c r="BP416" s="14"/>
      <c r="BQ416" s="14"/>
      <c r="BR416" s="14"/>
      <c r="BS416" s="14"/>
      <c r="BT416" s="14"/>
      <c r="BU416" s="14"/>
      <c r="BV416" s="14"/>
      <c r="BW416" s="14"/>
      <c r="BX416" s="14"/>
      <c r="BY416" s="14"/>
      <c r="BZ416" s="14"/>
      <c r="CA416" s="14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</row>
    <row r="417" spans="1:101" ht="14.25" customHeight="1" x14ac:dyDescent="0.2">
      <c r="A417" s="328"/>
      <c r="B417" s="52">
        <v>0.14654215077268321</v>
      </c>
      <c r="C417" s="330">
        <v>8.6093364360827374E-2</v>
      </c>
      <c r="D417" s="330">
        <v>2.24154873727892E-2</v>
      </c>
      <c r="E417" s="330">
        <v>1.6844757758794571E-2</v>
      </c>
      <c r="F417" s="331">
        <v>0.77915273708260879</v>
      </c>
      <c r="G417" s="94">
        <v>0.37913462382435892</v>
      </c>
      <c r="H417" s="330">
        <v>0.63106163881799937</v>
      </c>
      <c r="I417" s="330">
        <v>1.5070432464710569E-2</v>
      </c>
      <c r="J417" s="330">
        <v>0.9287665684174603</v>
      </c>
      <c r="K417" s="330">
        <v>0.83263152383095085</v>
      </c>
      <c r="L417" s="332">
        <v>8954.6034633186409</v>
      </c>
      <c r="M417" s="330">
        <v>0</v>
      </c>
      <c r="N417" s="330">
        <v>17015.261401017608</v>
      </c>
      <c r="O417" s="330">
        <v>1252.2518956940053</v>
      </c>
      <c r="P417" s="330">
        <v>46283.951390723356</v>
      </c>
      <c r="Q417" s="333">
        <v>98385.481596773679</v>
      </c>
      <c r="R417" s="330">
        <v>19162.111062660508</v>
      </c>
      <c r="S417" s="330">
        <v>11259.309181718021</v>
      </c>
      <c r="T417" s="332">
        <v>0.19752592428349824</v>
      </c>
      <c r="U417" s="330">
        <v>8.6802398574688411E-2</v>
      </c>
      <c r="V417" s="330">
        <v>0.75333994710926644</v>
      </c>
      <c r="W417" s="330">
        <v>0.98198064575876765</v>
      </c>
      <c r="X417" s="330">
        <v>0.50625664841368068</v>
      </c>
      <c r="Y417" s="330">
        <v>0</v>
      </c>
      <c r="Z417" s="331">
        <v>0</v>
      </c>
      <c r="AA417" s="235"/>
      <c r="AB417" s="52">
        <v>103848.65069424195</v>
      </c>
      <c r="AC417" s="330">
        <v>2.4718353667022517</v>
      </c>
      <c r="AD417" s="330">
        <v>106501.58394945413</v>
      </c>
      <c r="AE417" s="330">
        <v>2.5482765980964732</v>
      </c>
      <c r="AF417" s="330">
        <v>-2652.9332552121778</v>
      </c>
      <c r="AG417" s="331">
        <v>-7.6441231394221543E-2</v>
      </c>
      <c r="AH417" s="235"/>
      <c r="AI417" s="208">
        <f t="shared" si="46"/>
        <v>2244394.9476728975</v>
      </c>
      <c r="AJ417" s="208">
        <f t="shared" si="47"/>
        <v>2314361.1842421954</v>
      </c>
      <c r="AK417" s="208">
        <f t="shared" si="48"/>
        <v>-69966.236569298286</v>
      </c>
      <c r="AL417" s="235"/>
      <c r="AM417" s="52">
        <f t="shared" si="30"/>
        <v>0</v>
      </c>
      <c r="AN417" s="52">
        <f t="shared" si="31"/>
        <v>1</v>
      </c>
      <c r="AO417" s="52">
        <f t="shared" si="32"/>
        <v>0</v>
      </c>
      <c r="AP417" s="235"/>
      <c r="AQ417" s="3"/>
      <c r="AR417" s="3"/>
      <c r="AS417" s="3"/>
      <c r="AT417" s="3"/>
      <c r="AU417" s="235"/>
      <c r="AV417" s="360">
        <f t="shared" si="49"/>
        <v>2314361.1842421954</v>
      </c>
      <c r="AW417" s="235"/>
      <c r="AX417" s="354"/>
      <c r="AY417" s="14"/>
      <c r="AZ417" s="14">
        <f t="shared" si="51"/>
        <v>-2652.9332552121778</v>
      </c>
      <c r="BA417" s="14">
        <f t="shared" si="50"/>
        <v>-7.6441231394221543E-2</v>
      </c>
      <c r="BB417" s="14">
        <f t="shared" si="33"/>
        <v>34705.527459788173</v>
      </c>
      <c r="BC417" s="14"/>
      <c r="BD417" s="14"/>
      <c r="BE417" s="14"/>
      <c r="BF417" s="14"/>
      <c r="BG417" s="14"/>
      <c r="BH417" s="14"/>
      <c r="BI417" s="14"/>
      <c r="BJ417" s="14"/>
      <c r="BK417" s="14"/>
      <c r="BL417" s="14"/>
      <c r="BM417" s="14"/>
      <c r="BN417" s="14"/>
      <c r="BO417" s="14"/>
      <c r="BP417" s="14"/>
      <c r="BQ417" s="14"/>
      <c r="BR417" s="14"/>
      <c r="BS417" s="14"/>
      <c r="BT417" s="14"/>
      <c r="BU417" s="14"/>
      <c r="BV417" s="14"/>
      <c r="BW417" s="14"/>
      <c r="BX417" s="14"/>
      <c r="BY417" s="14"/>
      <c r="BZ417" s="14"/>
      <c r="CA417" s="14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</row>
    <row r="418" spans="1:101" ht="14.25" customHeight="1" x14ac:dyDescent="0.2">
      <c r="A418" s="328"/>
      <c r="B418" s="52">
        <v>0.17422038655677141</v>
      </c>
      <c r="C418" s="330">
        <v>0.59453999844680139</v>
      </c>
      <c r="D418" s="330">
        <v>1.4512352109886995E-2</v>
      </c>
      <c r="E418" s="330">
        <v>1.016721792956537E-2</v>
      </c>
      <c r="F418" s="331">
        <v>0.78507389556879548</v>
      </c>
      <c r="G418" s="94">
        <v>0.39354298991771575</v>
      </c>
      <c r="H418" s="330">
        <v>1.1486332670653276E-2</v>
      </c>
      <c r="I418" s="330">
        <v>9.6032829898837838E-3</v>
      </c>
      <c r="J418" s="330">
        <v>0.53588471598092868</v>
      </c>
      <c r="K418" s="330">
        <v>0.74910836248116197</v>
      </c>
      <c r="L418" s="332">
        <v>15251.18089084966</v>
      </c>
      <c r="M418" s="330">
        <v>0</v>
      </c>
      <c r="N418" s="330">
        <v>16397.599841066774</v>
      </c>
      <c r="O418" s="330">
        <v>909.56603036736499</v>
      </c>
      <c r="P418" s="330">
        <v>61386.719611141372</v>
      </c>
      <c r="Q418" s="333">
        <v>92476.121113932415</v>
      </c>
      <c r="R418" s="330">
        <v>32939.655426954901</v>
      </c>
      <c r="S418" s="330">
        <v>8651.7149097974416</v>
      </c>
      <c r="T418" s="332">
        <v>0.50063162527193306</v>
      </c>
      <c r="U418" s="330">
        <v>0.31188204099593592</v>
      </c>
      <c r="V418" s="330">
        <v>0.99283021596354248</v>
      </c>
      <c r="W418" s="330">
        <v>0.97741104007330892</v>
      </c>
      <c r="X418" s="330">
        <v>0.99705432658964788</v>
      </c>
      <c r="Y418" s="330">
        <v>0</v>
      </c>
      <c r="Z418" s="331">
        <v>0</v>
      </c>
      <c r="AA418" s="235"/>
      <c r="AB418" s="52">
        <v>91946.42953278005</v>
      </c>
      <c r="AC418" s="330">
        <v>4.7303752883741943</v>
      </c>
      <c r="AD418" s="330">
        <v>70636.348612580667</v>
      </c>
      <c r="AE418" s="330">
        <v>4.516989134295252</v>
      </c>
      <c r="AF418" s="330">
        <v>21310.080920199383</v>
      </c>
      <c r="AG418" s="331">
        <v>0.21338615407894235</v>
      </c>
      <c r="AH418" s="235"/>
      <c r="AI418" s="208">
        <f t="shared" si="46"/>
        <v>4401910.0944227045</v>
      </c>
      <c r="AJ418" s="208">
        <f t="shared" si="47"/>
        <v>4220503.3289679093</v>
      </c>
      <c r="AK418" s="208">
        <f t="shared" si="48"/>
        <v>181406.76545479585</v>
      </c>
      <c r="AL418" s="235"/>
      <c r="AM418" s="52">
        <f t="shared" si="30"/>
        <v>1</v>
      </c>
      <c r="AN418" s="52">
        <f t="shared" si="31"/>
        <v>0</v>
      </c>
      <c r="AO418" s="52">
        <f t="shared" si="32"/>
        <v>1</v>
      </c>
      <c r="AP418" s="235"/>
      <c r="AQ418" s="3"/>
      <c r="AR418" s="3"/>
      <c r="AS418" s="3"/>
      <c r="AT418" s="3"/>
      <c r="AU418" s="235"/>
      <c r="AV418" s="360">
        <f t="shared" si="49"/>
        <v>4401910.0944227045</v>
      </c>
      <c r="AW418" s="235"/>
      <c r="AX418" s="354"/>
      <c r="AY418" s="14"/>
      <c r="AZ418" s="14">
        <f t="shared" si="51"/>
        <v>21310.080920199383</v>
      </c>
      <c r="BA418" s="14">
        <f t="shared" si="50"/>
        <v>0.21338615407894235</v>
      </c>
      <c r="BB418" s="14">
        <f t="shared" si="33"/>
        <v>99866.277698203907</v>
      </c>
      <c r="BC418" s="14"/>
      <c r="BD418" s="14"/>
      <c r="BE418" s="14"/>
      <c r="BF418" s="14"/>
      <c r="BG418" s="14"/>
      <c r="BH418" s="14"/>
      <c r="BI418" s="14"/>
      <c r="BJ418" s="14"/>
      <c r="BK418" s="14"/>
      <c r="BL418" s="14"/>
      <c r="BM418" s="14"/>
      <c r="BN418" s="14"/>
      <c r="BO418" s="14"/>
      <c r="BP418" s="14"/>
      <c r="BQ418" s="14"/>
      <c r="BR418" s="14"/>
      <c r="BS418" s="14"/>
      <c r="BT418" s="14"/>
      <c r="BU418" s="14"/>
      <c r="BV418" s="14"/>
      <c r="BW418" s="14"/>
      <c r="BX418" s="14"/>
      <c r="BY418" s="14"/>
      <c r="BZ418" s="14"/>
      <c r="CA418" s="14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</row>
    <row r="419" spans="1:101" ht="14.25" customHeight="1" x14ac:dyDescent="0.2">
      <c r="A419" s="328"/>
      <c r="B419" s="52">
        <v>0.1633137478707436</v>
      </c>
      <c r="C419" s="330">
        <v>0.30767851429627302</v>
      </c>
      <c r="D419" s="330">
        <v>2.004796124839836E-2</v>
      </c>
      <c r="E419" s="330">
        <v>1.4045642756644867E-2</v>
      </c>
      <c r="F419" s="331">
        <v>0.79801328575733499</v>
      </c>
      <c r="G419" s="94">
        <v>0.42667266282422467</v>
      </c>
      <c r="H419" s="330">
        <v>0.7439232341755011</v>
      </c>
      <c r="I419" s="330">
        <v>7.9771208450878286E-3</v>
      </c>
      <c r="J419" s="330">
        <v>1</v>
      </c>
      <c r="K419" s="330">
        <v>0.7440516289431155</v>
      </c>
      <c r="L419" s="332">
        <v>12466.998522550666</v>
      </c>
      <c r="M419" s="330">
        <v>0</v>
      </c>
      <c r="N419" s="330">
        <v>22108.859998173521</v>
      </c>
      <c r="O419" s="330">
        <v>927.11449444200866</v>
      </c>
      <c r="P419" s="330">
        <v>33332.075212265852</v>
      </c>
      <c r="Q419" s="333">
        <v>109045.54420061974</v>
      </c>
      <c r="R419" s="330">
        <v>22165.255801750518</v>
      </c>
      <c r="S419" s="330">
        <v>10007.016586496442</v>
      </c>
      <c r="T419" s="332">
        <v>0.99977577005330032</v>
      </c>
      <c r="U419" s="330">
        <v>0.99041401563590736</v>
      </c>
      <c r="V419" s="330">
        <v>0.7852746341648118</v>
      </c>
      <c r="W419" s="330">
        <v>0.99999333685560088</v>
      </c>
      <c r="X419" s="330">
        <v>0.68878896895383013</v>
      </c>
      <c r="Y419" s="330">
        <v>0</v>
      </c>
      <c r="Z419" s="331">
        <v>0</v>
      </c>
      <c r="AA419" s="235"/>
      <c r="AB419" s="52">
        <v>99788.4871465084</v>
      </c>
      <c r="AC419" s="330">
        <v>3.5540221110401129</v>
      </c>
      <c r="AD419" s="330">
        <v>87859.949913337914</v>
      </c>
      <c r="AE419" s="330">
        <v>3.449026233488651</v>
      </c>
      <c r="AF419" s="330">
        <v>11928.537233170486</v>
      </c>
      <c r="AG419" s="331">
        <v>0.10499587755146189</v>
      </c>
      <c r="AH419" s="235"/>
      <c r="AI419" s="208">
        <f t="shared" si="46"/>
        <v>3276532.518341599</v>
      </c>
      <c r="AJ419" s="208">
        <f t="shared" si="47"/>
        <v>3188714.9719008808</v>
      </c>
      <c r="AK419" s="208">
        <f t="shared" si="48"/>
        <v>87817.546440718317</v>
      </c>
      <c r="AL419" s="235"/>
      <c r="AM419" s="52">
        <f t="shared" si="30"/>
        <v>1</v>
      </c>
      <c r="AN419" s="52">
        <f t="shared" si="31"/>
        <v>0</v>
      </c>
      <c r="AO419" s="52">
        <f t="shared" si="32"/>
        <v>1</v>
      </c>
      <c r="AP419" s="235"/>
      <c r="AQ419" s="3"/>
      <c r="AR419" s="3"/>
      <c r="AS419" s="3"/>
      <c r="AT419" s="3"/>
      <c r="AU419" s="235"/>
      <c r="AV419" s="360">
        <f t="shared" si="49"/>
        <v>3276532.518341599</v>
      </c>
      <c r="AW419" s="235"/>
      <c r="AX419" s="354"/>
      <c r="AY419" s="14"/>
      <c r="AZ419" s="14">
        <f t="shared" si="51"/>
        <v>11928.537233170486</v>
      </c>
      <c r="BA419" s="14">
        <f t="shared" si="50"/>
        <v>0.10499587755146189</v>
      </c>
      <c r="BB419" s="14">
        <f t="shared" si="33"/>
        <v>113609.57697909541</v>
      </c>
      <c r="BC419" s="14"/>
      <c r="BD419" s="14"/>
      <c r="BE419" s="14"/>
      <c r="BF419" s="14"/>
      <c r="BG419" s="14"/>
      <c r="BH419" s="14"/>
      <c r="BI419" s="14"/>
      <c r="BJ419" s="14"/>
      <c r="BK419" s="14"/>
      <c r="BL419" s="14"/>
      <c r="BM419" s="14"/>
      <c r="BN419" s="14"/>
      <c r="BO419" s="14"/>
      <c r="BP419" s="14"/>
      <c r="BQ419" s="14"/>
      <c r="BR419" s="14"/>
      <c r="BS419" s="14"/>
      <c r="BT419" s="14"/>
      <c r="BU419" s="14"/>
      <c r="BV419" s="14"/>
      <c r="BW419" s="14"/>
      <c r="BX419" s="14"/>
      <c r="BY419" s="14"/>
      <c r="BZ419" s="14"/>
      <c r="CA419" s="14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</row>
    <row r="420" spans="1:101" ht="14.25" customHeight="1" x14ac:dyDescent="0.2">
      <c r="A420" s="328"/>
      <c r="B420" s="52">
        <v>0.15122067927684563</v>
      </c>
      <c r="C420" s="330">
        <v>0.3067528014938502</v>
      </c>
      <c r="D420" s="330">
        <v>2.1693037167214491E-2</v>
      </c>
      <c r="E420" s="330">
        <v>1.8828475101450914E-2</v>
      </c>
      <c r="F420" s="331">
        <v>0.80528023903487955</v>
      </c>
      <c r="G420" s="94">
        <v>0.35806425143512638</v>
      </c>
      <c r="H420" s="330">
        <v>0.26170058310338257</v>
      </c>
      <c r="I420" s="330">
        <v>1.8139686780468844E-2</v>
      </c>
      <c r="J420" s="330">
        <v>0.99999730764651007</v>
      </c>
      <c r="K420" s="330">
        <v>0.74478794668347725</v>
      </c>
      <c r="L420" s="332">
        <v>10290.456706344945</v>
      </c>
      <c r="M420" s="330">
        <v>0</v>
      </c>
      <c r="N420" s="330">
        <v>19272.047886050517</v>
      </c>
      <c r="O420" s="330">
        <v>1228.9203166837513</v>
      </c>
      <c r="P420" s="330">
        <v>37747.223314355753</v>
      </c>
      <c r="Q420" s="333">
        <v>129627.28566758461</v>
      </c>
      <c r="R420" s="330">
        <v>21432.386173371317</v>
      </c>
      <c r="S420" s="330">
        <v>12442.124611054725</v>
      </c>
      <c r="T420" s="332">
        <v>0.91773236988697371</v>
      </c>
      <c r="U420" s="330">
        <v>0.99999117723635811</v>
      </c>
      <c r="V420" s="330">
        <v>0.99988808353346648</v>
      </c>
      <c r="W420" s="330">
        <v>0.99998630445261316</v>
      </c>
      <c r="X420" s="330">
        <v>0.44893474878416706</v>
      </c>
      <c r="Y420" s="330">
        <v>0</v>
      </c>
      <c r="Z420" s="331">
        <v>0</v>
      </c>
      <c r="AA420" s="235"/>
      <c r="AB420" s="52">
        <v>119419.70994888661</v>
      </c>
      <c r="AC420" s="330">
        <v>2.1845648948201948</v>
      </c>
      <c r="AD420" s="330">
        <v>103110.51762717517</v>
      </c>
      <c r="AE420" s="330">
        <v>2.1979611846671046</v>
      </c>
      <c r="AF420" s="330">
        <v>16309.192321711438</v>
      </c>
      <c r="AG420" s="331">
        <v>-1.339628984690977E-2</v>
      </c>
      <c r="AH420" s="235"/>
      <c r="AI420" s="208">
        <f t="shared" si="46"/>
        <v>1955916.9401302985</v>
      </c>
      <c r="AJ420" s="208">
        <f t="shared" si="47"/>
        <v>1984952.6078065741</v>
      </c>
      <c r="AK420" s="208">
        <f t="shared" si="48"/>
        <v>-29035.66767627572</v>
      </c>
      <c r="AL420" s="235"/>
      <c r="AM420" s="52">
        <f t="shared" si="30"/>
        <v>0</v>
      </c>
      <c r="AN420" s="52">
        <f t="shared" si="31"/>
        <v>1</v>
      </c>
      <c r="AO420" s="52">
        <f t="shared" si="32"/>
        <v>0</v>
      </c>
      <c r="AP420" s="235"/>
      <c r="AQ420" s="3"/>
      <c r="AR420" s="3"/>
      <c r="AS420" s="3"/>
      <c r="AT420" s="3"/>
      <c r="AU420" s="235"/>
      <c r="AV420" s="360">
        <f t="shared" si="49"/>
        <v>1984952.6078065741</v>
      </c>
      <c r="AW420" s="235"/>
      <c r="AX420" s="354"/>
      <c r="AY420" s="14"/>
      <c r="AZ420" s="14">
        <f t="shared" si="51"/>
        <v>16309.192321711438</v>
      </c>
      <c r="BA420" s="14">
        <f t="shared" si="50"/>
        <v>-1.339628984690977E-2</v>
      </c>
      <c r="BB420" s="14">
        <f t="shared" si="33"/>
        <v>-1217440.9861304704</v>
      </c>
      <c r="BC420" s="14"/>
      <c r="BD420" s="14"/>
      <c r="BE420" s="14"/>
      <c r="BF420" s="14"/>
      <c r="BG420" s="14"/>
      <c r="BH420" s="14"/>
      <c r="BI420" s="14"/>
      <c r="BJ420" s="14"/>
      <c r="BK420" s="14"/>
      <c r="BL420" s="14"/>
      <c r="BM420" s="14"/>
      <c r="BN420" s="14"/>
      <c r="BO420" s="14"/>
      <c r="BP420" s="14"/>
      <c r="BQ420" s="14"/>
      <c r="BR420" s="14"/>
      <c r="BS420" s="14"/>
      <c r="BT420" s="14"/>
      <c r="BU420" s="14"/>
      <c r="BV420" s="14"/>
      <c r="BW420" s="14"/>
      <c r="BX420" s="14"/>
      <c r="BY420" s="14"/>
      <c r="BZ420" s="14"/>
      <c r="CA420" s="14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</row>
    <row r="421" spans="1:101" ht="14.25" customHeight="1" x14ac:dyDescent="0.2">
      <c r="A421" s="328"/>
      <c r="B421" s="52">
        <v>0.19984565224334405</v>
      </c>
      <c r="C421" s="330">
        <v>0.16896620292035458</v>
      </c>
      <c r="D421" s="330">
        <v>3.5761388836500596E-2</v>
      </c>
      <c r="E421" s="330">
        <v>2.2353460142598092E-2</v>
      </c>
      <c r="F421" s="331">
        <v>0.73899544126684935</v>
      </c>
      <c r="G421" s="94">
        <v>0.40832055254911792</v>
      </c>
      <c r="H421" s="330">
        <v>0.74967296122172378</v>
      </c>
      <c r="I421" s="330">
        <v>1.9226246269314906E-2</v>
      </c>
      <c r="J421" s="330">
        <v>0.97483120699690551</v>
      </c>
      <c r="K421" s="330">
        <v>0.81073598137149638</v>
      </c>
      <c r="L421" s="332">
        <v>10853.412201353147</v>
      </c>
      <c r="M421" s="330">
        <v>0</v>
      </c>
      <c r="N421" s="330">
        <v>19229.380293821294</v>
      </c>
      <c r="O421" s="330">
        <v>1445.8766417119168</v>
      </c>
      <c r="P421" s="330">
        <v>40604.482984698909</v>
      </c>
      <c r="Q421" s="333">
        <v>93726.548543798723</v>
      </c>
      <c r="R421" s="330">
        <v>33027.195458183836</v>
      </c>
      <c r="S421" s="330">
        <v>8786.1323969936366</v>
      </c>
      <c r="T421" s="332">
        <v>0.99951204709288755</v>
      </c>
      <c r="U421" s="330">
        <v>0.99978997992016949</v>
      </c>
      <c r="V421" s="330">
        <v>0.99986622476734799</v>
      </c>
      <c r="W421" s="330">
        <v>0.60591610102546878</v>
      </c>
      <c r="X421" s="330">
        <v>0.87407424192398242</v>
      </c>
      <c r="Y421" s="330">
        <v>0</v>
      </c>
      <c r="Z421" s="331">
        <v>0</v>
      </c>
      <c r="AA421" s="235"/>
      <c r="AB421" s="52">
        <v>82613.9367335141</v>
      </c>
      <c r="AC421" s="330">
        <v>4.4265509709652697</v>
      </c>
      <c r="AD421" s="330">
        <v>88184.434921647087</v>
      </c>
      <c r="AE421" s="330">
        <v>4.6694066957453995</v>
      </c>
      <c r="AF421" s="330">
        <v>-5570.4981881329877</v>
      </c>
      <c r="AG421" s="331">
        <v>-0.24285572478012973</v>
      </c>
      <c r="AH421" s="235"/>
      <c r="AI421" s="208">
        <f t="shared" si="46"/>
        <v>4122609.4856834924</v>
      </c>
      <c r="AJ421" s="208">
        <f t="shared" si="47"/>
        <v>4347751.9260364817</v>
      </c>
      <c r="AK421" s="208">
        <f t="shared" si="48"/>
        <v>-225142.44035299023</v>
      </c>
      <c r="AL421" s="235"/>
      <c r="AM421" s="52">
        <f t="shared" si="30"/>
        <v>0</v>
      </c>
      <c r="AN421" s="52">
        <f t="shared" si="31"/>
        <v>1</v>
      </c>
      <c r="AO421" s="52">
        <f t="shared" si="32"/>
        <v>0</v>
      </c>
      <c r="AP421" s="235"/>
      <c r="AQ421" s="3"/>
      <c r="AR421" s="3"/>
      <c r="AS421" s="3"/>
      <c r="AT421" s="3"/>
      <c r="AU421" s="235"/>
      <c r="AV421" s="360">
        <f t="shared" si="49"/>
        <v>4347751.9260364817</v>
      </c>
      <c r="AW421" s="235"/>
      <c r="AX421" s="354"/>
      <c r="AY421" s="14"/>
      <c r="AZ421" s="14">
        <f t="shared" si="51"/>
        <v>-5570.4981881329877</v>
      </c>
      <c r="BA421" s="14">
        <f t="shared" si="50"/>
        <v>-0.24285572478012973</v>
      </c>
      <c r="BB421" s="14">
        <f t="shared" si="33"/>
        <v>22937.479415715883</v>
      </c>
      <c r="BC421" s="14"/>
      <c r="BD421" s="14"/>
      <c r="BE421" s="14"/>
      <c r="BF421" s="14"/>
      <c r="BG421" s="14"/>
      <c r="BH421" s="14"/>
      <c r="BI421" s="14"/>
      <c r="BJ421" s="14"/>
      <c r="BK421" s="14"/>
      <c r="BL421" s="14"/>
      <c r="BM421" s="14"/>
      <c r="BN421" s="14"/>
      <c r="BO421" s="14"/>
      <c r="BP421" s="14"/>
      <c r="BQ421" s="14"/>
      <c r="BR421" s="14"/>
      <c r="BS421" s="14"/>
      <c r="BT421" s="14"/>
      <c r="BU421" s="14"/>
      <c r="BV421" s="14"/>
      <c r="BW421" s="14"/>
      <c r="BX421" s="14"/>
      <c r="BY421" s="14"/>
      <c r="BZ421" s="14"/>
      <c r="CA421" s="14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</row>
    <row r="422" spans="1:101" ht="14.25" customHeight="1" x14ac:dyDescent="0.2">
      <c r="A422" s="328"/>
      <c r="B422" s="52">
        <v>0.17548260319081388</v>
      </c>
      <c r="C422" s="330">
        <v>0.35122740113475126</v>
      </c>
      <c r="D422" s="330">
        <v>3.3268793492633342E-2</v>
      </c>
      <c r="E422" s="330">
        <v>6.5466204182757018E-3</v>
      </c>
      <c r="F422" s="331">
        <v>0.79916058583140348</v>
      </c>
      <c r="G422" s="94">
        <v>0.34019755631295201</v>
      </c>
      <c r="H422" s="330">
        <v>0.41100979768176993</v>
      </c>
      <c r="I422" s="330">
        <v>1.3383377366866395E-2</v>
      </c>
      <c r="J422" s="330">
        <v>1</v>
      </c>
      <c r="K422" s="330">
        <v>0.76257785736968375</v>
      </c>
      <c r="L422" s="332">
        <v>9395.5187397156842</v>
      </c>
      <c r="M422" s="330">
        <v>0</v>
      </c>
      <c r="N422" s="330">
        <v>19634.741802305707</v>
      </c>
      <c r="O422" s="330">
        <v>1146.2121157568886</v>
      </c>
      <c r="P422" s="330">
        <v>47785.240059148462</v>
      </c>
      <c r="Q422" s="333">
        <v>97986.071890452833</v>
      </c>
      <c r="R422" s="330">
        <v>16465.446388192708</v>
      </c>
      <c r="S422" s="330">
        <v>9079.7676239911707</v>
      </c>
      <c r="T422" s="332">
        <v>0.98571138555383686</v>
      </c>
      <c r="U422" s="330">
        <v>0.69547711624007713</v>
      </c>
      <c r="V422" s="330">
        <v>0.99505585019522491</v>
      </c>
      <c r="W422" s="330">
        <v>0.99994064142237526</v>
      </c>
      <c r="X422" s="330">
        <v>4.9432690957447199E-2</v>
      </c>
      <c r="Y422" s="330">
        <v>0</v>
      </c>
      <c r="Z422" s="331">
        <v>0</v>
      </c>
      <c r="AA422" s="235"/>
      <c r="AB422" s="52">
        <v>89054.002943160929</v>
      </c>
      <c r="AC422" s="330">
        <v>0.34148107874819927</v>
      </c>
      <c r="AD422" s="330">
        <v>77744.187102673037</v>
      </c>
      <c r="AE422" s="330">
        <v>0.2412948314816582</v>
      </c>
      <c r="AF422" s="330">
        <v>11309.815840487892</v>
      </c>
      <c r="AG422" s="331">
        <v>0.10018624726654107</v>
      </c>
      <c r="AH422" s="235"/>
      <c r="AI422" s="208">
        <f t="shared" si="46"/>
        <v>235353.02186762838</v>
      </c>
      <c r="AJ422" s="208">
        <f t="shared" si="47"/>
        <v>151485.90280490223</v>
      </c>
      <c r="AK422" s="208">
        <f t="shared" si="48"/>
        <v>83867.119062726124</v>
      </c>
      <c r="AL422" s="235"/>
      <c r="AM422" s="52">
        <f t="shared" si="30"/>
        <v>1</v>
      </c>
      <c r="AN422" s="52">
        <f t="shared" si="31"/>
        <v>0</v>
      </c>
      <c r="AO422" s="52">
        <f t="shared" si="32"/>
        <v>1</v>
      </c>
      <c r="AP422" s="235"/>
      <c r="AQ422" s="3"/>
      <c r="AR422" s="3"/>
      <c r="AS422" s="3"/>
      <c r="AT422" s="3"/>
      <c r="AU422" s="235"/>
      <c r="AV422" s="360">
        <f t="shared" si="49"/>
        <v>235353.02186762838</v>
      </c>
      <c r="AW422" s="235"/>
      <c r="AX422" s="354"/>
      <c r="AY422" s="14"/>
      <c r="AZ422" s="14">
        <f t="shared" si="51"/>
        <v>11309.815840487892</v>
      </c>
      <c r="BA422" s="14">
        <f t="shared" si="50"/>
        <v>0.10018624726654107</v>
      </c>
      <c r="BB422" s="14">
        <f t="shared" si="33"/>
        <v>112887.90776241601</v>
      </c>
      <c r="BC422" s="14"/>
      <c r="BD422" s="14"/>
      <c r="BE422" s="14"/>
      <c r="BF422" s="14"/>
      <c r="BG422" s="14"/>
      <c r="BH422" s="14"/>
      <c r="BI422" s="14"/>
      <c r="BJ422" s="14"/>
      <c r="BK422" s="14"/>
      <c r="BL422" s="14"/>
      <c r="BM422" s="14"/>
      <c r="BN422" s="14"/>
      <c r="BO422" s="14"/>
      <c r="BP422" s="14"/>
      <c r="BQ422" s="14"/>
      <c r="BR422" s="14"/>
      <c r="BS422" s="14"/>
      <c r="BT422" s="14"/>
      <c r="BU422" s="14"/>
      <c r="BV422" s="14"/>
      <c r="BW422" s="14"/>
      <c r="BX422" s="14"/>
      <c r="BY422" s="14"/>
      <c r="BZ422" s="14"/>
      <c r="CA422" s="14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</row>
    <row r="423" spans="1:101" ht="14.25" customHeight="1" x14ac:dyDescent="0.2">
      <c r="A423" s="328"/>
      <c r="B423" s="52">
        <v>0.18115174074855001</v>
      </c>
      <c r="C423" s="330">
        <v>0.96996938145556055</v>
      </c>
      <c r="D423" s="330">
        <v>3.1584601549095814E-2</v>
      </c>
      <c r="E423" s="330">
        <v>2.2415837106415482E-2</v>
      </c>
      <c r="F423" s="331">
        <v>0.7605088430528153</v>
      </c>
      <c r="G423" s="94">
        <v>0.39481285367608021</v>
      </c>
      <c r="H423" s="330">
        <v>6.4006977716286162E-2</v>
      </c>
      <c r="I423" s="330">
        <v>2.5085085030540411E-2</v>
      </c>
      <c r="J423" s="330">
        <v>0.99999999968110465</v>
      </c>
      <c r="K423" s="330">
        <v>0.75662968736889047</v>
      </c>
      <c r="L423" s="332">
        <v>12934.685087340034</v>
      </c>
      <c r="M423" s="330">
        <v>0</v>
      </c>
      <c r="N423" s="330">
        <v>13204.883897884833</v>
      </c>
      <c r="O423" s="330">
        <v>827.95969179243309</v>
      </c>
      <c r="P423" s="330">
        <v>36986.865460053988</v>
      </c>
      <c r="Q423" s="333">
        <v>91057.27787429672</v>
      </c>
      <c r="R423" s="330">
        <v>15280.928653854755</v>
      </c>
      <c r="S423" s="330">
        <v>6167.5601698260898</v>
      </c>
      <c r="T423" s="332">
        <v>0.99801410391989109</v>
      </c>
      <c r="U423" s="330">
        <v>0.99044104679759659</v>
      </c>
      <c r="V423" s="330">
        <v>0.45881650060445339</v>
      </c>
      <c r="W423" s="330">
        <v>0.96694913245992287</v>
      </c>
      <c r="X423" s="330">
        <v>0.98500691775213622</v>
      </c>
      <c r="Y423" s="330">
        <v>0</v>
      </c>
      <c r="Z423" s="331">
        <v>0</v>
      </c>
      <c r="AA423" s="235"/>
      <c r="AB423" s="52">
        <v>66631.808754557205</v>
      </c>
      <c r="AC423" s="330">
        <v>4.6791328218147985</v>
      </c>
      <c r="AD423" s="330">
        <v>52327.002755760448</v>
      </c>
      <c r="AE423" s="330">
        <v>4.7597129271481844</v>
      </c>
      <c r="AF423" s="330">
        <v>14304.805998796757</v>
      </c>
      <c r="AG423" s="331">
        <v>-8.0580105333385887E-2</v>
      </c>
      <c r="AH423" s="235"/>
      <c r="AI423" s="208">
        <f t="shared" si="46"/>
        <v>4378544.3719695015</v>
      </c>
      <c r="AJ423" s="208">
        <f t="shared" si="47"/>
        <v>4469400.2780350149</v>
      </c>
      <c r="AK423" s="208">
        <f t="shared" si="48"/>
        <v>-90855.906065513351</v>
      </c>
      <c r="AL423" s="235"/>
      <c r="AM423" s="52">
        <f t="shared" si="30"/>
        <v>0</v>
      </c>
      <c r="AN423" s="52">
        <f t="shared" si="31"/>
        <v>1</v>
      </c>
      <c r="AO423" s="52">
        <f t="shared" si="32"/>
        <v>0</v>
      </c>
      <c r="AP423" s="235"/>
      <c r="AQ423" s="3"/>
      <c r="AR423" s="3"/>
      <c r="AS423" s="3"/>
      <c r="AT423" s="3"/>
      <c r="AU423" s="235"/>
      <c r="AV423" s="360">
        <f t="shared" si="49"/>
        <v>4469400.2780350149</v>
      </c>
      <c r="AW423" s="235"/>
      <c r="AX423" s="354"/>
      <c r="AY423" s="14"/>
      <c r="AZ423" s="14">
        <f t="shared" si="51"/>
        <v>14304.805998796757</v>
      </c>
      <c r="BA423" s="14">
        <f t="shared" si="50"/>
        <v>-8.0580105333385887E-2</v>
      </c>
      <c r="BB423" s="14">
        <f t="shared" si="33"/>
        <v>-177522.80093967562</v>
      </c>
      <c r="BC423" s="14"/>
      <c r="BD423" s="14"/>
      <c r="BE423" s="14"/>
      <c r="BF423" s="14"/>
      <c r="BG423" s="14"/>
      <c r="BH423" s="14"/>
      <c r="BI423" s="14"/>
      <c r="BJ423" s="14"/>
      <c r="BK423" s="14"/>
      <c r="BL423" s="14"/>
      <c r="BM423" s="14"/>
      <c r="BN423" s="14"/>
      <c r="BO423" s="14"/>
      <c r="BP423" s="14"/>
      <c r="BQ423" s="14"/>
      <c r="BR423" s="14"/>
      <c r="BS423" s="14"/>
      <c r="BT423" s="14"/>
      <c r="BU423" s="14"/>
      <c r="BV423" s="14"/>
      <c r="BW423" s="14"/>
      <c r="BX423" s="14"/>
      <c r="BY423" s="14"/>
      <c r="BZ423" s="14"/>
      <c r="CA423" s="14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</row>
    <row r="424" spans="1:101" ht="14.25" customHeight="1" x14ac:dyDescent="0.2">
      <c r="A424" s="328"/>
      <c r="B424" s="52">
        <v>0.14799725467006486</v>
      </c>
      <c r="C424" s="330">
        <v>1.5764495082069035E-4</v>
      </c>
      <c r="D424" s="330">
        <v>1.794723785357677E-2</v>
      </c>
      <c r="E424" s="330">
        <v>1.8974343494273294E-2</v>
      </c>
      <c r="F424" s="331">
        <v>0.79844077214657605</v>
      </c>
      <c r="G424" s="94">
        <v>0.37455869922851959</v>
      </c>
      <c r="H424" s="330">
        <v>0.65295681118503068</v>
      </c>
      <c r="I424" s="330">
        <v>7.7104088462022682E-3</v>
      </c>
      <c r="J424" s="330">
        <v>0.9815098078652984</v>
      </c>
      <c r="K424" s="330">
        <v>0.78220712291460892</v>
      </c>
      <c r="L424" s="332">
        <v>15182.357407360712</v>
      </c>
      <c r="M424" s="330">
        <v>0</v>
      </c>
      <c r="N424" s="330">
        <v>19725.042206205784</v>
      </c>
      <c r="O424" s="330">
        <v>1172.8625725214299</v>
      </c>
      <c r="P424" s="330">
        <v>48718.288264274634</v>
      </c>
      <c r="Q424" s="333">
        <v>123171.47508707982</v>
      </c>
      <c r="R424" s="330">
        <v>22720.548882143448</v>
      </c>
      <c r="S424" s="330">
        <v>9489.5844346899084</v>
      </c>
      <c r="T424" s="332">
        <v>0.98546033358397878</v>
      </c>
      <c r="U424" s="330">
        <v>0.9825462825928597</v>
      </c>
      <c r="V424" s="330">
        <v>0.96562298255113621</v>
      </c>
      <c r="W424" s="330">
        <v>0.99981606300297332</v>
      </c>
      <c r="X424" s="330">
        <v>0.99936271207669214</v>
      </c>
      <c r="Y424" s="330">
        <v>0</v>
      </c>
      <c r="Z424" s="331">
        <v>0</v>
      </c>
      <c r="AA424" s="235"/>
      <c r="AB424" s="52">
        <v>96996.234658828122</v>
      </c>
      <c r="AC424" s="330">
        <v>4.8745789486808819</v>
      </c>
      <c r="AD424" s="330">
        <v>86158.983416087038</v>
      </c>
      <c r="AE424" s="330">
        <v>4.8457940147299929</v>
      </c>
      <c r="AF424" s="330">
        <v>10837.251242741084</v>
      </c>
      <c r="AG424" s="331">
        <v>2.8784933950888991E-2</v>
      </c>
      <c r="AH424" s="235"/>
      <c r="AI424" s="208">
        <f t="shared" si="46"/>
        <v>4533853.7665880099</v>
      </c>
      <c r="AJ424" s="208">
        <f t="shared" si="47"/>
        <v>4517345.3305774061</v>
      </c>
      <c r="AK424" s="208">
        <f t="shared" si="48"/>
        <v>16508.436010603458</v>
      </c>
      <c r="AL424" s="235"/>
      <c r="AM424" s="52">
        <f t="shared" si="30"/>
        <v>1</v>
      </c>
      <c r="AN424" s="52">
        <f t="shared" si="31"/>
        <v>0</v>
      </c>
      <c r="AO424" s="52">
        <f t="shared" si="32"/>
        <v>1</v>
      </c>
      <c r="AP424" s="235"/>
      <c r="AQ424" s="3"/>
      <c r="AR424" s="3"/>
      <c r="AS424" s="3"/>
      <c r="AT424" s="3"/>
      <c r="AU424" s="235"/>
      <c r="AV424" s="360">
        <f t="shared" si="49"/>
        <v>4533853.7665880099</v>
      </c>
      <c r="AW424" s="235"/>
      <c r="AX424" s="354"/>
      <c r="AY424" s="14"/>
      <c r="AZ424" s="14">
        <f t="shared" si="51"/>
        <v>10837.251242741084</v>
      </c>
      <c r="BA424" s="14">
        <f t="shared" si="50"/>
        <v>2.8784933950888991E-2</v>
      </c>
      <c r="BB424" s="14">
        <f t="shared" si="33"/>
        <v>376490.39811002894</v>
      </c>
      <c r="BC424" s="14"/>
      <c r="BD424" s="14"/>
      <c r="BE424" s="14"/>
      <c r="BF424" s="14"/>
      <c r="BG424" s="14"/>
      <c r="BH424" s="14"/>
      <c r="BI424" s="14"/>
      <c r="BJ424" s="14"/>
      <c r="BK424" s="14"/>
      <c r="BL424" s="14"/>
      <c r="BM424" s="14"/>
      <c r="BN424" s="14"/>
      <c r="BO424" s="14"/>
      <c r="BP424" s="14"/>
      <c r="BQ424" s="14"/>
      <c r="BR424" s="14"/>
      <c r="BS424" s="14"/>
      <c r="BT424" s="14"/>
      <c r="BU424" s="14"/>
      <c r="BV424" s="14"/>
      <c r="BW424" s="14"/>
      <c r="BX424" s="14"/>
      <c r="BY424" s="14"/>
      <c r="BZ424" s="14"/>
      <c r="CA424" s="14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</row>
    <row r="425" spans="1:101" ht="14.25" customHeight="1" x14ac:dyDescent="0.2">
      <c r="A425" s="328"/>
      <c r="B425" s="52">
        <v>0.14073714165784282</v>
      </c>
      <c r="C425" s="330">
        <v>0.33661063624660026</v>
      </c>
      <c r="D425" s="330">
        <v>8.7561788198917134E-3</v>
      </c>
      <c r="E425" s="330">
        <v>1.1696672064274124E-2</v>
      </c>
      <c r="F425" s="331">
        <v>0.81739744094329281</v>
      </c>
      <c r="G425" s="94">
        <v>0.40433614062370726</v>
      </c>
      <c r="H425" s="330">
        <v>0.71162684888259731</v>
      </c>
      <c r="I425" s="330">
        <v>8.7547625696717379E-3</v>
      </c>
      <c r="J425" s="330">
        <v>0.99999885088362184</v>
      </c>
      <c r="K425" s="330">
        <v>0.75670262730111237</v>
      </c>
      <c r="L425" s="332">
        <v>14015.685219011984</v>
      </c>
      <c r="M425" s="330">
        <v>0</v>
      </c>
      <c r="N425" s="330">
        <v>24741.148449428831</v>
      </c>
      <c r="O425" s="330">
        <v>1031.6467026010405</v>
      </c>
      <c r="P425" s="330">
        <v>50159.731109030283</v>
      </c>
      <c r="Q425" s="333">
        <v>106937.799605757</v>
      </c>
      <c r="R425" s="330">
        <v>26834.581783603611</v>
      </c>
      <c r="S425" s="330">
        <v>6823.6186557465771</v>
      </c>
      <c r="T425" s="332">
        <v>0.14222130045198988</v>
      </c>
      <c r="U425" s="330">
        <v>0.93256176644062494</v>
      </c>
      <c r="V425" s="330">
        <v>0.64867555358388562</v>
      </c>
      <c r="W425" s="330">
        <v>0.99202794041055642</v>
      </c>
      <c r="X425" s="330">
        <v>0.92907114373460598</v>
      </c>
      <c r="Y425" s="330">
        <v>0</v>
      </c>
      <c r="Z425" s="331">
        <v>0</v>
      </c>
      <c r="AA425" s="235"/>
      <c r="AB425" s="52">
        <v>75419.594627229148</v>
      </c>
      <c r="AC425" s="330">
        <v>4.5994150311924056</v>
      </c>
      <c r="AD425" s="330">
        <v>64156.658637343782</v>
      </c>
      <c r="AE425" s="330">
        <v>4.511726662738381</v>
      </c>
      <c r="AF425" s="330">
        <v>11262.935989885365</v>
      </c>
      <c r="AG425" s="331">
        <v>8.7688368454024612E-2</v>
      </c>
      <c r="AH425" s="235"/>
      <c r="AI425" s="208">
        <f t="shared" si="46"/>
        <v>4294024.6850055559</v>
      </c>
      <c r="AJ425" s="208">
        <f t="shared" si="47"/>
        <v>4221983.6709641181</v>
      </c>
      <c r="AK425" s="208">
        <f t="shared" si="48"/>
        <v>72041.014041438029</v>
      </c>
      <c r="AL425" s="235"/>
      <c r="AM425" s="52">
        <f t="shared" si="30"/>
        <v>1</v>
      </c>
      <c r="AN425" s="52">
        <f t="shared" si="31"/>
        <v>0</v>
      </c>
      <c r="AO425" s="52">
        <f t="shared" si="32"/>
        <v>1</v>
      </c>
      <c r="AP425" s="235"/>
      <c r="AQ425" s="3"/>
      <c r="AR425" s="3"/>
      <c r="AS425" s="3"/>
      <c r="AT425" s="3"/>
      <c r="AU425" s="235"/>
      <c r="AV425" s="360">
        <f t="shared" si="49"/>
        <v>4294024.6850055559</v>
      </c>
      <c r="AW425" s="235"/>
      <c r="AX425" s="354"/>
      <c r="AY425" s="14"/>
      <c r="AZ425" s="14">
        <f t="shared" si="51"/>
        <v>11262.935989885365</v>
      </c>
      <c r="BA425" s="14">
        <f t="shared" si="50"/>
        <v>8.7688368454024612E-2</v>
      </c>
      <c r="BB425" s="14">
        <f t="shared" si="33"/>
        <v>128442.75915329148</v>
      </c>
      <c r="BC425" s="14"/>
      <c r="BD425" s="14"/>
      <c r="BE425" s="14"/>
      <c r="BF425" s="14"/>
      <c r="BG425" s="14"/>
      <c r="BH425" s="14"/>
      <c r="BI425" s="14"/>
      <c r="BJ425" s="14"/>
      <c r="BK425" s="14"/>
      <c r="BL425" s="14"/>
      <c r="BM425" s="14"/>
      <c r="BN425" s="14"/>
      <c r="BO425" s="14"/>
      <c r="BP425" s="14"/>
      <c r="BQ425" s="14"/>
      <c r="BR425" s="14"/>
      <c r="BS425" s="14"/>
      <c r="BT425" s="14"/>
      <c r="BU425" s="14"/>
      <c r="BV425" s="14"/>
      <c r="BW425" s="14"/>
      <c r="BX425" s="14"/>
      <c r="BY425" s="14"/>
      <c r="BZ425" s="14"/>
      <c r="CA425" s="14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</row>
    <row r="426" spans="1:101" ht="14.25" customHeight="1" x14ac:dyDescent="0.2">
      <c r="A426" s="328"/>
      <c r="B426" s="52">
        <v>0.1582057870019532</v>
      </c>
      <c r="C426" s="330">
        <v>0.10925349248530883</v>
      </c>
      <c r="D426" s="330">
        <v>9.535627728149601E-3</v>
      </c>
      <c r="E426" s="330">
        <v>2.0782931063825449E-2</v>
      </c>
      <c r="F426" s="331">
        <v>0.79974921049965086</v>
      </c>
      <c r="G426" s="94">
        <v>0.44354317359790396</v>
      </c>
      <c r="H426" s="330">
        <v>0.51002342712371718</v>
      </c>
      <c r="I426" s="330">
        <v>3.057328628776379E-2</v>
      </c>
      <c r="J426" s="330">
        <v>0.99991526266525155</v>
      </c>
      <c r="K426" s="330">
        <v>0.81265347085152051</v>
      </c>
      <c r="L426" s="332">
        <v>15038.578984386475</v>
      </c>
      <c r="M426" s="330">
        <v>0</v>
      </c>
      <c r="N426" s="330">
        <v>22308.660613319349</v>
      </c>
      <c r="O426" s="330">
        <v>1605.7195813112294</v>
      </c>
      <c r="P426" s="330">
        <v>45799.837822271897</v>
      </c>
      <c r="Q426" s="333">
        <v>104163.9917026655</v>
      </c>
      <c r="R426" s="330">
        <v>27314.171750511967</v>
      </c>
      <c r="S426" s="330">
        <v>12637.344125501248</v>
      </c>
      <c r="T426" s="332">
        <v>0.98753324357631334</v>
      </c>
      <c r="U426" s="330">
        <v>0.99896630705888922</v>
      </c>
      <c r="V426" s="330">
        <v>0.35451201295043994</v>
      </c>
      <c r="W426" s="330">
        <v>0.37462793208085232</v>
      </c>
      <c r="X426" s="330">
        <v>0.53303640064134605</v>
      </c>
      <c r="Y426" s="330">
        <v>0</v>
      </c>
      <c r="Z426" s="331">
        <v>0</v>
      </c>
      <c r="AA426" s="235"/>
      <c r="AB426" s="52">
        <v>124381.40153882868</v>
      </c>
      <c r="AC426" s="330">
        <v>2.6425173449151793</v>
      </c>
      <c r="AD426" s="330">
        <v>119286.14005925006</v>
      </c>
      <c r="AE426" s="330">
        <v>2.7097481896573972</v>
      </c>
      <c r="AF426" s="330">
        <v>5095.2614795786212</v>
      </c>
      <c r="AG426" s="331">
        <v>-6.7230844742217855E-2</v>
      </c>
      <c r="AH426" s="235"/>
      <c r="AI426" s="208">
        <f t="shared" si="46"/>
        <v>2386010.0761305913</v>
      </c>
      <c r="AJ426" s="208">
        <f t="shared" si="47"/>
        <v>2454974.6401152774</v>
      </c>
      <c r="AK426" s="208">
        <f t="shared" si="48"/>
        <v>-68964.563984685577</v>
      </c>
      <c r="AL426" s="235"/>
      <c r="AM426" s="52">
        <f t="shared" si="30"/>
        <v>0</v>
      </c>
      <c r="AN426" s="52">
        <f t="shared" si="31"/>
        <v>1</v>
      </c>
      <c r="AO426" s="52">
        <f t="shared" si="32"/>
        <v>0</v>
      </c>
      <c r="AP426" s="235"/>
      <c r="AQ426" s="3"/>
      <c r="AR426" s="3"/>
      <c r="AS426" s="3"/>
      <c r="AT426" s="3"/>
      <c r="AU426" s="235"/>
      <c r="AV426" s="360">
        <f t="shared" si="49"/>
        <v>2454974.6401152774</v>
      </c>
      <c r="AW426" s="235"/>
      <c r="AX426" s="354"/>
      <c r="AY426" s="14"/>
      <c r="AZ426" s="14">
        <f t="shared" si="51"/>
        <v>5095.2614795786212</v>
      </c>
      <c r="BA426" s="14">
        <f t="shared" si="50"/>
        <v>-6.7230844742217855E-2</v>
      </c>
      <c r="BB426" s="14">
        <f t="shared" si="33"/>
        <v>-75787.557022603243</v>
      </c>
      <c r="BC426" s="14"/>
      <c r="BD426" s="14"/>
      <c r="BE426" s="14"/>
      <c r="BF426" s="14"/>
      <c r="BG426" s="14"/>
      <c r="BH426" s="14"/>
      <c r="BI426" s="14"/>
      <c r="BJ426" s="14"/>
      <c r="BK426" s="14"/>
      <c r="BL426" s="14"/>
      <c r="BM426" s="14"/>
      <c r="BN426" s="14"/>
      <c r="BO426" s="14"/>
      <c r="BP426" s="14"/>
      <c r="BQ426" s="14"/>
      <c r="BR426" s="14"/>
      <c r="BS426" s="14"/>
      <c r="BT426" s="14"/>
      <c r="BU426" s="14"/>
      <c r="BV426" s="14"/>
      <c r="BW426" s="14"/>
      <c r="BX426" s="14"/>
      <c r="BY426" s="14"/>
      <c r="BZ426" s="14"/>
      <c r="CA426" s="14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</row>
    <row r="427" spans="1:101" ht="14.25" customHeight="1" x14ac:dyDescent="0.2">
      <c r="A427" s="328"/>
      <c r="B427" s="52">
        <v>0.20205618926992419</v>
      </c>
      <c r="C427" s="330">
        <v>0.22804743280096634</v>
      </c>
      <c r="D427" s="330">
        <v>1.9042512402181133E-2</v>
      </c>
      <c r="E427" s="330">
        <v>1.2817670358823611E-2</v>
      </c>
      <c r="F427" s="331">
        <v>0.77553199369816628</v>
      </c>
      <c r="G427" s="94">
        <v>0.3947746306195466</v>
      </c>
      <c r="H427" s="330">
        <v>0.95438644565346054</v>
      </c>
      <c r="I427" s="330">
        <v>2.9207917268875061E-2</v>
      </c>
      <c r="J427" s="330">
        <v>0.99935911770381436</v>
      </c>
      <c r="K427" s="330">
        <v>0.71666812320653617</v>
      </c>
      <c r="L427" s="332">
        <v>9981.6578204529487</v>
      </c>
      <c r="M427" s="330">
        <v>0</v>
      </c>
      <c r="N427" s="330">
        <v>24138.564998778344</v>
      </c>
      <c r="O427" s="330">
        <v>974.69480149533786</v>
      </c>
      <c r="P427" s="330">
        <v>48852.104988378363</v>
      </c>
      <c r="Q427" s="333">
        <v>99611.810909466469</v>
      </c>
      <c r="R427" s="330">
        <v>24807.204152224229</v>
      </c>
      <c r="S427" s="330">
        <v>9459.7143680512781</v>
      </c>
      <c r="T427" s="332">
        <v>0.99760088285033066</v>
      </c>
      <c r="U427" s="330">
        <v>0.92027876242181295</v>
      </c>
      <c r="V427" s="330">
        <v>0.97169355484285036</v>
      </c>
      <c r="W427" s="330">
        <v>0.90869539438446634</v>
      </c>
      <c r="X427" s="330">
        <v>0.9961518416439743</v>
      </c>
      <c r="Y427" s="330">
        <v>0</v>
      </c>
      <c r="Z427" s="331">
        <v>0</v>
      </c>
      <c r="AA427" s="235"/>
      <c r="AB427" s="52">
        <v>90436.200555551797</v>
      </c>
      <c r="AC427" s="330">
        <v>5.0423451375830739</v>
      </c>
      <c r="AD427" s="330">
        <v>84265.355393365957</v>
      </c>
      <c r="AE427" s="330">
        <v>4.3657681553636429</v>
      </c>
      <c r="AF427" s="330">
        <v>6170.8451621858403</v>
      </c>
      <c r="AG427" s="331">
        <v>0.67657698221943097</v>
      </c>
      <c r="AH427" s="235"/>
      <c r="AI427" s="208">
        <f t="shared" si="46"/>
        <v>4699791.6801483687</v>
      </c>
      <c r="AJ427" s="208">
        <f t="shared" si="47"/>
        <v>4063214.3922020947</v>
      </c>
      <c r="AK427" s="208">
        <f t="shared" si="48"/>
        <v>636577.28794627357</v>
      </c>
      <c r="AL427" s="235"/>
      <c r="AM427" s="52">
        <f t="shared" si="30"/>
        <v>1</v>
      </c>
      <c r="AN427" s="52">
        <f t="shared" si="31"/>
        <v>0</v>
      </c>
      <c r="AO427" s="52">
        <f t="shared" si="32"/>
        <v>1</v>
      </c>
      <c r="AP427" s="235"/>
      <c r="AQ427" s="3"/>
      <c r="AR427" s="3"/>
      <c r="AS427" s="3"/>
      <c r="AT427" s="3"/>
      <c r="AU427" s="235"/>
      <c r="AV427" s="360">
        <f t="shared" si="49"/>
        <v>4699791.6801483687</v>
      </c>
      <c r="AW427" s="235"/>
      <c r="AX427" s="354"/>
      <c r="AY427" s="14"/>
      <c r="AZ427" s="14">
        <f t="shared" si="51"/>
        <v>6170.8451621858403</v>
      </c>
      <c r="BA427" s="14">
        <f t="shared" si="50"/>
        <v>0.67657698221943097</v>
      </c>
      <c r="BB427" s="14">
        <f t="shared" si="33"/>
        <v>9120.6844518167181</v>
      </c>
      <c r="BC427" s="14"/>
      <c r="BD427" s="14"/>
      <c r="BE427" s="14"/>
      <c r="BF427" s="14"/>
      <c r="BG427" s="14"/>
      <c r="BH427" s="14"/>
      <c r="BI427" s="14"/>
      <c r="BJ427" s="14"/>
      <c r="BK427" s="14"/>
      <c r="BL427" s="14"/>
      <c r="BM427" s="14"/>
      <c r="BN427" s="14"/>
      <c r="BO427" s="14"/>
      <c r="BP427" s="14"/>
      <c r="BQ427" s="14"/>
      <c r="BR427" s="14"/>
      <c r="BS427" s="14"/>
      <c r="BT427" s="14"/>
      <c r="BU427" s="14"/>
      <c r="BV427" s="14"/>
      <c r="BW427" s="14"/>
      <c r="BX427" s="14"/>
      <c r="BY427" s="14"/>
      <c r="BZ427" s="14"/>
      <c r="CA427" s="14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</row>
    <row r="428" spans="1:101" ht="14.25" customHeight="1" x14ac:dyDescent="0.2">
      <c r="A428" s="328"/>
      <c r="B428" s="52">
        <v>0.16441923447889906</v>
      </c>
      <c r="C428" s="330">
        <v>0.59836893227759824</v>
      </c>
      <c r="D428" s="330">
        <v>2.4154155977768155E-2</v>
      </c>
      <c r="E428" s="330">
        <v>1.9472011332323902E-2</v>
      </c>
      <c r="F428" s="331">
        <v>0.810123746802483</v>
      </c>
      <c r="G428" s="94">
        <v>0.3955998224328553</v>
      </c>
      <c r="H428" s="330">
        <v>0.33878607044327591</v>
      </c>
      <c r="I428" s="330">
        <v>1.8552967145392785E-2</v>
      </c>
      <c r="J428" s="330">
        <v>0.99998848642874727</v>
      </c>
      <c r="K428" s="330">
        <v>0.7738186326501989</v>
      </c>
      <c r="L428" s="332">
        <v>13574.240428023852</v>
      </c>
      <c r="M428" s="330">
        <v>0</v>
      </c>
      <c r="N428" s="330">
        <v>19769.29256347895</v>
      </c>
      <c r="O428" s="330">
        <v>1596.9232389150957</v>
      </c>
      <c r="P428" s="330">
        <v>39309.415293641592</v>
      </c>
      <c r="Q428" s="333">
        <v>101646.47693039081</v>
      </c>
      <c r="R428" s="330">
        <v>30786.921847608606</v>
      </c>
      <c r="S428" s="330">
        <v>9053.988649857567</v>
      </c>
      <c r="T428" s="332">
        <v>5.8282910746617601E-2</v>
      </c>
      <c r="U428" s="330">
        <v>9.30272126860274E-2</v>
      </c>
      <c r="V428" s="330">
        <v>0.3451889288155221</v>
      </c>
      <c r="W428" s="330">
        <v>0.92793804344916042</v>
      </c>
      <c r="X428" s="330">
        <v>0.90077817763377699</v>
      </c>
      <c r="Y428" s="330">
        <v>0</v>
      </c>
      <c r="Z428" s="331">
        <v>0</v>
      </c>
      <c r="AA428" s="235"/>
      <c r="AB428" s="52">
        <v>95985.959116579717</v>
      </c>
      <c r="AC428" s="330">
        <v>4.4085075291233098</v>
      </c>
      <c r="AD428" s="330">
        <v>81180.785124785689</v>
      </c>
      <c r="AE428" s="330">
        <v>4.2177307919670861</v>
      </c>
      <c r="AF428" s="330">
        <v>14805.173991794029</v>
      </c>
      <c r="AG428" s="331">
        <v>0.19077673715622367</v>
      </c>
      <c r="AH428" s="235"/>
      <c r="AI428" s="208">
        <f t="shared" si="46"/>
        <v>4092096.1935505648</v>
      </c>
      <c r="AJ428" s="208">
        <f t="shared" si="47"/>
        <v>3925663.4672439462</v>
      </c>
      <c r="AK428" s="208">
        <f t="shared" si="48"/>
        <v>166432.72630661845</v>
      </c>
      <c r="AL428" s="235"/>
      <c r="AM428" s="52">
        <f t="shared" si="30"/>
        <v>1</v>
      </c>
      <c r="AN428" s="52">
        <f t="shared" si="31"/>
        <v>0</v>
      </c>
      <c r="AO428" s="52">
        <f t="shared" si="32"/>
        <v>1</v>
      </c>
      <c r="AP428" s="235"/>
      <c r="AQ428" s="3"/>
      <c r="AR428" s="3"/>
      <c r="AS428" s="3"/>
      <c r="AT428" s="3"/>
      <c r="AU428" s="235"/>
      <c r="AV428" s="360">
        <f t="shared" si="49"/>
        <v>4092096.1935505648</v>
      </c>
      <c r="AW428" s="235"/>
      <c r="AX428" s="354"/>
      <c r="AY428" s="14"/>
      <c r="AZ428" s="14">
        <f t="shared" si="51"/>
        <v>14805.173991794029</v>
      </c>
      <c r="BA428" s="14">
        <f t="shared" si="50"/>
        <v>0.19077673715622367</v>
      </c>
      <c r="BB428" s="14">
        <f t="shared" si="33"/>
        <v>77604.713302494187</v>
      </c>
      <c r="BC428" s="14"/>
      <c r="BD428" s="14"/>
      <c r="BE428" s="14"/>
      <c r="BF428" s="14"/>
      <c r="BG428" s="14"/>
      <c r="BH428" s="14"/>
      <c r="BI428" s="14"/>
      <c r="BJ428" s="14"/>
      <c r="BK428" s="14"/>
      <c r="BL428" s="14"/>
      <c r="BM428" s="14"/>
      <c r="BN428" s="14"/>
      <c r="BO428" s="14"/>
      <c r="BP428" s="14"/>
      <c r="BQ428" s="14"/>
      <c r="BR428" s="14"/>
      <c r="BS428" s="14"/>
      <c r="BT428" s="14"/>
      <c r="BU428" s="14"/>
      <c r="BV428" s="14"/>
      <c r="BW428" s="14"/>
      <c r="BX428" s="14"/>
      <c r="BY428" s="14"/>
      <c r="BZ428" s="14"/>
      <c r="CA428" s="14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</row>
    <row r="429" spans="1:101" ht="14.25" customHeight="1" x14ac:dyDescent="0.2">
      <c r="A429" s="328"/>
      <c r="B429" s="52">
        <v>0.15432068878152036</v>
      </c>
      <c r="C429" s="330">
        <v>0.41792480616982153</v>
      </c>
      <c r="D429" s="330">
        <v>1.3173855818997302E-2</v>
      </c>
      <c r="E429" s="330">
        <v>2.1507050949587936E-2</v>
      </c>
      <c r="F429" s="331">
        <v>0.805211502709411</v>
      </c>
      <c r="G429" s="94">
        <v>0.41990068973057237</v>
      </c>
      <c r="H429" s="330">
        <v>0.74289744188459084</v>
      </c>
      <c r="I429" s="330">
        <v>1.2593179594919202E-2</v>
      </c>
      <c r="J429" s="330">
        <v>0.37054069055026689</v>
      </c>
      <c r="K429" s="330">
        <v>0.72272482851277786</v>
      </c>
      <c r="L429" s="332">
        <v>9623.8601307644258</v>
      </c>
      <c r="M429" s="330">
        <v>0</v>
      </c>
      <c r="N429" s="330">
        <v>21981.87660934871</v>
      </c>
      <c r="O429" s="330">
        <v>1605.867864648455</v>
      </c>
      <c r="P429" s="330">
        <v>51077.277956928352</v>
      </c>
      <c r="Q429" s="333">
        <v>81711.130011460671</v>
      </c>
      <c r="R429" s="330">
        <v>26244.06010429134</v>
      </c>
      <c r="S429" s="330">
        <v>7855.0959315885948</v>
      </c>
      <c r="T429" s="332">
        <v>0.97056610161305779</v>
      </c>
      <c r="U429" s="330">
        <v>0.99900745724038031</v>
      </c>
      <c r="V429" s="330">
        <v>0.65504923640258761</v>
      </c>
      <c r="W429" s="330">
        <v>0.29728428640424764</v>
      </c>
      <c r="X429" s="330">
        <v>0.59128281945841332</v>
      </c>
      <c r="Y429" s="330">
        <v>0</v>
      </c>
      <c r="Z429" s="331">
        <v>0</v>
      </c>
      <c r="AA429" s="235"/>
      <c r="AB429" s="52">
        <v>79608.771595606871</v>
      </c>
      <c r="AC429" s="330">
        <v>3.0895609814769927</v>
      </c>
      <c r="AD429" s="330">
        <v>70313.072742726901</v>
      </c>
      <c r="AE429" s="330">
        <v>2.9653997562840484</v>
      </c>
      <c r="AF429" s="330">
        <v>9295.6988528799702</v>
      </c>
      <c r="AG429" s="331">
        <v>0.12416122519294426</v>
      </c>
      <c r="AH429" s="235"/>
      <c r="AI429" s="208">
        <f t="shared" si="46"/>
        <v>2855474.160807536</v>
      </c>
      <c r="AJ429" s="208">
        <f t="shared" si="47"/>
        <v>2746816.6957271188</v>
      </c>
      <c r="AK429" s="208">
        <f t="shared" si="48"/>
        <v>108657.46508041708</v>
      </c>
      <c r="AL429" s="235"/>
      <c r="AM429" s="52">
        <f t="shared" si="30"/>
        <v>1</v>
      </c>
      <c r="AN429" s="52">
        <f t="shared" si="31"/>
        <v>0</v>
      </c>
      <c r="AO429" s="52">
        <f t="shared" si="32"/>
        <v>1</v>
      </c>
      <c r="AP429" s="235"/>
      <c r="AQ429" s="3"/>
      <c r="AR429" s="3"/>
      <c r="AS429" s="3"/>
      <c r="AT429" s="3"/>
      <c r="AU429" s="235"/>
      <c r="AV429" s="360">
        <f t="shared" si="49"/>
        <v>2855474.160807536</v>
      </c>
      <c r="AW429" s="235"/>
      <c r="AX429" s="354"/>
      <c r="AY429" s="14"/>
      <c r="AZ429" s="14">
        <f t="shared" si="51"/>
        <v>9295.6988528799702</v>
      </c>
      <c r="BA429" s="14">
        <f t="shared" si="50"/>
        <v>0.12416122519294426</v>
      </c>
      <c r="BB429" s="14">
        <f t="shared" si="33"/>
        <v>74867.96975814813</v>
      </c>
      <c r="BC429" s="14"/>
      <c r="BD429" s="14"/>
      <c r="BE429" s="14"/>
      <c r="BF429" s="14"/>
      <c r="BG429" s="14"/>
      <c r="BH429" s="14"/>
      <c r="BI429" s="14"/>
      <c r="BJ429" s="14"/>
      <c r="BK429" s="14"/>
      <c r="BL429" s="14"/>
      <c r="BM429" s="14"/>
      <c r="BN429" s="14"/>
      <c r="BO429" s="14"/>
      <c r="BP429" s="14"/>
      <c r="BQ429" s="14"/>
      <c r="BR429" s="14"/>
      <c r="BS429" s="14"/>
      <c r="BT429" s="14"/>
      <c r="BU429" s="14"/>
      <c r="BV429" s="14"/>
      <c r="BW429" s="14"/>
      <c r="BX429" s="14"/>
      <c r="BY429" s="14"/>
      <c r="BZ429" s="14"/>
      <c r="CA429" s="14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</row>
    <row r="430" spans="1:101" ht="14.25" customHeight="1" x14ac:dyDescent="0.2">
      <c r="A430" s="328"/>
      <c r="B430" s="52">
        <v>0.14724715701591315</v>
      </c>
      <c r="C430" s="330">
        <v>5.3858686318126479E-2</v>
      </c>
      <c r="D430" s="330">
        <v>5.9720079091385549E-3</v>
      </c>
      <c r="E430" s="330">
        <v>9.5834393990512287E-3</v>
      </c>
      <c r="F430" s="331">
        <v>0.76624615362271209</v>
      </c>
      <c r="G430" s="94">
        <v>0.34570911639773472</v>
      </c>
      <c r="H430" s="330">
        <v>0.76320055015959543</v>
      </c>
      <c r="I430" s="330">
        <v>1.1568010353214815E-2</v>
      </c>
      <c r="J430" s="330">
        <v>0.99999999999999978</v>
      </c>
      <c r="K430" s="330">
        <v>0.72531258106377183</v>
      </c>
      <c r="L430" s="332">
        <v>12962.101492628552</v>
      </c>
      <c r="M430" s="330">
        <v>0</v>
      </c>
      <c r="N430" s="330">
        <v>14991.132706629505</v>
      </c>
      <c r="O430" s="330">
        <v>1306.4455855393085</v>
      </c>
      <c r="P430" s="330">
        <v>57068.753393726947</v>
      </c>
      <c r="Q430" s="333">
        <v>126538.86402882221</v>
      </c>
      <c r="R430" s="330">
        <v>28212.748314062512</v>
      </c>
      <c r="S430" s="330">
        <v>7800.2069998513143</v>
      </c>
      <c r="T430" s="332">
        <v>0.36786430431532091</v>
      </c>
      <c r="U430" s="330">
        <v>0.93136209106460632</v>
      </c>
      <c r="V430" s="330">
        <v>0.58704145613404823</v>
      </c>
      <c r="W430" s="330">
        <v>0.94940186421144857</v>
      </c>
      <c r="X430" s="330">
        <v>0.87890067655186688</v>
      </c>
      <c r="Y430" s="330">
        <v>0</v>
      </c>
      <c r="Z430" s="331">
        <v>0</v>
      </c>
      <c r="AA430" s="235"/>
      <c r="AB430" s="52">
        <v>77629.36148004522</v>
      </c>
      <c r="AC430" s="330">
        <v>4.0904894564642076</v>
      </c>
      <c r="AD430" s="330">
        <v>69322.538103844883</v>
      </c>
      <c r="AE430" s="330">
        <v>4.21962987824707</v>
      </c>
      <c r="AF430" s="330">
        <v>8306.8233762003365</v>
      </c>
      <c r="AG430" s="331">
        <v>-0.12914042178286245</v>
      </c>
      <c r="AH430" s="235"/>
      <c r="AI430" s="208">
        <f t="shared" si="46"/>
        <v>3808335.6221609521</v>
      </c>
      <c r="AJ430" s="208">
        <f t="shared" si="47"/>
        <v>3939325.8462308715</v>
      </c>
      <c r="AK430" s="208">
        <f t="shared" si="48"/>
        <v>-130990.22406991966</v>
      </c>
      <c r="AL430" s="235"/>
      <c r="AM430" s="52">
        <f t="shared" si="30"/>
        <v>0</v>
      </c>
      <c r="AN430" s="52">
        <f t="shared" si="31"/>
        <v>1</v>
      </c>
      <c r="AO430" s="52">
        <f t="shared" si="32"/>
        <v>0</v>
      </c>
      <c r="AP430" s="235"/>
      <c r="AQ430" s="3"/>
      <c r="AR430" s="3"/>
      <c r="AS430" s="3"/>
      <c r="AT430" s="3"/>
      <c r="AU430" s="235"/>
      <c r="AV430" s="360">
        <f t="shared" si="49"/>
        <v>3939325.8462308715</v>
      </c>
      <c r="AW430" s="235"/>
      <c r="AX430" s="354"/>
      <c r="AY430" s="14"/>
      <c r="AZ430" s="14">
        <f t="shared" si="51"/>
        <v>8306.8233762003365</v>
      </c>
      <c r="BA430" s="14">
        <f t="shared" si="50"/>
        <v>-0.12914042178286245</v>
      </c>
      <c r="BB430" s="14">
        <f t="shared" si="33"/>
        <v>-64323.960395355403</v>
      </c>
      <c r="BC430" s="14"/>
      <c r="BD430" s="14"/>
      <c r="BE430" s="14"/>
      <c r="BF430" s="14"/>
      <c r="BG430" s="14"/>
      <c r="BH430" s="14"/>
      <c r="BI430" s="14"/>
      <c r="BJ430" s="14"/>
      <c r="BK430" s="14"/>
      <c r="BL430" s="14"/>
      <c r="BM430" s="14"/>
      <c r="BN430" s="14"/>
      <c r="BO430" s="14"/>
      <c r="BP430" s="14"/>
      <c r="BQ430" s="14"/>
      <c r="BR430" s="14"/>
      <c r="BS430" s="14"/>
      <c r="BT430" s="14"/>
      <c r="BU430" s="14"/>
      <c r="BV430" s="14"/>
      <c r="BW430" s="14"/>
      <c r="BX430" s="14"/>
      <c r="BY430" s="14"/>
      <c r="BZ430" s="14"/>
      <c r="CA430" s="14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</row>
    <row r="431" spans="1:101" ht="14.25" customHeight="1" x14ac:dyDescent="0.2">
      <c r="A431" s="328"/>
      <c r="B431" s="52">
        <v>0.1671898162579184</v>
      </c>
      <c r="C431" s="330">
        <v>0.61218979296534015</v>
      </c>
      <c r="D431" s="330">
        <v>1.9892676657604191E-2</v>
      </c>
      <c r="E431" s="330">
        <v>7.559651934743907E-3</v>
      </c>
      <c r="F431" s="331">
        <v>0.81880360080508852</v>
      </c>
      <c r="G431" s="94">
        <v>0.36418675342991969</v>
      </c>
      <c r="H431" s="330">
        <v>8.3176444363403712E-2</v>
      </c>
      <c r="I431" s="330">
        <v>1.4749645322676266E-2</v>
      </c>
      <c r="J431" s="330">
        <v>1</v>
      </c>
      <c r="K431" s="330">
        <v>0.67935716984328554</v>
      </c>
      <c r="L431" s="332">
        <v>13449.314685485746</v>
      </c>
      <c r="M431" s="330">
        <v>0</v>
      </c>
      <c r="N431" s="330">
        <v>21744.619967462153</v>
      </c>
      <c r="O431" s="330">
        <v>1589.8234029440307</v>
      </c>
      <c r="P431" s="330">
        <v>62527.575189347917</v>
      </c>
      <c r="Q431" s="333">
        <v>85057.587589907722</v>
      </c>
      <c r="R431" s="330">
        <v>23804.962040953102</v>
      </c>
      <c r="S431" s="330">
        <v>9871.3816529442229</v>
      </c>
      <c r="T431" s="332">
        <v>0.37983804060894411</v>
      </c>
      <c r="U431" s="330">
        <v>0.93197851089276518</v>
      </c>
      <c r="V431" s="330">
        <v>0.98378647900364768</v>
      </c>
      <c r="W431" s="330">
        <v>0.51211791440191279</v>
      </c>
      <c r="X431" s="330">
        <v>0.18243043637384934</v>
      </c>
      <c r="Y431" s="330">
        <v>0</v>
      </c>
      <c r="Z431" s="331">
        <v>0</v>
      </c>
      <c r="AA431" s="235"/>
      <c r="AB431" s="52">
        <v>103174.17600272005</v>
      </c>
      <c r="AC431" s="330">
        <v>1.1417163603142169</v>
      </c>
      <c r="AD431" s="330">
        <v>74243.026345256992</v>
      </c>
      <c r="AE431" s="330">
        <v>0.8344936088263718</v>
      </c>
      <c r="AF431" s="330">
        <v>28931.149657463058</v>
      </c>
      <c r="AG431" s="331">
        <v>0.30722275148784506</v>
      </c>
      <c r="AH431" s="235"/>
      <c r="AI431" s="208">
        <f t="shared" si="46"/>
        <v>981456.36629578599</v>
      </c>
      <c r="AJ431" s="208">
        <f t="shared" si="47"/>
        <v>718525.90203979623</v>
      </c>
      <c r="AK431" s="208">
        <f t="shared" si="48"/>
        <v>262930.4642559897</v>
      </c>
      <c r="AL431" s="235"/>
      <c r="AM431" s="52">
        <f t="shared" si="30"/>
        <v>1</v>
      </c>
      <c r="AN431" s="52">
        <f t="shared" si="31"/>
        <v>0</v>
      </c>
      <c r="AO431" s="52">
        <f t="shared" si="32"/>
        <v>1</v>
      </c>
      <c r="AP431" s="235"/>
      <c r="AQ431" s="3"/>
      <c r="AR431" s="3"/>
      <c r="AS431" s="3"/>
      <c r="AT431" s="3"/>
      <c r="AU431" s="235"/>
      <c r="AV431" s="360">
        <f t="shared" si="49"/>
        <v>981456.36629578599</v>
      </c>
      <c r="AW431" s="235"/>
      <c r="AX431" s="354"/>
      <c r="AY431" s="14"/>
      <c r="AZ431" s="14">
        <f t="shared" si="51"/>
        <v>28931.149657463058</v>
      </c>
      <c r="BA431" s="14">
        <f t="shared" si="50"/>
        <v>0.30722275148784506</v>
      </c>
      <c r="BB431" s="14">
        <f t="shared" si="33"/>
        <v>94169.945153322042</v>
      </c>
      <c r="BC431" s="14"/>
      <c r="BD431" s="14"/>
      <c r="BE431" s="14"/>
      <c r="BF431" s="14"/>
      <c r="BG431" s="14"/>
      <c r="BH431" s="14"/>
      <c r="BI431" s="14"/>
      <c r="BJ431" s="14"/>
      <c r="BK431" s="14"/>
      <c r="BL431" s="14"/>
      <c r="BM431" s="14"/>
      <c r="BN431" s="14"/>
      <c r="BO431" s="14"/>
      <c r="BP431" s="14"/>
      <c r="BQ431" s="14"/>
      <c r="BR431" s="14"/>
      <c r="BS431" s="14"/>
      <c r="BT431" s="14"/>
      <c r="BU431" s="14"/>
      <c r="BV431" s="14"/>
      <c r="BW431" s="14"/>
      <c r="BX431" s="14"/>
      <c r="BY431" s="14"/>
      <c r="BZ431" s="14"/>
      <c r="CA431" s="14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</row>
    <row r="432" spans="1:101" ht="14.25" customHeight="1" x14ac:dyDescent="0.2">
      <c r="A432" s="328"/>
      <c r="B432" s="52">
        <v>0.17357683904650056</v>
      </c>
      <c r="C432" s="330">
        <v>0.29323950949826305</v>
      </c>
      <c r="D432" s="330">
        <v>1.1094608570130768E-2</v>
      </c>
      <c r="E432" s="330">
        <v>1.234481347178577E-2</v>
      </c>
      <c r="F432" s="331">
        <v>0.78211566501889562</v>
      </c>
      <c r="G432" s="94">
        <v>0.40046653108033647</v>
      </c>
      <c r="H432" s="330">
        <v>0.98037337453035245</v>
      </c>
      <c r="I432" s="330">
        <v>1.9599154709227573E-2</v>
      </c>
      <c r="J432" s="330">
        <v>0.63102833556144189</v>
      </c>
      <c r="K432" s="330">
        <v>0.74512498060465859</v>
      </c>
      <c r="L432" s="332">
        <v>15938.677631159399</v>
      </c>
      <c r="M432" s="330">
        <v>0</v>
      </c>
      <c r="N432" s="330">
        <v>20722.926213238468</v>
      </c>
      <c r="O432" s="330">
        <v>1371.4032402539265</v>
      </c>
      <c r="P432" s="330">
        <v>53414.674394524358</v>
      </c>
      <c r="Q432" s="333">
        <v>125079.00843997694</v>
      </c>
      <c r="R432" s="330">
        <v>23308.063839706385</v>
      </c>
      <c r="S432" s="330">
        <v>9478.9625487246503</v>
      </c>
      <c r="T432" s="332">
        <v>0.74105531075512265</v>
      </c>
      <c r="U432" s="330">
        <v>0.55344210791633552</v>
      </c>
      <c r="V432" s="330">
        <v>0.62712206900235345</v>
      </c>
      <c r="W432" s="330">
        <v>0.57971137374396242</v>
      </c>
      <c r="X432" s="330">
        <v>0.99836014157209552</v>
      </c>
      <c r="Y432" s="330">
        <v>0</v>
      </c>
      <c r="Z432" s="331">
        <v>0</v>
      </c>
      <c r="AA432" s="235"/>
      <c r="AB432" s="52">
        <v>97163.2679444651</v>
      </c>
      <c r="AC432" s="330">
        <v>4.7466255510020359</v>
      </c>
      <c r="AD432" s="330">
        <v>86718.122966065057</v>
      </c>
      <c r="AE432" s="330">
        <v>4.526036977511839</v>
      </c>
      <c r="AF432" s="330">
        <v>10445.144978400043</v>
      </c>
      <c r="AG432" s="331">
        <v>0.22058857349019689</v>
      </c>
      <c r="AH432" s="235"/>
      <c r="AI432" s="208">
        <f t="shared" si="46"/>
        <v>4412131.0055074682</v>
      </c>
      <c r="AJ432" s="208">
        <f t="shared" si="47"/>
        <v>4213017.0056701824</v>
      </c>
      <c r="AK432" s="208">
        <f t="shared" si="48"/>
        <v>199113.999837287</v>
      </c>
      <c r="AL432" s="235"/>
      <c r="AM432" s="52">
        <f t="shared" si="30"/>
        <v>1</v>
      </c>
      <c r="AN432" s="52">
        <f t="shared" si="31"/>
        <v>0</v>
      </c>
      <c r="AO432" s="52">
        <f t="shared" si="32"/>
        <v>1</v>
      </c>
      <c r="AP432" s="235"/>
      <c r="AQ432" s="3"/>
      <c r="AR432" s="3"/>
      <c r="AS432" s="3"/>
      <c r="AT432" s="3"/>
      <c r="AU432" s="235"/>
      <c r="AV432" s="360">
        <f t="shared" si="49"/>
        <v>4412131.0055074682</v>
      </c>
      <c r="AW432" s="235"/>
      <c r="AX432" s="354"/>
      <c r="AY432" s="14"/>
      <c r="AZ432" s="14">
        <f t="shared" si="51"/>
        <v>10445.144978400043</v>
      </c>
      <c r="BA432" s="14">
        <f t="shared" si="50"/>
        <v>0.22058857349019689</v>
      </c>
      <c r="BB432" s="14">
        <f t="shared" si="33"/>
        <v>47351.25130524602</v>
      </c>
      <c r="BC432" s="14"/>
      <c r="BD432" s="14"/>
      <c r="BE432" s="14"/>
      <c r="BF432" s="14"/>
      <c r="BG432" s="14"/>
      <c r="BH432" s="14"/>
      <c r="BI432" s="14"/>
      <c r="BJ432" s="14"/>
      <c r="BK432" s="14"/>
      <c r="BL432" s="14"/>
      <c r="BM432" s="14"/>
      <c r="BN432" s="14"/>
      <c r="BO432" s="14"/>
      <c r="BP432" s="14"/>
      <c r="BQ432" s="14"/>
      <c r="BR432" s="14"/>
      <c r="BS432" s="14"/>
      <c r="BT432" s="14"/>
      <c r="BU432" s="14"/>
      <c r="BV432" s="14"/>
      <c r="BW432" s="14"/>
      <c r="BX432" s="14"/>
      <c r="BY432" s="14"/>
      <c r="BZ432" s="14"/>
      <c r="CA432" s="14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</row>
    <row r="433" spans="1:101" ht="14.25" customHeight="1" x14ac:dyDescent="0.2">
      <c r="A433" s="328"/>
      <c r="B433" s="52">
        <v>0.15440096328717282</v>
      </c>
      <c r="C433" s="330">
        <v>0.77479982001592962</v>
      </c>
      <c r="D433" s="330">
        <v>1.5502562835160383E-2</v>
      </c>
      <c r="E433" s="330">
        <v>9.8262586461262316E-3</v>
      </c>
      <c r="F433" s="331">
        <v>0.82740031290117722</v>
      </c>
      <c r="G433" s="94">
        <v>0.36172228353786345</v>
      </c>
      <c r="H433" s="330">
        <v>0.12508646260511044</v>
      </c>
      <c r="I433" s="330">
        <v>8.3298709519987364E-3</v>
      </c>
      <c r="J433" s="330">
        <v>0.99999999823299657</v>
      </c>
      <c r="K433" s="330">
        <v>0.73430417409807713</v>
      </c>
      <c r="L433" s="332">
        <v>16040.035947865284</v>
      </c>
      <c r="M433" s="330">
        <v>0</v>
      </c>
      <c r="N433" s="330">
        <v>18185.541757693354</v>
      </c>
      <c r="O433" s="330">
        <v>962.2967151566703</v>
      </c>
      <c r="P433" s="330">
        <v>53083.799094426853</v>
      </c>
      <c r="Q433" s="333">
        <v>86795.567309092788</v>
      </c>
      <c r="R433" s="330">
        <v>22467.463353145151</v>
      </c>
      <c r="S433" s="330">
        <v>11352.367162133716</v>
      </c>
      <c r="T433" s="332">
        <v>0.9692672312429147</v>
      </c>
      <c r="U433" s="330">
        <v>0.84759746647033452</v>
      </c>
      <c r="V433" s="330">
        <v>0.77476338139347234</v>
      </c>
      <c r="W433" s="330">
        <v>0.99834812099879966</v>
      </c>
      <c r="X433" s="330">
        <v>0.99298484713627233</v>
      </c>
      <c r="Y433" s="330">
        <v>0</v>
      </c>
      <c r="Z433" s="331">
        <v>0</v>
      </c>
      <c r="AA433" s="235"/>
      <c r="AB433" s="52">
        <v>119883.76734215673</v>
      </c>
      <c r="AC433" s="330">
        <v>5.3875112012733135</v>
      </c>
      <c r="AD433" s="330">
        <v>91341.424506551368</v>
      </c>
      <c r="AE433" s="330">
        <v>4.5000864710653738</v>
      </c>
      <c r="AF433" s="330">
        <v>28542.342835605363</v>
      </c>
      <c r="AG433" s="331">
        <v>0.88742473020793966</v>
      </c>
      <c r="AH433" s="235"/>
      <c r="AI433" s="208">
        <f t="shared" si="46"/>
        <v>4998251.8738674913</v>
      </c>
      <c r="AJ433" s="208">
        <f t="shared" si="47"/>
        <v>4183740.7230055537</v>
      </c>
      <c r="AK433" s="208">
        <f t="shared" si="48"/>
        <v>814511.15086193732</v>
      </c>
      <c r="AL433" s="235"/>
      <c r="AM433" s="52">
        <f t="shared" si="30"/>
        <v>1</v>
      </c>
      <c r="AN433" s="52">
        <f t="shared" si="31"/>
        <v>0</v>
      </c>
      <c r="AO433" s="52">
        <f t="shared" si="32"/>
        <v>1</v>
      </c>
      <c r="AP433" s="235"/>
      <c r="AQ433" s="3"/>
      <c r="AR433" s="3"/>
      <c r="AS433" s="3"/>
      <c r="AT433" s="3"/>
      <c r="AU433" s="235"/>
      <c r="AV433" s="360">
        <f t="shared" si="49"/>
        <v>4998251.8738674913</v>
      </c>
      <c r="AW433" s="235"/>
      <c r="AX433" s="354"/>
      <c r="AY433" s="14"/>
      <c r="AZ433" s="14">
        <f t="shared" si="51"/>
        <v>28542.342835605363</v>
      </c>
      <c r="BA433" s="14">
        <f t="shared" si="50"/>
        <v>0.88742473020793966</v>
      </c>
      <c r="BB433" s="14">
        <f t="shared" si="33"/>
        <v>32163.114080579406</v>
      </c>
      <c r="BC433" s="14"/>
      <c r="BD433" s="14"/>
      <c r="BE433" s="14"/>
      <c r="BF433" s="14"/>
      <c r="BG433" s="14"/>
      <c r="BH433" s="14"/>
      <c r="BI433" s="14"/>
      <c r="BJ433" s="14"/>
      <c r="BK433" s="14"/>
      <c r="BL433" s="14"/>
      <c r="BM433" s="14"/>
      <c r="BN433" s="14"/>
      <c r="BO433" s="14"/>
      <c r="BP433" s="14"/>
      <c r="BQ433" s="14"/>
      <c r="BR433" s="14"/>
      <c r="BS433" s="14"/>
      <c r="BT433" s="14"/>
      <c r="BU433" s="14"/>
      <c r="BV433" s="14"/>
      <c r="BW433" s="14"/>
      <c r="BX433" s="14"/>
      <c r="BY433" s="14"/>
      <c r="BZ433" s="14"/>
      <c r="CA433" s="14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</row>
    <row r="434" spans="1:101" ht="14.25" customHeight="1" x14ac:dyDescent="0.2">
      <c r="A434" s="328"/>
      <c r="B434" s="52">
        <v>0.16016656813178787</v>
      </c>
      <c r="C434" s="330">
        <v>0.31272773855995128</v>
      </c>
      <c r="D434" s="330">
        <v>1.046137159120694E-2</v>
      </c>
      <c r="E434" s="330">
        <v>2.3131897294179415E-2</v>
      </c>
      <c r="F434" s="331">
        <v>0.78989819376302384</v>
      </c>
      <c r="G434" s="94">
        <v>0.37280365329819926</v>
      </c>
      <c r="H434" s="330">
        <v>0.8624613236897658</v>
      </c>
      <c r="I434" s="330">
        <v>1.1113127473873054E-2</v>
      </c>
      <c r="J434" s="330">
        <v>3.1409338859264196E-2</v>
      </c>
      <c r="K434" s="330">
        <v>0.73403531626822993</v>
      </c>
      <c r="L434" s="332">
        <v>11763.98767050881</v>
      </c>
      <c r="M434" s="330">
        <v>0</v>
      </c>
      <c r="N434" s="330">
        <v>17594.070101313602</v>
      </c>
      <c r="O434" s="330">
        <v>1290.642440853286</v>
      </c>
      <c r="P434" s="330">
        <v>34565.087150283711</v>
      </c>
      <c r="Q434" s="333">
        <v>107323.06558330996</v>
      </c>
      <c r="R434" s="330">
        <v>24252.585794850918</v>
      </c>
      <c r="S434" s="330">
        <v>8132.6264510923666</v>
      </c>
      <c r="T434" s="332">
        <v>0.93951473661474605</v>
      </c>
      <c r="U434" s="330">
        <v>0.99962370772857911</v>
      </c>
      <c r="V434" s="330">
        <v>0.94823389419411452</v>
      </c>
      <c r="W434" s="330">
        <v>0.71908966397231644</v>
      </c>
      <c r="X434" s="330">
        <v>0.45559965360804899</v>
      </c>
      <c r="Y434" s="330">
        <v>0</v>
      </c>
      <c r="Z434" s="331">
        <v>0</v>
      </c>
      <c r="AA434" s="235"/>
      <c r="AB434" s="52">
        <v>82304.190207256746</v>
      </c>
      <c r="AC434" s="330">
        <v>2.280481149405674</v>
      </c>
      <c r="AD434" s="330">
        <v>72736.785374171552</v>
      </c>
      <c r="AE434" s="330">
        <v>2.3528840787143857</v>
      </c>
      <c r="AF434" s="330">
        <v>9567.4048330851947</v>
      </c>
      <c r="AG434" s="331">
        <v>-7.2402929308711617E-2</v>
      </c>
      <c r="AH434" s="235"/>
      <c r="AI434" s="208">
        <f t="shared" si="46"/>
        <v>2084152.9017281334</v>
      </c>
      <c r="AJ434" s="208">
        <f t="shared" si="47"/>
        <v>2162503.089404495</v>
      </c>
      <c r="AK434" s="208">
        <f t="shared" si="48"/>
        <v>-78350.187676361224</v>
      </c>
      <c r="AL434" s="235"/>
      <c r="AM434" s="52">
        <f t="shared" si="30"/>
        <v>0</v>
      </c>
      <c r="AN434" s="52">
        <f t="shared" si="31"/>
        <v>1</v>
      </c>
      <c r="AO434" s="52">
        <f t="shared" si="32"/>
        <v>0</v>
      </c>
      <c r="AP434" s="235"/>
      <c r="AQ434" s="3"/>
      <c r="AR434" s="3"/>
      <c r="AS434" s="3"/>
      <c r="AT434" s="3"/>
      <c r="AU434" s="235"/>
      <c r="AV434" s="360">
        <f t="shared" si="49"/>
        <v>2162503.089404495</v>
      </c>
      <c r="AW434" s="235"/>
      <c r="AX434" s="354"/>
      <c r="AY434" s="14"/>
      <c r="AZ434" s="14">
        <f t="shared" si="51"/>
        <v>9567.4048330851947</v>
      </c>
      <c r="BA434" s="14">
        <f t="shared" si="50"/>
        <v>-7.2402929308711617E-2</v>
      </c>
      <c r="BB434" s="14">
        <f t="shared" si="33"/>
        <v>-132141.12915641427</v>
      </c>
      <c r="BC434" s="14"/>
      <c r="BD434" s="14"/>
      <c r="BE434" s="14"/>
      <c r="BF434" s="14"/>
      <c r="BG434" s="14"/>
      <c r="BH434" s="14"/>
      <c r="BI434" s="14"/>
      <c r="BJ434" s="14"/>
      <c r="BK434" s="14"/>
      <c r="BL434" s="14"/>
      <c r="BM434" s="14"/>
      <c r="BN434" s="14"/>
      <c r="BO434" s="14"/>
      <c r="BP434" s="14"/>
      <c r="BQ434" s="14"/>
      <c r="BR434" s="14"/>
      <c r="BS434" s="14"/>
      <c r="BT434" s="14"/>
      <c r="BU434" s="14"/>
      <c r="BV434" s="14"/>
      <c r="BW434" s="14"/>
      <c r="BX434" s="14"/>
      <c r="BY434" s="14"/>
      <c r="BZ434" s="14"/>
      <c r="CA434" s="14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</row>
    <row r="435" spans="1:101" ht="14.25" customHeight="1" x14ac:dyDescent="0.2">
      <c r="A435" s="328"/>
      <c r="B435" s="52">
        <v>0.15712672725885996</v>
      </c>
      <c r="C435" s="330">
        <v>9.6752831993853275E-2</v>
      </c>
      <c r="D435" s="330">
        <v>1.0017446958184907E-2</v>
      </c>
      <c r="E435" s="330">
        <v>7.3637602692619829E-3</v>
      </c>
      <c r="F435" s="331">
        <v>0.79995086701591844</v>
      </c>
      <c r="G435" s="94">
        <v>0.37097134569108403</v>
      </c>
      <c r="H435" s="330">
        <v>0.39951597815976087</v>
      </c>
      <c r="I435" s="330">
        <v>1.7879279035994289E-2</v>
      </c>
      <c r="J435" s="330">
        <v>0.99994866604790633</v>
      </c>
      <c r="K435" s="330">
        <v>0.78018111072220231</v>
      </c>
      <c r="L435" s="332">
        <v>9987.4920569613951</v>
      </c>
      <c r="M435" s="330">
        <v>0</v>
      </c>
      <c r="N435" s="330">
        <v>18967.334306301571</v>
      </c>
      <c r="O435" s="330">
        <v>1329.1723294169797</v>
      </c>
      <c r="P435" s="330">
        <v>48913.492934981579</v>
      </c>
      <c r="Q435" s="333">
        <v>88377.262640880115</v>
      </c>
      <c r="R435" s="330">
        <v>20457.554552353344</v>
      </c>
      <c r="S435" s="330">
        <v>5945.5753406393014</v>
      </c>
      <c r="T435" s="332">
        <v>0.65902882068614099</v>
      </c>
      <c r="U435" s="330">
        <v>0.99770982343586878</v>
      </c>
      <c r="V435" s="330">
        <v>0.78742245444072834</v>
      </c>
      <c r="W435" s="330">
        <v>0.99148426944995371</v>
      </c>
      <c r="X435" s="330">
        <v>0.99951458833151707</v>
      </c>
      <c r="Y435" s="330">
        <v>0</v>
      </c>
      <c r="Z435" s="331">
        <v>0</v>
      </c>
      <c r="AA435" s="235"/>
      <c r="AB435" s="52">
        <v>61686.77935997695</v>
      </c>
      <c r="AC435" s="330">
        <v>4.8302974699784089</v>
      </c>
      <c r="AD435" s="330">
        <v>54298.550334008352</v>
      </c>
      <c r="AE435" s="330">
        <v>4.9095607196003499</v>
      </c>
      <c r="AF435" s="330">
        <v>7388.2290259685979</v>
      </c>
      <c r="AG435" s="331">
        <v>-7.9263249621940979E-2</v>
      </c>
      <c r="AH435" s="235"/>
      <c r="AI435" s="208">
        <f t="shared" si="46"/>
        <v>4527095.8171195118</v>
      </c>
      <c r="AJ435" s="208">
        <f t="shared" si="47"/>
        <v>4609784.1332863243</v>
      </c>
      <c r="AK435" s="208">
        <f t="shared" si="48"/>
        <v>-82688.316166812525</v>
      </c>
      <c r="AL435" s="235"/>
      <c r="AM435" s="52">
        <f t="shared" si="30"/>
        <v>0</v>
      </c>
      <c r="AN435" s="52">
        <f t="shared" si="31"/>
        <v>1</v>
      </c>
      <c r="AO435" s="52">
        <f t="shared" si="32"/>
        <v>0</v>
      </c>
      <c r="AP435" s="235"/>
      <c r="AQ435" s="3"/>
      <c r="AR435" s="3"/>
      <c r="AS435" s="3"/>
      <c r="AT435" s="3"/>
      <c r="AU435" s="235"/>
      <c r="AV435" s="360">
        <f t="shared" si="49"/>
        <v>4609784.1332863243</v>
      </c>
      <c r="AW435" s="235"/>
      <c r="AX435" s="354"/>
      <c r="AY435" s="14"/>
      <c r="AZ435" s="14">
        <f t="shared" si="51"/>
        <v>7388.2290259685979</v>
      </c>
      <c r="BA435" s="14">
        <f t="shared" si="50"/>
        <v>-7.9263249621940979E-2</v>
      </c>
      <c r="BB435" s="14">
        <f t="shared" si="33"/>
        <v>-93211.280905185733</v>
      </c>
      <c r="BC435" s="14"/>
      <c r="BD435" s="14"/>
      <c r="BE435" s="14"/>
      <c r="BF435" s="14"/>
      <c r="BG435" s="14"/>
      <c r="BH435" s="14"/>
      <c r="BI435" s="14"/>
      <c r="BJ435" s="14"/>
      <c r="BK435" s="14"/>
      <c r="BL435" s="14"/>
      <c r="BM435" s="14"/>
      <c r="BN435" s="14"/>
      <c r="BO435" s="14"/>
      <c r="BP435" s="14"/>
      <c r="BQ435" s="14"/>
      <c r="BR435" s="14"/>
      <c r="BS435" s="14"/>
      <c r="BT435" s="14"/>
      <c r="BU435" s="14"/>
      <c r="BV435" s="14"/>
      <c r="BW435" s="14"/>
      <c r="BX435" s="14"/>
      <c r="BY435" s="14"/>
      <c r="BZ435" s="14"/>
      <c r="CA435" s="14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</row>
    <row r="436" spans="1:101" ht="14.25" customHeight="1" x14ac:dyDescent="0.2">
      <c r="A436" s="328"/>
      <c r="B436" s="52">
        <v>0.13195986435295817</v>
      </c>
      <c r="C436" s="330">
        <v>0.32191807417568052</v>
      </c>
      <c r="D436" s="330">
        <v>1.6402515381614302E-2</v>
      </c>
      <c r="E436" s="330">
        <v>1.0852434643091253E-2</v>
      </c>
      <c r="F436" s="331">
        <v>0.79528752120170787</v>
      </c>
      <c r="G436" s="94">
        <v>0.30809265621753579</v>
      </c>
      <c r="H436" s="330">
        <v>0.84937189018439618</v>
      </c>
      <c r="I436" s="330">
        <v>1.9990028592930531E-2</v>
      </c>
      <c r="J436" s="330">
        <v>0.85478067091648102</v>
      </c>
      <c r="K436" s="330">
        <v>0.7502904247190515</v>
      </c>
      <c r="L436" s="332">
        <v>11019.991968073329</v>
      </c>
      <c r="M436" s="330">
        <v>0</v>
      </c>
      <c r="N436" s="330">
        <v>20563.445178841339</v>
      </c>
      <c r="O436" s="330">
        <v>1431.7907181212593</v>
      </c>
      <c r="P436" s="330">
        <v>50646.226595229688</v>
      </c>
      <c r="Q436" s="333">
        <v>91396.146579906359</v>
      </c>
      <c r="R436" s="330">
        <v>26276.126153695153</v>
      </c>
      <c r="S436" s="330">
        <v>8388.7471836738878</v>
      </c>
      <c r="T436" s="332">
        <v>0.99954626756541076</v>
      </c>
      <c r="U436" s="330">
        <v>0.24272326913787207</v>
      </c>
      <c r="V436" s="330">
        <v>0.63434039999946223</v>
      </c>
      <c r="W436" s="330">
        <v>0.87568635004729967</v>
      </c>
      <c r="X436" s="330">
        <v>0.45536877699678691</v>
      </c>
      <c r="Y436" s="330">
        <v>0</v>
      </c>
      <c r="Z436" s="331">
        <v>0</v>
      </c>
      <c r="AA436" s="235"/>
      <c r="AB436" s="52">
        <v>84117.689028139896</v>
      </c>
      <c r="AC436" s="330">
        <v>2.5719529865988027</v>
      </c>
      <c r="AD436" s="330">
        <v>75711.940984307192</v>
      </c>
      <c r="AE436" s="330">
        <v>2.1434229208193973</v>
      </c>
      <c r="AF436" s="330">
        <v>8405.7480438327038</v>
      </c>
      <c r="AG436" s="331">
        <v>0.42853006577940533</v>
      </c>
      <c r="AH436" s="235"/>
      <c r="AI436" s="208">
        <f t="shared" si="46"/>
        <v>2359237.6482407227</v>
      </c>
      <c r="AJ436" s="208">
        <f t="shared" si="47"/>
        <v>1960539.8337941205</v>
      </c>
      <c r="AK436" s="208">
        <f t="shared" si="48"/>
        <v>398697.81444660237</v>
      </c>
      <c r="AL436" s="235"/>
      <c r="AM436" s="52">
        <f t="shared" si="30"/>
        <v>1</v>
      </c>
      <c r="AN436" s="52">
        <f t="shared" si="31"/>
        <v>0</v>
      </c>
      <c r="AO436" s="52">
        <f t="shared" si="32"/>
        <v>1</v>
      </c>
      <c r="AP436" s="235"/>
      <c r="AQ436" s="3"/>
      <c r="AR436" s="3"/>
      <c r="AS436" s="3"/>
      <c r="AT436" s="3"/>
      <c r="AU436" s="235"/>
      <c r="AV436" s="360">
        <f t="shared" si="49"/>
        <v>2359237.6482407227</v>
      </c>
      <c r="AW436" s="235"/>
      <c r="AX436" s="354"/>
      <c r="AY436" s="14"/>
      <c r="AZ436" s="14">
        <f t="shared" si="51"/>
        <v>8405.7480438327038</v>
      </c>
      <c r="BA436" s="14">
        <f t="shared" si="50"/>
        <v>0.42853006577940533</v>
      </c>
      <c r="BB436" s="14">
        <f t="shared" si="33"/>
        <v>19615.305237788696</v>
      </c>
      <c r="BC436" s="14"/>
      <c r="BD436" s="14"/>
      <c r="BE436" s="14"/>
      <c r="BF436" s="14"/>
      <c r="BG436" s="14"/>
      <c r="BH436" s="14"/>
      <c r="BI436" s="14"/>
      <c r="BJ436" s="14"/>
      <c r="BK436" s="14"/>
      <c r="BL436" s="14"/>
      <c r="BM436" s="14"/>
      <c r="BN436" s="14"/>
      <c r="BO436" s="14"/>
      <c r="BP436" s="14"/>
      <c r="BQ436" s="14"/>
      <c r="BR436" s="14"/>
      <c r="BS436" s="14"/>
      <c r="BT436" s="14"/>
      <c r="BU436" s="14"/>
      <c r="BV436" s="14"/>
      <c r="BW436" s="14"/>
      <c r="BX436" s="14"/>
      <c r="BY436" s="14"/>
      <c r="BZ436" s="14"/>
      <c r="CA436" s="14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</row>
    <row r="437" spans="1:101" ht="14.25" customHeight="1" x14ac:dyDescent="0.2">
      <c r="A437" s="328"/>
      <c r="B437" s="52">
        <v>0.16381650314897223</v>
      </c>
      <c r="C437" s="330">
        <v>0.36990229382103323</v>
      </c>
      <c r="D437" s="330">
        <v>1.7094773200175828E-2</v>
      </c>
      <c r="E437" s="330">
        <v>1.3460821907533673E-2</v>
      </c>
      <c r="F437" s="331">
        <v>0.75392530419109571</v>
      </c>
      <c r="G437" s="94">
        <v>0.43694955131887214</v>
      </c>
      <c r="H437" s="330">
        <v>0.43912136766435511</v>
      </c>
      <c r="I437" s="330">
        <v>2.7460063697009707E-2</v>
      </c>
      <c r="J437" s="330">
        <v>0.21807001923206901</v>
      </c>
      <c r="K437" s="330">
        <v>0.76815773530958831</v>
      </c>
      <c r="L437" s="332">
        <v>11848.451471370698</v>
      </c>
      <c r="M437" s="330">
        <v>0</v>
      </c>
      <c r="N437" s="330">
        <v>19090.408461870764</v>
      </c>
      <c r="O437" s="330">
        <v>1772.0916892032576</v>
      </c>
      <c r="P437" s="330">
        <v>47091.902647568553</v>
      </c>
      <c r="Q437" s="333">
        <v>93302.121596785189</v>
      </c>
      <c r="R437" s="330">
        <v>23390.422380881846</v>
      </c>
      <c r="S437" s="330">
        <v>10428.06080681753</v>
      </c>
      <c r="T437" s="332">
        <v>0.38549522111662854</v>
      </c>
      <c r="U437" s="330">
        <v>0.93682287792142271</v>
      </c>
      <c r="V437" s="330">
        <v>0.54934251147227331</v>
      </c>
      <c r="W437" s="330">
        <v>0.99945444785844173</v>
      </c>
      <c r="X437" s="330">
        <v>0.84802424892173212</v>
      </c>
      <c r="Y437" s="330">
        <v>0</v>
      </c>
      <c r="Z437" s="331">
        <v>0</v>
      </c>
      <c r="AA437" s="235"/>
      <c r="AB437" s="52">
        <v>98188.610338493294</v>
      </c>
      <c r="AC437" s="330">
        <v>3.9820594474966051</v>
      </c>
      <c r="AD437" s="330">
        <v>92496.976661956214</v>
      </c>
      <c r="AE437" s="330">
        <v>4.1038866340796663</v>
      </c>
      <c r="AF437" s="330">
        <v>5691.6336765370797</v>
      </c>
      <c r="AG437" s="331">
        <v>-0.12182718658306113</v>
      </c>
      <c r="AH437" s="235"/>
      <c r="AI437" s="208">
        <f t="shared" si="46"/>
        <v>3684767.8647832815</v>
      </c>
      <c r="AJ437" s="208">
        <f t="shared" si="47"/>
        <v>3806195.3257137267</v>
      </c>
      <c r="AK437" s="208">
        <f t="shared" si="48"/>
        <v>-121427.46093044516</v>
      </c>
      <c r="AL437" s="235"/>
      <c r="AM437" s="52">
        <f t="shared" si="30"/>
        <v>0</v>
      </c>
      <c r="AN437" s="52">
        <f t="shared" si="31"/>
        <v>1</v>
      </c>
      <c r="AO437" s="52">
        <f t="shared" si="32"/>
        <v>0</v>
      </c>
      <c r="AP437" s="235"/>
      <c r="AQ437" s="3"/>
      <c r="AR437" s="3"/>
      <c r="AS437" s="3"/>
      <c r="AT437" s="3"/>
      <c r="AU437" s="235"/>
      <c r="AV437" s="360">
        <f t="shared" si="49"/>
        <v>3806195.3257137267</v>
      </c>
      <c r="AW437" s="235"/>
      <c r="AX437" s="354"/>
      <c r="AY437" s="14"/>
      <c r="AZ437" s="14">
        <f t="shared" si="51"/>
        <v>5691.6336765370797</v>
      </c>
      <c r="BA437" s="14">
        <f t="shared" si="50"/>
        <v>-0.12182718658306113</v>
      </c>
      <c r="BB437" s="14">
        <f t="shared" si="33"/>
        <v>-46718.912552877133</v>
      </c>
      <c r="BC437" s="14"/>
      <c r="BD437" s="14"/>
      <c r="BE437" s="14"/>
      <c r="BF437" s="14"/>
      <c r="BG437" s="14"/>
      <c r="BH437" s="14"/>
      <c r="BI437" s="14"/>
      <c r="BJ437" s="14"/>
      <c r="BK437" s="14"/>
      <c r="BL437" s="14"/>
      <c r="BM437" s="14"/>
      <c r="BN437" s="14"/>
      <c r="BO437" s="14"/>
      <c r="BP437" s="14"/>
      <c r="BQ437" s="14"/>
      <c r="BR437" s="14"/>
      <c r="BS437" s="14"/>
      <c r="BT437" s="14"/>
      <c r="BU437" s="14"/>
      <c r="BV437" s="14"/>
      <c r="BW437" s="14"/>
      <c r="BX437" s="14"/>
      <c r="BY437" s="14"/>
      <c r="BZ437" s="14"/>
      <c r="CA437" s="14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</row>
    <row r="438" spans="1:101" ht="14.25" customHeight="1" x14ac:dyDescent="0.2">
      <c r="A438" s="328"/>
      <c r="B438" s="52">
        <v>0.16045732434209325</v>
      </c>
      <c r="C438" s="330">
        <v>0.82520266171501733</v>
      </c>
      <c r="D438" s="330">
        <v>7.773043265425706E-3</v>
      </c>
      <c r="E438" s="330">
        <v>8.5091518935313994E-3</v>
      </c>
      <c r="F438" s="331">
        <v>0.79633500226634002</v>
      </c>
      <c r="G438" s="94">
        <v>0.37642687623294613</v>
      </c>
      <c r="H438" s="330">
        <v>0.8841232110570546</v>
      </c>
      <c r="I438" s="330">
        <v>2.7353840647261096E-2</v>
      </c>
      <c r="J438" s="330">
        <v>0.99999442399468419</v>
      </c>
      <c r="K438" s="330">
        <v>0.75479452041563477</v>
      </c>
      <c r="L438" s="332">
        <v>15533.643264999304</v>
      </c>
      <c r="M438" s="330">
        <v>0</v>
      </c>
      <c r="N438" s="330">
        <v>15757.237390218299</v>
      </c>
      <c r="O438" s="330">
        <v>1136.2332500324655</v>
      </c>
      <c r="P438" s="330">
        <v>63140.063297983455</v>
      </c>
      <c r="Q438" s="333">
        <v>89922.635721485189</v>
      </c>
      <c r="R438" s="330">
        <v>19861.319536831044</v>
      </c>
      <c r="S438" s="330">
        <v>7780.6314644779541</v>
      </c>
      <c r="T438" s="332">
        <v>0.46966124354662686</v>
      </c>
      <c r="U438" s="330">
        <v>0.4600731642611865</v>
      </c>
      <c r="V438" s="330">
        <v>0.83836389883002449</v>
      </c>
      <c r="W438" s="330">
        <v>0.55135522880561405</v>
      </c>
      <c r="X438" s="330">
        <v>0.99846503612515447</v>
      </c>
      <c r="Y438" s="330">
        <v>0</v>
      </c>
      <c r="Z438" s="331">
        <v>0</v>
      </c>
      <c r="AA438" s="235"/>
      <c r="AB438" s="52">
        <v>84949.379181325246</v>
      </c>
      <c r="AC438" s="330">
        <v>4.8188458567990073</v>
      </c>
      <c r="AD438" s="330">
        <v>71786.086036559005</v>
      </c>
      <c r="AE438" s="330">
        <v>4.6876287740688944</v>
      </c>
      <c r="AF438" s="330">
        <v>13163.293144766241</v>
      </c>
      <c r="AG438" s="331">
        <v>0.1312170827301129</v>
      </c>
      <c r="AH438" s="235"/>
      <c r="AI438" s="208">
        <f t="shared" si="46"/>
        <v>4492954.1847777311</v>
      </c>
      <c r="AJ438" s="208">
        <f t="shared" si="47"/>
        <v>4381461.2493288908</v>
      </c>
      <c r="AK438" s="208">
        <f t="shared" si="48"/>
        <v>111492.93544884102</v>
      </c>
      <c r="AL438" s="235"/>
      <c r="AM438" s="52">
        <f t="shared" si="30"/>
        <v>1</v>
      </c>
      <c r="AN438" s="52">
        <f t="shared" si="31"/>
        <v>0</v>
      </c>
      <c r="AO438" s="52">
        <f t="shared" si="32"/>
        <v>1</v>
      </c>
      <c r="AP438" s="235"/>
      <c r="AQ438" s="3"/>
      <c r="AR438" s="3"/>
      <c r="AS438" s="3"/>
      <c r="AT438" s="3"/>
      <c r="AU438" s="235"/>
      <c r="AV438" s="360">
        <f t="shared" si="49"/>
        <v>4492954.1847777311</v>
      </c>
      <c r="AW438" s="235"/>
      <c r="AX438" s="354"/>
      <c r="AY438" s="14"/>
      <c r="AZ438" s="14">
        <f t="shared" si="51"/>
        <v>13163.293144766241</v>
      </c>
      <c r="BA438" s="14">
        <f t="shared" si="50"/>
        <v>0.1312170827301129</v>
      </c>
      <c r="BB438" s="14">
        <f t="shared" si="33"/>
        <v>100316.91660026068</v>
      </c>
      <c r="BC438" s="14"/>
      <c r="BD438" s="14"/>
      <c r="BE438" s="14"/>
      <c r="BF438" s="14"/>
      <c r="BG438" s="14"/>
      <c r="BH438" s="14"/>
      <c r="BI438" s="14"/>
      <c r="BJ438" s="14"/>
      <c r="BK438" s="14"/>
      <c r="BL438" s="14"/>
      <c r="BM438" s="14"/>
      <c r="BN438" s="14"/>
      <c r="BO438" s="14"/>
      <c r="BP438" s="14"/>
      <c r="BQ438" s="14"/>
      <c r="BR438" s="14"/>
      <c r="BS438" s="14"/>
      <c r="BT438" s="14"/>
      <c r="BU438" s="14"/>
      <c r="BV438" s="14"/>
      <c r="BW438" s="14"/>
      <c r="BX438" s="14"/>
      <c r="BY438" s="14"/>
      <c r="BZ438" s="14"/>
      <c r="CA438" s="14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</row>
    <row r="439" spans="1:101" ht="14.25" customHeight="1" x14ac:dyDescent="0.2">
      <c r="A439" s="328"/>
      <c r="B439" s="52">
        <v>0.15383278000682196</v>
      </c>
      <c r="C439" s="330">
        <v>0.22296953059467617</v>
      </c>
      <c r="D439" s="330">
        <v>1.9691866285877602E-2</v>
      </c>
      <c r="E439" s="330">
        <v>1.6970662650465651E-2</v>
      </c>
      <c r="F439" s="331">
        <v>0.76974411640316365</v>
      </c>
      <c r="G439" s="94">
        <v>0.38001148973648291</v>
      </c>
      <c r="H439" s="330">
        <v>8.3458471122199694E-3</v>
      </c>
      <c r="I439" s="330">
        <v>3.9033935069071046E-2</v>
      </c>
      <c r="J439" s="330">
        <v>0.99922311246039941</v>
      </c>
      <c r="K439" s="330">
        <v>0.71445618855566073</v>
      </c>
      <c r="L439" s="332">
        <v>13190.314539355832</v>
      </c>
      <c r="M439" s="330">
        <v>0</v>
      </c>
      <c r="N439" s="330">
        <v>13321.42557529994</v>
      </c>
      <c r="O439" s="330">
        <v>1194.0967099062652</v>
      </c>
      <c r="P439" s="330">
        <v>35577.922951585999</v>
      </c>
      <c r="Q439" s="333">
        <v>98005.922380830481</v>
      </c>
      <c r="R439" s="330">
        <v>19032.36189856282</v>
      </c>
      <c r="S439" s="330">
        <v>9360.7014522293248</v>
      </c>
      <c r="T439" s="332">
        <v>0.96476099135789906</v>
      </c>
      <c r="U439" s="330">
        <v>0.99970696764457512</v>
      </c>
      <c r="V439" s="330">
        <v>0.96455596241088004</v>
      </c>
      <c r="W439" s="330">
        <v>0.84971551697964065</v>
      </c>
      <c r="X439" s="330">
        <v>0.98781301159751389</v>
      </c>
      <c r="Y439" s="330">
        <v>0</v>
      </c>
      <c r="Z439" s="331">
        <v>0</v>
      </c>
      <c r="AA439" s="235"/>
      <c r="AB439" s="52">
        <v>91648.43711165787</v>
      </c>
      <c r="AC439" s="330">
        <v>5.0047261942176062</v>
      </c>
      <c r="AD439" s="330">
        <v>74521.703435668824</v>
      </c>
      <c r="AE439" s="330">
        <v>4.4400786081620565</v>
      </c>
      <c r="AF439" s="330">
        <v>17126.733675989046</v>
      </c>
      <c r="AG439" s="331">
        <v>0.56464758605554977</v>
      </c>
      <c r="AH439" s="235"/>
      <c r="AI439" s="208">
        <f t="shared" si="46"/>
        <v>4662841.4473950677</v>
      </c>
      <c r="AJ439" s="208">
        <f t="shared" si="47"/>
        <v>4143552.9743182845</v>
      </c>
      <c r="AK439" s="208">
        <f t="shared" si="48"/>
        <v>519288.4730767833</v>
      </c>
      <c r="AL439" s="235"/>
      <c r="AM439" s="52">
        <f t="shared" si="30"/>
        <v>1</v>
      </c>
      <c r="AN439" s="52">
        <f t="shared" si="31"/>
        <v>0</v>
      </c>
      <c r="AO439" s="52">
        <f t="shared" si="32"/>
        <v>1</v>
      </c>
      <c r="AP439" s="235"/>
      <c r="AQ439" s="3"/>
      <c r="AR439" s="3"/>
      <c r="AS439" s="3"/>
      <c r="AT439" s="3"/>
      <c r="AU439" s="235"/>
      <c r="AV439" s="360">
        <f t="shared" si="49"/>
        <v>4662841.4473950677</v>
      </c>
      <c r="AW439" s="235"/>
      <c r="AX439" s="354"/>
      <c r="AY439" s="14"/>
      <c r="AZ439" s="14">
        <f t="shared" si="51"/>
        <v>17126.733675989046</v>
      </c>
      <c r="BA439" s="14">
        <f t="shared" si="50"/>
        <v>0.56464758605554977</v>
      </c>
      <c r="BB439" s="14">
        <f t="shared" si="33"/>
        <v>30331.722120041308</v>
      </c>
      <c r="BC439" s="14"/>
      <c r="BD439" s="14"/>
      <c r="BE439" s="14"/>
      <c r="BF439" s="14"/>
      <c r="BG439" s="14"/>
      <c r="BH439" s="14"/>
      <c r="BI439" s="14"/>
      <c r="BJ439" s="14"/>
      <c r="BK439" s="14"/>
      <c r="BL439" s="14"/>
      <c r="BM439" s="14"/>
      <c r="BN439" s="14"/>
      <c r="BO439" s="14"/>
      <c r="BP439" s="14"/>
      <c r="BQ439" s="14"/>
      <c r="BR439" s="14"/>
      <c r="BS439" s="14"/>
      <c r="BT439" s="14"/>
      <c r="BU439" s="14"/>
      <c r="BV439" s="14"/>
      <c r="BW439" s="14"/>
      <c r="BX439" s="14"/>
      <c r="BY439" s="14"/>
      <c r="BZ439" s="14"/>
      <c r="CA439" s="14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</row>
    <row r="440" spans="1:101" ht="14.25" customHeight="1" x14ac:dyDescent="0.2">
      <c r="A440" s="328"/>
      <c r="B440" s="52">
        <v>0.15534293651243422</v>
      </c>
      <c r="C440" s="330">
        <v>0.2874535075672065</v>
      </c>
      <c r="D440" s="330">
        <v>1.8194677977416474E-2</v>
      </c>
      <c r="E440" s="330">
        <v>8.4817377092875918E-3</v>
      </c>
      <c r="F440" s="331">
        <v>0.77483604282197138</v>
      </c>
      <c r="G440" s="94">
        <v>0.44760522626995014</v>
      </c>
      <c r="H440" s="330">
        <v>0.71762630028979912</v>
      </c>
      <c r="I440" s="330">
        <v>2.6347190175622703E-2</v>
      </c>
      <c r="J440" s="330">
        <v>0.9997550647590171</v>
      </c>
      <c r="K440" s="330">
        <v>0.75308594669779538</v>
      </c>
      <c r="L440" s="332">
        <v>11971.203632463739</v>
      </c>
      <c r="M440" s="330">
        <v>0</v>
      </c>
      <c r="N440" s="330">
        <v>14958.449842139484</v>
      </c>
      <c r="O440" s="330">
        <v>1579.303275697343</v>
      </c>
      <c r="P440" s="330">
        <v>49124.34935997198</v>
      </c>
      <c r="Q440" s="333">
        <v>129994.76842794419</v>
      </c>
      <c r="R440" s="330">
        <v>23825.938055109495</v>
      </c>
      <c r="S440" s="330">
        <v>8343.579150508489</v>
      </c>
      <c r="T440" s="332">
        <v>0.99955343989711809</v>
      </c>
      <c r="U440" s="330">
        <v>0.99254778708626912</v>
      </c>
      <c r="V440" s="330">
        <v>0.97230545976048321</v>
      </c>
      <c r="W440" s="330">
        <v>0.99617185807286668</v>
      </c>
      <c r="X440" s="330">
        <v>0.99814393958200132</v>
      </c>
      <c r="Y440" s="330">
        <v>0</v>
      </c>
      <c r="Z440" s="331">
        <v>0</v>
      </c>
      <c r="AA440" s="235"/>
      <c r="AB440" s="52">
        <v>83025.812862011022</v>
      </c>
      <c r="AC440" s="330">
        <v>4.7698084642587384</v>
      </c>
      <c r="AD440" s="330">
        <v>77956.804079703405</v>
      </c>
      <c r="AE440" s="330">
        <v>4.8524931018699338</v>
      </c>
      <c r="AF440" s="330">
        <v>5069.0087823076174</v>
      </c>
      <c r="AG440" s="331">
        <v>-8.2684637611195377E-2</v>
      </c>
      <c r="AH440" s="235"/>
      <c r="AI440" s="208">
        <f t="shared" si="46"/>
        <v>4448292.228183791</v>
      </c>
      <c r="AJ440" s="208">
        <f t="shared" si="47"/>
        <v>4531911.6426967336</v>
      </c>
      <c r="AK440" s="208">
        <f t="shared" si="48"/>
        <v>-83619.414512943229</v>
      </c>
      <c r="AL440" s="235"/>
      <c r="AM440" s="52">
        <f t="shared" si="30"/>
        <v>0</v>
      </c>
      <c r="AN440" s="52">
        <f t="shared" si="31"/>
        <v>1</v>
      </c>
      <c r="AO440" s="52">
        <f t="shared" si="32"/>
        <v>0</v>
      </c>
      <c r="AP440" s="235"/>
      <c r="AQ440" s="3"/>
      <c r="AR440" s="3"/>
      <c r="AS440" s="3"/>
      <c r="AT440" s="3"/>
      <c r="AU440" s="235"/>
      <c r="AV440" s="360">
        <f t="shared" si="49"/>
        <v>4531911.6426967336</v>
      </c>
      <c r="AW440" s="235"/>
      <c r="AX440" s="354"/>
      <c r="AY440" s="14"/>
      <c r="AZ440" s="14">
        <f t="shared" si="51"/>
        <v>5069.0087823076174</v>
      </c>
      <c r="BA440" s="14">
        <f t="shared" si="50"/>
        <v>-8.2684637611195377E-2</v>
      </c>
      <c r="BB440" s="14">
        <f t="shared" si="33"/>
        <v>-61305.327431480226</v>
      </c>
      <c r="BC440" s="14"/>
      <c r="BD440" s="14"/>
      <c r="BE440" s="14"/>
      <c r="BF440" s="14"/>
      <c r="BG440" s="14"/>
      <c r="BH440" s="14"/>
      <c r="BI440" s="14"/>
      <c r="BJ440" s="14"/>
      <c r="BK440" s="14"/>
      <c r="BL440" s="14"/>
      <c r="BM440" s="14"/>
      <c r="BN440" s="14"/>
      <c r="BO440" s="14"/>
      <c r="BP440" s="14"/>
      <c r="BQ440" s="14"/>
      <c r="BR440" s="14"/>
      <c r="BS440" s="14"/>
      <c r="BT440" s="14"/>
      <c r="BU440" s="14"/>
      <c r="BV440" s="14"/>
      <c r="BW440" s="14"/>
      <c r="BX440" s="14"/>
      <c r="BY440" s="14"/>
      <c r="BZ440" s="14"/>
      <c r="CA440" s="14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</row>
    <row r="441" spans="1:101" ht="14.25" customHeight="1" x14ac:dyDescent="0.2">
      <c r="A441" s="328"/>
      <c r="B441" s="52">
        <v>0.16615036861305554</v>
      </c>
      <c r="C441" s="330">
        <v>0.50811110168993079</v>
      </c>
      <c r="D441" s="330">
        <v>3.5101557379200654E-3</v>
      </c>
      <c r="E441" s="330">
        <v>2.062685273157272E-2</v>
      </c>
      <c r="F441" s="331">
        <v>0.83480750427202977</v>
      </c>
      <c r="G441" s="94">
        <v>0.39293047425866773</v>
      </c>
      <c r="H441" s="330">
        <v>0.97466553668767864</v>
      </c>
      <c r="I441" s="330">
        <v>6.9419417478405188E-3</v>
      </c>
      <c r="J441" s="330">
        <v>0.8853893880081124</v>
      </c>
      <c r="K441" s="330">
        <v>0.80008662754483062</v>
      </c>
      <c r="L441" s="332">
        <v>15325.707683939003</v>
      </c>
      <c r="M441" s="330">
        <v>0</v>
      </c>
      <c r="N441" s="330">
        <v>22173.014057954078</v>
      </c>
      <c r="O441" s="330">
        <v>942.34298248318078</v>
      </c>
      <c r="P441" s="330">
        <v>51480.24668117032</v>
      </c>
      <c r="Q441" s="333">
        <v>60807.957607722179</v>
      </c>
      <c r="R441" s="330">
        <v>22999.936446047181</v>
      </c>
      <c r="S441" s="330">
        <v>8997.6281034381718</v>
      </c>
      <c r="T441" s="332">
        <v>0.87814138834531219</v>
      </c>
      <c r="U441" s="330">
        <v>0.8835388523848704</v>
      </c>
      <c r="V441" s="330">
        <v>0.99823626705296431</v>
      </c>
      <c r="W441" s="330">
        <v>0.99771140050434215</v>
      </c>
      <c r="X441" s="330">
        <v>0.99265913713135412</v>
      </c>
      <c r="Y441" s="330">
        <v>0</v>
      </c>
      <c r="Z441" s="331">
        <v>0</v>
      </c>
      <c r="AA441" s="235"/>
      <c r="AB441" s="52">
        <v>98065.711408767995</v>
      </c>
      <c r="AC441" s="330">
        <v>5.3811769497062798</v>
      </c>
      <c r="AD441" s="330">
        <v>86746.034986691506</v>
      </c>
      <c r="AE441" s="330">
        <v>4.9482292646414034</v>
      </c>
      <c r="AF441" s="330">
        <v>11319.676422076489</v>
      </c>
      <c r="AG441" s="331">
        <v>0.43294768506487635</v>
      </c>
      <c r="AH441" s="235"/>
      <c r="AI441" s="208">
        <f t="shared" si="46"/>
        <v>5014052.3908121977</v>
      </c>
      <c r="AJ441" s="208">
        <f t="shared" si="47"/>
        <v>4614071.7664226415</v>
      </c>
      <c r="AK441" s="208">
        <f t="shared" si="48"/>
        <v>399980.62438955606</v>
      </c>
      <c r="AL441" s="235"/>
      <c r="AM441" s="52">
        <f t="shared" si="30"/>
        <v>1</v>
      </c>
      <c r="AN441" s="52">
        <f t="shared" si="31"/>
        <v>0</v>
      </c>
      <c r="AO441" s="52">
        <f t="shared" si="32"/>
        <v>1</v>
      </c>
      <c r="AP441" s="235"/>
      <c r="AQ441" s="3"/>
      <c r="AR441" s="3"/>
      <c r="AS441" s="3"/>
      <c r="AT441" s="3"/>
      <c r="AU441" s="235"/>
      <c r="AV441" s="360">
        <f t="shared" si="49"/>
        <v>5014052.3908121977</v>
      </c>
      <c r="AW441" s="235"/>
      <c r="AX441" s="354"/>
      <c r="AY441" s="14"/>
      <c r="AZ441" s="14">
        <f t="shared" si="51"/>
        <v>11319.676422076489</v>
      </c>
      <c r="BA441" s="14">
        <f t="shared" si="50"/>
        <v>0.43294768506487635</v>
      </c>
      <c r="BB441" s="14">
        <f t="shared" si="33"/>
        <v>26145.598677540584</v>
      </c>
      <c r="BC441" s="14"/>
      <c r="BD441" s="14"/>
      <c r="BE441" s="14"/>
      <c r="BF441" s="14"/>
      <c r="BG441" s="14"/>
      <c r="BH441" s="14"/>
      <c r="BI441" s="14"/>
      <c r="BJ441" s="14"/>
      <c r="BK441" s="14"/>
      <c r="BL441" s="14"/>
      <c r="BM441" s="14"/>
      <c r="BN441" s="14"/>
      <c r="BO441" s="14"/>
      <c r="BP441" s="14"/>
      <c r="BQ441" s="14"/>
      <c r="BR441" s="14"/>
      <c r="BS441" s="14"/>
      <c r="BT441" s="14"/>
      <c r="BU441" s="14"/>
      <c r="BV441" s="14"/>
      <c r="BW441" s="14"/>
      <c r="BX441" s="14"/>
      <c r="BY441" s="14"/>
      <c r="BZ441" s="14"/>
      <c r="CA441" s="14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</row>
    <row r="442" spans="1:101" ht="14.25" customHeight="1" x14ac:dyDescent="0.2">
      <c r="A442" s="328"/>
      <c r="B442" s="52">
        <v>0.15142652542987894</v>
      </c>
      <c r="C442" s="330">
        <v>2.8215267554049555E-2</v>
      </c>
      <c r="D442" s="330">
        <v>1.4995053114863488E-2</v>
      </c>
      <c r="E442" s="330">
        <v>1.125640462823474E-2</v>
      </c>
      <c r="F442" s="331">
        <v>0.7996863793916682</v>
      </c>
      <c r="G442" s="94">
        <v>0.42465667393106432</v>
      </c>
      <c r="H442" s="330">
        <v>0.53374225558000854</v>
      </c>
      <c r="I442" s="330">
        <v>2.7613156652917636E-2</v>
      </c>
      <c r="J442" s="330">
        <v>0.99999999999096545</v>
      </c>
      <c r="K442" s="330">
        <v>0.79458071299056732</v>
      </c>
      <c r="L442" s="332">
        <v>9237.2261055018844</v>
      </c>
      <c r="M442" s="330">
        <v>0</v>
      </c>
      <c r="N442" s="330">
        <v>13890.709473470079</v>
      </c>
      <c r="O442" s="330">
        <v>1114.2344055376466</v>
      </c>
      <c r="P442" s="330">
        <v>48617.150073711811</v>
      </c>
      <c r="Q442" s="333">
        <v>81786.130681395531</v>
      </c>
      <c r="R442" s="330">
        <v>24304.05097426847</v>
      </c>
      <c r="S442" s="330">
        <v>7622.0533856327102</v>
      </c>
      <c r="T442" s="332">
        <v>0.97945440416857732</v>
      </c>
      <c r="U442" s="330">
        <v>0.99893500701662286</v>
      </c>
      <c r="V442" s="330">
        <v>0.50571034211893251</v>
      </c>
      <c r="W442" s="330">
        <v>0.98438341271399699</v>
      </c>
      <c r="X442" s="330">
        <v>0.99697211358982474</v>
      </c>
      <c r="Y442" s="330">
        <v>0</v>
      </c>
      <c r="Z442" s="331">
        <v>0</v>
      </c>
      <c r="AA442" s="235"/>
      <c r="AB442" s="52">
        <v>75106.657853993966</v>
      </c>
      <c r="AC442" s="330">
        <v>4.951335157401946</v>
      </c>
      <c r="AD442" s="330">
        <v>72521.740589020264</v>
      </c>
      <c r="AE442" s="330">
        <v>4.7989812471390563</v>
      </c>
      <c r="AF442" s="330">
        <v>2584.9172649737011</v>
      </c>
      <c r="AG442" s="331">
        <v>0.15235391026288969</v>
      </c>
      <c r="AH442" s="235"/>
      <c r="AI442" s="208">
        <f t="shared" si="46"/>
        <v>4628661.7416778551</v>
      </c>
      <c r="AJ442" s="208">
        <f t="shared" si="47"/>
        <v>4486510.4441930838</v>
      </c>
      <c r="AK442" s="208">
        <f t="shared" si="48"/>
        <v>142151.29748477152</v>
      </c>
      <c r="AL442" s="235"/>
      <c r="AM442" s="52">
        <f t="shared" si="30"/>
        <v>1</v>
      </c>
      <c r="AN442" s="52">
        <f t="shared" si="31"/>
        <v>0</v>
      </c>
      <c r="AO442" s="52">
        <f t="shared" si="32"/>
        <v>1</v>
      </c>
      <c r="AP442" s="235"/>
      <c r="AQ442" s="3"/>
      <c r="AR442" s="3"/>
      <c r="AS442" s="3"/>
      <c r="AT442" s="3"/>
      <c r="AU442" s="235"/>
      <c r="AV442" s="360">
        <f t="shared" si="49"/>
        <v>4628661.7416778551</v>
      </c>
      <c r="AW442" s="235"/>
      <c r="AX442" s="354"/>
      <c r="AY442" s="14"/>
      <c r="AZ442" s="14">
        <f t="shared" si="51"/>
        <v>2584.9172649737011</v>
      </c>
      <c r="BA442" s="14">
        <f t="shared" si="50"/>
        <v>0.15235391026288969</v>
      </c>
      <c r="BB442" s="14">
        <f t="shared" si="33"/>
        <v>16966.530498057942</v>
      </c>
      <c r="BC442" s="14"/>
      <c r="BD442" s="14"/>
      <c r="BE442" s="14"/>
      <c r="BF442" s="14"/>
      <c r="BG442" s="14"/>
      <c r="BH442" s="14"/>
      <c r="BI442" s="14"/>
      <c r="BJ442" s="14"/>
      <c r="BK442" s="14"/>
      <c r="BL442" s="14"/>
      <c r="BM442" s="14"/>
      <c r="BN442" s="14"/>
      <c r="BO442" s="14"/>
      <c r="BP442" s="14"/>
      <c r="BQ442" s="14"/>
      <c r="BR442" s="14"/>
      <c r="BS442" s="14"/>
      <c r="BT442" s="14"/>
      <c r="BU442" s="14"/>
      <c r="BV442" s="14"/>
      <c r="BW442" s="14"/>
      <c r="BX442" s="14"/>
      <c r="BY442" s="14"/>
      <c r="BZ442" s="14"/>
      <c r="CA442" s="14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</row>
    <row r="443" spans="1:101" ht="14.25" customHeight="1" x14ac:dyDescent="0.2">
      <c r="A443" s="328"/>
      <c r="B443" s="52">
        <v>0.13805903814348472</v>
      </c>
      <c r="C443" s="330">
        <v>0.64782595494125661</v>
      </c>
      <c r="D443" s="330">
        <v>1.2628836568257034E-2</v>
      </c>
      <c r="E443" s="330">
        <v>1.1946330111698603E-2</v>
      </c>
      <c r="F443" s="331">
        <v>0.81884199606085839</v>
      </c>
      <c r="G443" s="94">
        <v>0.33990311418869035</v>
      </c>
      <c r="H443" s="330">
        <v>0.38497340647542555</v>
      </c>
      <c r="I443" s="330">
        <v>2.9772121132878304E-2</v>
      </c>
      <c r="J443" s="330">
        <v>0.9201723891238156</v>
      </c>
      <c r="K443" s="330">
        <v>0.74447766490917855</v>
      </c>
      <c r="L443" s="332">
        <v>14923.026894502073</v>
      </c>
      <c r="M443" s="330">
        <v>0</v>
      </c>
      <c r="N443" s="330">
        <v>18660.237548690216</v>
      </c>
      <c r="O443" s="330">
        <v>1213.6943955389697</v>
      </c>
      <c r="P443" s="330">
        <v>54060.07540472674</v>
      </c>
      <c r="Q443" s="333">
        <v>92885.360600409665</v>
      </c>
      <c r="R443" s="330">
        <v>21787.147384851603</v>
      </c>
      <c r="S443" s="330">
        <v>5397.182520667202</v>
      </c>
      <c r="T443" s="332">
        <v>0.82496881369087594</v>
      </c>
      <c r="U443" s="330">
        <v>0.98309251293672073</v>
      </c>
      <c r="V443" s="330">
        <v>0.99969658038580544</v>
      </c>
      <c r="W443" s="330">
        <v>0.99999983991676222</v>
      </c>
      <c r="X443" s="330">
        <v>0.50707584229095992</v>
      </c>
      <c r="Y443" s="330">
        <v>0</v>
      </c>
      <c r="Z443" s="331">
        <v>0</v>
      </c>
      <c r="AA443" s="235"/>
      <c r="AB443" s="52">
        <v>64628.684466342835</v>
      </c>
      <c r="AC443" s="330">
        <v>2.869688103461316</v>
      </c>
      <c r="AD443" s="330">
        <v>48057.509044439401</v>
      </c>
      <c r="AE443" s="330">
        <v>2.3075527392271722</v>
      </c>
      <c r="AF443" s="330">
        <v>16571.175421903434</v>
      </c>
      <c r="AG443" s="331">
        <v>0.56213536423414379</v>
      </c>
      <c r="AH443" s="235"/>
      <c r="AI443" s="208">
        <f t="shared" si="46"/>
        <v>2661575.0138219073</v>
      </c>
      <c r="AJ443" s="208">
        <f t="shared" si="47"/>
        <v>2144117.5932213739</v>
      </c>
      <c r="AK443" s="208">
        <f t="shared" si="48"/>
        <v>517457.42060053319</v>
      </c>
      <c r="AL443" s="235"/>
      <c r="AM443" s="52">
        <f t="shared" si="30"/>
        <v>1</v>
      </c>
      <c r="AN443" s="52">
        <f t="shared" si="31"/>
        <v>0</v>
      </c>
      <c r="AO443" s="52">
        <f t="shared" si="32"/>
        <v>1</v>
      </c>
      <c r="AP443" s="235"/>
      <c r="AQ443" s="3"/>
      <c r="AR443" s="3"/>
      <c r="AS443" s="3"/>
      <c r="AT443" s="3"/>
      <c r="AU443" s="235"/>
      <c r="AV443" s="360">
        <f t="shared" si="49"/>
        <v>2661575.0138219073</v>
      </c>
      <c r="AW443" s="235"/>
      <c r="AX443" s="354"/>
      <c r="AY443" s="14"/>
      <c r="AZ443" s="14">
        <f t="shared" si="51"/>
        <v>16571.175421903434</v>
      </c>
      <c r="BA443" s="14">
        <f t="shared" si="50"/>
        <v>0.56213536423414379</v>
      </c>
      <c r="BB443" s="14">
        <f t="shared" si="33"/>
        <v>29478.976908844885</v>
      </c>
      <c r="BC443" s="14"/>
      <c r="BD443" s="14"/>
      <c r="BE443" s="14"/>
      <c r="BF443" s="14"/>
      <c r="BG443" s="14"/>
      <c r="BH443" s="14"/>
      <c r="BI443" s="14"/>
      <c r="BJ443" s="14"/>
      <c r="BK443" s="14"/>
      <c r="BL443" s="14"/>
      <c r="BM443" s="14"/>
      <c r="BN443" s="14"/>
      <c r="BO443" s="14"/>
      <c r="BP443" s="14"/>
      <c r="BQ443" s="14"/>
      <c r="BR443" s="14"/>
      <c r="BS443" s="14"/>
      <c r="BT443" s="14"/>
      <c r="BU443" s="14"/>
      <c r="BV443" s="14"/>
      <c r="BW443" s="14"/>
      <c r="BX443" s="14"/>
      <c r="BY443" s="14"/>
      <c r="BZ443" s="14"/>
      <c r="CA443" s="14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</row>
    <row r="444" spans="1:101" ht="14.25" customHeight="1" x14ac:dyDescent="0.2">
      <c r="A444" s="328"/>
      <c r="B444" s="52">
        <v>0.16373892887973285</v>
      </c>
      <c r="C444" s="330">
        <v>0.60021638894298468</v>
      </c>
      <c r="D444" s="330">
        <v>1.4995267018446334E-2</v>
      </c>
      <c r="E444" s="330">
        <v>1.8462242157701647E-2</v>
      </c>
      <c r="F444" s="331">
        <v>0.78658952085119438</v>
      </c>
      <c r="G444" s="94">
        <v>0.39073143609047212</v>
      </c>
      <c r="H444" s="330">
        <v>0.23179434294445272</v>
      </c>
      <c r="I444" s="330">
        <v>1.5623629373216333E-2</v>
      </c>
      <c r="J444" s="330">
        <v>0.44487487462040964</v>
      </c>
      <c r="K444" s="330">
        <v>0.82601303434781947</v>
      </c>
      <c r="L444" s="332">
        <v>11624.868193641976</v>
      </c>
      <c r="M444" s="330">
        <v>0</v>
      </c>
      <c r="N444" s="330">
        <v>17852.491754047081</v>
      </c>
      <c r="O444" s="330">
        <v>1302.7146048156119</v>
      </c>
      <c r="P444" s="330">
        <v>53221.312401718846</v>
      </c>
      <c r="Q444" s="333">
        <v>127656.95048244084</v>
      </c>
      <c r="R444" s="330">
        <v>16195.275421570683</v>
      </c>
      <c r="S444" s="330">
        <v>11660.180635593464</v>
      </c>
      <c r="T444" s="332">
        <v>0.26075093095326801</v>
      </c>
      <c r="U444" s="330">
        <v>0.99527321302128291</v>
      </c>
      <c r="V444" s="330">
        <v>0.92203326425531373</v>
      </c>
      <c r="W444" s="330">
        <v>0.91796898911892966</v>
      </c>
      <c r="X444" s="330">
        <v>0.95785086847101852</v>
      </c>
      <c r="Y444" s="330">
        <v>0</v>
      </c>
      <c r="Z444" s="331">
        <v>0</v>
      </c>
      <c r="AA444" s="235"/>
      <c r="AB444" s="52">
        <v>112170.93276427302</v>
      </c>
      <c r="AC444" s="330">
        <v>4.5602726215086378</v>
      </c>
      <c r="AD444" s="330">
        <v>106341.99148868468</v>
      </c>
      <c r="AE444" s="330">
        <v>5.0114654005280084</v>
      </c>
      <c r="AF444" s="330">
        <v>5828.9412755883386</v>
      </c>
      <c r="AG444" s="331">
        <v>-0.4511927790193706</v>
      </c>
      <c r="AH444" s="235"/>
      <c r="AI444" s="208">
        <f t="shared" si="46"/>
        <v>4220088.0576689327</v>
      </c>
      <c r="AJ444" s="208">
        <f t="shared" si="47"/>
        <v>4654550.1390129235</v>
      </c>
      <c r="AK444" s="208">
        <f t="shared" si="48"/>
        <v>-434462.0813439904</v>
      </c>
      <c r="AL444" s="235"/>
      <c r="AM444" s="52">
        <f t="shared" si="30"/>
        <v>0</v>
      </c>
      <c r="AN444" s="52">
        <f t="shared" si="31"/>
        <v>1</v>
      </c>
      <c r="AO444" s="52">
        <f t="shared" si="32"/>
        <v>0</v>
      </c>
      <c r="AP444" s="235"/>
      <c r="AQ444" s="3"/>
      <c r="AR444" s="3"/>
      <c r="AS444" s="3"/>
      <c r="AT444" s="3"/>
      <c r="AU444" s="235"/>
      <c r="AV444" s="360">
        <f t="shared" si="49"/>
        <v>4654550.1390129235</v>
      </c>
      <c r="AW444" s="235"/>
      <c r="AX444" s="354"/>
      <c r="AY444" s="14"/>
      <c r="AZ444" s="14">
        <f t="shared" si="51"/>
        <v>5828.9412755883386</v>
      </c>
      <c r="BA444" s="14">
        <f t="shared" si="50"/>
        <v>-0.4511927790193706</v>
      </c>
      <c r="BB444" s="14">
        <f t="shared" si="33"/>
        <v>-12918.959581438892</v>
      </c>
      <c r="BC444" s="14"/>
      <c r="BD444" s="14"/>
      <c r="BE444" s="14"/>
      <c r="BF444" s="14"/>
      <c r="BG444" s="14"/>
      <c r="BH444" s="14"/>
      <c r="BI444" s="14"/>
      <c r="BJ444" s="14"/>
      <c r="BK444" s="14"/>
      <c r="BL444" s="14"/>
      <c r="BM444" s="14"/>
      <c r="BN444" s="14"/>
      <c r="BO444" s="14"/>
      <c r="BP444" s="14"/>
      <c r="BQ444" s="14"/>
      <c r="BR444" s="14"/>
      <c r="BS444" s="14"/>
      <c r="BT444" s="14"/>
      <c r="BU444" s="14"/>
      <c r="BV444" s="14"/>
      <c r="BW444" s="14"/>
      <c r="BX444" s="14"/>
      <c r="BY444" s="14"/>
      <c r="BZ444" s="14"/>
      <c r="CA444" s="14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</row>
    <row r="445" spans="1:101" ht="14.25" customHeight="1" x14ac:dyDescent="0.2">
      <c r="A445" s="328"/>
      <c r="B445" s="52">
        <v>0.12710640448703173</v>
      </c>
      <c r="C445" s="330">
        <v>0.52359294392753886</v>
      </c>
      <c r="D445" s="330">
        <v>1.5840223934684539E-2</v>
      </c>
      <c r="E445" s="330">
        <v>3.0823189852804189E-2</v>
      </c>
      <c r="F445" s="331">
        <v>0.79567255088843492</v>
      </c>
      <c r="G445" s="94">
        <v>0.41764900355864298</v>
      </c>
      <c r="H445" s="330">
        <v>0.46890951451499913</v>
      </c>
      <c r="I445" s="330">
        <v>4.5849283437871535E-2</v>
      </c>
      <c r="J445" s="330">
        <v>0.99999999999776867</v>
      </c>
      <c r="K445" s="330">
        <v>0.749717123274666</v>
      </c>
      <c r="L445" s="332">
        <v>14772.023029019339</v>
      </c>
      <c r="M445" s="330">
        <v>0</v>
      </c>
      <c r="N445" s="330">
        <v>13831.134731259401</v>
      </c>
      <c r="O445" s="330">
        <v>1205.1566759705074</v>
      </c>
      <c r="P445" s="330">
        <v>40514.620071312143</v>
      </c>
      <c r="Q445" s="333">
        <v>109102.28491064953</v>
      </c>
      <c r="R445" s="330">
        <v>20356.472853839838</v>
      </c>
      <c r="S445" s="330">
        <v>8034.9259567356594</v>
      </c>
      <c r="T445" s="332">
        <v>0.99079241819937591</v>
      </c>
      <c r="U445" s="330">
        <v>0.9977106510295497</v>
      </c>
      <c r="V445" s="330">
        <v>0.99016870786359235</v>
      </c>
      <c r="W445" s="330">
        <v>0.81842398190548604</v>
      </c>
      <c r="X445" s="330">
        <v>0.99993879088235782</v>
      </c>
      <c r="Y445" s="330">
        <v>0</v>
      </c>
      <c r="Z445" s="331">
        <v>0</v>
      </c>
      <c r="AA445" s="235"/>
      <c r="AB445" s="52">
        <v>85109.595194733993</v>
      </c>
      <c r="AC445" s="330">
        <v>4.8107955388169907</v>
      </c>
      <c r="AD445" s="330">
        <v>72285.198627262274</v>
      </c>
      <c r="AE445" s="330">
        <v>4.6313333939948462</v>
      </c>
      <c r="AF445" s="330">
        <v>12824.396567471718</v>
      </c>
      <c r="AG445" s="331">
        <v>0.17946214482214451</v>
      </c>
      <c r="AH445" s="235"/>
      <c r="AI445" s="208">
        <f t="shared" si="46"/>
        <v>4485146.166681408</v>
      </c>
      <c r="AJ445" s="208">
        <f t="shared" si="47"/>
        <v>4327481.5256678415</v>
      </c>
      <c r="AK445" s="208">
        <f t="shared" si="48"/>
        <v>157664.64101356559</v>
      </c>
      <c r="AL445" s="235"/>
      <c r="AM445" s="52">
        <f t="shared" si="30"/>
        <v>1</v>
      </c>
      <c r="AN445" s="52">
        <f t="shared" si="31"/>
        <v>0</v>
      </c>
      <c r="AO445" s="52">
        <f t="shared" si="32"/>
        <v>1</v>
      </c>
      <c r="AP445" s="235"/>
      <c r="AQ445" s="3"/>
      <c r="AR445" s="3"/>
      <c r="AS445" s="3"/>
      <c r="AT445" s="3"/>
      <c r="AU445" s="235"/>
      <c r="AV445" s="360">
        <f t="shared" si="49"/>
        <v>4485146.166681408</v>
      </c>
      <c r="AW445" s="235"/>
      <c r="AX445" s="354"/>
      <c r="AY445" s="14"/>
      <c r="AZ445" s="14">
        <f t="shared" si="51"/>
        <v>12824.396567471718</v>
      </c>
      <c r="BA445" s="14">
        <f t="shared" si="50"/>
        <v>0.17946214482214451</v>
      </c>
      <c r="BB445" s="14">
        <f t="shared" si="33"/>
        <v>71460.176630460439</v>
      </c>
      <c r="BC445" s="14"/>
      <c r="BD445" s="14"/>
      <c r="BE445" s="14"/>
      <c r="BF445" s="14"/>
      <c r="BG445" s="14"/>
      <c r="BH445" s="14"/>
      <c r="BI445" s="14"/>
      <c r="BJ445" s="14"/>
      <c r="BK445" s="14"/>
      <c r="BL445" s="14"/>
      <c r="BM445" s="14"/>
      <c r="BN445" s="14"/>
      <c r="BO445" s="14"/>
      <c r="BP445" s="14"/>
      <c r="BQ445" s="14"/>
      <c r="BR445" s="14"/>
      <c r="BS445" s="14"/>
      <c r="BT445" s="14"/>
      <c r="BU445" s="14"/>
      <c r="BV445" s="14"/>
      <c r="BW445" s="14"/>
      <c r="BX445" s="14"/>
      <c r="BY445" s="14"/>
      <c r="BZ445" s="14"/>
      <c r="CA445" s="14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</row>
    <row r="446" spans="1:101" ht="14.25" customHeight="1" x14ac:dyDescent="0.2">
      <c r="A446" s="328"/>
      <c r="B446" s="52">
        <v>0.15062436279648225</v>
      </c>
      <c r="C446" s="330">
        <v>4.3481070610532926E-2</v>
      </c>
      <c r="D446" s="330">
        <v>1.0050591935358975E-2</v>
      </c>
      <c r="E446" s="330">
        <v>1.1892014656375096E-2</v>
      </c>
      <c r="F446" s="331">
        <v>0.79986195870559118</v>
      </c>
      <c r="G446" s="94">
        <v>0.45287114395577699</v>
      </c>
      <c r="H446" s="330">
        <v>0.94534132435139417</v>
      </c>
      <c r="I446" s="330">
        <v>1.8155490111320227E-2</v>
      </c>
      <c r="J446" s="330">
        <v>0.99999999999921019</v>
      </c>
      <c r="K446" s="330">
        <v>0.74723492086978349</v>
      </c>
      <c r="L446" s="332">
        <v>13476.655529207501</v>
      </c>
      <c r="M446" s="330">
        <v>0</v>
      </c>
      <c r="N446" s="330">
        <v>18143.5805656837</v>
      </c>
      <c r="O446" s="330">
        <v>1046.2268039364915</v>
      </c>
      <c r="P446" s="330">
        <v>37798.664752518467</v>
      </c>
      <c r="Q446" s="333">
        <v>120098.04015058691</v>
      </c>
      <c r="R446" s="330">
        <v>24491.428874516296</v>
      </c>
      <c r="S446" s="330">
        <v>4491.2006864754594</v>
      </c>
      <c r="T446" s="332">
        <v>0.7860591521833441</v>
      </c>
      <c r="U446" s="330">
        <v>0.9643120779737695</v>
      </c>
      <c r="V446" s="330">
        <v>0.46484108032556309</v>
      </c>
      <c r="W446" s="330">
        <v>0.99981339382453749</v>
      </c>
      <c r="X446" s="330">
        <v>0.99996031786678796</v>
      </c>
      <c r="Y446" s="330">
        <v>0</v>
      </c>
      <c r="Z446" s="331">
        <v>0</v>
      </c>
      <c r="AA446" s="235"/>
      <c r="AB446" s="52">
        <v>52527.701477074152</v>
      </c>
      <c r="AC446" s="330">
        <v>5.059934153758566</v>
      </c>
      <c r="AD446" s="330">
        <v>48238.653605480642</v>
      </c>
      <c r="AE446" s="330">
        <v>4.5955219707423032</v>
      </c>
      <c r="AF446" s="330">
        <v>4289.0478715935096</v>
      </c>
      <c r="AG446" s="331">
        <v>0.46441218301626286</v>
      </c>
      <c r="AH446" s="235"/>
      <c r="AI446" s="208">
        <f t="shared" si="46"/>
        <v>4754409.7445935635</v>
      </c>
      <c r="AJ446" s="208">
        <f t="shared" si="47"/>
        <v>4317507.2185997069</v>
      </c>
      <c r="AK446" s="208">
        <f t="shared" si="48"/>
        <v>436902.52599385619</v>
      </c>
      <c r="AL446" s="235"/>
      <c r="AM446" s="52">
        <f t="shared" si="30"/>
        <v>1</v>
      </c>
      <c r="AN446" s="52">
        <f t="shared" si="31"/>
        <v>0</v>
      </c>
      <c r="AO446" s="52">
        <f t="shared" si="32"/>
        <v>1</v>
      </c>
      <c r="AP446" s="235"/>
      <c r="AQ446" s="3"/>
      <c r="AR446" s="3"/>
      <c r="AS446" s="3"/>
      <c r="AT446" s="3"/>
      <c r="AU446" s="235"/>
      <c r="AV446" s="360">
        <f t="shared" si="49"/>
        <v>4754409.7445935635</v>
      </c>
      <c r="AW446" s="235"/>
      <c r="AX446" s="354"/>
      <c r="AY446" s="14"/>
      <c r="AZ446" s="14">
        <f t="shared" si="51"/>
        <v>4289.0478715935096</v>
      </c>
      <c r="BA446" s="14">
        <f t="shared" si="50"/>
        <v>0.46441218301626286</v>
      </c>
      <c r="BB446" s="14">
        <f t="shared" si="33"/>
        <v>9235.4335834538506</v>
      </c>
      <c r="BC446" s="14"/>
      <c r="BD446" s="14"/>
      <c r="BE446" s="14"/>
      <c r="BF446" s="14"/>
      <c r="BG446" s="14"/>
      <c r="BH446" s="14"/>
      <c r="BI446" s="14"/>
      <c r="BJ446" s="14"/>
      <c r="BK446" s="14"/>
      <c r="BL446" s="14"/>
      <c r="BM446" s="14"/>
      <c r="BN446" s="14"/>
      <c r="BO446" s="14"/>
      <c r="BP446" s="14"/>
      <c r="BQ446" s="14"/>
      <c r="BR446" s="14"/>
      <c r="BS446" s="14"/>
      <c r="BT446" s="14"/>
      <c r="BU446" s="14"/>
      <c r="BV446" s="14"/>
      <c r="BW446" s="14"/>
      <c r="BX446" s="14"/>
      <c r="BY446" s="14"/>
      <c r="BZ446" s="14"/>
      <c r="CA446" s="14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</row>
    <row r="447" spans="1:101" ht="14.25" customHeight="1" x14ac:dyDescent="0.2">
      <c r="A447" s="328"/>
      <c r="B447" s="52">
        <v>0.19659094150549705</v>
      </c>
      <c r="C447" s="330">
        <v>0.62813127850179429</v>
      </c>
      <c r="D447" s="330">
        <v>5.7937760902242426E-3</v>
      </c>
      <c r="E447" s="330">
        <v>5.9872866294132998E-3</v>
      </c>
      <c r="F447" s="331">
        <v>0.79059863104033468</v>
      </c>
      <c r="G447" s="94">
        <v>0.3352045961723335</v>
      </c>
      <c r="H447" s="330">
        <v>0.36050871165368797</v>
      </c>
      <c r="I447" s="330">
        <v>1.2610047276415601E-2</v>
      </c>
      <c r="J447" s="330">
        <v>1.753954195520833E-6</v>
      </c>
      <c r="K447" s="330">
        <v>0.77561784608285234</v>
      </c>
      <c r="L447" s="332">
        <v>14529.151619178114</v>
      </c>
      <c r="M447" s="330">
        <v>0</v>
      </c>
      <c r="N447" s="330">
        <v>14447.570241880159</v>
      </c>
      <c r="O447" s="330">
        <v>1381.0929206522503</v>
      </c>
      <c r="P447" s="330">
        <v>49256.206459806563</v>
      </c>
      <c r="Q447" s="333">
        <v>111447.85403675387</v>
      </c>
      <c r="R447" s="330">
        <v>28206.178449160772</v>
      </c>
      <c r="S447" s="330">
        <v>7712.0672445878981</v>
      </c>
      <c r="T447" s="332">
        <v>0.97253109929537285</v>
      </c>
      <c r="U447" s="330">
        <v>0.99087508723575968</v>
      </c>
      <c r="V447" s="330">
        <v>0.68801236551803635</v>
      </c>
      <c r="W447" s="330">
        <v>0.9724283662844454</v>
      </c>
      <c r="X447" s="330">
        <v>0.96520459291077887</v>
      </c>
      <c r="Y447" s="330">
        <v>0</v>
      </c>
      <c r="Z447" s="331">
        <v>0</v>
      </c>
      <c r="AA447" s="235"/>
      <c r="AB447" s="52">
        <v>83840.998297207392</v>
      </c>
      <c r="AC447" s="330">
        <v>4.9363301029460152</v>
      </c>
      <c r="AD447" s="330">
        <v>68564.608450132539</v>
      </c>
      <c r="AE447" s="330">
        <v>4.6075924346112842</v>
      </c>
      <c r="AF447" s="330">
        <v>15276.389847074854</v>
      </c>
      <c r="AG447" s="331">
        <v>0.32873766833473095</v>
      </c>
      <c r="AH447" s="235"/>
      <c r="AI447" s="208">
        <f t="shared" si="46"/>
        <v>4605672.5995015074</v>
      </c>
      <c r="AJ447" s="208">
        <f t="shared" si="47"/>
        <v>4308648.2044305876</v>
      </c>
      <c r="AK447" s="208">
        <f t="shared" si="48"/>
        <v>297024.39507091953</v>
      </c>
      <c r="AL447" s="235"/>
      <c r="AM447" s="52">
        <f t="shared" si="30"/>
        <v>1</v>
      </c>
      <c r="AN447" s="52">
        <f t="shared" si="31"/>
        <v>0</v>
      </c>
      <c r="AO447" s="52">
        <f t="shared" si="32"/>
        <v>1</v>
      </c>
      <c r="AP447" s="235"/>
      <c r="AQ447" s="3"/>
      <c r="AR447" s="3"/>
      <c r="AS447" s="3"/>
      <c r="AT447" s="3"/>
      <c r="AU447" s="235"/>
      <c r="AV447" s="360">
        <f t="shared" si="49"/>
        <v>4605672.5995015074</v>
      </c>
      <c r="AW447" s="235"/>
      <c r="AX447" s="354"/>
      <c r="AY447" s="14"/>
      <c r="AZ447" s="14">
        <f t="shared" si="51"/>
        <v>15276.389847074854</v>
      </c>
      <c r="BA447" s="14">
        <f t="shared" si="50"/>
        <v>0.32873766833473095</v>
      </c>
      <c r="BB447" s="14">
        <f t="shared" si="33"/>
        <v>46469.849118476915</v>
      </c>
      <c r="BC447" s="14"/>
      <c r="BD447" s="14"/>
      <c r="BE447" s="14"/>
      <c r="BF447" s="14"/>
      <c r="BG447" s="14"/>
      <c r="BH447" s="14"/>
      <c r="BI447" s="14"/>
      <c r="BJ447" s="14"/>
      <c r="BK447" s="14"/>
      <c r="BL447" s="14"/>
      <c r="BM447" s="14"/>
      <c r="BN447" s="14"/>
      <c r="BO447" s="14"/>
      <c r="BP447" s="14"/>
      <c r="BQ447" s="14"/>
      <c r="BR447" s="14"/>
      <c r="BS447" s="14"/>
      <c r="BT447" s="14"/>
      <c r="BU447" s="14"/>
      <c r="BV447" s="14"/>
      <c r="BW447" s="14"/>
      <c r="BX447" s="14"/>
      <c r="BY447" s="14"/>
      <c r="BZ447" s="14"/>
      <c r="CA447" s="14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</row>
    <row r="448" spans="1:101" ht="14.25" customHeight="1" x14ac:dyDescent="0.2">
      <c r="A448" s="328"/>
      <c r="B448" s="52">
        <v>0.15306913253143703</v>
      </c>
      <c r="C448" s="330">
        <v>0.10032345039681999</v>
      </c>
      <c r="D448" s="330">
        <v>2.272172617303958E-2</v>
      </c>
      <c r="E448" s="330">
        <v>2.053057848677331E-2</v>
      </c>
      <c r="F448" s="331">
        <v>0.7971956027413869</v>
      </c>
      <c r="G448" s="94">
        <v>0.41650695358726386</v>
      </c>
      <c r="H448" s="330">
        <v>5.3333202928876826E-2</v>
      </c>
      <c r="I448" s="330">
        <v>2.0004440598850389E-3</v>
      </c>
      <c r="J448" s="330">
        <v>1</v>
      </c>
      <c r="K448" s="330">
        <v>0.7816168379743218</v>
      </c>
      <c r="L448" s="332">
        <v>9807.5888069489756</v>
      </c>
      <c r="M448" s="330">
        <v>0</v>
      </c>
      <c r="N448" s="330">
        <v>23376.214119809425</v>
      </c>
      <c r="O448" s="330">
        <v>936.47618005700519</v>
      </c>
      <c r="P448" s="330">
        <v>31042.99643998118</v>
      </c>
      <c r="Q448" s="333">
        <v>95547.488786672868</v>
      </c>
      <c r="R448" s="330">
        <v>17351.939378307448</v>
      </c>
      <c r="S448" s="330">
        <v>8103.473341941065</v>
      </c>
      <c r="T448" s="332">
        <v>0.9376609217046854</v>
      </c>
      <c r="U448" s="330">
        <v>0.97680821288124076</v>
      </c>
      <c r="V448" s="330">
        <v>0.887891474632305</v>
      </c>
      <c r="W448" s="330">
        <v>0.99122865780161806</v>
      </c>
      <c r="X448" s="330">
        <v>0.89303892421214193</v>
      </c>
      <c r="Y448" s="330">
        <v>0</v>
      </c>
      <c r="Z448" s="331">
        <v>0</v>
      </c>
      <c r="AA448" s="235"/>
      <c r="AB448" s="52">
        <v>79877.923793139125</v>
      </c>
      <c r="AC448" s="330">
        <v>4.3125592643146202</v>
      </c>
      <c r="AD448" s="330">
        <v>68870.723134163243</v>
      </c>
      <c r="AE448" s="330">
        <v>4.29975115107188</v>
      </c>
      <c r="AF448" s="330">
        <v>11007.200658975882</v>
      </c>
      <c r="AG448" s="331">
        <v>1.2808113242740227E-2</v>
      </c>
      <c r="AH448" s="235"/>
      <c r="AI448" s="208">
        <f t="shared" si="46"/>
        <v>4017053.3773057503</v>
      </c>
      <c r="AJ448" s="208">
        <f t="shared" si="47"/>
        <v>4015892.8703841227</v>
      </c>
      <c r="AK448" s="208">
        <f t="shared" si="48"/>
        <v>1160.5069216273332</v>
      </c>
      <c r="AL448" s="235"/>
      <c r="AM448" s="52">
        <f t="shared" si="30"/>
        <v>1</v>
      </c>
      <c r="AN448" s="52">
        <f t="shared" si="31"/>
        <v>0</v>
      </c>
      <c r="AO448" s="52">
        <f t="shared" si="32"/>
        <v>1</v>
      </c>
      <c r="AP448" s="235"/>
      <c r="AQ448" s="3"/>
      <c r="AR448" s="3"/>
      <c r="AS448" s="3"/>
      <c r="AT448" s="3"/>
      <c r="AU448" s="235"/>
      <c r="AV448" s="360">
        <f t="shared" si="49"/>
        <v>4017053.3773057503</v>
      </c>
      <c r="AW448" s="235"/>
      <c r="AX448" s="354"/>
      <c r="AY448" s="14"/>
      <c r="AZ448" s="14">
        <f t="shared" si="51"/>
        <v>11007.200658975882</v>
      </c>
      <c r="BA448" s="14">
        <f t="shared" si="50"/>
        <v>1.2808113242740227E-2</v>
      </c>
      <c r="BB448" s="14">
        <f t="shared" si="33"/>
        <v>859392.82784018782</v>
      </c>
      <c r="BC448" s="14"/>
      <c r="BD448" s="14"/>
      <c r="BE448" s="14"/>
      <c r="BF448" s="14"/>
      <c r="BG448" s="14"/>
      <c r="BH448" s="14"/>
      <c r="BI448" s="14"/>
      <c r="BJ448" s="14"/>
      <c r="BK448" s="14"/>
      <c r="BL448" s="14"/>
      <c r="BM448" s="14"/>
      <c r="BN448" s="14"/>
      <c r="BO448" s="14"/>
      <c r="BP448" s="14"/>
      <c r="BQ448" s="14"/>
      <c r="BR448" s="14"/>
      <c r="BS448" s="14"/>
      <c r="BT448" s="14"/>
      <c r="BU448" s="14"/>
      <c r="BV448" s="14"/>
      <c r="BW448" s="14"/>
      <c r="BX448" s="14"/>
      <c r="BY448" s="14"/>
      <c r="BZ448" s="14"/>
      <c r="CA448" s="14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</row>
    <row r="449" spans="1:101" ht="14.25" customHeight="1" x14ac:dyDescent="0.2">
      <c r="A449" s="328"/>
      <c r="B449" s="52">
        <v>0.13494249152379542</v>
      </c>
      <c r="C449" s="330">
        <v>9.1898902114672023E-3</v>
      </c>
      <c r="D449" s="330">
        <v>2.3874640196428265E-2</v>
      </c>
      <c r="E449" s="330">
        <v>1.9860817287492005E-2</v>
      </c>
      <c r="F449" s="331">
        <v>0.80068122968659938</v>
      </c>
      <c r="G449" s="94">
        <v>0.43671353602218377</v>
      </c>
      <c r="H449" s="330">
        <v>0.53766271050862602</v>
      </c>
      <c r="I449" s="330">
        <v>2.579684008272487E-2</v>
      </c>
      <c r="J449" s="330">
        <v>0.33645180811316155</v>
      </c>
      <c r="K449" s="330">
        <v>0.75379234621099489</v>
      </c>
      <c r="L449" s="332">
        <v>14717.992954292391</v>
      </c>
      <c r="M449" s="330">
        <v>0</v>
      </c>
      <c r="N449" s="330">
        <v>17306.201551447386</v>
      </c>
      <c r="O449" s="330">
        <v>990.96056461225578</v>
      </c>
      <c r="P449" s="330">
        <v>50448.302067983517</v>
      </c>
      <c r="Q449" s="333">
        <v>115941.21433741419</v>
      </c>
      <c r="R449" s="330">
        <v>22215.885524547357</v>
      </c>
      <c r="S449" s="330">
        <v>9991.6141141945518</v>
      </c>
      <c r="T449" s="332">
        <v>0.94816083069258217</v>
      </c>
      <c r="U449" s="330">
        <v>0.54802220110203359</v>
      </c>
      <c r="V449" s="330">
        <v>0.98975490291985202</v>
      </c>
      <c r="W449" s="330">
        <v>0.95545087178848698</v>
      </c>
      <c r="X449" s="330">
        <v>0.99888439892581238</v>
      </c>
      <c r="Y449" s="330">
        <v>0</v>
      </c>
      <c r="Z449" s="331">
        <v>0</v>
      </c>
      <c r="AA449" s="235"/>
      <c r="AB449" s="52">
        <v>101108.02974583645</v>
      </c>
      <c r="AC449" s="330">
        <v>5.0273605406224471</v>
      </c>
      <c r="AD449" s="330">
        <v>87903.247999193423</v>
      </c>
      <c r="AE449" s="330">
        <v>4.6931391222409946</v>
      </c>
      <c r="AF449" s="330">
        <v>13204.781746643028</v>
      </c>
      <c r="AG449" s="331">
        <v>0.33422141838145247</v>
      </c>
      <c r="AH449" s="235"/>
      <c r="AI449" s="208">
        <f t="shared" si="46"/>
        <v>4674884.4838454882</v>
      </c>
      <c r="AJ449" s="208">
        <f t="shared" si="47"/>
        <v>4370578.9181297515</v>
      </c>
      <c r="AK449" s="208">
        <f t="shared" si="48"/>
        <v>304305.56571573683</v>
      </c>
      <c r="AL449" s="235"/>
      <c r="AM449" s="52">
        <f t="shared" si="30"/>
        <v>1</v>
      </c>
      <c r="AN449" s="52">
        <f t="shared" si="31"/>
        <v>0</v>
      </c>
      <c r="AO449" s="52">
        <f t="shared" si="32"/>
        <v>1</v>
      </c>
      <c r="AP449" s="235"/>
      <c r="AQ449" s="3"/>
      <c r="AR449" s="3"/>
      <c r="AS449" s="3"/>
      <c r="AT449" s="3"/>
      <c r="AU449" s="235"/>
      <c r="AV449" s="360">
        <f t="shared" si="49"/>
        <v>4674884.4838454882</v>
      </c>
      <c r="AW449" s="235"/>
      <c r="AX449" s="354"/>
      <c r="AY449" s="14"/>
      <c r="AZ449" s="14">
        <f t="shared" si="51"/>
        <v>13204.781746643028</v>
      </c>
      <c r="BA449" s="14">
        <f t="shared" si="50"/>
        <v>0.33422141838145247</v>
      </c>
      <c r="BB449" s="14">
        <f t="shared" si="33"/>
        <v>39509.082962397675</v>
      </c>
      <c r="BC449" s="14"/>
      <c r="BD449" s="14"/>
      <c r="BE449" s="14"/>
      <c r="BF449" s="14"/>
      <c r="BG449" s="14"/>
      <c r="BH449" s="14"/>
      <c r="BI449" s="14"/>
      <c r="BJ449" s="14"/>
      <c r="BK449" s="14"/>
      <c r="BL449" s="14"/>
      <c r="BM449" s="14"/>
      <c r="BN449" s="14"/>
      <c r="BO449" s="14"/>
      <c r="BP449" s="14"/>
      <c r="BQ449" s="14"/>
      <c r="BR449" s="14"/>
      <c r="BS449" s="14"/>
      <c r="BT449" s="14"/>
      <c r="BU449" s="14"/>
      <c r="BV449" s="14"/>
      <c r="BW449" s="14"/>
      <c r="BX449" s="14"/>
      <c r="BY449" s="14"/>
      <c r="BZ449" s="14"/>
      <c r="CA449" s="14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</row>
    <row r="450" spans="1:101" ht="14.25" customHeight="1" x14ac:dyDescent="0.2">
      <c r="A450" s="328"/>
      <c r="B450" s="52">
        <v>0.15396192217307678</v>
      </c>
      <c r="C450" s="330">
        <v>0.27532805127391469</v>
      </c>
      <c r="D450" s="330">
        <v>3.2478716872671684E-3</v>
      </c>
      <c r="E450" s="330">
        <v>1.0864983359884629E-2</v>
      </c>
      <c r="F450" s="331">
        <v>0.76698115308143366</v>
      </c>
      <c r="G450" s="94">
        <v>0.42128640744804147</v>
      </c>
      <c r="H450" s="330">
        <v>0.76187052095784447</v>
      </c>
      <c r="I450" s="330">
        <v>7.5600961940326828E-3</v>
      </c>
      <c r="J450" s="330">
        <v>0.99992022309413975</v>
      </c>
      <c r="K450" s="330">
        <v>0.75471432103051039</v>
      </c>
      <c r="L450" s="332">
        <v>9735.6384998059475</v>
      </c>
      <c r="M450" s="330">
        <v>0</v>
      </c>
      <c r="N450" s="330">
        <v>19159.953943769335</v>
      </c>
      <c r="O450" s="330">
        <v>1136.1930209126238</v>
      </c>
      <c r="P450" s="330">
        <v>47581.369417718197</v>
      </c>
      <c r="Q450" s="333">
        <v>110184.73489401105</v>
      </c>
      <c r="R450" s="330">
        <v>19242.511379461648</v>
      </c>
      <c r="S450" s="330">
        <v>8666.7583972961893</v>
      </c>
      <c r="T450" s="332">
        <v>0.96508895781221227</v>
      </c>
      <c r="U450" s="330">
        <v>0.88946942159200915</v>
      </c>
      <c r="V450" s="330">
        <v>0.98650271585061544</v>
      </c>
      <c r="W450" s="330">
        <v>0.95625138059122372</v>
      </c>
      <c r="X450" s="330">
        <v>0.97205477688773145</v>
      </c>
      <c r="Y450" s="330">
        <v>0</v>
      </c>
      <c r="Z450" s="331">
        <v>0</v>
      </c>
      <c r="AA450" s="235"/>
      <c r="AB450" s="52">
        <v>82114.793551710405</v>
      </c>
      <c r="AC450" s="330">
        <v>4.5193381704658515</v>
      </c>
      <c r="AD450" s="330">
        <v>77380.713525171333</v>
      </c>
      <c r="AE450" s="330">
        <v>4.6891941823938854</v>
      </c>
      <c r="AF450" s="330">
        <v>4734.0800265390717</v>
      </c>
      <c r="AG450" s="331">
        <v>-0.1698560119280339</v>
      </c>
      <c r="AH450" s="235"/>
      <c r="AI450" s="208">
        <f t="shared" si="46"/>
        <v>4211256.4683908485</v>
      </c>
      <c r="AJ450" s="208">
        <f t="shared" si="47"/>
        <v>4377353.7597490195</v>
      </c>
      <c r="AK450" s="208">
        <f t="shared" si="48"/>
        <v>-166097.29135817126</v>
      </c>
      <c r="AL450" s="235"/>
      <c r="AM450" s="52">
        <f t="shared" si="30"/>
        <v>0</v>
      </c>
      <c r="AN450" s="52">
        <f t="shared" si="31"/>
        <v>1</v>
      </c>
      <c r="AO450" s="52">
        <f t="shared" si="32"/>
        <v>0</v>
      </c>
      <c r="AP450" s="235"/>
      <c r="AQ450" s="3"/>
      <c r="AR450" s="3"/>
      <c r="AS450" s="3"/>
      <c r="AT450" s="3"/>
      <c r="AU450" s="235"/>
      <c r="AV450" s="360">
        <f t="shared" si="49"/>
        <v>4377353.7597490195</v>
      </c>
      <c r="AW450" s="235"/>
      <c r="AX450" s="354"/>
      <c r="AY450" s="14"/>
      <c r="AZ450" s="14">
        <f t="shared" si="51"/>
        <v>4734.0800265390717</v>
      </c>
      <c r="BA450" s="14">
        <f t="shared" si="50"/>
        <v>-0.1698560119280339</v>
      </c>
      <c r="BB450" s="14">
        <f t="shared" si="33"/>
        <v>-27871.136104059999</v>
      </c>
      <c r="BC450" s="14"/>
      <c r="BD450" s="14"/>
      <c r="BE450" s="14"/>
      <c r="BF450" s="14"/>
      <c r="BG450" s="14"/>
      <c r="BH450" s="14"/>
      <c r="BI450" s="14"/>
      <c r="BJ450" s="14"/>
      <c r="BK450" s="14"/>
      <c r="BL450" s="14"/>
      <c r="BM450" s="14"/>
      <c r="BN450" s="14"/>
      <c r="BO450" s="14"/>
      <c r="BP450" s="14"/>
      <c r="BQ450" s="14"/>
      <c r="BR450" s="14"/>
      <c r="BS450" s="14"/>
      <c r="BT450" s="14"/>
      <c r="BU450" s="14"/>
      <c r="BV450" s="14"/>
      <c r="BW450" s="14"/>
      <c r="BX450" s="14"/>
      <c r="BY450" s="14"/>
      <c r="BZ450" s="14"/>
      <c r="CA450" s="14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</row>
    <row r="451" spans="1:101" ht="14.25" customHeight="1" x14ac:dyDescent="0.2">
      <c r="A451" s="328"/>
      <c r="B451" s="52">
        <v>0.18543230283404377</v>
      </c>
      <c r="C451" s="330">
        <v>0.16784901728669865</v>
      </c>
      <c r="D451" s="330">
        <v>7.1953205453817717E-3</v>
      </c>
      <c r="E451" s="330">
        <v>1.4688407380466395E-2</v>
      </c>
      <c r="F451" s="331">
        <v>0.77943805026600954</v>
      </c>
      <c r="G451" s="94">
        <v>0.38998212613316779</v>
      </c>
      <c r="H451" s="330">
        <v>0.64247305975344582</v>
      </c>
      <c r="I451" s="330">
        <v>2.4179827045321733E-2</v>
      </c>
      <c r="J451" s="330">
        <v>0.99999978036317061</v>
      </c>
      <c r="K451" s="330">
        <v>0.74349092876997724</v>
      </c>
      <c r="L451" s="332">
        <v>8961.5253538103225</v>
      </c>
      <c r="M451" s="330">
        <v>0</v>
      </c>
      <c r="N451" s="330">
        <v>26255.939668707229</v>
      </c>
      <c r="O451" s="330">
        <v>1541.5402780435813</v>
      </c>
      <c r="P451" s="330">
        <v>37682.052341878116</v>
      </c>
      <c r="Q451" s="333">
        <v>137034.92343023332</v>
      </c>
      <c r="R451" s="330">
        <v>19998.950003676204</v>
      </c>
      <c r="S451" s="330">
        <v>9518.9221940256975</v>
      </c>
      <c r="T451" s="332">
        <v>0.60539884629208884</v>
      </c>
      <c r="U451" s="330">
        <v>0.99987500968641951</v>
      </c>
      <c r="V451" s="330">
        <v>5.6572942339789642E-2</v>
      </c>
      <c r="W451" s="330">
        <v>0.89725644770917112</v>
      </c>
      <c r="X451" s="330">
        <v>0.99999941359475319</v>
      </c>
      <c r="Y451" s="330">
        <v>0</v>
      </c>
      <c r="Z451" s="331">
        <v>0</v>
      </c>
      <c r="AA451" s="235"/>
      <c r="AB451" s="52">
        <v>89673.33411761334</v>
      </c>
      <c r="AC451" s="330">
        <v>4.7215601408331187</v>
      </c>
      <c r="AD451" s="330">
        <v>83364.994579285296</v>
      </c>
      <c r="AE451" s="330">
        <v>4.6842669612623231</v>
      </c>
      <c r="AF451" s="330">
        <v>6308.339538328044</v>
      </c>
      <c r="AG451" s="331">
        <v>3.7293179570795587E-2</v>
      </c>
      <c r="AH451" s="235"/>
      <c r="AI451" s="208">
        <f t="shared" si="46"/>
        <v>4395808.7996738488</v>
      </c>
      <c r="AJ451" s="208">
        <f t="shared" si="47"/>
        <v>4366688.6186199216</v>
      </c>
      <c r="AK451" s="208">
        <f t="shared" si="48"/>
        <v>29120.181053927765</v>
      </c>
      <c r="AL451" s="235"/>
      <c r="AM451" s="52">
        <f t="shared" si="30"/>
        <v>1</v>
      </c>
      <c r="AN451" s="52">
        <f t="shared" si="31"/>
        <v>0</v>
      </c>
      <c r="AO451" s="52">
        <f t="shared" si="32"/>
        <v>1</v>
      </c>
      <c r="AP451" s="235"/>
      <c r="AQ451" s="3"/>
      <c r="AR451" s="3"/>
      <c r="AS451" s="3"/>
      <c r="AT451" s="3"/>
      <c r="AU451" s="235"/>
      <c r="AV451" s="360">
        <f t="shared" si="49"/>
        <v>4395808.7996738488</v>
      </c>
      <c r="AW451" s="235"/>
      <c r="AX451" s="354"/>
      <c r="AY451" s="14"/>
      <c r="AZ451" s="14">
        <f t="shared" si="51"/>
        <v>6308.339538328044</v>
      </c>
      <c r="BA451" s="14">
        <f t="shared" si="50"/>
        <v>3.7293179570795587E-2</v>
      </c>
      <c r="BB451" s="14">
        <f t="shared" si="33"/>
        <v>169155.31501819505</v>
      </c>
      <c r="BC451" s="14"/>
      <c r="BD451" s="14"/>
      <c r="BE451" s="14"/>
      <c r="BF451" s="14"/>
      <c r="BG451" s="14"/>
      <c r="BH451" s="14"/>
      <c r="BI451" s="14"/>
      <c r="BJ451" s="14"/>
      <c r="BK451" s="14"/>
      <c r="BL451" s="14"/>
      <c r="BM451" s="14"/>
      <c r="BN451" s="14"/>
      <c r="BO451" s="14"/>
      <c r="BP451" s="14"/>
      <c r="BQ451" s="14"/>
      <c r="BR451" s="14"/>
      <c r="BS451" s="14"/>
      <c r="BT451" s="14"/>
      <c r="BU451" s="14"/>
      <c r="BV451" s="14"/>
      <c r="BW451" s="14"/>
      <c r="BX451" s="14"/>
      <c r="BY451" s="14"/>
      <c r="BZ451" s="14"/>
      <c r="CA451" s="14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</row>
    <row r="452" spans="1:101" ht="14.25" customHeight="1" x14ac:dyDescent="0.2">
      <c r="A452" s="328"/>
      <c r="B452" s="52">
        <v>0.17821249491739566</v>
      </c>
      <c r="C452" s="330">
        <v>0.21812898256403476</v>
      </c>
      <c r="D452" s="330">
        <v>1.0190436877790129E-2</v>
      </c>
      <c r="E452" s="330">
        <v>1.5671213959228769E-2</v>
      </c>
      <c r="F452" s="331">
        <v>0.79615009315633589</v>
      </c>
      <c r="G452" s="94">
        <v>0.41219754754926985</v>
      </c>
      <c r="H452" s="330">
        <v>0.46984294362576812</v>
      </c>
      <c r="I452" s="330">
        <v>1.5688827768236675E-2</v>
      </c>
      <c r="J452" s="330">
        <v>0.99998361041669648</v>
      </c>
      <c r="K452" s="330">
        <v>0.75197663701451889</v>
      </c>
      <c r="L452" s="332">
        <v>9070.0301243169743</v>
      </c>
      <c r="M452" s="330">
        <v>0</v>
      </c>
      <c r="N452" s="330">
        <v>18939.221146386488</v>
      </c>
      <c r="O452" s="330">
        <v>1252.5604121727961</v>
      </c>
      <c r="P452" s="330">
        <v>39482.312784802511</v>
      </c>
      <c r="Q452" s="333">
        <v>103982.08812775694</v>
      </c>
      <c r="R452" s="330">
        <v>17105.394963197643</v>
      </c>
      <c r="S452" s="330">
        <v>6066.3243220426548</v>
      </c>
      <c r="T452" s="332">
        <v>0.99870255829335397</v>
      </c>
      <c r="U452" s="330">
        <v>0.88112841512877216</v>
      </c>
      <c r="V452" s="330">
        <v>0.94372057999742953</v>
      </c>
      <c r="W452" s="330">
        <v>0.95757473672318549</v>
      </c>
      <c r="X452" s="330">
        <v>0.99664967527766601</v>
      </c>
      <c r="Y452" s="330">
        <v>0</v>
      </c>
      <c r="Z452" s="331">
        <v>0</v>
      </c>
      <c r="AA452" s="235"/>
      <c r="AB452" s="52">
        <v>61977.373917832003</v>
      </c>
      <c r="AC452" s="330">
        <v>5.3354662659224896</v>
      </c>
      <c r="AD452" s="330">
        <v>53804.493030388199</v>
      </c>
      <c r="AE452" s="330">
        <v>4.6988966608018918</v>
      </c>
      <c r="AF452" s="330">
        <v>8172.8808874438037</v>
      </c>
      <c r="AG452" s="331">
        <v>0.63656960512059779</v>
      </c>
      <c r="AH452" s="235"/>
      <c r="AI452" s="208">
        <f t="shared" si="46"/>
        <v>5006715.5787085332</v>
      </c>
      <c r="AJ452" s="208">
        <f t="shared" si="47"/>
        <v>4410147.3347314093</v>
      </c>
      <c r="AK452" s="208">
        <f t="shared" si="48"/>
        <v>596568.2439771241</v>
      </c>
      <c r="AL452" s="235"/>
      <c r="AM452" s="52">
        <f t="shared" si="30"/>
        <v>1</v>
      </c>
      <c r="AN452" s="52">
        <f t="shared" si="31"/>
        <v>0</v>
      </c>
      <c r="AO452" s="52">
        <f t="shared" si="32"/>
        <v>1</v>
      </c>
      <c r="AP452" s="235"/>
      <c r="AQ452" s="3"/>
      <c r="AR452" s="3"/>
      <c r="AS452" s="3"/>
      <c r="AT452" s="3"/>
      <c r="AU452" s="235"/>
      <c r="AV452" s="360">
        <f t="shared" si="49"/>
        <v>5006715.5787085332</v>
      </c>
      <c r="AW452" s="235"/>
      <c r="AX452" s="354"/>
      <c r="AY452" s="14"/>
      <c r="AZ452" s="14">
        <f t="shared" si="51"/>
        <v>8172.8808874438037</v>
      </c>
      <c r="BA452" s="14">
        <f t="shared" si="50"/>
        <v>0.63656960512059779</v>
      </c>
      <c r="BB452" s="14">
        <f t="shared" si="33"/>
        <v>12838.943018486494</v>
      </c>
      <c r="BC452" s="14"/>
      <c r="BD452" s="14"/>
      <c r="BE452" s="14"/>
      <c r="BF452" s="14"/>
      <c r="BG452" s="14"/>
      <c r="BH452" s="14"/>
      <c r="BI452" s="14"/>
      <c r="BJ452" s="14"/>
      <c r="BK452" s="14"/>
      <c r="BL452" s="14"/>
      <c r="BM452" s="14"/>
      <c r="BN452" s="14"/>
      <c r="BO452" s="14"/>
      <c r="BP452" s="14"/>
      <c r="BQ452" s="14"/>
      <c r="BR452" s="14"/>
      <c r="BS452" s="14"/>
      <c r="BT452" s="14"/>
      <c r="BU452" s="14"/>
      <c r="BV452" s="14"/>
      <c r="BW452" s="14"/>
      <c r="BX452" s="14"/>
      <c r="BY452" s="14"/>
      <c r="BZ452" s="14"/>
      <c r="CA452" s="14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</row>
    <row r="453" spans="1:101" ht="14.25" customHeight="1" x14ac:dyDescent="0.2">
      <c r="A453" s="328"/>
      <c r="B453" s="52">
        <v>0.17741750698443692</v>
      </c>
      <c r="C453" s="330">
        <v>0.22421785663563221</v>
      </c>
      <c r="D453" s="330">
        <v>1.0076713009210685E-2</v>
      </c>
      <c r="E453" s="330">
        <v>1.0205527240464385E-2</v>
      </c>
      <c r="F453" s="331">
        <v>0.71613105479536543</v>
      </c>
      <c r="G453" s="94">
        <v>0.38397841514661218</v>
      </c>
      <c r="H453" s="330">
        <v>0.5977663887850746</v>
      </c>
      <c r="I453" s="330">
        <v>4.5897010955530115E-2</v>
      </c>
      <c r="J453" s="330">
        <v>0.99999999999995803</v>
      </c>
      <c r="K453" s="330">
        <v>0.73312493060735207</v>
      </c>
      <c r="L453" s="332">
        <v>13177.342525337945</v>
      </c>
      <c r="M453" s="330">
        <v>0</v>
      </c>
      <c r="N453" s="330">
        <v>19656.449392842605</v>
      </c>
      <c r="O453" s="330">
        <v>1093.5550472197174</v>
      </c>
      <c r="P453" s="330">
        <v>27997.462452940374</v>
      </c>
      <c r="Q453" s="333">
        <v>87664.078177684991</v>
      </c>
      <c r="R453" s="330">
        <v>17802.173790596607</v>
      </c>
      <c r="S453" s="330">
        <v>9697.2616388252754</v>
      </c>
      <c r="T453" s="332">
        <v>0.95305217244626195</v>
      </c>
      <c r="U453" s="330">
        <v>0.99181266586814543</v>
      </c>
      <c r="V453" s="330">
        <v>0.5418970465389944</v>
      </c>
      <c r="W453" s="330">
        <v>0.97954219517586927</v>
      </c>
      <c r="X453" s="330">
        <v>0.85421705672479997</v>
      </c>
      <c r="Y453" s="330">
        <v>0</v>
      </c>
      <c r="Z453" s="331">
        <v>0</v>
      </c>
      <c r="AA453" s="235"/>
      <c r="AB453" s="52">
        <v>88760.271001767615</v>
      </c>
      <c r="AC453" s="330">
        <v>3.8728486488609395</v>
      </c>
      <c r="AD453" s="330">
        <v>83065.187703075324</v>
      </c>
      <c r="AE453" s="330">
        <v>3.9498468891384744</v>
      </c>
      <c r="AF453" s="330">
        <v>5695.0832986922906</v>
      </c>
      <c r="AG453" s="331">
        <v>-7.699824027753488E-2</v>
      </c>
      <c r="AH453" s="235"/>
      <c r="AI453" s="208">
        <f t="shared" si="46"/>
        <v>3590445.9454161245</v>
      </c>
      <c r="AJ453" s="208">
        <f t="shared" si="47"/>
        <v>3669289.3569784751</v>
      </c>
      <c r="AK453" s="208">
        <f t="shared" si="48"/>
        <v>-78843.411562350433</v>
      </c>
      <c r="AL453" s="235"/>
      <c r="AM453" s="52">
        <f t="shared" si="30"/>
        <v>0</v>
      </c>
      <c r="AN453" s="52">
        <f t="shared" si="31"/>
        <v>1</v>
      </c>
      <c r="AO453" s="52">
        <f t="shared" si="32"/>
        <v>0</v>
      </c>
      <c r="AP453" s="235"/>
      <c r="AQ453" s="3"/>
      <c r="AR453" s="3"/>
      <c r="AS453" s="3"/>
      <c r="AT453" s="3"/>
      <c r="AU453" s="235"/>
      <c r="AV453" s="360">
        <f t="shared" si="49"/>
        <v>3669289.3569784751</v>
      </c>
      <c r="AW453" s="235"/>
      <c r="AX453" s="354"/>
      <c r="AY453" s="14"/>
      <c r="AZ453" s="14">
        <f t="shared" si="51"/>
        <v>5695.0832986922906</v>
      </c>
      <c r="BA453" s="14">
        <f t="shared" si="50"/>
        <v>-7.699824027753488E-2</v>
      </c>
      <c r="BB453" s="14">
        <f t="shared" si="33"/>
        <v>-73963.81109704265</v>
      </c>
      <c r="BC453" s="14"/>
      <c r="BD453" s="14"/>
      <c r="BE453" s="14"/>
      <c r="BF453" s="14"/>
      <c r="BG453" s="14"/>
      <c r="BH453" s="14"/>
      <c r="BI453" s="14"/>
      <c r="BJ453" s="14"/>
      <c r="BK453" s="14"/>
      <c r="BL453" s="14"/>
      <c r="BM453" s="14"/>
      <c r="BN453" s="14"/>
      <c r="BO453" s="14"/>
      <c r="BP453" s="14"/>
      <c r="BQ453" s="14"/>
      <c r="BR453" s="14"/>
      <c r="BS453" s="14"/>
      <c r="BT453" s="14"/>
      <c r="BU453" s="14"/>
      <c r="BV453" s="14"/>
      <c r="BW453" s="14"/>
      <c r="BX453" s="14"/>
      <c r="BY453" s="14"/>
      <c r="BZ453" s="14"/>
      <c r="CA453" s="14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</row>
    <row r="454" spans="1:101" ht="14.25" customHeight="1" x14ac:dyDescent="0.2">
      <c r="A454" s="328"/>
      <c r="B454" s="52">
        <v>0.16894113666767463</v>
      </c>
      <c r="C454" s="330">
        <v>0.61887497050672957</v>
      </c>
      <c r="D454" s="330">
        <v>1.3413242924664668E-2</v>
      </c>
      <c r="E454" s="330">
        <v>2.2110388286569527E-2</v>
      </c>
      <c r="F454" s="331">
        <v>0.77934365403399009</v>
      </c>
      <c r="G454" s="94">
        <v>0.37109714878831163</v>
      </c>
      <c r="H454" s="330">
        <v>0.11211760954054353</v>
      </c>
      <c r="I454" s="330">
        <v>4.9501159034931541E-3</v>
      </c>
      <c r="J454" s="330">
        <v>0.99961466117556663</v>
      </c>
      <c r="K454" s="330">
        <v>0.73079634578731323</v>
      </c>
      <c r="L454" s="332">
        <v>9522.8180328285562</v>
      </c>
      <c r="M454" s="330">
        <v>0</v>
      </c>
      <c r="N454" s="330">
        <v>12360.371328253852</v>
      </c>
      <c r="O454" s="330">
        <v>1238.3174927225195</v>
      </c>
      <c r="P454" s="330">
        <v>46156.205628715579</v>
      </c>
      <c r="Q454" s="333">
        <v>77267.718780044772</v>
      </c>
      <c r="R454" s="330">
        <v>20884.487203041168</v>
      </c>
      <c r="S454" s="330">
        <v>8161.2556701226267</v>
      </c>
      <c r="T454" s="332">
        <v>0.99999928616395461</v>
      </c>
      <c r="U454" s="330">
        <v>0.20225838009625516</v>
      </c>
      <c r="V454" s="330">
        <v>0.86085492064892444</v>
      </c>
      <c r="W454" s="330">
        <v>0.53969186878560593</v>
      </c>
      <c r="X454" s="330">
        <v>0.99999006697197224</v>
      </c>
      <c r="Y454" s="330">
        <v>0</v>
      </c>
      <c r="Z454" s="331">
        <v>0</v>
      </c>
      <c r="AA454" s="235"/>
      <c r="AB454" s="52">
        <v>80348.758293274179</v>
      </c>
      <c r="AC454" s="330">
        <v>4.9335373872544652</v>
      </c>
      <c r="AD454" s="330">
        <v>65600.67852653256</v>
      </c>
      <c r="AE454" s="330">
        <v>4.4397377500375628</v>
      </c>
      <c r="AF454" s="330">
        <v>14748.079766741619</v>
      </c>
      <c r="AG454" s="331">
        <v>0.49379963721690245</v>
      </c>
      <c r="AH454" s="235"/>
      <c r="AI454" s="208">
        <f t="shared" si="46"/>
        <v>4606511.7595984684</v>
      </c>
      <c r="AJ454" s="208">
        <f t="shared" si="47"/>
        <v>4152150.184009152</v>
      </c>
      <c r="AK454" s="208">
        <f t="shared" si="48"/>
        <v>454361.57558931573</v>
      </c>
      <c r="AL454" s="235"/>
      <c r="AM454" s="52">
        <f t="shared" si="30"/>
        <v>1</v>
      </c>
      <c r="AN454" s="52">
        <f t="shared" si="31"/>
        <v>0</v>
      </c>
      <c r="AO454" s="52">
        <f t="shared" si="32"/>
        <v>1</v>
      </c>
      <c r="AP454" s="235"/>
      <c r="AQ454" s="3"/>
      <c r="AR454" s="3"/>
      <c r="AS454" s="3"/>
      <c r="AT454" s="3"/>
      <c r="AU454" s="235"/>
      <c r="AV454" s="360">
        <f t="shared" si="49"/>
        <v>4606511.7595984684</v>
      </c>
      <c r="AW454" s="235"/>
      <c r="AX454" s="354"/>
      <c r="AY454" s="14"/>
      <c r="AZ454" s="14">
        <f t="shared" si="51"/>
        <v>14748.079766741619</v>
      </c>
      <c r="BA454" s="14">
        <f t="shared" si="50"/>
        <v>0.49379963721690245</v>
      </c>
      <c r="BB454" s="14">
        <f t="shared" si="33"/>
        <v>29866.526127607292</v>
      </c>
      <c r="BC454" s="14"/>
      <c r="BD454" s="14"/>
      <c r="BE454" s="14"/>
      <c r="BF454" s="14"/>
      <c r="BG454" s="14"/>
      <c r="BH454" s="14"/>
      <c r="BI454" s="14"/>
      <c r="BJ454" s="14"/>
      <c r="BK454" s="14"/>
      <c r="BL454" s="14"/>
      <c r="BM454" s="14"/>
      <c r="BN454" s="14"/>
      <c r="BO454" s="14"/>
      <c r="BP454" s="14"/>
      <c r="BQ454" s="14"/>
      <c r="BR454" s="14"/>
      <c r="BS454" s="14"/>
      <c r="BT454" s="14"/>
      <c r="BU454" s="14"/>
      <c r="BV454" s="14"/>
      <c r="BW454" s="14"/>
      <c r="BX454" s="14"/>
      <c r="BY454" s="14"/>
      <c r="BZ454" s="14"/>
      <c r="CA454" s="14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</row>
    <row r="455" spans="1:101" ht="14.25" customHeight="1" x14ac:dyDescent="0.2">
      <c r="A455" s="328"/>
      <c r="B455" s="52">
        <v>0.18595803118284193</v>
      </c>
      <c r="C455" s="330">
        <v>0.71200954245911885</v>
      </c>
      <c r="D455" s="330">
        <v>9.6327956819965005E-3</v>
      </c>
      <c r="E455" s="330">
        <v>2.4581397092555357E-2</v>
      </c>
      <c r="F455" s="331">
        <v>0.78556366580074177</v>
      </c>
      <c r="G455" s="94">
        <v>0.41066494115256325</v>
      </c>
      <c r="H455" s="330">
        <v>0.23038718741964584</v>
      </c>
      <c r="I455" s="330">
        <v>1.8434002690191464E-2</v>
      </c>
      <c r="J455" s="330">
        <v>0.99999999999999578</v>
      </c>
      <c r="K455" s="330">
        <v>0.77661185279575606</v>
      </c>
      <c r="L455" s="332">
        <v>9833.3631136222557</v>
      </c>
      <c r="M455" s="330">
        <v>0</v>
      </c>
      <c r="N455" s="330">
        <v>22145.563927003579</v>
      </c>
      <c r="O455" s="330">
        <v>788.88560143659117</v>
      </c>
      <c r="P455" s="330">
        <v>51610.764165623019</v>
      </c>
      <c r="Q455" s="333">
        <v>101765.26439553352</v>
      </c>
      <c r="R455" s="330">
        <v>29497.854667979082</v>
      </c>
      <c r="S455" s="330">
        <v>10083.080633244497</v>
      </c>
      <c r="T455" s="332">
        <v>0.8881319702977063</v>
      </c>
      <c r="U455" s="330">
        <v>0.99511580338416117</v>
      </c>
      <c r="V455" s="330">
        <v>0.91417236455623851</v>
      </c>
      <c r="W455" s="330">
        <v>0.87624449052327569</v>
      </c>
      <c r="X455" s="330">
        <v>0.7258388567858034</v>
      </c>
      <c r="Y455" s="330">
        <v>0</v>
      </c>
      <c r="Z455" s="331">
        <v>0</v>
      </c>
      <c r="AA455" s="235"/>
      <c r="AB455" s="52">
        <v>99072.261818742423</v>
      </c>
      <c r="AC455" s="330">
        <v>3.9030252190227923</v>
      </c>
      <c r="AD455" s="330">
        <v>88583.506886122806</v>
      </c>
      <c r="AE455" s="330">
        <v>3.4955089477019539</v>
      </c>
      <c r="AF455" s="330">
        <v>10488.754932619617</v>
      </c>
      <c r="AG455" s="331">
        <v>0.40751627132083845</v>
      </c>
      <c r="AH455" s="235"/>
      <c r="AI455" s="208">
        <f t="shared" si="46"/>
        <v>3608801.6962529104</v>
      </c>
      <c r="AJ455" s="208">
        <f t="shared" si="47"/>
        <v>3232149.9934307332</v>
      </c>
      <c r="AK455" s="208">
        <f t="shared" si="48"/>
        <v>376651.70282217691</v>
      </c>
      <c r="AL455" s="235"/>
      <c r="AM455" s="52">
        <f t="shared" si="30"/>
        <v>1</v>
      </c>
      <c r="AN455" s="52">
        <f t="shared" si="31"/>
        <v>0</v>
      </c>
      <c r="AO455" s="52">
        <f t="shared" si="32"/>
        <v>1</v>
      </c>
      <c r="AP455" s="235"/>
      <c r="AQ455" s="3"/>
      <c r="AR455" s="3"/>
      <c r="AS455" s="3"/>
      <c r="AT455" s="3"/>
      <c r="AU455" s="235"/>
      <c r="AV455" s="360">
        <f t="shared" si="49"/>
        <v>3608801.6962529104</v>
      </c>
      <c r="AW455" s="235"/>
      <c r="AX455" s="354"/>
      <c r="AY455" s="14"/>
      <c r="AZ455" s="14">
        <f t="shared" si="51"/>
        <v>10488.754932619617</v>
      </c>
      <c r="BA455" s="14">
        <f t="shared" si="50"/>
        <v>0.40751627132083845</v>
      </c>
      <c r="BB455" s="14">
        <f t="shared" si="33"/>
        <v>25738.248189755832</v>
      </c>
      <c r="BC455" s="14"/>
      <c r="BD455" s="14"/>
      <c r="BE455" s="14"/>
      <c r="BF455" s="14"/>
      <c r="BG455" s="14"/>
      <c r="BH455" s="14"/>
      <c r="BI455" s="14"/>
      <c r="BJ455" s="14"/>
      <c r="BK455" s="14"/>
      <c r="BL455" s="14"/>
      <c r="BM455" s="14"/>
      <c r="BN455" s="14"/>
      <c r="BO455" s="14"/>
      <c r="BP455" s="14"/>
      <c r="BQ455" s="14"/>
      <c r="BR455" s="14"/>
      <c r="BS455" s="14"/>
      <c r="BT455" s="14"/>
      <c r="BU455" s="14"/>
      <c r="BV455" s="14"/>
      <c r="BW455" s="14"/>
      <c r="BX455" s="14"/>
      <c r="BY455" s="14"/>
      <c r="BZ455" s="14"/>
      <c r="CA455" s="14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</row>
    <row r="456" spans="1:101" ht="14.25" customHeight="1" x14ac:dyDescent="0.2">
      <c r="A456" s="328"/>
      <c r="B456" s="52">
        <v>0.17626643121590302</v>
      </c>
      <c r="C456" s="330">
        <v>0.46643915728385232</v>
      </c>
      <c r="D456" s="330">
        <v>4.0873175719153111E-3</v>
      </c>
      <c r="E456" s="330">
        <v>7.1303330770100112E-3</v>
      </c>
      <c r="F456" s="331">
        <v>0.77479944253307698</v>
      </c>
      <c r="G456" s="94">
        <v>0.38247370175076773</v>
      </c>
      <c r="H456" s="330">
        <v>4.1966490722916876E-3</v>
      </c>
      <c r="I456" s="330">
        <v>1.1490898473704728E-2</v>
      </c>
      <c r="J456" s="330">
        <v>0.98952248324738723</v>
      </c>
      <c r="K456" s="330">
        <v>0.80898980290143419</v>
      </c>
      <c r="L456" s="332">
        <v>14767.722068812067</v>
      </c>
      <c r="M456" s="330">
        <v>0</v>
      </c>
      <c r="N456" s="330">
        <v>19907.688054969127</v>
      </c>
      <c r="O456" s="330">
        <v>1169.0613750971884</v>
      </c>
      <c r="P456" s="330">
        <v>46503.993439300088</v>
      </c>
      <c r="Q456" s="333">
        <v>110510.13665119128</v>
      </c>
      <c r="R456" s="330">
        <v>25761.451344869638</v>
      </c>
      <c r="S456" s="330">
        <v>12287.167079724275</v>
      </c>
      <c r="T456" s="332">
        <v>0.33560488218909118</v>
      </c>
      <c r="U456" s="330">
        <v>0.99000727480382467</v>
      </c>
      <c r="V456" s="330">
        <v>0.77084749767206406</v>
      </c>
      <c r="W456" s="330">
        <v>0.99790973869562616</v>
      </c>
      <c r="X456" s="330">
        <v>0.99996055095736813</v>
      </c>
      <c r="Y456" s="330">
        <v>0</v>
      </c>
      <c r="Z456" s="331">
        <v>0</v>
      </c>
      <c r="AA456" s="235"/>
      <c r="AB456" s="52">
        <v>119334.08083183078</v>
      </c>
      <c r="AC456" s="330">
        <v>4.7684923412374278</v>
      </c>
      <c r="AD456" s="330">
        <v>107985.83651266665</v>
      </c>
      <c r="AE456" s="330">
        <v>5.007461313728367</v>
      </c>
      <c r="AF456" s="330">
        <v>11348.244319164136</v>
      </c>
      <c r="AG456" s="331">
        <v>-0.23896897249093918</v>
      </c>
      <c r="AH456" s="235"/>
      <c r="AI456" s="208">
        <f t="shared" si="46"/>
        <v>4410733.6433437262</v>
      </c>
      <c r="AJ456" s="208">
        <f t="shared" si="47"/>
        <v>4649102.4115292821</v>
      </c>
      <c r="AK456" s="208">
        <f t="shared" si="48"/>
        <v>-238368.76818555634</v>
      </c>
      <c r="AL456" s="235"/>
      <c r="AM456" s="52">
        <f t="shared" si="30"/>
        <v>0</v>
      </c>
      <c r="AN456" s="52">
        <f t="shared" si="31"/>
        <v>1</v>
      </c>
      <c r="AO456" s="52">
        <f t="shared" si="32"/>
        <v>0</v>
      </c>
      <c r="AP456" s="235"/>
      <c r="AQ456" s="28"/>
      <c r="AR456" s="28"/>
      <c r="AS456" s="28"/>
      <c r="AT456" s="28"/>
      <c r="AU456" s="235"/>
      <c r="AV456" s="360">
        <f t="shared" si="49"/>
        <v>4649102.4115292821</v>
      </c>
      <c r="AW456" s="235"/>
      <c r="AX456" s="355"/>
      <c r="AY456" s="344"/>
      <c r="AZ456" s="14">
        <f t="shared" si="51"/>
        <v>11348.244319164136</v>
      </c>
      <c r="BA456" s="14">
        <f t="shared" si="50"/>
        <v>-0.23896897249093918</v>
      </c>
      <c r="BB456" s="14">
        <f t="shared" si="33"/>
        <v>-47488.358847901975</v>
      </c>
      <c r="BC456" s="344"/>
      <c r="BD456" s="344"/>
      <c r="BE456" s="344"/>
      <c r="BF456" s="344"/>
      <c r="BG456" s="344"/>
      <c r="BH456" s="344"/>
      <c r="BI456" s="344"/>
      <c r="BJ456" s="344"/>
      <c r="BK456" s="344"/>
      <c r="BL456" s="344"/>
      <c r="BM456" s="344"/>
      <c r="BN456" s="344"/>
      <c r="BO456" s="344"/>
      <c r="BP456" s="14"/>
      <c r="BQ456" s="14"/>
      <c r="BR456" s="14"/>
      <c r="BS456" s="14"/>
      <c r="BT456" s="14"/>
      <c r="BU456" s="14"/>
      <c r="BV456" s="14"/>
      <c r="BW456" s="14"/>
      <c r="BX456" s="14"/>
      <c r="BY456" s="14"/>
      <c r="BZ456" s="14"/>
      <c r="CA456" s="14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</row>
    <row r="457" spans="1:101" ht="14.25" customHeight="1" x14ac:dyDescent="0.2">
      <c r="A457" s="328"/>
      <c r="B457" s="52">
        <v>0.14157114531685519</v>
      </c>
      <c r="C457" s="330">
        <v>0.29819722194767068</v>
      </c>
      <c r="D457" s="330">
        <v>1.7317392926313513E-2</v>
      </c>
      <c r="E457" s="330">
        <v>1.8205491098186921E-2</v>
      </c>
      <c r="F457" s="331">
        <v>0.81375635432428384</v>
      </c>
      <c r="G457" s="94">
        <v>0.44591117024974614</v>
      </c>
      <c r="H457" s="330">
        <v>0.81731827760975995</v>
      </c>
      <c r="I457" s="330">
        <v>3.2528633563210165E-3</v>
      </c>
      <c r="J457" s="330">
        <v>0.999929207624352</v>
      </c>
      <c r="K457" s="330">
        <v>0.79189466780450068</v>
      </c>
      <c r="L457" s="332">
        <v>12990.8388440291</v>
      </c>
      <c r="M457" s="330">
        <v>0</v>
      </c>
      <c r="N457" s="330">
        <v>18905.023139389235</v>
      </c>
      <c r="O457" s="330">
        <v>1391.5573666966063</v>
      </c>
      <c r="P457" s="330">
        <v>35298.275663018765</v>
      </c>
      <c r="Q457" s="333">
        <v>61796.811539188522</v>
      </c>
      <c r="R457" s="330">
        <v>25101.746544547688</v>
      </c>
      <c r="S457" s="330">
        <v>9950.6034777880704</v>
      </c>
      <c r="T457" s="332">
        <v>0.72876721404266831</v>
      </c>
      <c r="U457" s="330">
        <v>0.99031780754749432</v>
      </c>
      <c r="V457" s="330">
        <v>0.44637003503218098</v>
      </c>
      <c r="W457" s="330">
        <v>0.97540187343158546</v>
      </c>
      <c r="X457" s="330">
        <v>0.33454776879771569</v>
      </c>
      <c r="Y457" s="330">
        <v>0</v>
      </c>
      <c r="Z457" s="331">
        <v>0</v>
      </c>
      <c r="AA457" s="235"/>
      <c r="AB457" s="52">
        <v>101296.18055656059</v>
      </c>
      <c r="AC457" s="330">
        <v>1.7504911978729589</v>
      </c>
      <c r="AD457" s="330">
        <v>94478.502867554605</v>
      </c>
      <c r="AE457" s="330">
        <v>1.6855933730303576</v>
      </c>
      <c r="AF457" s="330">
        <v>6817.6776890059846</v>
      </c>
      <c r="AG457" s="331">
        <v>6.4897824842601315E-2</v>
      </c>
      <c r="AH457" s="235"/>
      <c r="AI457" s="208">
        <f t="shared" si="46"/>
        <v>1561670.4574227503</v>
      </c>
      <c r="AJ457" s="208">
        <f t="shared" si="47"/>
        <v>1506835.2015112853</v>
      </c>
      <c r="AK457" s="208">
        <f t="shared" si="48"/>
        <v>54835.255911465261</v>
      </c>
      <c r="AL457" s="235"/>
      <c r="AM457" s="52">
        <f t="shared" si="30"/>
        <v>1</v>
      </c>
      <c r="AN457" s="52">
        <f t="shared" si="31"/>
        <v>0</v>
      </c>
      <c r="AO457" s="52">
        <f t="shared" si="32"/>
        <v>1</v>
      </c>
      <c r="AP457" s="235"/>
      <c r="AQ457" s="28"/>
      <c r="AR457" s="28"/>
      <c r="AS457" s="28"/>
      <c r="AT457" s="28"/>
      <c r="AU457" s="235"/>
      <c r="AV457" s="360">
        <f t="shared" si="49"/>
        <v>1561670.4574227503</v>
      </c>
      <c r="AW457" s="235"/>
      <c r="AX457" s="355"/>
      <c r="AY457" s="344"/>
      <c r="AZ457" s="14">
        <f t="shared" si="51"/>
        <v>6817.6776890059846</v>
      </c>
      <c r="BA457" s="14">
        <f t="shared" si="50"/>
        <v>6.4897824842601315E-2</v>
      </c>
      <c r="BB457" s="14">
        <f t="shared" si="33"/>
        <v>105052.48373949523</v>
      </c>
      <c r="BC457" s="344"/>
      <c r="BD457" s="344"/>
      <c r="BE457" s="344"/>
      <c r="BF457" s="344"/>
      <c r="BG457" s="344"/>
      <c r="BH457" s="344"/>
      <c r="BI457" s="344"/>
      <c r="BJ457" s="344"/>
      <c r="BK457" s="344"/>
      <c r="BL457" s="344"/>
      <c r="BM457" s="344"/>
      <c r="BN457" s="344"/>
      <c r="BO457" s="344"/>
      <c r="BP457" s="14"/>
      <c r="BQ457" s="14"/>
      <c r="BR457" s="14"/>
      <c r="BS457" s="14"/>
      <c r="BT457" s="14"/>
      <c r="BU457" s="14"/>
      <c r="BV457" s="14"/>
      <c r="BW457" s="14"/>
      <c r="BX457" s="14"/>
      <c r="BY457" s="14"/>
      <c r="BZ457" s="14"/>
      <c r="CA457" s="14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</row>
    <row r="458" spans="1:101" ht="14.25" customHeight="1" x14ac:dyDescent="0.2">
      <c r="A458" s="328"/>
      <c r="B458" s="52">
        <v>0.1786900660942391</v>
      </c>
      <c r="C458" s="330">
        <v>0.50121299705957578</v>
      </c>
      <c r="D458" s="330">
        <v>2.4627432481266864E-2</v>
      </c>
      <c r="E458" s="330">
        <v>1.7302946741801439E-2</v>
      </c>
      <c r="F458" s="331">
        <v>0.77637142207861642</v>
      </c>
      <c r="G458" s="94">
        <v>0.35303491943134924</v>
      </c>
      <c r="H458" s="330">
        <v>0.47100121115863913</v>
      </c>
      <c r="I458" s="330">
        <v>1.0479951262547806E-2</v>
      </c>
      <c r="J458" s="330">
        <v>0.96690045513343792</v>
      </c>
      <c r="K458" s="330">
        <v>0.77330586404980672</v>
      </c>
      <c r="L458" s="332">
        <v>12315.051136627893</v>
      </c>
      <c r="M458" s="330">
        <v>0</v>
      </c>
      <c r="N458" s="330">
        <v>19314.152846850753</v>
      </c>
      <c r="O458" s="330">
        <v>1452.454207669605</v>
      </c>
      <c r="P458" s="330">
        <v>55428.216268158962</v>
      </c>
      <c r="Q458" s="333">
        <v>91022.496982932658</v>
      </c>
      <c r="R458" s="330">
        <v>24378.585644428847</v>
      </c>
      <c r="S458" s="330">
        <v>11580.88247970623</v>
      </c>
      <c r="T458" s="332">
        <v>0.83156464129363583</v>
      </c>
      <c r="U458" s="330">
        <v>0.7109541563837205</v>
      </c>
      <c r="V458" s="330">
        <v>0.93208646562958197</v>
      </c>
      <c r="W458" s="330">
        <v>0.99999999041288712</v>
      </c>
      <c r="X458" s="330">
        <v>0.99997712076209788</v>
      </c>
      <c r="Y458" s="330">
        <v>0</v>
      </c>
      <c r="Z458" s="331">
        <v>0</v>
      </c>
      <c r="AA458" s="235"/>
      <c r="AB458" s="52">
        <v>111649.44256081014</v>
      </c>
      <c r="AC458" s="330">
        <v>4.8738232076893109</v>
      </c>
      <c r="AD458" s="330">
        <v>101277.53416066556</v>
      </c>
      <c r="AE458" s="330">
        <v>4.9926945315047018</v>
      </c>
      <c r="AF458" s="330">
        <v>10371.908400144588</v>
      </c>
      <c r="AG458" s="331">
        <v>-0.11887132381539089</v>
      </c>
      <c r="AH458" s="235"/>
      <c r="AI458" s="208">
        <f t="shared" si="46"/>
        <v>4518482.6047440348</v>
      </c>
      <c r="AJ458" s="208">
        <f t="shared" si="47"/>
        <v>4641782.2707688017</v>
      </c>
      <c r="AK458" s="208">
        <f t="shared" si="48"/>
        <v>-123299.66602476593</v>
      </c>
      <c r="AL458" s="235"/>
      <c r="AM458" s="52">
        <f t="shared" si="30"/>
        <v>0</v>
      </c>
      <c r="AN458" s="52">
        <f t="shared" si="31"/>
        <v>1</v>
      </c>
      <c r="AO458" s="52">
        <f t="shared" si="32"/>
        <v>0</v>
      </c>
      <c r="AP458" s="235"/>
      <c r="AQ458" s="28"/>
      <c r="AR458" s="28"/>
      <c r="AS458" s="28"/>
      <c r="AT458" s="28"/>
      <c r="AU458" s="235"/>
      <c r="AV458" s="360">
        <f t="shared" si="49"/>
        <v>4641782.2707688017</v>
      </c>
      <c r="AW458" s="235"/>
      <c r="AX458" s="355"/>
      <c r="AY458" s="344"/>
      <c r="AZ458" s="14">
        <f t="shared" si="51"/>
        <v>10371.908400144588</v>
      </c>
      <c r="BA458" s="14">
        <f t="shared" si="50"/>
        <v>-0.11887132381539089</v>
      </c>
      <c r="BB458" s="14">
        <f t="shared" si="33"/>
        <v>-87253.242138131915</v>
      </c>
      <c r="BC458" s="344"/>
      <c r="BD458" s="344"/>
      <c r="BE458" s="344"/>
      <c r="BF458" s="344"/>
      <c r="BG458" s="344"/>
      <c r="BH458" s="344"/>
      <c r="BI458" s="344"/>
      <c r="BJ458" s="344"/>
      <c r="BK458" s="344"/>
      <c r="BL458" s="344"/>
      <c r="BM458" s="344"/>
      <c r="BN458" s="344"/>
      <c r="BO458" s="344"/>
      <c r="BP458" s="14"/>
      <c r="BQ458" s="14"/>
      <c r="BR458" s="14"/>
      <c r="BS458" s="14"/>
      <c r="BT458" s="14"/>
      <c r="BU458" s="14"/>
      <c r="BV458" s="14"/>
      <c r="BW458" s="14"/>
      <c r="BX458" s="14"/>
      <c r="BY458" s="14"/>
      <c r="BZ458" s="14"/>
      <c r="CA458" s="14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</row>
    <row r="459" spans="1:101" ht="14.25" customHeight="1" x14ac:dyDescent="0.2">
      <c r="A459" s="328"/>
      <c r="B459" s="52">
        <v>0.16928611143716787</v>
      </c>
      <c r="C459" s="330">
        <v>0.15564300592497268</v>
      </c>
      <c r="D459" s="330">
        <v>1.960243931816974E-2</v>
      </c>
      <c r="E459" s="330">
        <v>1.7290511089778304E-2</v>
      </c>
      <c r="F459" s="331">
        <v>0.79242742753029694</v>
      </c>
      <c r="G459" s="94">
        <v>0.45603987025677817</v>
      </c>
      <c r="H459" s="330">
        <v>0.29703697225482545</v>
      </c>
      <c r="I459" s="330">
        <v>1.0078999144427111E-2</v>
      </c>
      <c r="J459" s="330">
        <v>0.9999549993060538</v>
      </c>
      <c r="K459" s="330">
        <v>0.77720068459205316</v>
      </c>
      <c r="L459" s="332">
        <v>16434.093554389583</v>
      </c>
      <c r="M459" s="330">
        <v>0</v>
      </c>
      <c r="N459" s="330">
        <v>18521.64785319335</v>
      </c>
      <c r="O459" s="330">
        <v>1190.0058398290644</v>
      </c>
      <c r="P459" s="330">
        <v>41345.574511413812</v>
      </c>
      <c r="Q459" s="333">
        <v>71097.734264012935</v>
      </c>
      <c r="R459" s="330">
        <v>30326.757045778562</v>
      </c>
      <c r="S459" s="330">
        <v>6936.2014768762947</v>
      </c>
      <c r="T459" s="332">
        <v>0.95534141671201256</v>
      </c>
      <c r="U459" s="330">
        <v>0.98870113447197228</v>
      </c>
      <c r="V459" s="330">
        <v>0.48741285754959768</v>
      </c>
      <c r="W459" s="330">
        <v>0.9998800955599354</v>
      </c>
      <c r="X459" s="330">
        <v>3.9295946579435706E-2</v>
      </c>
      <c r="Y459" s="330">
        <v>0</v>
      </c>
      <c r="Z459" s="331">
        <v>0</v>
      </c>
      <c r="AA459" s="235"/>
      <c r="AB459" s="52">
        <v>76657.496701341384</v>
      </c>
      <c r="AC459" s="330">
        <v>0.40585636161142191</v>
      </c>
      <c r="AD459" s="330">
        <v>63083.164555805182</v>
      </c>
      <c r="AE459" s="330">
        <v>0.34113210022637586</v>
      </c>
      <c r="AF459" s="330">
        <v>13574.332145536202</v>
      </c>
      <c r="AG459" s="331">
        <v>6.4724261385046056E-2</v>
      </c>
      <c r="AH459" s="235"/>
      <c r="AI459" s="208">
        <f t="shared" si="46"/>
        <v>308906.04682950943</v>
      </c>
      <c r="AJ459" s="208">
        <f t="shared" si="47"/>
        <v>260992.33065925186</v>
      </c>
      <c r="AK459" s="208">
        <f t="shared" si="48"/>
        <v>47913.716170257554</v>
      </c>
      <c r="AL459" s="235"/>
      <c r="AM459" s="52">
        <f t="shared" si="30"/>
        <v>1</v>
      </c>
      <c r="AN459" s="52">
        <f t="shared" si="31"/>
        <v>0</v>
      </c>
      <c r="AO459" s="52">
        <f t="shared" si="32"/>
        <v>1</v>
      </c>
      <c r="AP459" s="235"/>
      <c r="AQ459" s="28"/>
      <c r="AR459" s="28"/>
      <c r="AS459" s="28"/>
      <c r="AT459" s="28"/>
      <c r="AU459" s="235"/>
      <c r="AV459" s="360">
        <f t="shared" si="49"/>
        <v>308906.04682950943</v>
      </c>
      <c r="AW459" s="235"/>
      <c r="AX459" s="355"/>
      <c r="AY459" s="344"/>
      <c r="AZ459" s="14">
        <f t="shared" si="51"/>
        <v>13574.332145536202</v>
      </c>
      <c r="BA459" s="14">
        <f t="shared" si="50"/>
        <v>6.4724261385046056E-2</v>
      </c>
      <c r="BB459" s="14">
        <f t="shared" si="33"/>
        <v>209725.56279603101</v>
      </c>
      <c r="BC459" s="344"/>
      <c r="BD459" s="344"/>
      <c r="BE459" s="344"/>
      <c r="BF459" s="344"/>
      <c r="BG459" s="344"/>
      <c r="BH459" s="344"/>
      <c r="BI459" s="344"/>
      <c r="BJ459" s="344"/>
      <c r="BK459" s="344"/>
      <c r="BL459" s="344"/>
      <c r="BM459" s="344"/>
      <c r="BN459" s="344"/>
      <c r="BO459" s="344"/>
      <c r="BP459" s="14"/>
      <c r="BQ459" s="14"/>
      <c r="BR459" s="14"/>
      <c r="BS459" s="14"/>
      <c r="BT459" s="14"/>
      <c r="BU459" s="14"/>
      <c r="BV459" s="14"/>
      <c r="BW459" s="14"/>
      <c r="BX459" s="14"/>
      <c r="BY459" s="14"/>
      <c r="BZ459" s="14"/>
      <c r="CA459" s="14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</row>
    <row r="460" spans="1:101" ht="14.25" customHeight="1" x14ac:dyDescent="0.2">
      <c r="A460" s="328"/>
      <c r="B460" s="52">
        <v>0.14934024091492107</v>
      </c>
      <c r="C460" s="330">
        <v>0.12410278690591957</v>
      </c>
      <c r="D460" s="330">
        <v>1.1396677638081868E-2</v>
      </c>
      <c r="E460" s="330">
        <v>1.1232343642322878E-2</v>
      </c>
      <c r="F460" s="331">
        <v>0.81858590364449935</v>
      </c>
      <c r="G460" s="94">
        <v>0.44494167621629721</v>
      </c>
      <c r="H460" s="330">
        <v>0.79550099629587212</v>
      </c>
      <c r="I460" s="330">
        <v>3.1079204897306312E-2</v>
      </c>
      <c r="J460" s="330">
        <v>0.9999999999999637</v>
      </c>
      <c r="K460" s="330">
        <v>0.75626232101928581</v>
      </c>
      <c r="L460" s="332">
        <v>10085.056397646236</v>
      </c>
      <c r="M460" s="330">
        <v>0</v>
      </c>
      <c r="N460" s="330">
        <v>16762.637136533969</v>
      </c>
      <c r="O460" s="330">
        <v>1068.6941951111007</v>
      </c>
      <c r="P460" s="330">
        <v>51689.666542277933</v>
      </c>
      <c r="Q460" s="333">
        <v>130314.5509764654</v>
      </c>
      <c r="R460" s="330">
        <v>14695.320645541127</v>
      </c>
      <c r="S460" s="330">
        <v>7272.453124929777</v>
      </c>
      <c r="T460" s="332">
        <v>0.93678781231005392</v>
      </c>
      <c r="U460" s="330">
        <v>0.69939329631586544</v>
      </c>
      <c r="V460" s="330">
        <v>0.80351619448035938</v>
      </c>
      <c r="W460" s="330">
        <v>0.29569589038152877</v>
      </c>
      <c r="X460" s="330">
        <v>0.9494433897623511</v>
      </c>
      <c r="Y460" s="330">
        <v>0</v>
      </c>
      <c r="Z460" s="331">
        <v>0</v>
      </c>
      <c r="AA460" s="235"/>
      <c r="AB460" s="52">
        <v>74624.502691029425</v>
      </c>
      <c r="AC460" s="330">
        <v>4.7170501108663414</v>
      </c>
      <c r="AD460" s="330">
        <v>67309.643992575526</v>
      </c>
      <c r="AE460" s="330">
        <v>4.5941009080826589</v>
      </c>
      <c r="AF460" s="330">
        <v>7314.8586984538997</v>
      </c>
      <c r="AG460" s="331">
        <v>0.12294920278368249</v>
      </c>
      <c r="AH460" s="235"/>
      <c r="AI460" s="208">
        <f t="shared" si="46"/>
        <v>4406573.1026319945</v>
      </c>
      <c r="AJ460" s="208">
        <f t="shared" si="47"/>
        <v>4297086.2186859502</v>
      </c>
      <c r="AK460" s="208">
        <f t="shared" si="48"/>
        <v>109486.88394604446</v>
      </c>
      <c r="AL460" s="235"/>
      <c r="AM460" s="52">
        <f t="shared" si="30"/>
        <v>1</v>
      </c>
      <c r="AN460" s="52">
        <f t="shared" si="31"/>
        <v>0</v>
      </c>
      <c r="AO460" s="52">
        <f t="shared" si="32"/>
        <v>1</v>
      </c>
      <c r="AP460" s="235"/>
      <c r="AQ460" s="28"/>
      <c r="AR460" s="28"/>
      <c r="AS460" s="28"/>
      <c r="AT460" s="28"/>
      <c r="AU460" s="235"/>
      <c r="AV460" s="360">
        <f t="shared" si="49"/>
        <v>4406573.1026319945</v>
      </c>
      <c r="AW460" s="235"/>
      <c r="AX460" s="355"/>
      <c r="AY460" s="344"/>
      <c r="AZ460" s="14">
        <f t="shared" si="51"/>
        <v>7314.8586984538997</v>
      </c>
      <c r="BA460" s="14">
        <f t="shared" si="50"/>
        <v>0.12294920278368249</v>
      </c>
      <c r="BB460" s="14">
        <f t="shared" si="33"/>
        <v>59494.966480780706</v>
      </c>
      <c r="BC460" s="344"/>
      <c r="BD460" s="344"/>
      <c r="BE460" s="344"/>
      <c r="BF460" s="344"/>
      <c r="BG460" s="344"/>
      <c r="BH460" s="344"/>
      <c r="BI460" s="344"/>
      <c r="BJ460" s="344"/>
      <c r="BK460" s="344"/>
      <c r="BL460" s="344"/>
      <c r="BM460" s="344"/>
      <c r="BN460" s="344"/>
      <c r="BO460" s="344"/>
      <c r="BP460" s="14"/>
      <c r="BQ460" s="14"/>
      <c r="BR460" s="14"/>
      <c r="BS460" s="14"/>
      <c r="BT460" s="14"/>
      <c r="BU460" s="14"/>
      <c r="BV460" s="14"/>
      <c r="BW460" s="14"/>
      <c r="BX460" s="14"/>
      <c r="BY460" s="14"/>
      <c r="BZ460" s="14"/>
      <c r="CA460" s="14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</row>
    <row r="461" spans="1:101" ht="14.25" customHeight="1" x14ac:dyDescent="0.2">
      <c r="A461" s="328"/>
      <c r="B461" s="52">
        <v>0.17747717648077055</v>
      </c>
      <c r="C461" s="330">
        <v>0.55297126181668577</v>
      </c>
      <c r="D461" s="330">
        <v>2.9180292570705979E-2</v>
      </c>
      <c r="E461" s="330">
        <v>1.4013125363884819E-2</v>
      </c>
      <c r="F461" s="331">
        <v>0.73678637271595793</v>
      </c>
      <c r="G461" s="94">
        <v>0.34611387357040529</v>
      </c>
      <c r="H461" s="330">
        <v>0.50172293488688147</v>
      </c>
      <c r="I461" s="330">
        <v>1.2563662678888497E-2</v>
      </c>
      <c r="J461" s="330">
        <v>0.99999999997729372</v>
      </c>
      <c r="K461" s="330">
        <v>0.75119613999207857</v>
      </c>
      <c r="L461" s="332">
        <v>10196.193534964648</v>
      </c>
      <c r="M461" s="330">
        <v>0</v>
      </c>
      <c r="N461" s="330">
        <v>18468.437939792082</v>
      </c>
      <c r="O461" s="330">
        <v>1083.5309316664759</v>
      </c>
      <c r="P461" s="330">
        <v>35328.503622503544</v>
      </c>
      <c r="Q461" s="333">
        <v>75591.502493048465</v>
      </c>
      <c r="R461" s="330">
        <v>21445.571179497972</v>
      </c>
      <c r="S461" s="330">
        <v>7044.5073341997213</v>
      </c>
      <c r="T461" s="332">
        <v>7.9088635099191455E-3</v>
      </c>
      <c r="U461" s="330">
        <v>0.92304026582944654</v>
      </c>
      <c r="V461" s="330">
        <v>0.53837431428576432</v>
      </c>
      <c r="W461" s="330">
        <v>0.69022567675903335</v>
      </c>
      <c r="X461" s="330">
        <v>0.97770641662097602</v>
      </c>
      <c r="Y461" s="330">
        <v>0</v>
      </c>
      <c r="Z461" s="331">
        <v>0</v>
      </c>
      <c r="AA461" s="235"/>
      <c r="AB461" s="52">
        <v>68586.816820404099</v>
      </c>
      <c r="AC461" s="330">
        <v>4.3535464305171381</v>
      </c>
      <c r="AD461" s="330">
        <v>61454.139737134654</v>
      </c>
      <c r="AE461" s="330">
        <v>4.4991870094600479</v>
      </c>
      <c r="AF461" s="330">
        <v>7132.6770832694456</v>
      </c>
      <c r="AG461" s="331">
        <v>-0.14564057894290983</v>
      </c>
      <c r="AH461" s="235"/>
      <c r="AI461" s="208">
        <f t="shared" si="46"/>
        <v>4067282.2921708771</v>
      </c>
      <c r="AJ461" s="208">
        <f t="shared" si="47"/>
        <v>4212773.5192499105</v>
      </c>
      <c r="AK461" s="208">
        <f t="shared" si="48"/>
        <v>-145491.22707903379</v>
      </c>
      <c r="AL461" s="235"/>
      <c r="AM461" s="52">
        <f t="shared" si="30"/>
        <v>0</v>
      </c>
      <c r="AN461" s="52">
        <f t="shared" si="31"/>
        <v>1</v>
      </c>
      <c r="AO461" s="52">
        <f t="shared" si="32"/>
        <v>0</v>
      </c>
      <c r="AP461" s="235"/>
      <c r="AQ461" s="28"/>
      <c r="AR461" s="28"/>
      <c r="AS461" s="28"/>
      <c r="AT461" s="28"/>
      <c r="AU461" s="235"/>
      <c r="AV461" s="360">
        <f t="shared" si="49"/>
        <v>4212773.5192499105</v>
      </c>
      <c r="AW461" s="235"/>
      <c r="AX461" s="355"/>
      <c r="AY461" s="344"/>
      <c r="AZ461" s="14">
        <f t="shared" si="51"/>
        <v>7132.6770832694456</v>
      </c>
      <c r="BA461" s="14">
        <f t="shared" si="50"/>
        <v>-0.14564057894290983</v>
      </c>
      <c r="BB461" s="14">
        <f t="shared" si="33"/>
        <v>-48974.51750768863</v>
      </c>
      <c r="BC461" s="344"/>
      <c r="BD461" s="344"/>
      <c r="BE461" s="344"/>
      <c r="BF461" s="344"/>
      <c r="BG461" s="344"/>
      <c r="BH461" s="344"/>
      <c r="BI461" s="344"/>
      <c r="BJ461" s="344"/>
      <c r="BK461" s="344"/>
      <c r="BL461" s="344"/>
      <c r="BM461" s="344"/>
      <c r="BN461" s="344"/>
      <c r="BO461" s="344"/>
      <c r="BP461" s="14"/>
      <c r="BQ461" s="14"/>
      <c r="BR461" s="14"/>
      <c r="BS461" s="14"/>
      <c r="BT461" s="14"/>
      <c r="BU461" s="14"/>
      <c r="BV461" s="14"/>
      <c r="BW461" s="14"/>
      <c r="BX461" s="14"/>
      <c r="BY461" s="14"/>
      <c r="BZ461" s="14"/>
      <c r="CA461" s="14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</row>
    <row r="462" spans="1:101" ht="14.25" customHeight="1" x14ac:dyDescent="0.2">
      <c r="A462" s="328"/>
      <c r="B462" s="52">
        <v>0.21238719046375232</v>
      </c>
      <c r="C462" s="330">
        <v>0.54936484096222793</v>
      </c>
      <c r="D462" s="330">
        <v>3.0970993451106987E-2</v>
      </c>
      <c r="E462" s="330">
        <v>1.1010863524690141E-2</v>
      </c>
      <c r="F462" s="331">
        <v>0.8127647261991896</v>
      </c>
      <c r="G462" s="94">
        <v>0.4705718488794034</v>
      </c>
      <c r="H462" s="330">
        <v>0.56477610038888049</v>
      </c>
      <c r="I462" s="330">
        <v>1.3249571572201748E-2</v>
      </c>
      <c r="J462" s="330">
        <v>0.98118193474243076</v>
      </c>
      <c r="K462" s="330">
        <v>0.77985062805065974</v>
      </c>
      <c r="L462" s="332">
        <v>15466.885361715873</v>
      </c>
      <c r="M462" s="330">
        <v>0</v>
      </c>
      <c r="N462" s="330">
        <v>17320.986651434348</v>
      </c>
      <c r="O462" s="330">
        <v>1086.2990902052406</v>
      </c>
      <c r="P462" s="330">
        <v>38655.147449080236</v>
      </c>
      <c r="Q462" s="333">
        <v>86861.4354159496</v>
      </c>
      <c r="R462" s="330">
        <v>18379.573596973183</v>
      </c>
      <c r="S462" s="330">
        <v>8910.0007540760362</v>
      </c>
      <c r="T462" s="332">
        <v>0.47446011345701949</v>
      </c>
      <c r="U462" s="330">
        <v>0.93756454391707922</v>
      </c>
      <c r="V462" s="330">
        <v>0.15605507727382287</v>
      </c>
      <c r="W462" s="330">
        <v>0.44431349264449266</v>
      </c>
      <c r="X462" s="330">
        <v>0.83173611868961483</v>
      </c>
      <c r="Y462" s="330">
        <v>0</v>
      </c>
      <c r="Z462" s="331">
        <v>0</v>
      </c>
      <c r="AA462" s="235"/>
      <c r="AB462" s="335">
        <v>96130.235164459009</v>
      </c>
      <c r="AC462" s="336">
        <v>4.0993410467848692</v>
      </c>
      <c r="AD462" s="337">
        <v>80843.75538766729</v>
      </c>
      <c r="AE462" s="336">
        <v>4.2238381623019192</v>
      </c>
      <c r="AF462" s="337">
        <v>15286.479776791719</v>
      </c>
      <c r="AG462" s="338">
        <v>-0.12449711551705001</v>
      </c>
      <c r="AH462" s="235"/>
      <c r="AI462" s="208">
        <f t="shared" ref="AI462:AI525" si="52">AC462*cRatio-AB462</f>
        <v>3798243.7592811668</v>
      </c>
      <c r="AJ462" s="208">
        <f t="shared" ref="AJ462:AJ525" si="53">AE462*cRatio-AD462</f>
        <v>3931802.4987991559</v>
      </c>
      <c r="AK462" s="208">
        <f t="shared" ref="AK462:AK525" si="54">AG462*cRatio-AF462</f>
        <v>-133558.73951798922</v>
      </c>
      <c r="AL462" s="235"/>
      <c r="AM462" s="52">
        <f t="shared" si="30"/>
        <v>0</v>
      </c>
      <c r="AN462" s="52">
        <f t="shared" si="31"/>
        <v>1</v>
      </c>
      <c r="AO462" s="52">
        <f t="shared" si="32"/>
        <v>0</v>
      </c>
      <c r="AP462" s="235"/>
      <c r="AQ462" s="28"/>
      <c r="AR462" s="28"/>
      <c r="AS462" s="28"/>
      <c r="AT462" s="28"/>
      <c r="AU462" s="235"/>
      <c r="AV462" s="360">
        <f t="shared" si="49"/>
        <v>3931802.4987991559</v>
      </c>
      <c r="AW462" s="235"/>
      <c r="AX462" s="355"/>
      <c r="AY462" s="344"/>
      <c r="AZ462" s="14">
        <f t="shared" si="51"/>
        <v>15286.479776791719</v>
      </c>
      <c r="BA462" s="14">
        <f t="shared" si="50"/>
        <v>-0.12449711551705001</v>
      </c>
      <c r="BB462" s="14">
        <f t="shared" si="33"/>
        <v>-122785.81486249952</v>
      </c>
      <c r="BC462" s="344"/>
      <c r="BD462" s="344"/>
      <c r="BE462" s="344"/>
      <c r="BF462" s="344"/>
      <c r="BG462" s="344"/>
      <c r="BH462" s="344"/>
      <c r="BI462" s="344"/>
      <c r="BJ462" s="344"/>
      <c r="BK462" s="344"/>
      <c r="BL462" s="344"/>
      <c r="BM462" s="344"/>
      <c r="BN462" s="344"/>
      <c r="BO462" s="344"/>
      <c r="BP462" s="14"/>
      <c r="BQ462" s="14"/>
      <c r="BR462" s="14"/>
      <c r="BS462" s="14"/>
      <c r="BT462" s="14"/>
      <c r="BU462" s="14"/>
      <c r="BV462" s="14"/>
      <c r="BW462" s="14"/>
      <c r="BX462" s="14"/>
      <c r="BY462" s="14"/>
      <c r="BZ462" s="14"/>
      <c r="CA462" s="14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</row>
    <row r="463" spans="1:101" ht="14.25" customHeight="1" x14ac:dyDescent="0.2">
      <c r="A463" s="328"/>
      <c r="B463" s="52">
        <v>0.17526340497957493</v>
      </c>
      <c r="C463" s="330">
        <v>0.14131862918297372</v>
      </c>
      <c r="D463" s="330">
        <v>2.1144453558136211E-2</v>
      </c>
      <c r="E463" s="330">
        <v>1.0470296785665838E-2</v>
      </c>
      <c r="F463" s="331">
        <v>0.81152379462407631</v>
      </c>
      <c r="G463" s="94">
        <v>0.41810279236694459</v>
      </c>
      <c r="H463" s="330">
        <v>0.2906585283434644</v>
      </c>
      <c r="I463" s="330">
        <v>4.472383518346057E-2</v>
      </c>
      <c r="J463" s="330">
        <v>2.3836568015009989E-2</v>
      </c>
      <c r="K463" s="330">
        <v>0.74627727242461261</v>
      </c>
      <c r="L463" s="332">
        <v>9371.1939954273985</v>
      </c>
      <c r="M463" s="330">
        <v>0</v>
      </c>
      <c r="N463" s="330">
        <v>13259.750699232371</v>
      </c>
      <c r="O463" s="330">
        <v>1397.6442981495393</v>
      </c>
      <c r="P463" s="330">
        <v>43314.069684140835</v>
      </c>
      <c r="Q463" s="333">
        <v>102781.02132278029</v>
      </c>
      <c r="R463" s="330">
        <v>32883.981941613893</v>
      </c>
      <c r="S463" s="330">
        <v>8295.4890010426625</v>
      </c>
      <c r="T463" s="332">
        <v>0.97638949652107732</v>
      </c>
      <c r="U463" s="330">
        <v>0.69481184527181372</v>
      </c>
      <c r="V463" s="330">
        <v>0.95944296815304531</v>
      </c>
      <c r="W463" s="330">
        <v>0.95274047646042404</v>
      </c>
      <c r="X463" s="330">
        <v>0.98623408552303959</v>
      </c>
      <c r="Y463" s="330">
        <v>0</v>
      </c>
      <c r="Z463" s="331">
        <v>0</v>
      </c>
      <c r="AA463" s="235"/>
      <c r="AB463" s="335">
        <v>83056.212253903344</v>
      </c>
      <c r="AC463" s="336">
        <v>4.8623819486330024</v>
      </c>
      <c r="AD463" s="337">
        <v>72870.103157889927</v>
      </c>
      <c r="AE463" s="336">
        <v>4.519733826281926</v>
      </c>
      <c r="AF463" s="337">
        <v>10186.109096013417</v>
      </c>
      <c r="AG463" s="338">
        <v>0.34264812235107645</v>
      </c>
      <c r="AH463" s="235"/>
      <c r="AI463" s="208">
        <f t="shared" si="52"/>
        <v>4536206.6389474496</v>
      </c>
      <c r="AJ463" s="208">
        <f t="shared" si="53"/>
        <v>4220877.03180994</v>
      </c>
      <c r="AK463" s="208">
        <f t="shared" si="54"/>
        <v>315329.60713750921</v>
      </c>
      <c r="AL463" s="235"/>
      <c r="AM463" s="52">
        <f t="shared" si="30"/>
        <v>1</v>
      </c>
      <c r="AN463" s="52">
        <f t="shared" si="31"/>
        <v>0</v>
      </c>
      <c r="AO463" s="52">
        <f t="shared" si="32"/>
        <v>1</v>
      </c>
      <c r="AP463" s="235"/>
      <c r="AQ463" s="28"/>
      <c r="AR463" s="28"/>
      <c r="AS463" s="28"/>
      <c r="AT463" s="28"/>
      <c r="AU463" s="235"/>
      <c r="AV463" s="360">
        <f t="shared" ref="AV463:AV526" si="55">MAX(AI463:AJ463)</f>
        <v>4536206.6389474496</v>
      </c>
      <c r="AW463" s="235"/>
      <c r="AX463" s="355"/>
      <c r="AY463" s="344"/>
      <c r="AZ463" s="14">
        <f t="shared" si="51"/>
        <v>10186.109096013417</v>
      </c>
      <c r="BA463" s="14">
        <f t="shared" ref="BA463:BA526" si="56">AG463</f>
        <v>0.34264812235107645</v>
      </c>
      <c r="BB463" s="14">
        <f t="shared" si="33"/>
        <v>29727.608095796753</v>
      </c>
      <c r="BC463" s="344"/>
      <c r="BD463" s="344"/>
      <c r="BE463" s="344"/>
      <c r="BF463" s="344"/>
      <c r="BG463" s="344"/>
      <c r="BH463" s="344"/>
      <c r="BI463" s="344"/>
      <c r="BJ463" s="344"/>
      <c r="BK463" s="344"/>
      <c r="BL463" s="344"/>
      <c r="BM463" s="344"/>
      <c r="BN463" s="344"/>
      <c r="BO463" s="344"/>
      <c r="BP463" s="14"/>
      <c r="BQ463" s="14"/>
      <c r="BR463" s="14"/>
      <c r="BS463" s="14"/>
      <c r="BT463" s="14"/>
      <c r="BU463" s="14"/>
      <c r="BV463" s="14"/>
      <c r="BW463" s="14"/>
      <c r="BX463" s="14"/>
      <c r="BY463" s="14"/>
      <c r="BZ463" s="14"/>
      <c r="CA463" s="14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</row>
    <row r="464" spans="1:101" ht="14.25" customHeight="1" x14ac:dyDescent="0.2">
      <c r="A464" s="328"/>
      <c r="B464" s="52">
        <v>0.15384694210699273</v>
      </c>
      <c r="C464" s="330">
        <v>0.12670880398809803</v>
      </c>
      <c r="D464" s="330">
        <v>1.0175294274523098E-2</v>
      </c>
      <c r="E464" s="330">
        <v>1.8356940619224327E-2</v>
      </c>
      <c r="F464" s="331">
        <v>0.75869396019125224</v>
      </c>
      <c r="G464" s="94">
        <v>0.44489683246910472</v>
      </c>
      <c r="H464" s="330">
        <v>0.12247571752111173</v>
      </c>
      <c r="I464" s="330">
        <v>1.2378663293802109E-2</v>
      </c>
      <c r="J464" s="330">
        <v>0.80695423779268383</v>
      </c>
      <c r="K464" s="330">
        <v>0.79201283761240759</v>
      </c>
      <c r="L464" s="332">
        <v>12678.827288079905</v>
      </c>
      <c r="M464" s="330">
        <v>0</v>
      </c>
      <c r="N464" s="330">
        <v>12780.852960815522</v>
      </c>
      <c r="O464" s="330">
        <v>1607.4255631967042</v>
      </c>
      <c r="P464" s="330">
        <v>45848.935500480169</v>
      </c>
      <c r="Q464" s="333">
        <v>94236.385647574381</v>
      </c>
      <c r="R464" s="330">
        <v>27399.042191907381</v>
      </c>
      <c r="S464" s="330">
        <v>8449.6463341608178</v>
      </c>
      <c r="T464" s="332">
        <v>0.93906159440220671</v>
      </c>
      <c r="U464" s="330">
        <v>0.6794340589579172</v>
      </c>
      <c r="V464" s="330">
        <v>0.87345731440295904</v>
      </c>
      <c r="W464" s="330">
        <v>0.99825317017031723</v>
      </c>
      <c r="X464" s="330">
        <v>0.80407117791779492</v>
      </c>
      <c r="Y464" s="330">
        <v>0</v>
      </c>
      <c r="Z464" s="331">
        <v>0</v>
      </c>
      <c r="AA464" s="235"/>
      <c r="AB464" s="335">
        <v>82404.098768077049</v>
      </c>
      <c r="AC464" s="336">
        <v>3.6988542374995363</v>
      </c>
      <c r="AD464" s="337">
        <v>74804.112477197647</v>
      </c>
      <c r="AE464" s="336">
        <v>3.9538521003153062</v>
      </c>
      <c r="AF464" s="337">
        <v>7599.9862908794021</v>
      </c>
      <c r="AG464" s="338">
        <v>-0.25499786281576986</v>
      </c>
      <c r="AH464" s="235"/>
      <c r="AI464" s="208">
        <f t="shared" si="52"/>
        <v>3431507.4268564829</v>
      </c>
      <c r="AJ464" s="208">
        <f t="shared" si="53"/>
        <v>3681355.3828223431</v>
      </c>
      <c r="AK464" s="208">
        <f t="shared" si="54"/>
        <v>-249847.95596586078</v>
      </c>
      <c r="AL464" s="235"/>
      <c r="AM464" s="52">
        <f t="shared" si="30"/>
        <v>0</v>
      </c>
      <c r="AN464" s="52">
        <f t="shared" si="31"/>
        <v>1</v>
      </c>
      <c r="AO464" s="52">
        <f t="shared" si="32"/>
        <v>0</v>
      </c>
      <c r="AP464" s="235"/>
      <c r="AQ464" s="28"/>
      <c r="AR464" s="28"/>
      <c r="AS464" s="28"/>
      <c r="AT464" s="28"/>
      <c r="AU464" s="235"/>
      <c r="AV464" s="360">
        <f t="shared" si="55"/>
        <v>3681355.3828223431</v>
      </c>
      <c r="AW464" s="235"/>
      <c r="AX464" s="355"/>
      <c r="AY464" s="344"/>
      <c r="AZ464" s="14">
        <f t="shared" ref="AZ464:AZ527" si="57">AF464</f>
        <v>7599.9862908794021</v>
      </c>
      <c r="BA464" s="14">
        <f t="shared" si="56"/>
        <v>-0.25499786281576986</v>
      </c>
      <c r="BB464" s="14">
        <f t="shared" si="33"/>
        <v>-29804.117599096189</v>
      </c>
      <c r="BC464" s="344"/>
      <c r="BD464" s="344"/>
      <c r="BE464" s="344"/>
      <c r="BF464" s="344"/>
      <c r="BG464" s="344"/>
      <c r="BH464" s="344"/>
      <c r="BI464" s="344"/>
      <c r="BJ464" s="344"/>
      <c r="BK464" s="344"/>
      <c r="BL464" s="344"/>
      <c r="BM464" s="344"/>
      <c r="BN464" s="344"/>
      <c r="BO464" s="344"/>
      <c r="BP464" s="14"/>
      <c r="BQ464" s="14"/>
      <c r="BR464" s="14"/>
      <c r="BS464" s="14"/>
      <c r="BT464" s="14"/>
      <c r="BU464" s="14"/>
      <c r="BV464" s="14"/>
      <c r="BW464" s="14"/>
      <c r="BX464" s="14"/>
      <c r="BY464" s="14"/>
      <c r="BZ464" s="14"/>
      <c r="CA464" s="14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</row>
    <row r="465" spans="1:101" ht="14.25" customHeight="1" x14ac:dyDescent="0.2">
      <c r="A465" s="328"/>
      <c r="B465" s="52">
        <v>0.17116542256033629</v>
      </c>
      <c r="C465" s="330">
        <v>2.0254360709542864E-2</v>
      </c>
      <c r="D465" s="330">
        <v>1.4660324898359001E-2</v>
      </c>
      <c r="E465" s="330">
        <v>1.4516968590487012E-2</v>
      </c>
      <c r="F465" s="331">
        <v>0.77884587869952815</v>
      </c>
      <c r="G465" s="94">
        <v>0.37846517380456851</v>
      </c>
      <c r="H465" s="330">
        <v>0.64332030234677307</v>
      </c>
      <c r="I465" s="330">
        <v>1.5763549966663765E-2</v>
      </c>
      <c r="J465" s="330">
        <v>0.98618078912948715</v>
      </c>
      <c r="K465" s="330">
        <v>0.70819288661729196</v>
      </c>
      <c r="L465" s="332">
        <v>12384.071992008705</v>
      </c>
      <c r="M465" s="330">
        <v>0</v>
      </c>
      <c r="N465" s="330">
        <v>17512.632728921544</v>
      </c>
      <c r="O465" s="330">
        <v>861.36811562064543</v>
      </c>
      <c r="P465" s="330">
        <v>54580.245962312372</v>
      </c>
      <c r="Q465" s="333">
        <v>66880.251389583951</v>
      </c>
      <c r="R465" s="330">
        <v>20921.138625269687</v>
      </c>
      <c r="S465" s="330">
        <v>9448.3088272338591</v>
      </c>
      <c r="T465" s="332">
        <v>0.91955843377227597</v>
      </c>
      <c r="U465" s="330">
        <v>0.4932750111036347</v>
      </c>
      <c r="V465" s="330">
        <v>0.99986927255297942</v>
      </c>
      <c r="W465" s="330">
        <v>0.12221837642419794</v>
      </c>
      <c r="X465" s="330">
        <v>0.99929187592774671</v>
      </c>
      <c r="Y465" s="330">
        <v>0</v>
      </c>
      <c r="Z465" s="331">
        <v>0</v>
      </c>
      <c r="AA465" s="235"/>
      <c r="AB465" s="335">
        <v>91743.22167535231</v>
      </c>
      <c r="AC465" s="336">
        <v>4.7704001688516486</v>
      </c>
      <c r="AD465" s="337">
        <v>77970.238124398558</v>
      </c>
      <c r="AE465" s="336">
        <v>4.279581185308186</v>
      </c>
      <c r="AF465" s="337">
        <v>13772.983550953752</v>
      </c>
      <c r="AG465" s="338">
        <v>0.49081898354346265</v>
      </c>
      <c r="AH465" s="235"/>
      <c r="AI465" s="208">
        <f t="shared" si="52"/>
        <v>4440136.9387337137</v>
      </c>
      <c r="AJ465" s="208">
        <f t="shared" si="53"/>
        <v>3987631.8879183782</v>
      </c>
      <c r="AK465" s="208">
        <f t="shared" si="54"/>
        <v>452505.05081533577</v>
      </c>
      <c r="AL465" s="235"/>
      <c r="AM465" s="52">
        <f t="shared" si="30"/>
        <v>1</v>
      </c>
      <c r="AN465" s="52">
        <f t="shared" si="31"/>
        <v>0</v>
      </c>
      <c r="AO465" s="52">
        <f t="shared" si="32"/>
        <v>1</v>
      </c>
      <c r="AP465" s="235"/>
      <c r="AQ465" s="28"/>
      <c r="AR465" s="28"/>
      <c r="AS465" s="28"/>
      <c r="AT465" s="28"/>
      <c r="AU465" s="235"/>
      <c r="AV465" s="360">
        <f t="shared" si="55"/>
        <v>4440136.9387337137</v>
      </c>
      <c r="AW465" s="235"/>
      <c r="AX465" s="355"/>
      <c r="AY465" s="344"/>
      <c r="AZ465" s="14">
        <f t="shared" si="57"/>
        <v>13772.983550953752</v>
      </c>
      <c r="BA465" s="14">
        <f t="shared" si="56"/>
        <v>0.49081898354346265</v>
      </c>
      <c r="BB465" s="14">
        <f t="shared" si="33"/>
        <v>28061.228299524679</v>
      </c>
      <c r="BC465" s="344"/>
      <c r="BD465" s="344"/>
      <c r="BE465" s="344"/>
      <c r="BF465" s="344"/>
      <c r="BG465" s="344"/>
      <c r="BH465" s="344"/>
      <c r="BI465" s="344"/>
      <c r="BJ465" s="344"/>
      <c r="BK465" s="344"/>
      <c r="BL465" s="344"/>
      <c r="BM465" s="344"/>
      <c r="BN465" s="344"/>
      <c r="BO465" s="344"/>
      <c r="BP465" s="14"/>
      <c r="BQ465" s="14"/>
      <c r="BR465" s="14"/>
      <c r="BS465" s="14"/>
      <c r="BT465" s="14"/>
      <c r="BU465" s="14"/>
      <c r="BV465" s="14"/>
      <c r="BW465" s="14"/>
      <c r="BX465" s="14"/>
      <c r="BY465" s="14"/>
      <c r="BZ465" s="14"/>
      <c r="CA465" s="14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</row>
    <row r="466" spans="1:101" ht="14.25" customHeight="1" x14ac:dyDescent="0.2">
      <c r="A466" s="328"/>
      <c r="B466" s="52">
        <v>0.12450504398676181</v>
      </c>
      <c r="C466" s="330">
        <v>0.15067697484309195</v>
      </c>
      <c r="D466" s="330">
        <v>1.3017694916345687E-2</v>
      </c>
      <c r="E466" s="330">
        <v>1.2114209103152902E-2</v>
      </c>
      <c r="F466" s="331">
        <v>0.76699536817318092</v>
      </c>
      <c r="G466" s="94">
        <v>0.34747768654604405</v>
      </c>
      <c r="H466" s="330">
        <v>0.93096630363677046</v>
      </c>
      <c r="I466" s="330">
        <v>1.203119371194197E-2</v>
      </c>
      <c r="J466" s="330">
        <v>3.4824569296817332E-11</v>
      </c>
      <c r="K466" s="330">
        <v>0.67986472478447535</v>
      </c>
      <c r="L466" s="332">
        <v>13470.951541418466</v>
      </c>
      <c r="M466" s="330">
        <v>0</v>
      </c>
      <c r="N466" s="330">
        <v>17132.395697586653</v>
      </c>
      <c r="O466" s="330">
        <v>1514.2878100396827</v>
      </c>
      <c r="P466" s="330">
        <v>42696.806774275632</v>
      </c>
      <c r="Q466" s="333">
        <v>93262.896558478766</v>
      </c>
      <c r="R466" s="330">
        <v>16734.232046579295</v>
      </c>
      <c r="S466" s="330">
        <v>11322.019784844098</v>
      </c>
      <c r="T466" s="332">
        <v>0.99454743654275335</v>
      </c>
      <c r="U466" s="330">
        <v>0.85531843259988849</v>
      </c>
      <c r="V466" s="330">
        <v>0.96119064320648961</v>
      </c>
      <c r="W466" s="330">
        <v>0.99060475798052461</v>
      </c>
      <c r="X466" s="330">
        <v>0.90321639257590292</v>
      </c>
      <c r="Y466" s="330">
        <v>0</v>
      </c>
      <c r="Z466" s="331">
        <v>0</v>
      </c>
      <c r="AA466" s="235"/>
      <c r="AB466" s="335">
        <v>107315.08866676669</v>
      </c>
      <c r="AC466" s="336">
        <v>4.2600878255059795</v>
      </c>
      <c r="AD466" s="337">
        <v>88877.87131282108</v>
      </c>
      <c r="AE466" s="336">
        <v>3.8529713262955556</v>
      </c>
      <c r="AF466" s="337">
        <v>18437.217353945613</v>
      </c>
      <c r="AG466" s="338">
        <v>0.40711649921042392</v>
      </c>
      <c r="AH466" s="235"/>
      <c r="AI466" s="208">
        <f t="shared" si="52"/>
        <v>3939768.3455639137</v>
      </c>
      <c r="AJ466" s="208">
        <f t="shared" si="53"/>
        <v>3571444.8886679565</v>
      </c>
      <c r="AK466" s="208">
        <f t="shared" si="54"/>
        <v>368323.45689595712</v>
      </c>
      <c r="AL466" s="235"/>
      <c r="AM466" s="52">
        <f t="shared" si="30"/>
        <v>1</v>
      </c>
      <c r="AN466" s="52">
        <f t="shared" si="31"/>
        <v>0</v>
      </c>
      <c r="AO466" s="52">
        <f t="shared" si="32"/>
        <v>1</v>
      </c>
      <c r="AP466" s="235"/>
      <c r="AQ466" s="28"/>
      <c r="AR466" s="28"/>
      <c r="AS466" s="28"/>
      <c r="AT466" s="28"/>
      <c r="AU466" s="235"/>
      <c r="AV466" s="360">
        <f t="shared" si="55"/>
        <v>3939768.3455639137</v>
      </c>
      <c r="AW466" s="235"/>
      <c r="AX466" s="355"/>
      <c r="AY466" s="344"/>
      <c r="AZ466" s="14">
        <f t="shared" si="57"/>
        <v>18437.217353945613</v>
      </c>
      <c r="BA466" s="14">
        <f t="shared" si="56"/>
        <v>0.40711649921042392</v>
      </c>
      <c r="BB466" s="14">
        <f t="shared" si="33"/>
        <v>45287.325347175567</v>
      </c>
      <c r="BC466" s="344"/>
      <c r="BD466" s="344"/>
      <c r="BE466" s="344"/>
      <c r="BF466" s="344"/>
      <c r="BG466" s="344"/>
      <c r="BH466" s="344"/>
      <c r="BI466" s="344"/>
      <c r="BJ466" s="344"/>
      <c r="BK466" s="344"/>
      <c r="BL466" s="344"/>
      <c r="BM466" s="344"/>
      <c r="BN466" s="344"/>
      <c r="BO466" s="344"/>
      <c r="BP466" s="14"/>
      <c r="BQ466" s="14"/>
      <c r="BR466" s="14"/>
      <c r="BS466" s="14"/>
      <c r="BT466" s="14"/>
      <c r="BU466" s="14"/>
      <c r="BV466" s="14"/>
      <c r="BW466" s="14"/>
      <c r="BX466" s="14"/>
      <c r="BY466" s="14"/>
      <c r="BZ466" s="14"/>
      <c r="CA466" s="14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</row>
    <row r="467" spans="1:101" ht="14.25" customHeight="1" x14ac:dyDescent="0.2">
      <c r="A467" s="328"/>
      <c r="B467" s="52">
        <v>0.17381262203185366</v>
      </c>
      <c r="C467" s="330">
        <v>0.11518804914807969</v>
      </c>
      <c r="D467" s="330">
        <v>1.4517347392334345E-2</v>
      </c>
      <c r="E467" s="330">
        <v>2.3723888585044817E-2</v>
      </c>
      <c r="F467" s="331">
        <v>0.77694404633165837</v>
      </c>
      <c r="G467" s="94">
        <v>0.47770369262723633</v>
      </c>
      <c r="H467" s="330">
        <v>1.9618124321107513E-2</v>
      </c>
      <c r="I467" s="330">
        <v>2.5094286683823075E-2</v>
      </c>
      <c r="J467" s="330">
        <v>0.99983791066904881</v>
      </c>
      <c r="K467" s="330">
        <v>0.77896367386260201</v>
      </c>
      <c r="L467" s="332">
        <v>10205.051868827744</v>
      </c>
      <c r="M467" s="330">
        <v>0</v>
      </c>
      <c r="N467" s="330">
        <v>21183.637925734776</v>
      </c>
      <c r="O467" s="330">
        <v>1228.2177393996594</v>
      </c>
      <c r="P467" s="330">
        <v>45536.062270049049</v>
      </c>
      <c r="Q467" s="333">
        <v>107018.85573594502</v>
      </c>
      <c r="R467" s="330">
        <v>34450.803701490877</v>
      </c>
      <c r="S467" s="330">
        <v>8481.104018361435</v>
      </c>
      <c r="T467" s="332">
        <v>0.94471340810303839</v>
      </c>
      <c r="U467" s="330">
        <v>0.62358027387182868</v>
      </c>
      <c r="V467" s="330">
        <v>0.91402773842127627</v>
      </c>
      <c r="W467" s="330">
        <v>0.96652221057200416</v>
      </c>
      <c r="X467" s="330">
        <v>0.99579940869651595</v>
      </c>
      <c r="Y467" s="330">
        <v>0</v>
      </c>
      <c r="Z467" s="331">
        <v>0</v>
      </c>
      <c r="AA467" s="235"/>
      <c r="AB467" s="335">
        <v>82094.076967756686</v>
      </c>
      <c r="AC467" s="336">
        <v>4.8782156755295221</v>
      </c>
      <c r="AD467" s="337">
        <v>73927.216665578962</v>
      </c>
      <c r="AE467" s="336">
        <v>4.7684864643145159</v>
      </c>
      <c r="AF467" s="337">
        <v>8166.8603021777235</v>
      </c>
      <c r="AG467" s="338">
        <v>0.10972921121500612</v>
      </c>
      <c r="AH467" s="235"/>
      <c r="AI467" s="208">
        <f t="shared" si="52"/>
        <v>4552210.8147852896</v>
      </c>
      <c r="AJ467" s="208">
        <f t="shared" si="53"/>
        <v>4456134.9244332109</v>
      </c>
      <c r="AK467" s="208">
        <f t="shared" si="54"/>
        <v>96075.890352078088</v>
      </c>
      <c r="AL467" s="235"/>
      <c r="AM467" s="52">
        <f t="shared" si="30"/>
        <v>1</v>
      </c>
      <c r="AN467" s="52">
        <f t="shared" si="31"/>
        <v>0</v>
      </c>
      <c r="AO467" s="52">
        <f t="shared" si="32"/>
        <v>1</v>
      </c>
      <c r="AP467" s="235"/>
      <c r="AQ467" s="28"/>
      <c r="AR467" s="28"/>
      <c r="AS467" s="28"/>
      <c r="AT467" s="28"/>
      <c r="AU467" s="235"/>
      <c r="AV467" s="360">
        <f t="shared" si="55"/>
        <v>4552210.8147852896</v>
      </c>
      <c r="AW467" s="235"/>
      <c r="AX467" s="355"/>
      <c r="AY467" s="344"/>
      <c r="AZ467" s="14">
        <f t="shared" si="57"/>
        <v>8166.8603021777235</v>
      </c>
      <c r="BA467" s="14">
        <f t="shared" si="56"/>
        <v>0.10972921121500612</v>
      </c>
      <c r="BB467" s="14">
        <f t="shared" si="33"/>
        <v>74427.40371272128</v>
      </c>
      <c r="BC467" s="344"/>
      <c r="BD467" s="344"/>
      <c r="BE467" s="344"/>
      <c r="BF467" s="344"/>
      <c r="BG467" s="344"/>
      <c r="BH467" s="344"/>
      <c r="BI467" s="344"/>
      <c r="BJ467" s="344"/>
      <c r="BK467" s="344"/>
      <c r="BL467" s="344"/>
      <c r="BM467" s="344"/>
      <c r="BN467" s="344"/>
      <c r="BO467" s="344"/>
      <c r="BP467" s="14"/>
      <c r="BQ467" s="14"/>
      <c r="BR467" s="14"/>
      <c r="BS467" s="14"/>
      <c r="BT467" s="14"/>
      <c r="BU467" s="14"/>
      <c r="BV467" s="14"/>
      <c r="BW467" s="14"/>
      <c r="BX467" s="14"/>
      <c r="BY467" s="14"/>
      <c r="BZ467" s="14"/>
      <c r="CA467" s="14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</row>
    <row r="468" spans="1:101" ht="14.25" customHeight="1" x14ac:dyDescent="0.2">
      <c r="A468" s="328"/>
      <c r="B468" s="52">
        <v>0.14063263227292952</v>
      </c>
      <c r="C468" s="330">
        <v>0.35600079690224784</v>
      </c>
      <c r="D468" s="330">
        <v>1.0707310445594236E-2</v>
      </c>
      <c r="E468" s="330">
        <v>1.5043327324169797E-2</v>
      </c>
      <c r="F468" s="331">
        <v>0.8083434854425573</v>
      </c>
      <c r="G468" s="94">
        <v>0.37590600269975982</v>
      </c>
      <c r="H468" s="330">
        <v>0.76406280436004781</v>
      </c>
      <c r="I468" s="330">
        <v>8.0142237378139358E-3</v>
      </c>
      <c r="J468" s="330">
        <v>0.99995511512152013</v>
      </c>
      <c r="K468" s="330">
        <v>0.73052068381029234</v>
      </c>
      <c r="L468" s="332">
        <v>17107.049040106991</v>
      </c>
      <c r="M468" s="330">
        <v>0</v>
      </c>
      <c r="N468" s="330">
        <v>14518.707267213096</v>
      </c>
      <c r="O468" s="330">
        <v>1031.9344737343592</v>
      </c>
      <c r="P468" s="330">
        <v>49733.767429583299</v>
      </c>
      <c r="Q468" s="333">
        <v>74982.742495217826</v>
      </c>
      <c r="R468" s="330">
        <v>24056.773526846417</v>
      </c>
      <c r="S468" s="330">
        <v>5583.1134917509316</v>
      </c>
      <c r="T468" s="332">
        <v>0.91883365610614565</v>
      </c>
      <c r="U468" s="330">
        <v>0.99779973472820782</v>
      </c>
      <c r="V468" s="330">
        <v>0.68092932045407328</v>
      </c>
      <c r="W468" s="330">
        <v>0.93025828634380292</v>
      </c>
      <c r="X468" s="330">
        <v>0.52276217368085975</v>
      </c>
      <c r="Y468" s="330">
        <v>0</v>
      </c>
      <c r="Z468" s="331">
        <v>0</v>
      </c>
      <c r="AA468" s="235"/>
      <c r="AB468" s="335">
        <v>67001.781872577994</v>
      </c>
      <c r="AC468" s="336">
        <v>2.7636810149754703</v>
      </c>
      <c r="AD468" s="337">
        <v>51455.456707570658</v>
      </c>
      <c r="AE468" s="336">
        <v>2.5027495396299333</v>
      </c>
      <c r="AF468" s="337">
        <v>15546.325165007336</v>
      </c>
      <c r="AG468" s="338">
        <v>0.26093147534553696</v>
      </c>
      <c r="AH468" s="235"/>
      <c r="AI468" s="208">
        <f t="shared" si="52"/>
        <v>2558495.1823541187</v>
      </c>
      <c r="AJ468" s="208">
        <f t="shared" si="53"/>
        <v>2326156.6059408658</v>
      </c>
      <c r="AK468" s="208">
        <f t="shared" si="54"/>
        <v>232338.5764132528</v>
      </c>
      <c r="AL468" s="235"/>
      <c r="AM468" s="52">
        <f t="shared" si="30"/>
        <v>1</v>
      </c>
      <c r="AN468" s="52">
        <f t="shared" si="31"/>
        <v>0</v>
      </c>
      <c r="AO468" s="52">
        <f t="shared" si="32"/>
        <v>1</v>
      </c>
      <c r="AP468" s="235"/>
      <c r="AQ468" s="28"/>
      <c r="AR468" s="28"/>
      <c r="AS468" s="28"/>
      <c r="AT468" s="28"/>
      <c r="AU468" s="235"/>
      <c r="AV468" s="360">
        <f t="shared" si="55"/>
        <v>2558495.1823541187</v>
      </c>
      <c r="AW468" s="235"/>
      <c r="AX468" s="355"/>
      <c r="AY468" s="344"/>
      <c r="AZ468" s="14">
        <f t="shared" si="57"/>
        <v>15546.325165007336</v>
      </c>
      <c r="BA468" s="14">
        <f t="shared" si="56"/>
        <v>0.26093147534553696</v>
      </c>
      <c r="BB468" s="14">
        <f t="shared" si="33"/>
        <v>59580.106786351505</v>
      </c>
      <c r="BC468" s="344"/>
      <c r="BD468" s="344"/>
      <c r="BE468" s="344"/>
      <c r="BF468" s="344"/>
      <c r="BG468" s="344"/>
      <c r="BH468" s="344"/>
      <c r="BI468" s="344"/>
      <c r="BJ468" s="344"/>
      <c r="BK468" s="344"/>
      <c r="BL468" s="344"/>
      <c r="BM468" s="344"/>
      <c r="BN468" s="344"/>
      <c r="BO468" s="344"/>
      <c r="BP468" s="14"/>
      <c r="BQ468" s="14"/>
      <c r="BR468" s="14"/>
      <c r="BS468" s="14"/>
      <c r="BT468" s="14"/>
      <c r="BU468" s="14"/>
      <c r="BV468" s="14"/>
      <c r="BW468" s="14"/>
      <c r="BX468" s="14"/>
      <c r="BY468" s="14"/>
      <c r="BZ468" s="14"/>
      <c r="CA468" s="14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</row>
    <row r="469" spans="1:101" ht="14.25" customHeight="1" x14ac:dyDescent="0.2">
      <c r="A469" s="328"/>
      <c r="B469" s="52">
        <v>0.17201240540854135</v>
      </c>
      <c r="C469" s="330">
        <v>0.43925442049761987</v>
      </c>
      <c r="D469" s="330">
        <v>1.8384031575321758E-2</v>
      </c>
      <c r="E469" s="330">
        <v>5.3305628679039168E-3</v>
      </c>
      <c r="F469" s="331">
        <v>0.78597607216632648</v>
      </c>
      <c r="G469" s="94">
        <v>0.35363418834056182</v>
      </c>
      <c r="H469" s="330">
        <v>0.18793384353786377</v>
      </c>
      <c r="I469" s="330">
        <v>1.9046464285032427E-2</v>
      </c>
      <c r="J469" s="330">
        <v>0.99999985482306764</v>
      </c>
      <c r="K469" s="330">
        <v>0.74436482532582726</v>
      </c>
      <c r="L469" s="332">
        <v>11246.476639992505</v>
      </c>
      <c r="M469" s="330">
        <v>0</v>
      </c>
      <c r="N469" s="330">
        <v>18361.032341553208</v>
      </c>
      <c r="O469" s="330">
        <v>1052.624615701056</v>
      </c>
      <c r="P469" s="330">
        <v>30472.022973422088</v>
      </c>
      <c r="Q469" s="333">
        <v>121346.3356898287</v>
      </c>
      <c r="R469" s="330">
        <v>27791.170565889079</v>
      </c>
      <c r="S469" s="330">
        <v>8205.0226940385637</v>
      </c>
      <c r="T469" s="332">
        <v>0.76901458396948863</v>
      </c>
      <c r="U469" s="330">
        <v>0.96685490644873551</v>
      </c>
      <c r="V469" s="330">
        <v>0.83052335594994553</v>
      </c>
      <c r="W469" s="330">
        <v>0.70645806378894105</v>
      </c>
      <c r="X469" s="330">
        <v>0.62348245179432693</v>
      </c>
      <c r="Y469" s="330">
        <v>0</v>
      </c>
      <c r="Z469" s="331">
        <v>0</v>
      </c>
      <c r="AA469" s="235"/>
      <c r="AB469" s="335">
        <v>83117.108979451819</v>
      </c>
      <c r="AC469" s="336">
        <v>2.9605475824249683</v>
      </c>
      <c r="AD469" s="337">
        <v>68953.844491515149</v>
      </c>
      <c r="AE469" s="336">
        <v>3.1172265102840488</v>
      </c>
      <c r="AF469" s="337">
        <v>14163.264487936671</v>
      </c>
      <c r="AG469" s="338">
        <v>-0.15667892785908055</v>
      </c>
      <c r="AH469" s="235"/>
      <c r="AI469" s="208">
        <f t="shared" si="52"/>
        <v>2729403.0943242679</v>
      </c>
      <c r="AJ469" s="208">
        <f t="shared" si="53"/>
        <v>2892411.3402783312</v>
      </c>
      <c r="AK469" s="208">
        <f t="shared" si="54"/>
        <v>-163008.2459540632</v>
      </c>
      <c r="AL469" s="235"/>
      <c r="AM469" s="52">
        <f t="shared" si="30"/>
        <v>0</v>
      </c>
      <c r="AN469" s="52">
        <f t="shared" si="31"/>
        <v>1</v>
      </c>
      <c r="AO469" s="52">
        <f t="shared" si="32"/>
        <v>0</v>
      </c>
      <c r="AP469" s="235"/>
      <c r="AQ469" s="28"/>
      <c r="AR469" s="28"/>
      <c r="AS469" s="28"/>
      <c r="AT469" s="28"/>
      <c r="AU469" s="235"/>
      <c r="AV469" s="360">
        <f t="shared" si="55"/>
        <v>2892411.3402783312</v>
      </c>
      <c r="AW469" s="235"/>
      <c r="AX469" s="355"/>
      <c r="AY469" s="344"/>
      <c r="AZ469" s="14">
        <f t="shared" si="57"/>
        <v>14163.264487936671</v>
      </c>
      <c r="BA469" s="14">
        <f t="shared" si="56"/>
        <v>-0.15667892785908055</v>
      </c>
      <c r="BB469" s="14">
        <f t="shared" si="33"/>
        <v>-90396.741166593434</v>
      </c>
      <c r="BC469" s="344"/>
      <c r="BD469" s="344"/>
      <c r="BE469" s="344"/>
      <c r="BF469" s="344"/>
      <c r="BG469" s="344"/>
      <c r="BH469" s="344"/>
      <c r="BI469" s="344"/>
      <c r="BJ469" s="344"/>
      <c r="BK469" s="344"/>
      <c r="BL469" s="344"/>
      <c r="BM469" s="344"/>
      <c r="BN469" s="344"/>
      <c r="BO469" s="344"/>
      <c r="BP469" s="14"/>
      <c r="BQ469" s="14"/>
      <c r="BR469" s="14"/>
      <c r="BS469" s="14"/>
      <c r="BT469" s="14"/>
      <c r="BU469" s="14"/>
      <c r="BV469" s="14"/>
      <c r="BW469" s="14"/>
      <c r="BX469" s="14"/>
      <c r="BY469" s="14"/>
      <c r="BZ469" s="14"/>
      <c r="CA469" s="14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</row>
    <row r="470" spans="1:101" ht="14.25" customHeight="1" x14ac:dyDescent="0.2">
      <c r="A470" s="328"/>
      <c r="B470" s="52">
        <v>0.15200960598178342</v>
      </c>
      <c r="C470" s="330">
        <v>7.953972789665939E-2</v>
      </c>
      <c r="D470" s="330">
        <v>4.7445035939291252E-3</v>
      </c>
      <c r="E470" s="330">
        <v>5.3508276589050085E-3</v>
      </c>
      <c r="F470" s="331">
        <v>0.78281386621381888</v>
      </c>
      <c r="G470" s="94">
        <v>0.39201773743527274</v>
      </c>
      <c r="H470" s="330">
        <v>0.52402567081977791</v>
      </c>
      <c r="I470" s="330">
        <v>2.4760023829098143E-2</v>
      </c>
      <c r="J470" s="330">
        <v>1</v>
      </c>
      <c r="K470" s="330">
        <v>0.71209564143632553</v>
      </c>
      <c r="L470" s="332">
        <v>13684.433748619891</v>
      </c>
      <c r="M470" s="330">
        <v>0</v>
      </c>
      <c r="N470" s="330">
        <v>20473.467994820909</v>
      </c>
      <c r="O470" s="330">
        <v>1155.818398862993</v>
      </c>
      <c r="P470" s="330">
        <v>45780.689583290827</v>
      </c>
      <c r="Q470" s="333">
        <v>93911.526271573806</v>
      </c>
      <c r="R470" s="330">
        <v>28214.965585538321</v>
      </c>
      <c r="S470" s="330">
        <v>6933.9003250924297</v>
      </c>
      <c r="T470" s="332">
        <v>0.8017016383241885</v>
      </c>
      <c r="U470" s="330">
        <v>0.25111571028331814</v>
      </c>
      <c r="V470" s="330">
        <v>0.96107544525378374</v>
      </c>
      <c r="W470" s="330">
        <v>0.13824555232981908</v>
      </c>
      <c r="X470" s="330">
        <v>0.99913013138867557</v>
      </c>
      <c r="Y470" s="330">
        <v>0</v>
      </c>
      <c r="Z470" s="331">
        <v>0</v>
      </c>
      <c r="AA470" s="235"/>
      <c r="AB470" s="335">
        <v>72517.878885567698</v>
      </c>
      <c r="AC470" s="336">
        <v>4.9244068670542829</v>
      </c>
      <c r="AD470" s="337">
        <v>60668.654896581153</v>
      </c>
      <c r="AE470" s="336">
        <v>4.3068698186795036</v>
      </c>
      <c r="AF470" s="337">
        <v>11849.223988986545</v>
      </c>
      <c r="AG470" s="338">
        <v>0.6175370483747793</v>
      </c>
      <c r="AH470" s="235"/>
      <c r="AI470" s="208">
        <f t="shared" si="52"/>
        <v>4605668.6448160009</v>
      </c>
      <c r="AJ470" s="208">
        <f t="shared" si="53"/>
        <v>4030857.6728489473</v>
      </c>
      <c r="AK470" s="208">
        <f t="shared" si="54"/>
        <v>574810.97196705372</v>
      </c>
      <c r="AL470" s="235"/>
      <c r="AM470" s="52">
        <f t="shared" si="30"/>
        <v>1</v>
      </c>
      <c r="AN470" s="52">
        <f t="shared" si="31"/>
        <v>0</v>
      </c>
      <c r="AO470" s="52">
        <f t="shared" si="32"/>
        <v>1</v>
      </c>
      <c r="AP470" s="235"/>
      <c r="AQ470" s="28"/>
      <c r="AR470" s="28"/>
      <c r="AS470" s="28"/>
      <c r="AT470" s="28"/>
      <c r="AU470" s="235"/>
      <c r="AV470" s="360">
        <f t="shared" si="55"/>
        <v>4605668.6448160009</v>
      </c>
      <c r="AW470" s="235"/>
      <c r="AX470" s="355"/>
      <c r="AY470" s="344"/>
      <c r="AZ470" s="14">
        <f t="shared" si="57"/>
        <v>11849.223988986545</v>
      </c>
      <c r="BA470" s="14">
        <f t="shared" si="56"/>
        <v>0.6175370483747793</v>
      </c>
      <c r="BB470" s="14">
        <f t="shared" si="33"/>
        <v>19187.875480784638</v>
      </c>
      <c r="BC470" s="344"/>
      <c r="BD470" s="344"/>
      <c r="BE470" s="344"/>
      <c r="BF470" s="344"/>
      <c r="BG470" s="344"/>
      <c r="BH470" s="344"/>
      <c r="BI470" s="344"/>
      <c r="BJ470" s="344"/>
      <c r="BK470" s="344"/>
      <c r="BL470" s="344"/>
      <c r="BM470" s="344"/>
      <c r="BN470" s="344"/>
      <c r="BO470" s="344"/>
      <c r="BP470" s="14"/>
      <c r="BQ470" s="14"/>
      <c r="BR470" s="14"/>
      <c r="BS470" s="14"/>
      <c r="BT470" s="14"/>
      <c r="BU470" s="14"/>
      <c r="BV470" s="14"/>
      <c r="BW470" s="14"/>
      <c r="BX470" s="14"/>
      <c r="BY470" s="14"/>
      <c r="BZ470" s="14"/>
      <c r="CA470" s="14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</row>
    <row r="471" spans="1:101" ht="14.25" customHeight="1" x14ac:dyDescent="0.2">
      <c r="A471" s="328"/>
      <c r="B471" s="52">
        <v>0.16330422086996854</v>
      </c>
      <c r="C471" s="330">
        <v>0.29936877063994538</v>
      </c>
      <c r="D471" s="330">
        <v>1.380512951563968E-2</v>
      </c>
      <c r="E471" s="330">
        <v>1.7418025944382021E-2</v>
      </c>
      <c r="F471" s="331">
        <v>0.81569261131343029</v>
      </c>
      <c r="G471" s="94">
        <v>0.43493222464647985</v>
      </c>
      <c r="H471" s="330">
        <v>0.6527599265037588</v>
      </c>
      <c r="I471" s="330">
        <v>9.0719094534384374E-3</v>
      </c>
      <c r="J471" s="330">
        <v>8.2916952727494289E-2</v>
      </c>
      <c r="K471" s="330">
        <v>0.7728185856307298</v>
      </c>
      <c r="L471" s="332">
        <v>8687.8742442892162</v>
      </c>
      <c r="M471" s="330">
        <v>0</v>
      </c>
      <c r="N471" s="330">
        <v>18189.267709507996</v>
      </c>
      <c r="O471" s="330">
        <v>1708.7569804090158</v>
      </c>
      <c r="P471" s="330">
        <v>37275.988263812666</v>
      </c>
      <c r="Q471" s="333">
        <v>72240.451968410795</v>
      </c>
      <c r="R471" s="330">
        <v>38046.434489046726</v>
      </c>
      <c r="S471" s="330">
        <v>8032.0703084962515</v>
      </c>
      <c r="T471" s="332">
        <v>0.99999786252761935</v>
      </c>
      <c r="U471" s="330">
        <v>0.89055662291122362</v>
      </c>
      <c r="V471" s="330">
        <v>0.77926875437251142</v>
      </c>
      <c r="W471" s="330">
        <v>0.89435900077452424</v>
      </c>
      <c r="X471" s="330">
        <v>0.82694575883898713</v>
      </c>
      <c r="Y471" s="330">
        <v>0</v>
      </c>
      <c r="Z471" s="331">
        <v>0</v>
      </c>
      <c r="AA471" s="235"/>
      <c r="AB471" s="335">
        <v>81299.794295627289</v>
      </c>
      <c r="AC471" s="336">
        <v>4.4318591909677059</v>
      </c>
      <c r="AD471" s="337">
        <v>78407.277550663843</v>
      </c>
      <c r="AE471" s="336">
        <v>3.8998986722627178</v>
      </c>
      <c r="AF471" s="337">
        <v>2892.5167449634464</v>
      </c>
      <c r="AG471" s="338">
        <v>0.53196051870498806</v>
      </c>
      <c r="AH471" s="235"/>
      <c r="AI471" s="208">
        <f t="shared" si="52"/>
        <v>4128966.4371236931</v>
      </c>
      <c r="AJ471" s="208">
        <f t="shared" si="53"/>
        <v>3626496.4610989182</v>
      </c>
      <c r="AK471" s="208">
        <f t="shared" si="54"/>
        <v>502469.97602477518</v>
      </c>
      <c r="AL471" s="235"/>
      <c r="AM471" s="52">
        <f t="shared" si="30"/>
        <v>1</v>
      </c>
      <c r="AN471" s="52">
        <f t="shared" si="31"/>
        <v>0</v>
      </c>
      <c r="AO471" s="52">
        <f t="shared" si="32"/>
        <v>1</v>
      </c>
      <c r="AP471" s="235"/>
      <c r="AQ471" s="28"/>
      <c r="AR471" s="28"/>
      <c r="AS471" s="28"/>
      <c r="AT471" s="28"/>
      <c r="AU471" s="235"/>
      <c r="AV471" s="360">
        <f t="shared" si="55"/>
        <v>4128966.4371236931</v>
      </c>
      <c r="AW471" s="235"/>
      <c r="AX471" s="355"/>
      <c r="AY471" s="344"/>
      <c r="AZ471" s="14">
        <f t="shared" si="57"/>
        <v>2892.5167449634464</v>
      </c>
      <c r="BA471" s="14">
        <f t="shared" si="56"/>
        <v>0.53196051870498806</v>
      </c>
      <c r="BB471" s="14">
        <f t="shared" si="33"/>
        <v>5437.4650810647163</v>
      </c>
      <c r="BC471" s="344"/>
      <c r="BD471" s="344"/>
      <c r="BE471" s="344"/>
      <c r="BF471" s="344"/>
      <c r="BG471" s="344"/>
      <c r="BH471" s="344"/>
      <c r="BI471" s="344"/>
      <c r="BJ471" s="344"/>
      <c r="BK471" s="344"/>
      <c r="BL471" s="344"/>
      <c r="BM471" s="344"/>
      <c r="BN471" s="344"/>
      <c r="BO471" s="344"/>
      <c r="BP471" s="14"/>
      <c r="BQ471" s="14"/>
      <c r="BR471" s="14"/>
      <c r="BS471" s="14"/>
      <c r="BT471" s="14"/>
      <c r="BU471" s="14"/>
      <c r="BV471" s="14"/>
      <c r="BW471" s="14"/>
      <c r="BX471" s="14"/>
      <c r="BY471" s="14"/>
      <c r="BZ471" s="14"/>
      <c r="CA471" s="14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</row>
    <row r="472" spans="1:101" ht="14.25" customHeight="1" x14ac:dyDescent="0.2">
      <c r="A472" s="328"/>
      <c r="B472" s="52">
        <v>0.14979124916410652</v>
      </c>
      <c r="C472" s="330">
        <v>0.10836174305625103</v>
      </c>
      <c r="D472" s="330">
        <v>2.3408204442427749E-2</v>
      </c>
      <c r="E472" s="330">
        <v>1.3451057814219347E-2</v>
      </c>
      <c r="F472" s="331">
        <v>0.78086324352291836</v>
      </c>
      <c r="G472" s="94">
        <v>0.44555292139134228</v>
      </c>
      <c r="H472" s="330">
        <v>0.81182430640721448</v>
      </c>
      <c r="I472" s="330">
        <v>4.4292201910536844E-2</v>
      </c>
      <c r="J472" s="330">
        <v>0.99999999999999711</v>
      </c>
      <c r="K472" s="330">
        <v>0.77223670250392962</v>
      </c>
      <c r="L472" s="332">
        <v>10633.681030240752</v>
      </c>
      <c r="M472" s="330">
        <v>0</v>
      </c>
      <c r="N472" s="330">
        <v>15413.795411784433</v>
      </c>
      <c r="O472" s="330">
        <v>1267.7023474337323</v>
      </c>
      <c r="P472" s="330">
        <v>59165.027560855524</v>
      </c>
      <c r="Q472" s="333">
        <v>79313.466051678814</v>
      </c>
      <c r="R472" s="330">
        <v>24809.342241857063</v>
      </c>
      <c r="S472" s="330">
        <v>8254.7897252519342</v>
      </c>
      <c r="T472" s="332">
        <v>0.95751398774298857</v>
      </c>
      <c r="U472" s="330">
        <v>0.80514719757117392</v>
      </c>
      <c r="V472" s="330">
        <v>0.99904128123860403</v>
      </c>
      <c r="W472" s="330">
        <v>0.73606360627419465</v>
      </c>
      <c r="X472" s="330">
        <v>0.9999746529229514</v>
      </c>
      <c r="Y472" s="330">
        <v>0</v>
      </c>
      <c r="Z472" s="331">
        <v>0</v>
      </c>
      <c r="AA472" s="235"/>
      <c r="AB472" s="335">
        <v>80679.920414420514</v>
      </c>
      <c r="AC472" s="336">
        <v>5.2511795908059735</v>
      </c>
      <c r="AD472" s="337">
        <v>80639.068250816097</v>
      </c>
      <c r="AE472" s="336">
        <v>4.7393106244077403</v>
      </c>
      <c r="AF472" s="337">
        <v>40.852163604417001</v>
      </c>
      <c r="AG472" s="338">
        <v>0.5118689663982332</v>
      </c>
      <c r="AH472" s="235"/>
      <c r="AI472" s="208">
        <f t="shared" si="52"/>
        <v>4907940.6908512544</v>
      </c>
      <c r="AJ472" s="208">
        <f t="shared" si="53"/>
        <v>4421706.0249365373</v>
      </c>
      <c r="AK472" s="208">
        <f t="shared" si="54"/>
        <v>486234.66591471713</v>
      </c>
      <c r="AL472" s="235"/>
      <c r="AM472" s="52">
        <f t="shared" si="30"/>
        <v>1</v>
      </c>
      <c r="AN472" s="52">
        <f t="shared" si="31"/>
        <v>0</v>
      </c>
      <c r="AO472" s="52">
        <f t="shared" si="32"/>
        <v>1</v>
      </c>
      <c r="AP472" s="235"/>
      <c r="AQ472" s="28"/>
      <c r="AR472" s="28"/>
      <c r="AS472" s="28"/>
      <c r="AT472" s="28"/>
      <c r="AU472" s="235"/>
      <c r="AV472" s="360">
        <f t="shared" si="55"/>
        <v>4907940.6908512544</v>
      </c>
      <c r="AW472" s="235"/>
      <c r="AX472" s="355"/>
      <c r="AY472" s="344"/>
      <c r="AZ472" s="14">
        <f t="shared" si="57"/>
        <v>40.852163604417001</v>
      </c>
      <c r="BA472" s="14">
        <f t="shared" si="56"/>
        <v>0.5118689663982332</v>
      </c>
      <c r="BB472" s="14">
        <f t="shared" si="33"/>
        <v>79.809807365102273</v>
      </c>
      <c r="BC472" s="344"/>
      <c r="BD472" s="344"/>
      <c r="BE472" s="344"/>
      <c r="BF472" s="344"/>
      <c r="BG472" s="344"/>
      <c r="BH472" s="344"/>
      <c r="BI472" s="344"/>
      <c r="BJ472" s="344"/>
      <c r="BK472" s="344"/>
      <c r="BL472" s="344"/>
      <c r="BM472" s="344"/>
      <c r="BN472" s="344"/>
      <c r="BO472" s="344"/>
      <c r="BP472" s="14"/>
      <c r="BQ472" s="14"/>
      <c r="BR472" s="14"/>
      <c r="BS472" s="14"/>
      <c r="BT472" s="14"/>
      <c r="BU472" s="14"/>
      <c r="BV472" s="14"/>
      <c r="BW472" s="14"/>
      <c r="BX472" s="14"/>
      <c r="BY472" s="14"/>
      <c r="BZ472" s="14"/>
      <c r="CA472" s="14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</row>
    <row r="473" spans="1:101" ht="14.25" customHeight="1" x14ac:dyDescent="0.2">
      <c r="A473" s="328"/>
      <c r="B473" s="52">
        <v>0.12693785877332964</v>
      </c>
      <c r="C473" s="330">
        <v>0.42933003881750176</v>
      </c>
      <c r="D473" s="330">
        <v>9.15967560602453E-3</v>
      </c>
      <c r="E473" s="330">
        <v>2.2240314474811007E-2</v>
      </c>
      <c r="F473" s="331">
        <v>0.813175113459781</v>
      </c>
      <c r="G473" s="94">
        <v>0.42910915068127975</v>
      </c>
      <c r="H473" s="330">
        <v>0.44410010049378301</v>
      </c>
      <c r="I473" s="330">
        <v>1.1284286490875931E-2</v>
      </c>
      <c r="J473" s="330">
        <v>0.999999999999998</v>
      </c>
      <c r="K473" s="330">
        <v>0.82541356368838525</v>
      </c>
      <c r="L473" s="332">
        <v>11999.181059809594</v>
      </c>
      <c r="M473" s="330">
        <v>0</v>
      </c>
      <c r="N473" s="330">
        <v>17631.513322040413</v>
      </c>
      <c r="O473" s="330">
        <v>1043.2615159864574</v>
      </c>
      <c r="P473" s="330">
        <v>32531.141865696562</v>
      </c>
      <c r="Q473" s="333">
        <v>133753.24066265981</v>
      </c>
      <c r="R473" s="330">
        <v>18074.622693694633</v>
      </c>
      <c r="S473" s="330">
        <v>8974.6097044987036</v>
      </c>
      <c r="T473" s="332">
        <v>0.55667164370247024</v>
      </c>
      <c r="U473" s="330">
        <v>0.983870541143544</v>
      </c>
      <c r="V473" s="330">
        <v>0.93939878254104148</v>
      </c>
      <c r="W473" s="330">
        <v>0.93947813490801002</v>
      </c>
      <c r="X473" s="330">
        <v>0.81445438849858776</v>
      </c>
      <c r="Y473" s="330">
        <v>0</v>
      </c>
      <c r="Z473" s="331">
        <v>0</v>
      </c>
      <c r="AA473" s="235"/>
      <c r="AB473" s="335">
        <v>91589.225584103508</v>
      </c>
      <c r="AC473" s="336">
        <v>4.2615863484371701</v>
      </c>
      <c r="AD473" s="337">
        <v>84275.805269580975</v>
      </c>
      <c r="AE473" s="336">
        <v>4.3040544877280684</v>
      </c>
      <c r="AF473" s="337">
        <v>7313.4203145225329</v>
      </c>
      <c r="AG473" s="338">
        <v>-4.2468139290898321E-2</v>
      </c>
      <c r="AH473" s="235"/>
      <c r="AI473" s="208">
        <f t="shared" si="52"/>
        <v>3956917.8054312076</v>
      </c>
      <c r="AJ473" s="208">
        <f t="shared" si="53"/>
        <v>4004575.958072084</v>
      </c>
      <c r="AK473" s="208">
        <f t="shared" si="54"/>
        <v>-47658.152640875938</v>
      </c>
      <c r="AL473" s="235"/>
      <c r="AM473" s="52">
        <f t="shared" si="30"/>
        <v>0</v>
      </c>
      <c r="AN473" s="52">
        <f t="shared" si="31"/>
        <v>1</v>
      </c>
      <c r="AO473" s="52">
        <f t="shared" si="32"/>
        <v>0</v>
      </c>
      <c r="AP473" s="235"/>
      <c r="AQ473" s="28"/>
      <c r="AR473" s="28"/>
      <c r="AS473" s="28"/>
      <c r="AT473" s="28"/>
      <c r="AU473" s="235"/>
      <c r="AV473" s="360">
        <f t="shared" si="55"/>
        <v>4004575.958072084</v>
      </c>
      <c r="AW473" s="235"/>
      <c r="AX473" s="355"/>
      <c r="AY473" s="344"/>
      <c r="AZ473" s="14">
        <f t="shared" si="57"/>
        <v>7313.4203145225329</v>
      </c>
      <c r="BA473" s="14">
        <f t="shared" si="56"/>
        <v>-4.2468139290898321E-2</v>
      </c>
      <c r="BB473" s="14">
        <f t="shared" si="33"/>
        <v>-172209.57726513647</v>
      </c>
      <c r="BC473" s="344"/>
      <c r="BD473" s="344"/>
      <c r="BE473" s="344"/>
      <c r="BF473" s="344"/>
      <c r="BG473" s="344"/>
      <c r="BH473" s="344"/>
      <c r="BI473" s="344"/>
      <c r="BJ473" s="344"/>
      <c r="BK473" s="344"/>
      <c r="BL473" s="344"/>
      <c r="BM473" s="344"/>
      <c r="BN473" s="344"/>
      <c r="BO473" s="344"/>
      <c r="BP473" s="14"/>
      <c r="BQ473" s="14"/>
      <c r="BR473" s="14"/>
      <c r="BS473" s="14"/>
      <c r="BT473" s="14"/>
      <c r="BU473" s="14"/>
      <c r="BV473" s="14"/>
      <c r="BW473" s="14"/>
      <c r="BX473" s="14"/>
      <c r="BY473" s="14"/>
      <c r="BZ473" s="14"/>
      <c r="CA473" s="14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</row>
    <row r="474" spans="1:101" ht="14.25" customHeight="1" x14ac:dyDescent="0.2">
      <c r="A474" s="328"/>
      <c r="B474" s="52">
        <v>0.1677935027962556</v>
      </c>
      <c r="C474" s="330">
        <v>0.29786468061868454</v>
      </c>
      <c r="D474" s="330">
        <v>1.1716825594997721E-2</v>
      </c>
      <c r="E474" s="330">
        <v>1.6746132172946182E-2</v>
      </c>
      <c r="F474" s="331">
        <v>0.78399171273469481</v>
      </c>
      <c r="G474" s="94">
        <v>0.35360255911942906</v>
      </c>
      <c r="H474" s="330">
        <v>0.39690541850909261</v>
      </c>
      <c r="I474" s="330">
        <v>2.2027555076955863E-2</v>
      </c>
      <c r="J474" s="330">
        <v>0.97473998893479918</v>
      </c>
      <c r="K474" s="330">
        <v>0.72429692752879649</v>
      </c>
      <c r="L474" s="332">
        <v>11705.926068284523</v>
      </c>
      <c r="M474" s="330">
        <v>0</v>
      </c>
      <c r="N474" s="330">
        <v>19116.799065290717</v>
      </c>
      <c r="O474" s="330">
        <v>1314.705784739006</v>
      </c>
      <c r="P474" s="330">
        <v>47582.123905608205</v>
      </c>
      <c r="Q474" s="333">
        <v>95280.224224202888</v>
      </c>
      <c r="R474" s="330">
        <v>19984.009477221243</v>
      </c>
      <c r="S474" s="330">
        <v>10997.941295004688</v>
      </c>
      <c r="T474" s="332">
        <v>0.99988516665540961</v>
      </c>
      <c r="U474" s="330">
        <v>0.25942938161916923</v>
      </c>
      <c r="V474" s="330">
        <v>0.96329950706638834</v>
      </c>
      <c r="W474" s="330">
        <v>0.98940941811092098</v>
      </c>
      <c r="X474" s="330">
        <v>0.532976667948734</v>
      </c>
      <c r="Y474" s="330">
        <v>0</v>
      </c>
      <c r="Z474" s="331">
        <v>0</v>
      </c>
      <c r="AA474" s="235"/>
      <c r="AB474" s="335">
        <v>105642.67860742951</v>
      </c>
      <c r="AC474" s="336">
        <v>2.5320465881341172</v>
      </c>
      <c r="AD474" s="337">
        <v>89985.265592485477</v>
      </c>
      <c r="AE474" s="336">
        <v>2.3758277227940163</v>
      </c>
      <c r="AF474" s="337">
        <v>15657.413014944032</v>
      </c>
      <c r="AG474" s="338">
        <v>0.15621886534010088</v>
      </c>
      <c r="AH474" s="235"/>
      <c r="AI474" s="208">
        <f t="shared" si="52"/>
        <v>2299801.5801199819</v>
      </c>
      <c r="AJ474" s="208">
        <f t="shared" si="53"/>
        <v>2167051.07106183</v>
      </c>
      <c r="AK474" s="208">
        <f t="shared" si="54"/>
        <v>132750.5090581518</v>
      </c>
      <c r="AL474" s="235"/>
      <c r="AM474" s="52">
        <f t="shared" si="30"/>
        <v>1</v>
      </c>
      <c r="AN474" s="52">
        <f t="shared" si="31"/>
        <v>0</v>
      </c>
      <c r="AO474" s="52">
        <f t="shared" si="32"/>
        <v>1</v>
      </c>
      <c r="AP474" s="235"/>
      <c r="AQ474" s="28"/>
      <c r="AR474" s="28"/>
      <c r="AS474" s="28"/>
      <c r="AT474" s="28"/>
      <c r="AU474" s="235"/>
      <c r="AV474" s="360">
        <f t="shared" si="55"/>
        <v>2299801.5801199819</v>
      </c>
      <c r="AW474" s="235"/>
      <c r="AX474" s="355"/>
      <c r="AY474" s="344"/>
      <c r="AZ474" s="14">
        <f t="shared" si="57"/>
        <v>15657.413014944032</v>
      </c>
      <c r="BA474" s="14">
        <f t="shared" si="56"/>
        <v>0.15621886534010088</v>
      </c>
      <c r="BB474" s="14">
        <f t="shared" si="33"/>
        <v>100227.41479306357</v>
      </c>
      <c r="BC474" s="344"/>
      <c r="BD474" s="344"/>
      <c r="BE474" s="344"/>
      <c r="BF474" s="344"/>
      <c r="BG474" s="344"/>
      <c r="BH474" s="344"/>
      <c r="BI474" s="344"/>
      <c r="BJ474" s="344"/>
      <c r="BK474" s="344"/>
      <c r="BL474" s="344"/>
      <c r="BM474" s="344"/>
      <c r="BN474" s="344"/>
      <c r="BO474" s="344"/>
      <c r="BP474" s="14"/>
      <c r="BQ474" s="14"/>
      <c r="BR474" s="14"/>
      <c r="BS474" s="14"/>
      <c r="BT474" s="14"/>
      <c r="BU474" s="14"/>
      <c r="BV474" s="14"/>
      <c r="BW474" s="14"/>
      <c r="BX474" s="14"/>
      <c r="BY474" s="14"/>
      <c r="BZ474" s="14"/>
      <c r="CA474" s="14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</row>
    <row r="475" spans="1:101" ht="14.25" customHeight="1" x14ac:dyDescent="0.2">
      <c r="A475" s="328"/>
      <c r="B475" s="52">
        <v>0.15482644391266268</v>
      </c>
      <c r="C475" s="330">
        <v>0.28439789779920127</v>
      </c>
      <c r="D475" s="330">
        <v>1.2476884278061762E-2</v>
      </c>
      <c r="E475" s="330">
        <v>7.2804963267426616E-3</v>
      </c>
      <c r="F475" s="331">
        <v>0.75672688749314099</v>
      </c>
      <c r="G475" s="94">
        <v>0.42732303509372271</v>
      </c>
      <c r="H475" s="330">
        <v>0.47202854916625736</v>
      </c>
      <c r="I475" s="330">
        <v>1.485055760531143E-2</v>
      </c>
      <c r="J475" s="330">
        <v>0.91230391893609031</v>
      </c>
      <c r="K475" s="330">
        <v>0.82631819617374713</v>
      </c>
      <c r="L475" s="332">
        <v>9683.5559739955297</v>
      </c>
      <c r="M475" s="330">
        <v>0</v>
      </c>
      <c r="N475" s="330">
        <v>23245.049655608727</v>
      </c>
      <c r="O475" s="330">
        <v>1424.1998608459735</v>
      </c>
      <c r="P475" s="330">
        <v>42603.020137178944</v>
      </c>
      <c r="Q475" s="333">
        <v>73074.465799916492</v>
      </c>
      <c r="R475" s="330">
        <v>29407.765790584846</v>
      </c>
      <c r="S475" s="330">
        <v>9431.4399565441654</v>
      </c>
      <c r="T475" s="332">
        <v>0.8225632247762692</v>
      </c>
      <c r="U475" s="330">
        <v>0.99754333780615756</v>
      </c>
      <c r="V475" s="330">
        <v>0.44008327293194438</v>
      </c>
      <c r="W475" s="330">
        <v>0.99454496933648284</v>
      </c>
      <c r="X475" s="330">
        <v>0.68532389062454568</v>
      </c>
      <c r="Y475" s="330">
        <v>0</v>
      </c>
      <c r="Z475" s="331">
        <v>0</v>
      </c>
      <c r="AA475" s="235"/>
      <c r="AB475" s="335">
        <v>87930.096922348894</v>
      </c>
      <c r="AC475" s="336">
        <v>3.1749906687307687</v>
      </c>
      <c r="AD475" s="337">
        <v>90982.794389930074</v>
      </c>
      <c r="AE475" s="336">
        <v>3.8293434155304023</v>
      </c>
      <c r="AF475" s="337">
        <v>-3052.6974675811798</v>
      </c>
      <c r="AG475" s="338">
        <v>-0.65435274679963351</v>
      </c>
      <c r="AH475" s="235"/>
      <c r="AI475" s="208">
        <f t="shared" si="52"/>
        <v>2928311.0383718815</v>
      </c>
      <c r="AJ475" s="208">
        <f t="shared" si="53"/>
        <v>3546893.4503639522</v>
      </c>
      <c r="AK475" s="208">
        <f t="shared" si="54"/>
        <v>-618582.41199207073</v>
      </c>
      <c r="AL475" s="235"/>
      <c r="AM475" s="52">
        <f t="shared" si="30"/>
        <v>0</v>
      </c>
      <c r="AN475" s="52">
        <f t="shared" si="31"/>
        <v>1</v>
      </c>
      <c r="AO475" s="52">
        <f t="shared" si="32"/>
        <v>0</v>
      </c>
      <c r="AP475" s="235"/>
      <c r="AQ475" s="28"/>
      <c r="AR475" s="28"/>
      <c r="AS475" s="28"/>
      <c r="AT475" s="28"/>
      <c r="AU475" s="235"/>
      <c r="AV475" s="360">
        <f t="shared" si="55"/>
        <v>3546893.4503639522</v>
      </c>
      <c r="AW475" s="235"/>
      <c r="AX475" s="355"/>
      <c r="AY475" s="344"/>
      <c r="AZ475" s="14">
        <f t="shared" si="57"/>
        <v>-3052.6974675811798</v>
      </c>
      <c r="BA475" s="14">
        <f t="shared" si="56"/>
        <v>-0.65435274679963351</v>
      </c>
      <c r="BB475" s="14">
        <f t="shared" si="33"/>
        <v>4665.2168612595933</v>
      </c>
      <c r="BC475" s="344"/>
      <c r="BD475" s="344"/>
      <c r="BE475" s="344"/>
      <c r="BF475" s="344"/>
      <c r="BG475" s="344"/>
      <c r="BH475" s="344"/>
      <c r="BI475" s="344"/>
      <c r="BJ475" s="344"/>
      <c r="BK475" s="344"/>
      <c r="BL475" s="344"/>
      <c r="BM475" s="344"/>
      <c r="BN475" s="344"/>
      <c r="BO475" s="344"/>
      <c r="BP475" s="14"/>
      <c r="BQ475" s="14"/>
      <c r="BR475" s="14"/>
      <c r="BS475" s="14"/>
      <c r="BT475" s="14"/>
      <c r="BU475" s="14"/>
      <c r="BV475" s="14"/>
      <c r="BW475" s="14"/>
      <c r="BX475" s="14"/>
      <c r="BY475" s="14"/>
      <c r="BZ475" s="14"/>
      <c r="CA475" s="14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</row>
    <row r="476" spans="1:101" ht="14.25" customHeight="1" x14ac:dyDescent="0.2">
      <c r="A476" s="328"/>
      <c r="B476" s="52">
        <v>0.21457001294270639</v>
      </c>
      <c r="C476" s="330">
        <v>9.0640771089980088E-2</v>
      </c>
      <c r="D476" s="330">
        <v>1.6504293028865913E-2</v>
      </c>
      <c r="E476" s="330">
        <v>3.5455782515387502E-2</v>
      </c>
      <c r="F476" s="331">
        <v>0.78531161974606711</v>
      </c>
      <c r="G476" s="94">
        <v>0.35924447206869486</v>
      </c>
      <c r="H476" s="330">
        <v>2.3632459660809561E-2</v>
      </c>
      <c r="I476" s="330">
        <v>7.4824471942466888E-3</v>
      </c>
      <c r="J476" s="330">
        <v>0.8766399506567043</v>
      </c>
      <c r="K476" s="330">
        <v>0.7619507559549159</v>
      </c>
      <c r="L476" s="332">
        <v>11400.605496757362</v>
      </c>
      <c r="M476" s="330">
        <v>0</v>
      </c>
      <c r="N476" s="330">
        <v>15384.232486654897</v>
      </c>
      <c r="O476" s="330">
        <v>1022.9728759050475</v>
      </c>
      <c r="P476" s="330">
        <v>41343.960786639022</v>
      </c>
      <c r="Q476" s="333">
        <v>114974.63898703692</v>
      </c>
      <c r="R476" s="330">
        <v>21815.113354117526</v>
      </c>
      <c r="S476" s="330">
        <v>9358.2328385698838</v>
      </c>
      <c r="T476" s="332">
        <v>0.99997310897375646</v>
      </c>
      <c r="U476" s="330">
        <v>0.97014416535107473</v>
      </c>
      <c r="V476" s="330">
        <v>0.99994238021984794</v>
      </c>
      <c r="W476" s="330">
        <v>0.95546602996592411</v>
      </c>
      <c r="X476" s="330">
        <v>0.89416739609481344</v>
      </c>
      <c r="Y476" s="330">
        <v>0</v>
      </c>
      <c r="Z476" s="331">
        <v>0</v>
      </c>
      <c r="AA476" s="235"/>
      <c r="AB476" s="335">
        <v>91323.870762282575</v>
      </c>
      <c r="AC476" s="336">
        <v>4.2809489633306939</v>
      </c>
      <c r="AD476" s="337">
        <v>77518.544148792746</v>
      </c>
      <c r="AE476" s="336">
        <v>4.2529681606114673</v>
      </c>
      <c r="AF476" s="337">
        <v>13805.326613489829</v>
      </c>
      <c r="AG476" s="338">
        <v>2.7980802719226538E-2</v>
      </c>
      <c r="AH476" s="235"/>
      <c r="AI476" s="208">
        <f t="shared" si="52"/>
        <v>3975577.6444018767</v>
      </c>
      <c r="AJ476" s="208">
        <f t="shared" si="53"/>
        <v>3962801.2084321016</v>
      </c>
      <c r="AK476" s="208">
        <f t="shared" si="54"/>
        <v>12776.435969775383</v>
      </c>
      <c r="AL476" s="235"/>
      <c r="AM476" s="52">
        <f t="shared" si="30"/>
        <v>1</v>
      </c>
      <c r="AN476" s="52">
        <f t="shared" si="31"/>
        <v>0</v>
      </c>
      <c r="AO476" s="52">
        <f t="shared" si="32"/>
        <v>1</v>
      </c>
      <c r="AP476" s="235"/>
      <c r="AQ476" s="28"/>
      <c r="AR476" s="28"/>
      <c r="AS476" s="28"/>
      <c r="AT476" s="28"/>
      <c r="AU476" s="235"/>
      <c r="AV476" s="360">
        <f t="shared" si="55"/>
        <v>3975577.6444018767</v>
      </c>
      <c r="AW476" s="235"/>
      <c r="AX476" s="355"/>
      <c r="AY476" s="344"/>
      <c r="AZ476" s="14">
        <f t="shared" si="57"/>
        <v>13805.326613489829</v>
      </c>
      <c r="BA476" s="14">
        <f t="shared" si="56"/>
        <v>2.7980802719226538E-2</v>
      </c>
      <c r="BB476" s="14">
        <f t="shared" si="33"/>
        <v>493385.65272838762</v>
      </c>
      <c r="BC476" s="344"/>
      <c r="BD476" s="344"/>
      <c r="BE476" s="344"/>
      <c r="BF476" s="344"/>
      <c r="BG476" s="344"/>
      <c r="BH476" s="344"/>
      <c r="BI476" s="344"/>
      <c r="BJ476" s="344"/>
      <c r="BK476" s="344"/>
      <c r="BL476" s="344"/>
      <c r="BM476" s="344"/>
      <c r="BN476" s="344"/>
      <c r="BO476" s="344"/>
      <c r="BP476" s="14"/>
      <c r="BQ476" s="14"/>
      <c r="BR476" s="14"/>
      <c r="BS476" s="14"/>
      <c r="BT476" s="14"/>
      <c r="BU476" s="14"/>
      <c r="BV476" s="14"/>
      <c r="BW476" s="14"/>
      <c r="BX476" s="14"/>
      <c r="BY476" s="14"/>
      <c r="BZ476" s="14"/>
      <c r="CA476" s="14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</row>
    <row r="477" spans="1:101" ht="14.25" customHeight="1" x14ac:dyDescent="0.2">
      <c r="A477" s="328"/>
      <c r="B477" s="52">
        <v>0.14861193880030227</v>
      </c>
      <c r="C477" s="330">
        <v>0.18948856580159271</v>
      </c>
      <c r="D477" s="330">
        <v>9.5704893888379113E-3</v>
      </c>
      <c r="E477" s="330">
        <v>1.4048929868195817E-2</v>
      </c>
      <c r="F477" s="331">
        <v>0.76714682817241064</v>
      </c>
      <c r="G477" s="94">
        <v>0.34699013568327663</v>
      </c>
      <c r="H477" s="330">
        <v>0.29343858196164413</v>
      </c>
      <c r="I477" s="330">
        <v>1.1695678394122609E-2</v>
      </c>
      <c r="J477" s="330">
        <v>0.99942281000168076</v>
      </c>
      <c r="K477" s="330">
        <v>0.70728236911603148</v>
      </c>
      <c r="L477" s="332">
        <v>8622.159247091513</v>
      </c>
      <c r="M477" s="330">
        <v>0</v>
      </c>
      <c r="N477" s="330">
        <v>16929.495987269904</v>
      </c>
      <c r="O477" s="330">
        <v>819.53249049782528</v>
      </c>
      <c r="P477" s="330">
        <v>44242.732635919565</v>
      </c>
      <c r="Q477" s="333">
        <v>61410.910703505615</v>
      </c>
      <c r="R477" s="330">
        <v>20207.301726237023</v>
      </c>
      <c r="S477" s="330">
        <v>9631.9056629392471</v>
      </c>
      <c r="T477" s="332">
        <v>0.99095996101575357</v>
      </c>
      <c r="U477" s="330">
        <v>0.55274534617865478</v>
      </c>
      <c r="V477" s="330">
        <v>0.99991703775616192</v>
      </c>
      <c r="W477" s="330">
        <v>0.19447281573843991</v>
      </c>
      <c r="X477" s="330">
        <v>0.99811655000170796</v>
      </c>
      <c r="Y477" s="330">
        <v>0</v>
      </c>
      <c r="Z477" s="331">
        <v>0</v>
      </c>
      <c r="AA477" s="235"/>
      <c r="AB477" s="335">
        <v>88695.550337617824</v>
      </c>
      <c r="AC477" s="336">
        <v>4.781802530976309</v>
      </c>
      <c r="AD477" s="337">
        <v>75936.959317686502</v>
      </c>
      <c r="AE477" s="336">
        <v>4.3825344375421764</v>
      </c>
      <c r="AF477" s="337">
        <v>12758.591019931322</v>
      </c>
      <c r="AG477" s="338">
        <v>0.39926809343413261</v>
      </c>
      <c r="AH477" s="235"/>
      <c r="AI477" s="208">
        <f t="shared" si="52"/>
        <v>4454016.8540898757</v>
      </c>
      <c r="AJ477" s="208">
        <f t="shared" si="53"/>
        <v>4087470.756347381</v>
      </c>
      <c r="AK477" s="208">
        <f t="shared" si="54"/>
        <v>366546.09774249466</v>
      </c>
      <c r="AL477" s="235"/>
      <c r="AM477" s="52">
        <f t="shared" si="30"/>
        <v>1</v>
      </c>
      <c r="AN477" s="52">
        <f t="shared" si="31"/>
        <v>0</v>
      </c>
      <c r="AO477" s="52">
        <f t="shared" si="32"/>
        <v>1</v>
      </c>
      <c r="AP477" s="235"/>
      <c r="AQ477" s="28"/>
      <c r="AR477" s="28"/>
      <c r="AS477" s="28"/>
      <c r="AT477" s="28"/>
      <c r="AU477" s="235"/>
      <c r="AV477" s="360">
        <f t="shared" si="55"/>
        <v>4454016.8540898757</v>
      </c>
      <c r="AW477" s="235"/>
      <c r="AX477" s="355"/>
      <c r="AY477" s="344"/>
      <c r="AZ477" s="14">
        <f t="shared" si="57"/>
        <v>12758.591019931322</v>
      </c>
      <c r="BA477" s="14">
        <f t="shared" si="56"/>
        <v>0.39926809343413261</v>
      </c>
      <c r="BB477" s="14">
        <f t="shared" si="33"/>
        <v>31954.947639802103</v>
      </c>
      <c r="BC477" s="344"/>
      <c r="BD477" s="344"/>
      <c r="BE477" s="344"/>
      <c r="BF477" s="344"/>
      <c r="BG477" s="344"/>
      <c r="BH477" s="344"/>
      <c r="BI477" s="344"/>
      <c r="BJ477" s="344"/>
      <c r="BK477" s="344"/>
      <c r="BL477" s="344"/>
      <c r="BM477" s="344"/>
      <c r="BN477" s="344"/>
      <c r="BO477" s="344"/>
      <c r="BP477" s="14"/>
      <c r="BQ477" s="14"/>
      <c r="BR477" s="14"/>
      <c r="BS477" s="14"/>
      <c r="BT477" s="14"/>
      <c r="BU477" s="14"/>
      <c r="BV477" s="14"/>
      <c r="BW477" s="14"/>
      <c r="BX477" s="14"/>
      <c r="BY477" s="14"/>
      <c r="BZ477" s="14"/>
      <c r="CA477" s="14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</row>
    <row r="478" spans="1:101" ht="14.25" customHeight="1" x14ac:dyDescent="0.2">
      <c r="A478" s="328"/>
      <c r="B478" s="52">
        <v>0.17871427566404696</v>
      </c>
      <c r="C478" s="330">
        <v>0.55004856606174823</v>
      </c>
      <c r="D478" s="330">
        <v>9.4831165959682554E-3</v>
      </c>
      <c r="E478" s="330">
        <v>1.953906624594326E-2</v>
      </c>
      <c r="F478" s="331">
        <v>0.75812227854510927</v>
      </c>
      <c r="G478" s="94">
        <v>0.35679806809725118</v>
      </c>
      <c r="H478" s="330">
        <v>7.2247199938885676E-2</v>
      </c>
      <c r="I478" s="330">
        <v>1.5112405327651336E-2</v>
      </c>
      <c r="J478" s="330">
        <v>0.93251922685560296</v>
      </c>
      <c r="K478" s="330">
        <v>0.74098842541363563</v>
      </c>
      <c r="L478" s="332">
        <v>16164.2109645236</v>
      </c>
      <c r="M478" s="330">
        <v>0</v>
      </c>
      <c r="N478" s="330">
        <v>20371.254520584054</v>
      </c>
      <c r="O478" s="330">
        <v>1403.6009604268811</v>
      </c>
      <c r="P478" s="330">
        <v>50647.072052578187</v>
      </c>
      <c r="Q478" s="333">
        <v>90030.255829106303</v>
      </c>
      <c r="R478" s="330">
        <v>30148.954896767984</v>
      </c>
      <c r="S478" s="330">
        <v>8397.7531266282876</v>
      </c>
      <c r="T478" s="332">
        <v>0.71289137753786103</v>
      </c>
      <c r="U478" s="330">
        <v>0.72357968392312411</v>
      </c>
      <c r="V478" s="330">
        <v>0.48055351921257872</v>
      </c>
      <c r="W478" s="330">
        <v>0.95778577357932093</v>
      </c>
      <c r="X478" s="330">
        <v>0.78396528262981424</v>
      </c>
      <c r="Y478" s="330">
        <v>0</v>
      </c>
      <c r="Z478" s="331">
        <v>0</v>
      </c>
      <c r="AA478" s="235"/>
      <c r="AB478" s="335">
        <v>87854.31366625872</v>
      </c>
      <c r="AC478" s="336">
        <v>3.7855697626885751</v>
      </c>
      <c r="AD478" s="337">
        <v>68974.757270229326</v>
      </c>
      <c r="AE478" s="336">
        <v>3.5910294160232721</v>
      </c>
      <c r="AF478" s="337">
        <v>18879.556396029395</v>
      </c>
      <c r="AG478" s="338">
        <v>0.19454034666530307</v>
      </c>
      <c r="AH478" s="235"/>
      <c r="AI478" s="208">
        <f t="shared" si="52"/>
        <v>3508436.9608878875</v>
      </c>
      <c r="AJ478" s="208">
        <f t="shared" si="53"/>
        <v>3342503.1879518791</v>
      </c>
      <c r="AK478" s="208">
        <f t="shared" si="54"/>
        <v>165933.77293600852</v>
      </c>
      <c r="AL478" s="235"/>
      <c r="AM478" s="52">
        <f t="shared" si="30"/>
        <v>1</v>
      </c>
      <c r="AN478" s="52">
        <f t="shared" si="31"/>
        <v>0</v>
      </c>
      <c r="AO478" s="52">
        <f t="shared" si="32"/>
        <v>1</v>
      </c>
      <c r="AP478" s="235"/>
      <c r="AQ478" s="28"/>
      <c r="AR478" s="28"/>
      <c r="AS478" s="28"/>
      <c r="AT478" s="28"/>
      <c r="AU478" s="235"/>
      <c r="AV478" s="360">
        <f t="shared" si="55"/>
        <v>3508436.9608878875</v>
      </c>
      <c r="AW478" s="235"/>
      <c r="AX478" s="355"/>
      <c r="AY478" s="344"/>
      <c r="AZ478" s="14">
        <f t="shared" si="57"/>
        <v>18879.556396029395</v>
      </c>
      <c r="BA478" s="14">
        <f t="shared" si="56"/>
        <v>0.19454034666530307</v>
      </c>
      <c r="BB478" s="14">
        <f t="shared" si="33"/>
        <v>97046.996778055138</v>
      </c>
      <c r="BC478" s="344"/>
      <c r="BD478" s="344"/>
      <c r="BE478" s="344"/>
      <c r="BF478" s="344"/>
      <c r="BG478" s="344"/>
      <c r="BH478" s="344"/>
      <c r="BI478" s="344"/>
      <c r="BJ478" s="344"/>
      <c r="BK478" s="344"/>
      <c r="BL478" s="344"/>
      <c r="BM478" s="344"/>
      <c r="BN478" s="344"/>
      <c r="BO478" s="344"/>
      <c r="BP478" s="14"/>
      <c r="BQ478" s="14"/>
      <c r="BR478" s="14"/>
      <c r="BS478" s="14"/>
      <c r="BT478" s="14"/>
      <c r="BU478" s="14"/>
      <c r="BV478" s="14"/>
      <c r="BW478" s="14"/>
      <c r="BX478" s="14"/>
      <c r="BY478" s="14"/>
      <c r="BZ478" s="14"/>
      <c r="CA478" s="14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</row>
    <row r="479" spans="1:101" ht="14.25" customHeight="1" x14ac:dyDescent="0.2">
      <c r="A479" s="328"/>
      <c r="B479" s="52">
        <v>0.2087849983938842</v>
      </c>
      <c r="C479" s="330">
        <v>3.0901883319222393E-2</v>
      </c>
      <c r="D479" s="330">
        <v>3.3543599249611922E-2</v>
      </c>
      <c r="E479" s="330">
        <v>1.8454395586947836E-2</v>
      </c>
      <c r="F479" s="331">
        <v>0.77055403732183658</v>
      </c>
      <c r="G479" s="94">
        <v>0.43864933693777697</v>
      </c>
      <c r="H479" s="330">
        <v>0.65725834821285045</v>
      </c>
      <c r="I479" s="330">
        <v>2.2092417421851973E-2</v>
      </c>
      <c r="J479" s="330">
        <v>1</v>
      </c>
      <c r="K479" s="330">
        <v>0.76511943899708523</v>
      </c>
      <c r="L479" s="332">
        <v>14636.85387291209</v>
      </c>
      <c r="M479" s="330">
        <v>0</v>
      </c>
      <c r="N479" s="330">
        <v>17601.285943035706</v>
      </c>
      <c r="O479" s="330">
        <v>1207.9759978620186</v>
      </c>
      <c r="P479" s="330">
        <v>39955.351780679754</v>
      </c>
      <c r="Q479" s="333">
        <v>97050.088357921413</v>
      </c>
      <c r="R479" s="330">
        <v>20522.445662956521</v>
      </c>
      <c r="S479" s="330">
        <v>11269.831008420975</v>
      </c>
      <c r="T479" s="332">
        <v>0.99959135244137687</v>
      </c>
      <c r="U479" s="330">
        <v>0.7063323353662303</v>
      </c>
      <c r="V479" s="330">
        <v>0.9995522406189723</v>
      </c>
      <c r="W479" s="330">
        <v>0.99301335475600194</v>
      </c>
      <c r="X479" s="330">
        <v>0.99948095167229467</v>
      </c>
      <c r="Y479" s="330">
        <v>0</v>
      </c>
      <c r="Z479" s="331">
        <v>0</v>
      </c>
      <c r="AA479" s="235"/>
      <c r="AB479" s="335">
        <v>108898.74860630438</v>
      </c>
      <c r="AC479" s="336">
        <v>4.8931183846230235</v>
      </c>
      <c r="AD479" s="337">
        <v>100353.22255287234</v>
      </c>
      <c r="AE479" s="336">
        <v>4.7229320023806522</v>
      </c>
      <c r="AF479" s="337">
        <v>8545.5260534320405</v>
      </c>
      <c r="AG479" s="338">
        <v>0.17018638224237126</v>
      </c>
      <c r="AH479" s="235"/>
      <c r="AI479" s="208">
        <f t="shared" si="52"/>
        <v>4539563.7167855678</v>
      </c>
      <c r="AJ479" s="208">
        <f t="shared" si="53"/>
        <v>4386432.1797087472</v>
      </c>
      <c r="AK479" s="208">
        <f t="shared" si="54"/>
        <v>153131.53707682068</v>
      </c>
      <c r="AL479" s="235"/>
      <c r="AM479" s="52">
        <f t="shared" si="30"/>
        <v>1</v>
      </c>
      <c r="AN479" s="52">
        <f t="shared" si="31"/>
        <v>0</v>
      </c>
      <c r="AO479" s="52">
        <f t="shared" si="32"/>
        <v>1</v>
      </c>
      <c r="AP479" s="235"/>
      <c r="AQ479" s="28"/>
      <c r="AR479" s="28"/>
      <c r="AS479" s="28"/>
      <c r="AT479" s="28"/>
      <c r="AU479" s="235"/>
      <c r="AV479" s="360">
        <f t="shared" si="55"/>
        <v>4539563.7167855678</v>
      </c>
      <c r="AW479" s="235"/>
      <c r="AX479" s="355"/>
      <c r="AY479" s="344"/>
      <c r="AZ479" s="14">
        <f t="shared" si="57"/>
        <v>8545.5260534320405</v>
      </c>
      <c r="BA479" s="14">
        <f t="shared" si="56"/>
        <v>0.17018638224237126</v>
      </c>
      <c r="BB479" s="14">
        <f t="shared" si="33"/>
        <v>50212.748757194415</v>
      </c>
      <c r="BC479" s="344"/>
      <c r="BD479" s="344"/>
      <c r="BE479" s="344"/>
      <c r="BF479" s="344"/>
      <c r="BG479" s="344"/>
      <c r="BH479" s="344"/>
      <c r="BI479" s="344"/>
      <c r="BJ479" s="344"/>
      <c r="BK479" s="344"/>
      <c r="BL479" s="344"/>
      <c r="BM479" s="344"/>
      <c r="BN479" s="344"/>
      <c r="BO479" s="344"/>
      <c r="BP479" s="14"/>
      <c r="BQ479" s="14"/>
      <c r="BR479" s="14"/>
      <c r="BS479" s="14"/>
      <c r="BT479" s="14"/>
      <c r="BU479" s="14"/>
      <c r="BV479" s="14"/>
      <c r="BW479" s="14"/>
      <c r="BX479" s="14"/>
      <c r="BY479" s="14"/>
      <c r="BZ479" s="14"/>
      <c r="CA479" s="14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</row>
    <row r="480" spans="1:101" ht="14.25" customHeight="1" x14ac:dyDescent="0.2">
      <c r="A480" s="328"/>
      <c r="B480" s="52">
        <v>0.15022555389552797</v>
      </c>
      <c r="C480" s="330">
        <v>0.49230355425094197</v>
      </c>
      <c r="D480" s="330">
        <v>1.5466159752100639E-2</v>
      </c>
      <c r="E480" s="330">
        <v>1.2500382349292615E-2</v>
      </c>
      <c r="F480" s="331">
        <v>0.7914341942003783</v>
      </c>
      <c r="G480" s="94">
        <v>0.42810481049605953</v>
      </c>
      <c r="H480" s="330">
        <v>0.6486474458856879</v>
      </c>
      <c r="I480" s="330">
        <v>2.0375192135700826E-2</v>
      </c>
      <c r="J480" s="330">
        <v>0.97828466929533342</v>
      </c>
      <c r="K480" s="330">
        <v>0.72420854291236514</v>
      </c>
      <c r="L480" s="332">
        <v>14670.873975828847</v>
      </c>
      <c r="M480" s="330">
        <v>0</v>
      </c>
      <c r="N480" s="330">
        <v>19168.730049057624</v>
      </c>
      <c r="O480" s="330">
        <v>870.12146976033125</v>
      </c>
      <c r="P480" s="330">
        <v>51399.061270663835</v>
      </c>
      <c r="Q480" s="333">
        <v>77271.36438339806</v>
      </c>
      <c r="R480" s="330">
        <v>23273.664239746126</v>
      </c>
      <c r="S480" s="330">
        <v>8990.8163103721272</v>
      </c>
      <c r="T480" s="332">
        <v>0.99971014094268607</v>
      </c>
      <c r="U480" s="330">
        <v>0.99538232536032845</v>
      </c>
      <c r="V480" s="330">
        <v>0.99092201218875275</v>
      </c>
      <c r="W480" s="330">
        <v>0.98199465816556453</v>
      </c>
      <c r="X480" s="330">
        <v>0.98470757606032722</v>
      </c>
      <c r="Y480" s="330">
        <v>0</v>
      </c>
      <c r="Z480" s="331">
        <v>0</v>
      </c>
      <c r="AA480" s="235"/>
      <c r="AB480" s="335">
        <v>93063.984437892854</v>
      </c>
      <c r="AC480" s="336">
        <v>5.3021921868759065</v>
      </c>
      <c r="AD480" s="337">
        <v>77953.270936209301</v>
      </c>
      <c r="AE480" s="336">
        <v>4.6666088142225837</v>
      </c>
      <c r="AF480" s="337">
        <v>15110.713501683553</v>
      </c>
      <c r="AG480" s="338">
        <v>0.63558337265332288</v>
      </c>
      <c r="AH480" s="235"/>
      <c r="AI480" s="208">
        <f t="shared" si="52"/>
        <v>4944018.5930942185</v>
      </c>
      <c r="AJ480" s="208">
        <f t="shared" si="53"/>
        <v>4355325.1025752444</v>
      </c>
      <c r="AK480" s="208">
        <f t="shared" si="54"/>
        <v>588693.49051897321</v>
      </c>
      <c r="AL480" s="235"/>
      <c r="AM480" s="52">
        <f t="shared" si="30"/>
        <v>1</v>
      </c>
      <c r="AN480" s="52">
        <f t="shared" si="31"/>
        <v>0</v>
      </c>
      <c r="AO480" s="52">
        <f t="shared" si="32"/>
        <v>1</v>
      </c>
      <c r="AP480" s="235"/>
      <c r="AQ480" s="28"/>
      <c r="AR480" s="28"/>
      <c r="AS480" s="28"/>
      <c r="AT480" s="28"/>
      <c r="AU480" s="235"/>
      <c r="AV480" s="360">
        <f t="shared" si="55"/>
        <v>4944018.5930942185</v>
      </c>
      <c r="AW480" s="235"/>
      <c r="AX480" s="355"/>
      <c r="AY480" s="344"/>
      <c r="AZ480" s="14">
        <f t="shared" si="57"/>
        <v>15110.713501683553</v>
      </c>
      <c r="BA480" s="14">
        <f t="shared" si="56"/>
        <v>0.63558337265332288</v>
      </c>
      <c r="BB480" s="14">
        <f t="shared" si="33"/>
        <v>23774.557598324158</v>
      </c>
      <c r="BC480" s="344"/>
      <c r="BD480" s="344"/>
      <c r="BE480" s="344"/>
      <c r="BF480" s="344"/>
      <c r="BG480" s="344"/>
      <c r="BH480" s="344"/>
      <c r="BI480" s="344"/>
      <c r="BJ480" s="344"/>
      <c r="BK480" s="344"/>
      <c r="BL480" s="344"/>
      <c r="BM480" s="344"/>
      <c r="BN480" s="344"/>
      <c r="BO480" s="344"/>
      <c r="BP480" s="14"/>
      <c r="BQ480" s="14"/>
      <c r="BR480" s="14"/>
      <c r="BS480" s="14"/>
      <c r="BT480" s="14"/>
      <c r="BU480" s="14"/>
      <c r="BV480" s="14"/>
      <c r="BW480" s="14"/>
      <c r="BX480" s="14"/>
      <c r="BY480" s="14"/>
      <c r="BZ480" s="14"/>
      <c r="CA480" s="14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</row>
    <row r="481" spans="1:101" ht="14.25" customHeight="1" x14ac:dyDescent="0.2">
      <c r="A481" s="328"/>
      <c r="B481" s="52">
        <v>0.14094024307921213</v>
      </c>
      <c r="C481" s="330">
        <v>0.2219691515210368</v>
      </c>
      <c r="D481" s="330">
        <v>1.9176707869375531E-2</v>
      </c>
      <c r="E481" s="330">
        <v>1.2191946171871609E-2</v>
      </c>
      <c r="F481" s="331">
        <v>0.78107588291087493</v>
      </c>
      <c r="G481" s="94">
        <v>0.36963716486130754</v>
      </c>
      <c r="H481" s="330">
        <v>0.62635766221825073</v>
      </c>
      <c r="I481" s="330">
        <v>6.1672192774704657E-3</v>
      </c>
      <c r="J481" s="330">
        <v>0.49480989872640241</v>
      </c>
      <c r="K481" s="330">
        <v>0.80403856679409924</v>
      </c>
      <c r="L481" s="332">
        <v>13192.512651317558</v>
      </c>
      <c r="M481" s="330">
        <v>0</v>
      </c>
      <c r="N481" s="330">
        <v>21147.351884529657</v>
      </c>
      <c r="O481" s="330">
        <v>1411.983304296878</v>
      </c>
      <c r="P481" s="330">
        <v>39688.366393611213</v>
      </c>
      <c r="Q481" s="333">
        <v>84276.163619437822</v>
      </c>
      <c r="R481" s="330">
        <v>17894.165699663903</v>
      </c>
      <c r="S481" s="330">
        <v>6271.9005006774842</v>
      </c>
      <c r="T481" s="332">
        <v>0.81027073894408852</v>
      </c>
      <c r="U481" s="330">
        <v>0.53157202709011808</v>
      </c>
      <c r="V481" s="330">
        <v>0.58067501238565766</v>
      </c>
      <c r="W481" s="330">
        <v>0.99947722417931228</v>
      </c>
      <c r="X481" s="330">
        <v>0.99955365055635548</v>
      </c>
      <c r="Y481" s="330">
        <v>0</v>
      </c>
      <c r="Z481" s="331">
        <v>0</v>
      </c>
      <c r="AA481" s="235"/>
      <c r="AB481" s="335">
        <v>66751.589718224292</v>
      </c>
      <c r="AC481" s="336">
        <v>4.902479063320599</v>
      </c>
      <c r="AD481" s="337">
        <v>59025.102600732149</v>
      </c>
      <c r="AE481" s="336">
        <v>5.0403821886172748</v>
      </c>
      <c r="AF481" s="337">
        <v>7726.4871174921427</v>
      </c>
      <c r="AG481" s="338">
        <v>-0.13790312529667581</v>
      </c>
      <c r="AH481" s="235"/>
      <c r="AI481" s="208">
        <f t="shared" si="52"/>
        <v>4590603.5204363447</v>
      </c>
      <c r="AJ481" s="208">
        <f t="shared" si="53"/>
        <v>4729337.9765856788</v>
      </c>
      <c r="AK481" s="208">
        <f t="shared" si="54"/>
        <v>-138734.45614933415</v>
      </c>
      <c r="AL481" s="235"/>
      <c r="AM481" s="52">
        <f t="shared" si="30"/>
        <v>0</v>
      </c>
      <c r="AN481" s="52">
        <f t="shared" si="31"/>
        <v>1</v>
      </c>
      <c r="AO481" s="52">
        <f t="shared" si="32"/>
        <v>0</v>
      </c>
      <c r="AP481" s="235"/>
      <c r="AQ481" s="28"/>
      <c r="AR481" s="28"/>
      <c r="AS481" s="28"/>
      <c r="AT481" s="28"/>
      <c r="AU481" s="235"/>
      <c r="AV481" s="360">
        <f t="shared" si="55"/>
        <v>4729337.9765856788</v>
      </c>
      <c r="AW481" s="235"/>
      <c r="AX481" s="355"/>
      <c r="AY481" s="344"/>
      <c r="AZ481" s="14">
        <f t="shared" si="57"/>
        <v>7726.4871174921427</v>
      </c>
      <c r="BA481" s="14">
        <f t="shared" si="56"/>
        <v>-0.13790312529667581</v>
      </c>
      <c r="BB481" s="14">
        <f t="shared" si="33"/>
        <v>-56028.368471489543</v>
      </c>
      <c r="BC481" s="344"/>
      <c r="BD481" s="344"/>
      <c r="BE481" s="344"/>
      <c r="BF481" s="344"/>
      <c r="BG481" s="344"/>
      <c r="BH481" s="344"/>
      <c r="BI481" s="344"/>
      <c r="BJ481" s="344"/>
      <c r="BK481" s="344"/>
      <c r="BL481" s="344"/>
      <c r="BM481" s="344"/>
      <c r="BN481" s="344"/>
      <c r="BO481" s="344"/>
      <c r="BP481" s="14"/>
      <c r="BQ481" s="14"/>
      <c r="BR481" s="14"/>
      <c r="BS481" s="14"/>
      <c r="BT481" s="14"/>
      <c r="BU481" s="14"/>
      <c r="BV481" s="14"/>
      <c r="BW481" s="14"/>
      <c r="BX481" s="14"/>
      <c r="BY481" s="14"/>
      <c r="BZ481" s="14"/>
      <c r="CA481" s="14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</row>
    <row r="482" spans="1:101" ht="14.25" customHeight="1" x14ac:dyDescent="0.2">
      <c r="A482" s="328"/>
      <c r="B482" s="52">
        <v>0.11953670155552741</v>
      </c>
      <c r="C482" s="330">
        <v>9.3775595778923831E-2</v>
      </c>
      <c r="D482" s="330">
        <v>1.2695127818810815E-2</v>
      </c>
      <c r="E482" s="330">
        <v>4.5494049341894384E-3</v>
      </c>
      <c r="F482" s="331">
        <v>0.79122080356970881</v>
      </c>
      <c r="G482" s="94">
        <v>0.32934930434176057</v>
      </c>
      <c r="H482" s="330">
        <v>0.26275039629835334</v>
      </c>
      <c r="I482" s="330">
        <v>5.2290834989666543E-3</v>
      </c>
      <c r="J482" s="330">
        <v>0.99468694692292503</v>
      </c>
      <c r="K482" s="330">
        <v>0.69155839255753837</v>
      </c>
      <c r="L482" s="332">
        <v>11124.87064708103</v>
      </c>
      <c r="M482" s="330">
        <v>0</v>
      </c>
      <c r="N482" s="330">
        <v>16701.543680719427</v>
      </c>
      <c r="O482" s="330">
        <v>1338.6445991667404</v>
      </c>
      <c r="P482" s="330">
        <v>36860.354813318452</v>
      </c>
      <c r="Q482" s="333">
        <v>120663.65670952234</v>
      </c>
      <c r="R482" s="330">
        <v>24878.278134621396</v>
      </c>
      <c r="S482" s="330">
        <v>8760.1860601114768</v>
      </c>
      <c r="T482" s="332">
        <v>0.20583712105432914</v>
      </c>
      <c r="U482" s="330">
        <v>0.44116195921819124</v>
      </c>
      <c r="V482" s="330">
        <v>0.99970702689862068</v>
      </c>
      <c r="W482" s="330">
        <v>0.94104180843325724</v>
      </c>
      <c r="X482" s="330">
        <v>0.99178104945892387</v>
      </c>
      <c r="Y482" s="330">
        <v>0</v>
      </c>
      <c r="Z482" s="331">
        <v>0</v>
      </c>
      <c r="AA482" s="235"/>
      <c r="AB482" s="335">
        <v>86127.999989051226</v>
      </c>
      <c r="AC482" s="336">
        <v>4.8554163953093745</v>
      </c>
      <c r="AD482" s="337">
        <v>67897.818004064728</v>
      </c>
      <c r="AE482" s="336">
        <v>4.2117334954311358</v>
      </c>
      <c r="AF482" s="337">
        <v>18230.181984986499</v>
      </c>
      <c r="AG482" s="338">
        <v>0.64368289987823868</v>
      </c>
      <c r="AH482" s="235"/>
      <c r="AI482" s="208">
        <f t="shared" si="52"/>
        <v>4526517.5755548542</v>
      </c>
      <c r="AJ482" s="208">
        <f t="shared" si="53"/>
        <v>3933249.0026555145</v>
      </c>
      <c r="AK482" s="208">
        <f t="shared" si="54"/>
        <v>593268.57289934019</v>
      </c>
      <c r="AL482" s="235"/>
      <c r="AM482" s="52">
        <f t="shared" si="30"/>
        <v>1</v>
      </c>
      <c r="AN482" s="52">
        <f t="shared" si="31"/>
        <v>0</v>
      </c>
      <c r="AO482" s="52">
        <f t="shared" si="32"/>
        <v>1</v>
      </c>
      <c r="AP482" s="235"/>
      <c r="AQ482" s="28"/>
      <c r="AR482" s="28"/>
      <c r="AS482" s="28"/>
      <c r="AT482" s="28"/>
      <c r="AU482" s="235"/>
      <c r="AV482" s="360">
        <f t="shared" si="55"/>
        <v>4526517.5755548542</v>
      </c>
      <c r="AW482" s="235"/>
      <c r="AX482" s="355"/>
      <c r="AY482" s="344"/>
      <c r="AZ482" s="14">
        <f t="shared" si="57"/>
        <v>18230.181984986499</v>
      </c>
      <c r="BA482" s="14">
        <f t="shared" si="56"/>
        <v>0.64368289987823868</v>
      </c>
      <c r="BB482" s="14">
        <f t="shared" si="33"/>
        <v>28321.681356511079</v>
      </c>
      <c r="BC482" s="344"/>
      <c r="BD482" s="344"/>
      <c r="BE482" s="344"/>
      <c r="BF482" s="344"/>
      <c r="BG482" s="344"/>
      <c r="BH482" s="344"/>
      <c r="BI482" s="344"/>
      <c r="BJ482" s="344"/>
      <c r="BK482" s="344"/>
      <c r="BL482" s="344"/>
      <c r="BM482" s="344"/>
      <c r="BN482" s="344"/>
      <c r="BO482" s="344"/>
      <c r="BP482" s="14"/>
      <c r="BQ482" s="14"/>
      <c r="BR482" s="14"/>
      <c r="BS482" s="14"/>
      <c r="BT482" s="14"/>
      <c r="BU482" s="14"/>
      <c r="BV482" s="14"/>
      <c r="BW482" s="14"/>
      <c r="BX482" s="14"/>
      <c r="BY482" s="14"/>
      <c r="BZ482" s="14"/>
      <c r="CA482" s="14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</row>
    <row r="483" spans="1:101" ht="14.25" customHeight="1" x14ac:dyDescent="0.2">
      <c r="A483" s="328"/>
      <c r="B483" s="52">
        <v>0.17872472511475912</v>
      </c>
      <c r="C483" s="330">
        <v>2.7975187456826551E-2</v>
      </c>
      <c r="D483" s="330">
        <v>1.2054277547323038E-2</v>
      </c>
      <c r="E483" s="330">
        <v>1.1908299194700702E-2</v>
      </c>
      <c r="F483" s="331">
        <v>0.81457070129652132</v>
      </c>
      <c r="G483" s="94">
        <v>0.39399895514217337</v>
      </c>
      <c r="H483" s="330">
        <v>0.76139403686178786</v>
      </c>
      <c r="I483" s="330">
        <v>1.1617456689326238E-2</v>
      </c>
      <c r="J483" s="330">
        <v>0.99999446699812444</v>
      </c>
      <c r="K483" s="330">
        <v>0.7456982093649982</v>
      </c>
      <c r="L483" s="332">
        <v>13904.747356760694</v>
      </c>
      <c r="M483" s="330">
        <v>0</v>
      </c>
      <c r="N483" s="330">
        <v>19570.570342456282</v>
      </c>
      <c r="O483" s="330">
        <v>1279.4146084830013</v>
      </c>
      <c r="P483" s="330">
        <v>53633.212237187938</v>
      </c>
      <c r="Q483" s="333">
        <v>75538.451812183979</v>
      </c>
      <c r="R483" s="330">
        <v>22559.914182694076</v>
      </c>
      <c r="S483" s="330">
        <v>6642.2951370054016</v>
      </c>
      <c r="T483" s="332">
        <v>0.82481098668174846</v>
      </c>
      <c r="U483" s="330">
        <v>0.2751333817351263</v>
      </c>
      <c r="V483" s="330">
        <v>0.99450666394498355</v>
      </c>
      <c r="W483" s="330">
        <v>0.90458974291498229</v>
      </c>
      <c r="X483" s="330">
        <v>0.92278662574119596</v>
      </c>
      <c r="Y483" s="330">
        <v>0</v>
      </c>
      <c r="Z483" s="331">
        <v>0</v>
      </c>
      <c r="AA483" s="235"/>
      <c r="AB483" s="335">
        <v>72473.428553043384</v>
      </c>
      <c r="AC483" s="336">
        <v>4.8309383787176312</v>
      </c>
      <c r="AD483" s="337">
        <v>61030.270195264129</v>
      </c>
      <c r="AE483" s="336">
        <v>4.2430098975331525</v>
      </c>
      <c r="AF483" s="337">
        <v>11443.158357779255</v>
      </c>
      <c r="AG483" s="338">
        <v>0.58792848118447871</v>
      </c>
      <c r="AH483" s="235"/>
      <c r="AI483" s="208">
        <f t="shared" si="52"/>
        <v>4516918.0312287072</v>
      </c>
      <c r="AJ483" s="208">
        <f t="shared" si="53"/>
        <v>3969829.1324612307</v>
      </c>
      <c r="AK483" s="208">
        <f t="shared" si="54"/>
        <v>547088.8987674755</v>
      </c>
      <c r="AL483" s="235"/>
      <c r="AM483" s="52">
        <f t="shared" si="30"/>
        <v>1</v>
      </c>
      <c r="AN483" s="52">
        <f t="shared" si="31"/>
        <v>0</v>
      </c>
      <c r="AO483" s="52">
        <f t="shared" si="32"/>
        <v>1</v>
      </c>
      <c r="AP483" s="235"/>
      <c r="AQ483" s="28"/>
      <c r="AR483" s="28"/>
      <c r="AS483" s="28"/>
      <c r="AT483" s="28"/>
      <c r="AU483" s="235"/>
      <c r="AV483" s="360">
        <f t="shared" si="55"/>
        <v>4516918.0312287072</v>
      </c>
      <c r="AW483" s="235"/>
      <c r="AX483" s="355"/>
      <c r="AY483" s="344"/>
      <c r="AZ483" s="14">
        <f t="shared" si="57"/>
        <v>11443.158357779255</v>
      </c>
      <c r="BA483" s="14">
        <f t="shared" si="56"/>
        <v>0.58792848118447871</v>
      </c>
      <c r="BB483" s="14">
        <f t="shared" si="33"/>
        <v>19463.521030185726</v>
      </c>
      <c r="BC483" s="344"/>
      <c r="BD483" s="344"/>
      <c r="BE483" s="344"/>
      <c r="BF483" s="344"/>
      <c r="BG483" s="344"/>
      <c r="BH483" s="344"/>
      <c r="BI483" s="344"/>
      <c r="BJ483" s="344"/>
      <c r="BK483" s="344"/>
      <c r="BL483" s="344"/>
      <c r="BM483" s="344"/>
      <c r="BN483" s="344"/>
      <c r="BO483" s="344"/>
      <c r="BP483" s="14"/>
      <c r="BQ483" s="14"/>
      <c r="BR483" s="14"/>
      <c r="BS483" s="14"/>
      <c r="BT483" s="14"/>
      <c r="BU483" s="14"/>
      <c r="BV483" s="14"/>
      <c r="BW483" s="14"/>
      <c r="BX483" s="14"/>
      <c r="BY483" s="14"/>
      <c r="BZ483" s="14"/>
      <c r="CA483" s="14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</row>
    <row r="484" spans="1:101" ht="14.25" customHeight="1" x14ac:dyDescent="0.2">
      <c r="A484" s="328"/>
      <c r="B484" s="52">
        <v>0.17449194242635147</v>
      </c>
      <c r="C484" s="330">
        <v>0.18946565048997166</v>
      </c>
      <c r="D484" s="330">
        <v>2.5201092981597673E-2</v>
      </c>
      <c r="E484" s="330">
        <v>1.9289128046772852E-2</v>
      </c>
      <c r="F484" s="331">
        <v>0.77849852836542643</v>
      </c>
      <c r="G484" s="94">
        <v>0.44853983917948237</v>
      </c>
      <c r="H484" s="330">
        <v>0.15496242015330897</v>
      </c>
      <c r="I484" s="330">
        <v>1.4259728998034859E-2</v>
      </c>
      <c r="J484" s="330">
        <v>0.88885253411419107</v>
      </c>
      <c r="K484" s="330">
        <v>0.76562788684971317</v>
      </c>
      <c r="L484" s="332">
        <v>8443.8144256863943</v>
      </c>
      <c r="M484" s="330">
        <v>0</v>
      </c>
      <c r="N484" s="330">
        <v>12620.353842608953</v>
      </c>
      <c r="O484" s="330">
        <v>1950.7962355809591</v>
      </c>
      <c r="P484" s="330">
        <v>32305.597261312683</v>
      </c>
      <c r="Q484" s="333">
        <v>89320.659952862581</v>
      </c>
      <c r="R484" s="330">
        <v>18354.013756333134</v>
      </c>
      <c r="S484" s="330">
        <v>10478.982696274708</v>
      </c>
      <c r="T484" s="332">
        <v>0.99773798855723361</v>
      </c>
      <c r="U484" s="330">
        <v>0.57745871009922445</v>
      </c>
      <c r="V484" s="330">
        <v>0.91975215815930644</v>
      </c>
      <c r="W484" s="330">
        <v>0.56202109684829005</v>
      </c>
      <c r="X484" s="330">
        <v>0.67086243519494027</v>
      </c>
      <c r="Y484" s="330">
        <v>0</v>
      </c>
      <c r="Z484" s="331">
        <v>0</v>
      </c>
      <c r="AA484" s="235"/>
      <c r="AB484" s="335">
        <v>97331.60647443468</v>
      </c>
      <c r="AC484" s="336">
        <v>3.168197997801165</v>
      </c>
      <c r="AD484" s="337">
        <v>89078.18349594668</v>
      </c>
      <c r="AE484" s="336">
        <v>3.2040900845359133</v>
      </c>
      <c r="AF484" s="337">
        <v>8253.4229784880008</v>
      </c>
      <c r="AG484" s="338">
        <v>-3.5892086734748307E-2</v>
      </c>
      <c r="AH484" s="235"/>
      <c r="AI484" s="208">
        <f t="shared" si="52"/>
        <v>2912456.4914366724</v>
      </c>
      <c r="AJ484" s="208">
        <f t="shared" si="53"/>
        <v>2954807.396813171</v>
      </c>
      <c r="AK484" s="208">
        <f t="shared" si="54"/>
        <v>-42350.905376498893</v>
      </c>
      <c r="AL484" s="235"/>
      <c r="AM484" s="52">
        <f t="shared" si="30"/>
        <v>0</v>
      </c>
      <c r="AN484" s="52">
        <f t="shared" si="31"/>
        <v>1</v>
      </c>
      <c r="AO484" s="52">
        <f t="shared" si="32"/>
        <v>0</v>
      </c>
      <c r="AP484" s="235"/>
      <c r="AQ484" s="28"/>
      <c r="AR484" s="28"/>
      <c r="AS484" s="28"/>
      <c r="AT484" s="28"/>
      <c r="AU484" s="235"/>
      <c r="AV484" s="360">
        <f t="shared" si="55"/>
        <v>2954807.396813171</v>
      </c>
      <c r="AW484" s="235"/>
      <c r="AX484" s="355"/>
      <c r="AY484" s="344"/>
      <c r="AZ484" s="14">
        <f t="shared" si="57"/>
        <v>8253.4229784880008</v>
      </c>
      <c r="BA484" s="14">
        <f t="shared" si="56"/>
        <v>-3.5892086734748307E-2</v>
      </c>
      <c r="BB484" s="14">
        <f t="shared" si="33"/>
        <v>-229951.04852729532</v>
      </c>
      <c r="BC484" s="344"/>
      <c r="BD484" s="344"/>
      <c r="BE484" s="344"/>
      <c r="BF484" s="344"/>
      <c r="BG484" s="344"/>
      <c r="BH484" s="344"/>
      <c r="BI484" s="344"/>
      <c r="BJ484" s="344"/>
      <c r="BK484" s="344"/>
      <c r="BL484" s="344"/>
      <c r="BM484" s="344"/>
      <c r="BN484" s="344"/>
      <c r="BO484" s="344"/>
      <c r="BP484" s="14"/>
      <c r="BQ484" s="14"/>
      <c r="BR484" s="14"/>
      <c r="BS484" s="14"/>
      <c r="BT484" s="14"/>
      <c r="BU484" s="14"/>
      <c r="BV484" s="14"/>
      <c r="BW484" s="14"/>
      <c r="BX484" s="14"/>
      <c r="BY484" s="14"/>
      <c r="BZ484" s="14"/>
      <c r="CA484" s="14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</row>
    <row r="485" spans="1:101" ht="14.25" customHeight="1" x14ac:dyDescent="0.2">
      <c r="A485" s="328"/>
      <c r="B485" s="52">
        <v>0.15528275160840593</v>
      </c>
      <c r="C485" s="330">
        <v>0.11751623827007281</v>
      </c>
      <c r="D485" s="330">
        <v>2.5583628102134437E-2</v>
      </c>
      <c r="E485" s="330">
        <v>2.2555526035049511E-2</v>
      </c>
      <c r="F485" s="331">
        <v>0.76739469367312152</v>
      </c>
      <c r="G485" s="94">
        <v>0.35766968171612717</v>
      </c>
      <c r="H485" s="330">
        <v>0.72521105388887497</v>
      </c>
      <c r="I485" s="330">
        <v>1.7324684160537895E-2</v>
      </c>
      <c r="J485" s="330">
        <v>1</v>
      </c>
      <c r="K485" s="330">
        <v>0.7564402312436872</v>
      </c>
      <c r="L485" s="332">
        <v>10073.003068807098</v>
      </c>
      <c r="M485" s="330">
        <v>0</v>
      </c>
      <c r="N485" s="330">
        <v>19913.796689025061</v>
      </c>
      <c r="O485" s="330">
        <v>1173.2237270458204</v>
      </c>
      <c r="P485" s="330">
        <v>41226.209649279961</v>
      </c>
      <c r="Q485" s="333">
        <v>90973.939088374245</v>
      </c>
      <c r="R485" s="330">
        <v>20447.750620328887</v>
      </c>
      <c r="S485" s="330">
        <v>8432.4681898313866</v>
      </c>
      <c r="T485" s="332">
        <v>0.7044297219380411</v>
      </c>
      <c r="U485" s="330">
        <v>0.84275290368650391</v>
      </c>
      <c r="V485" s="330">
        <v>0.26778532690522583</v>
      </c>
      <c r="W485" s="330">
        <v>0.50169341558278957</v>
      </c>
      <c r="X485" s="330">
        <v>0.79718454979116105</v>
      </c>
      <c r="Y485" s="330">
        <v>0</v>
      </c>
      <c r="Z485" s="331">
        <v>0</v>
      </c>
      <c r="AA485" s="235"/>
      <c r="AB485" s="335">
        <v>80437.344306134604</v>
      </c>
      <c r="AC485" s="336">
        <v>3.700540134617194</v>
      </c>
      <c r="AD485" s="337">
        <v>75039.921558213726</v>
      </c>
      <c r="AE485" s="336">
        <v>3.8788227971659746</v>
      </c>
      <c r="AF485" s="337">
        <v>5397.4227479208785</v>
      </c>
      <c r="AG485" s="338">
        <v>-0.17828266254878056</v>
      </c>
      <c r="AH485" s="235"/>
      <c r="AI485" s="208">
        <f t="shared" si="52"/>
        <v>3435075.7835801998</v>
      </c>
      <c r="AJ485" s="208">
        <f t="shared" si="53"/>
        <v>3609841.7357494622</v>
      </c>
      <c r="AK485" s="208">
        <f t="shared" si="54"/>
        <v>-174765.9521692624</v>
      </c>
      <c r="AL485" s="235"/>
      <c r="AM485" s="52">
        <f t="shared" si="30"/>
        <v>0</v>
      </c>
      <c r="AN485" s="52">
        <f t="shared" si="31"/>
        <v>1</v>
      </c>
      <c r="AO485" s="52">
        <f t="shared" si="32"/>
        <v>0</v>
      </c>
      <c r="AP485" s="235"/>
      <c r="AQ485" s="28"/>
      <c r="AR485" s="28"/>
      <c r="AS485" s="28"/>
      <c r="AT485" s="28"/>
      <c r="AU485" s="235"/>
      <c r="AV485" s="360">
        <f t="shared" si="55"/>
        <v>3609841.7357494622</v>
      </c>
      <c r="AW485" s="235"/>
      <c r="AX485" s="355"/>
      <c r="AY485" s="344"/>
      <c r="AZ485" s="14">
        <f t="shared" si="57"/>
        <v>5397.4227479208785</v>
      </c>
      <c r="BA485" s="14">
        <f t="shared" si="56"/>
        <v>-0.17828266254878056</v>
      </c>
      <c r="BB485" s="14">
        <f t="shared" si="33"/>
        <v>-30274.524010118315</v>
      </c>
      <c r="BC485" s="344"/>
      <c r="BD485" s="344"/>
      <c r="BE485" s="344"/>
      <c r="BF485" s="344"/>
      <c r="BG485" s="344"/>
      <c r="BH485" s="344"/>
      <c r="BI485" s="344"/>
      <c r="BJ485" s="344"/>
      <c r="BK485" s="344"/>
      <c r="BL485" s="344"/>
      <c r="BM485" s="344"/>
      <c r="BN485" s="344"/>
      <c r="BO485" s="344"/>
      <c r="BP485" s="14"/>
      <c r="BQ485" s="14"/>
      <c r="BR485" s="14"/>
      <c r="BS485" s="14"/>
      <c r="BT485" s="14"/>
      <c r="BU485" s="14"/>
      <c r="BV485" s="14"/>
      <c r="BW485" s="14"/>
      <c r="BX485" s="14"/>
      <c r="BY485" s="14"/>
      <c r="BZ485" s="14"/>
      <c r="CA485" s="14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</row>
    <row r="486" spans="1:101" ht="14.25" customHeight="1" x14ac:dyDescent="0.2">
      <c r="A486" s="328"/>
      <c r="B486" s="52">
        <v>0.19107459909017577</v>
      </c>
      <c r="C486" s="330">
        <v>3.4718997870573171E-2</v>
      </c>
      <c r="D486" s="330">
        <v>1.8804017526554029E-2</v>
      </c>
      <c r="E486" s="330">
        <v>2.6724267556229586E-2</v>
      </c>
      <c r="F486" s="331">
        <v>0.77368892083584018</v>
      </c>
      <c r="G486" s="94">
        <v>0.35742764779941166</v>
      </c>
      <c r="H486" s="330">
        <v>0.46434526685442667</v>
      </c>
      <c r="I486" s="330">
        <v>1.88656399043301E-2</v>
      </c>
      <c r="J486" s="330">
        <v>0.95051971465014151</v>
      </c>
      <c r="K486" s="330">
        <v>0.76964136848509124</v>
      </c>
      <c r="L486" s="332">
        <v>9029.0508428026023</v>
      </c>
      <c r="M486" s="330">
        <v>0</v>
      </c>
      <c r="N486" s="330">
        <v>16513.841426208102</v>
      </c>
      <c r="O486" s="330">
        <v>1262.3766156523579</v>
      </c>
      <c r="P486" s="330">
        <v>39882.03076558176</v>
      </c>
      <c r="Q486" s="333">
        <v>101250.25717700644</v>
      </c>
      <c r="R486" s="330">
        <v>20900.714538480526</v>
      </c>
      <c r="S486" s="330">
        <v>9709.6418158664364</v>
      </c>
      <c r="T486" s="332">
        <v>9.8116593109182818E-2</v>
      </c>
      <c r="U486" s="330">
        <v>0.98998822152085375</v>
      </c>
      <c r="V486" s="330">
        <v>0.94015319218782678</v>
      </c>
      <c r="W486" s="330">
        <v>0.58075908314605096</v>
      </c>
      <c r="X486" s="330">
        <v>0.99961854814048934</v>
      </c>
      <c r="Y486" s="330">
        <v>0</v>
      </c>
      <c r="Z486" s="331">
        <v>0</v>
      </c>
      <c r="AA486" s="235"/>
      <c r="AB486" s="335">
        <v>90393.726321290989</v>
      </c>
      <c r="AC486" s="336">
        <v>4.6916756089464497</v>
      </c>
      <c r="AD486" s="337">
        <v>85097.623182821015</v>
      </c>
      <c r="AE486" s="336">
        <v>4.8109597188162798</v>
      </c>
      <c r="AF486" s="337">
        <v>5296.1031384699745</v>
      </c>
      <c r="AG486" s="338">
        <v>-0.11928410986983007</v>
      </c>
      <c r="AH486" s="235"/>
      <c r="AI486" s="208">
        <f t="shared" si="52"/>
        <v>4366698.102177836</v>
      </c>
      <c r="AJ486" s="208">
        <f t="shared" si="53"/>
        <v>4485314.1096926443</v>
      </c>
      <c r="AK486" s="208">
        <f t="shared" si="54"/>
        <v>-118616.00751480855</v>
      </c>
      <c r="AL486" s="235"/>
      <c r="AM486" s="52">
        <f t="shared" si="30"/>
        <v>0</v>
      </c>
      <c r="AN486" s="52">
        <f t="shared" si="31"/>
        <v>1</v>
      </c>
      <c r="AO486" s="52">
        <f t="shared" si="32"/>
        <v>0</v>
      </c>
      <c r="AP486" s="235"/>
      <c r="AQ486" s="28"/>
      <c r="AR486" s="28"/>
      <c r="AS486" s="28"/>
      <c r="AT486" s="28"/>
      <c r="AU486" s="235"/>
      <c r="AV486" s="360">
        <f t="shared" si="55"/>
        <v>4485314.1096926443</v>
      </c>
      <c r="AW486" s="235"/>
      <c r="AX486" s="355"/>
      <c r="AY486" s="344"/>
      <c r="AZ486" s="14">
        <f t="shared" si="57"/>
        <v>5296.1031384699745</v>
      </c>
      <c r="BA486" s="14">
        <f t="shared" si="56"/>
        <v>-0.11928410986983007</v>
      </c>
      <c r="BB486" s="14">
        <f t="shared" si="33"/>
        <v>-44399.066600315819</v>
      </c>
      <c r="BC486" s="344"/>
      <c r="BD486" s="344"/>
      <c r="BE486" s="344"/>
      <c r="BF486" s="344"/>
      <c r="BG486" s="344"/>
      <c r="BH486" s="344"/>
      <c r="BI486" s="344"/>
      <c r="BJ486" s="344"/>
      <c r="BK486" s="344"/>
      <c r="BL486" s="344"/>
      <c r="BM486" s="344"/>
      <c r="BN486" s="344"/>
      <c r="BO486" s="344"/>
      <c r="BP486" s="14"/>
      <c r="BQ486" s="14"/>
      <c r="BR486" s="14"/>
      <c r="BS486" s="14"/>
      <c r="BT486" s="14"/>
      <c r="BU486" s="14"/>
      <c r="BV486" s="14"/>
      <c r="BW486" s="14"/>
      <c r="BX486" s="14"/>
      <c r="BY486" s="14"/>
      <c r="BZ486" s="14"/>
      <c r="CA486" s="14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</row>
    <row r="487" spans="1:101" ht="14.25" customHeight="1" x14ac:dyDescent="0.2">
      <c r="A487" s="328"/>
      <c r="B487" s="52">
        <v>0.15870870267300169</v>
      </c>
      <c r="C487" s="330">
        <v>1.9540534405836935E-3</v>
      </c>
      <c r="D487" s="330">
        <v>1.4334952936074487E-2</v>
      </c>
      <c r="E487" s="330">
        <v>1.881569529569449E-2</v>
      </c>
      <c r="F487" s="331">
        <v>0.80975922317768989</v>
      </c>
      <c r="G487" s="94">
        <v>0.42429507535980704</v>
      </c>
      <c r="H487" s="330">
        <v>0.59362380621529631</v>
      </c>
      <c r="I487" s="330">
        <v>3.7103850452961606E-2</v>
      </c>
      <c r="J487" s="330">
        <v>0.99021204219161307</v>
      </c>
      <c r="K487" s="330">
        <v>0.72783472059486587</v>
      </c>
      <c r="L487" s="332">
        <v>12947.64865455017</v>
      </c>
      <c r="M487" s="330">
        <v>0</v>
      </c>
      <c r="N487" s="330">
        <v>14895.051225587235</v>
      </c>
      <c r="O487" s="330">
        <v>1189.923930508935</v>
      </c>
      <c r="P487" s="330">
        <v>43114.684946505244</v>
      </c>
      <c r="Q487" s="333">
        <v>81925.722335872677</v>
      </c>
      <c r="R487" s="330">
        <v>26366.281644511786</v>
      </c>
      <c r="S487" s="330">
        <v>11712.433448600656</v>
      </c>
      <c r="T487" s="332">
        <v>0.99202165738898129</v>
      </c>
      <c r="U487" s="330">
        <v>0.20564331391267551</v>
      </c>
      <c r="V487" s="330">
        <v>0.83222469760216533</v>
      </c>
      <c r="W487" s="330">
        <v>0.46999310905992092</v>
      </c>
      <c r="X487" s="330">
        <v>0.93693304809719358</v>
      </c>
      <c r="Y487" s="330">
        <v>0</v>
      </c>
      <c r="Z487" s="331">
        <v>0</v>
      </c>
      <c r="AA487" s="235"/>
      <c r="AB487" s="335">
        <v>115111.23879523276</v>
      </c>
      <c r="AC487" s="336">
        <v>4.8117427432761462</v>
      </c>
      <c r="AD487" s="337">
        <v>100574.96380774613</v>
      </c>
      <c r="AE487" s="336">
        <v>4.1620620043561898</v>
      </c>
      <c r="AF487" s="337">
        <v>14536.274987486628</v>
      </c>
      <c r="AG487" s="338">
        <v>0.64968073891995637</v>
      </c>
      <c r="AH487" s="235"/>
      <c r="AI487" s="208">
        <f t="shared" si="52"/>
        <v>4456044.3673171056</v>
      </c>
      <c r="AJ487" s="208">
        <f t="shared" si="53"/>
        <v>3853383.9403306339</v>
      </c>
      <c r="AK487" s="208">
        <f t="shared" si="54"/>
        <v>602660.42698647187</v>
      </c>
      <c r="AL487" s="235"/>
      <c r="AM487" s="52">
        <f t="shared" si="30"/>
        <v>1</v>
      </c>
      <c r="AN487" s="52">
        <f t="shared" si="31"/>
        <v>0</v>
      </c>
      <c r="AO487" s="52">
        <f t="shared" si="32"/>
        <v>1</v>
      </c>
      <c r="AP487" s="235"/>
      <c r="AQ487" s="28"/>
      <c r="AR487" s="28"/>
      <c r="AS487" s="28"/>
      <c r="AT487" s="28"/>
      <c r="AU487" s="235"/>
      <c r="AV487" s="360">
        <f t="shared" si="55"/>
        <v>4456044.3673171056</v>
      </c>
      <c r="AW487" s="235"/>
      <c r="AX487" s="355"/>
      <c r="AY487" s="344"/>
      <c r="AZ487" s="14">
        <f t="shared" si="57"/>
        <v>14536.274987486628</v>
      </c>
      <c r="BA487" s="14">
        <f t="shared" si="56"/>
        <v>0.64968073891995637</v>
      </c>
      <c r="BB487" s="14">
        <f t="shared" si="33"/>
        <v>22374.489678810631</v>
      </c>
      <c r="BC487" s="344"/>
      <c r="BD487" s="344"/>
      <c r="BE487" s="344"/>
      <c r="BF487" s="344"/>
      <c r="BG487" s="344"/>
      <c r="BH487" s="344"/>
      <c r="BI487" s="344"/>
      <c r="BJ487" s="344"/>
      <c r="BK487" s="344"/>
      <c r="BL487" s="344"/>
      <c r="BM487" s="344"/>
      <c r="BN487" s="344"/>
      <c r="BO487" s="344"/>
      <c r="BP487" s="14"/>
      <c r="BQ487" s="14"/>
      <c r="BR487" s="14"/>
      <c r="BS487" s="14"/>
      <c r="BT487" s="14"/>
      <c r="BU487" s="14"/>
      <c r="BV487" s="14"/>
      <c r="BW487" s="14"/>
      <c r="BX487" s="14"/>
      <c r="BY487" s="14"/>
      <c r="BZ487" s="14"/>
      <c r="CA487" s="14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</row>
    <row r="488" spans="1:101" ht="14.25" customHeight="1" x14ac:dyDescent="0.2">
      <c r="A488" s="328"/>
      <c r="B488" s="52">
        <v>0.14303676023479986</v>
      </c>
      <c r="C488" s="330">
        <v>0.38579570234418237</v>
      </c>
      <c r="D488" s="330">
        <v>1.8602160936301071E-2</v>
      </c>
      <c r="E488" s="330">
        <v>2.3678357008774409E-2</v>
      </c>
      <c r="F488" s="331">
        <v>0.80056723379033468</v>
      </c>
      <c r="G488" s="94">
        <v>0.40179139867402314</v>
      </c>
      <c r="H488" s="330">
        <v>8.5597819000478498E-2</v>
      </c>
      <c r="I488" s="330">
        <v>1.5621665087234496E-2</v>
      </c>
      <c r="J488" s="330">
        <v>0.87142892244357417</v>
      </c>
      <c r="K488" s="330">
        <v>0.75441677129945883</v>
      </c>
      <c r="L488" s="332">
        <v>10876.374576571778</v>
      </c>
      <c r="M488" s="330">
        <v>0</v>
      </c>
      <c r="N488" s="330">
        <v>20678.976128430088</v>
      </c>
      <c r="O488" s="330">
        <v>1007.85552482616</v>
      </c>
      <c r="P488" s="330">
        <v>37287.397952361389</v>
      </c>
      <c r="Q488" s="333">
        <v>77226.850557130965</v>
      </c>
      <c r="R488" s="330">
        <v>30969.074165452399</v>
      </c>
      <c r="S488" s="330">
        <v>8645.7259538624021</v>
      </c>
      <c r="T488" s="332">
        <v>0.99715684886733569</v>
      </c>
      <c r="U488" s="330">
        <v>0.95538052288276032</v>
      </c>
      <c r="V488" s="330">
        <v>0.69231239626013119</v>
      </c>
      <c r="W488" s="330">
        <v>0.14276271204897101</v>
      </c>
      <c r="X488" s="330">
        <v>0.99999501371832933</v>
      </c>
      <c r="Y488" s="330">
        <v>0</v>
      </c>
      <c r="Z488" s="331">
        <v>0</v>
      </c>
      <c r="AA488" s="235"/>
      <c r="AB488" s="335">
        <v>87214.692426993512</v>
      </c>
      <c r="AC488" s="336">
        <v>5.1369663934707974</v>
      </c>
      <c r="AD488" s="337">
        <v>72324.434098749931</v>
      </c>
      <c r="AE488" s="336">
        <v>4.6471987933041028</v>
      </c>
      <c r="AF488" s="337">
        <v>14890.258328243581</v>
      </c>
      <c r="AG488" s="338">
        <v>0.48976760016669463</v>
      </c>
      <c r="AH488" s="235"/>
      <c r="AI488" s="208">
        <f t="shared" si="52"/>
        <v>4792903.3813702641</v>
      </c>
      <c r="AJ488" s="208">
        <f t="shared" si="53"/>
        <v>4342514.4195401473</v>
      </c>
      <c r="AK488" s="208">
        <f t="shared" si="54"/>
        <v>450388.96183011634</v>
      </c>
      <c r="AL488" s="235"/>
      <c r="AM488" s="52">
        <f t="shared" si="30"/>
        <v>1</v>
      </c>
      <c r="AN488" s="52">
        <f t="shared" si="31"/>
        <v>0</v>
      </c>
      <c r="AO488" s="52">
        <f t="shared" si="32"/>
        <v>1</v>
      </c>
      <c r="AP488" s="235"/>
      <c r="AQ488" s="28"/>
      <c r="AR488" s="28"/>
      <c r="AS488" s="28"/>
      <c r="AT488" s="28"/>
      <c r="AU488" s="235"/>
      <c r="AV488" s="360">
        <f t="shared" si="55"/>
        <v>4792903.3813702641</v>
      </c>
      <c r="AW488" s="235"/>
      <c r="AX488" s="355"/>
      <c r="AY488" s="344"/>
      <c r="AZ488" s="14">
        <f t="shared" si="57"/>
        <v>14890.258328243581</v>
      </c>
      <c r="BA488" s="14">
        <f t="shared" si="56"/>
        <v>0.48976760016669463</v>
      </c>
      <c r="BB488" s="14">
        <f t="shared" si="33"/>
        <v>30402.701859362714</v>
      </c>
      <c r="BC488" s="344"/>
      <c r="BD488" s="344"/>
      <c r="BE488" s="344"/>
      <c r="BF488" s="344"/>
      <c r="BG488" s="344"/>
      <c r="BH488" s="344"/>
      <c r="BI488" s="344"/>
      <c r="BJ488" s="344"/>
      <c r="BK488" s="344"/>
      <c r="BL488" s="344"/>
      <c r="BM488" s="344"/>
      <c r="BN488" s="344"/>
      <c r="BO488" s="344"/>
      <c r="BP488" s="14"/>
      <c r="BQ488" s="14"/>
      <c r="BR488" s="14"/>
      <c r="BS488" s="14"/>
      <c r="BT488" s="14"/>
      <c r="BU488" s="14"/>
      <c r="BV488" s="14"/>
      <c r="BW488" s="14"/>
      <c r="BX488" s="14"/>
      <c r="BY488" s="14"/>
      <c r="BZ488" s="14"/>
      <c r="CA488" s="14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</row>
    <row r="489" spans="1:101" ht="14.25" customHeight="1" x14ac:dyDescent="0.2">
      <c r="A489" s="328"/>
      <c r="B489" s="52">
        <v>0.12427399396679219</v>
      </c>
      <c r="C489" s="330">
        <v>0.19187632020590609</v>
      </c>
      <c r="D489" s="330">
        <v>1.0416569255272191E-2</v>
      </c>
      <c r="E489" s="330">
        <v>5.6644507755815206E-3</v>
      </c>
      <c r="F489" s="331">
        <v>0.76232587143315012</v>
      </c>
      <c r="G489" s="94">
        <v>0.41919569470215112</v>
      </c>
      <c r="H489" s="330">
        <v>0.23808310480650324</v>
      </c>
      <c r="I489" s="330">
        <v>3.5233553564479214E-2</v>
      </c>
      <c r="J489" s="330">
        <v>1</v>
      </c>
      <c r="K489" s="330">
        <v>0.77560917046625788</v>
      </c>
      <c r="L489" s="332">
        <v>10284.448833831166</v>
      </c>
      <c r="M489" s="330">
        <v>0</v>
      </c>
      <c r="N489" s="330">
        <v>16408.627023953341</v>
      </c>
      <c r="O489" s="330">
        <v>1043.6051338805426</v>
      </c>
      <c r="P489" s="330">
        <v>47947.058915039597</v>
      </c>
      <c r="Q489" s="333">
        <v>79711.209324596071</v>
      </c>
      <c r="R489" s="330">
        <v>26495.447318907936</v>
      </c>
      <c r="S489" s="330">
        <v>8908.5541173951424</v>
      </c>
      <c r="T489" s="332">
        <v>0.96978666066891073</v>
      </c>
      <c r="U489" s="330">
        <v>0.73046711530408615</v>
      </c>
      <c r="V489" s="330">
        <v>0.990771260914176</v>
      </c>
      <c r="W489" s="330">
        <v>0.9923553973737882</v>
      </c>
      <c r="X489" s="330">
        <v>0.92749545276706236</v>
      </c>
      <c r="Y489" s="330">
        <v>0</v>
      </c>
      <c r="Z489" s="331">
        <v>0</v>
      </c>
      <c r="AA489" s="235"/>
      <c r="AB489" s="335">
        <v>84027.756966193192</v>
      </c>
      <c r="AC489" s="336">
        <v>4.6491520745707398</v>
      </c>
      <c r="AD489" s="337">
        <v>79339.607595524678</v>
      </c>
      <c r="AE489" s="336">
        <v>4.5546065233622288</v>
      </c>
      <c r="AF489" s="337">
        <v>4688.1493706685142</v>
      </c>
      <c r="AG489" s="338">
        <v>9.4545551208510936E-2</v>
      </c>
      <c r="AH489" s="235"/>
      <c r="AI489" s="208">
        <f t="shared" si="52"/>
        <v>4332666.7138760099</v>
      </c>
      <c r="AJ489" s="208">
        <f t="shared" si="53"/>
        <v>4247536.5895985924</v>
      </c>
      <c r="AK489" s="208">
        <f t="shared" si="54"/>
        <v>85130.124277416879</v>
      </c>
      <c r="AL489" s="235"/>
      <c r="AM489" s="52">
        <f t="shared" si="30"/>
        <v>1</v>
      </c>
      <c r="AN489" s="52">
        <f t="shared" si="31"/>
        <v>0</v>
      </c>
      <c r="AO489" s="52">
        <f t="shared" si="32"/>
        <v>1</v>
      </c>
      <c r="AP489" s="235"/>
      <c r="AQ489" s="28"/>
      <c r="AR489" s="28"/>
      <c r="AS489" s="28"/>
      <c r="AT489" s="28"/>
      <c r="AU489" s="235"/>
      <c r="AV489" s="360">
        <f t="shared" si="55"/>
        <v>4332666.7138760099</v>
      </c>
      <c r="AW489" s="235"/>
      <c r="AX489" s="355"/>
      <c r="AY489" s="344"/>
      <c r="AZ489" s="14">
        <f t="shared" si="57"/>
        <v>4688.1493706685142</v>
      </c>
      <c r="BA489" s="14">
        <f t="shared" si="56"/>
        <v>9.4545551208510936E-2</v>
      </c>
      <c r="BB489" s="14">
        <f t="shared" si="33"/>
        <v>49586.144569925462</v>
      </c>
      <c r="BC489" s="344"/>
      <c r="BD489" s="344"/>
      <c r="BE489" s="344"/>
      <c r="BF489" s="344"/>
      <c r="BG489" s="344"/>
      <c r="BH489" s="344"/>
      <c r="BI489" s="344"/>
      <c r="BJ489" s="344"/>
      <c r="BK489" s="344"/>
      <c r="BL489" s="344"/>
      <c r="BM489" s="344"/>
      <c r="BN489" s="344"/>
      <c r="BO489" s="344"/>
      <c r="BP489" s="14"/>
      <c r="BQ489" s="14"/>
      <c r="BR489" s="14"/>
      <c r="BS489" s="14"/>
      <c r="BT489" s="14"/>
      <c r="BU489" s="14"/>
      <c r="BV489" s="14"/>
      <c r="BW489" s="14"/>
      <c r="BX489" s="14"/>
      <c r="BY489" s="14"/>
      <c r="BZ489" s="14"/>
      <c r="CA489" s="14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</row>
    <row r="490" spans="1:101" ht="14.25" customHeight="1" x14ac:dyDescent="0.2">
      <c r="A490" s="328"/>
      <c r="B490" s="52">
        <v>0.1532135292511585</v>
      </c>
      <c r="C490" s="330">
        <v>0.80683188367156256</v>
      </c>
      <c r="D490" s="330">
        <v>7.5265187484449686E-3</v>
      </c>
      <c r="E490" s="330">
        <v>1.3563506575891339E-2</v>
      </c>
      <c r="F490" s="331">
        <v>0.78385563236682354</v>
      </c>
      <c r="G490" s="94">
        <v>0.34311783042521316</v>
      </c>
      <c r="H490" s="330">
        <v>0.97444982965869098</v>
      </c>
      <c r="I490" s="330">
        <v>8.5253839867955612E-3</v>
      </c>
      <c r="J490" s="330">
        <v>0.99994700303999362</v>
      </c>
      <c r="K490" s="330">
        <v>0.70844081637251377</v>
      </c>
      <c r="L490" s="332">
        <v>10183.379860150848</v>
      </c>
      <c r="M490" s="330">
        <v>0</v>
      </c>
      <c r="N490" s="330">
        <v>21210.083989538325</v>
      </c>
      <c r="O490" s="330">
        <v>984.51227589031248</v>
      </c>
      <c r="P490" s="330">
        <v>41468.217157406893</v>
      </c>
      <c r="Q490" s="333">
        <v>106527.52601207751</v>
      </c>
      <c r="R490" s="330">
        <v>19611.997745334727</v>
      </c>
      <c r="S490" s="330">
        <v>7674.6667875526227</v>
      </c>
      <c r="T490" s="332">
        <v>0.99985726155922594</v>
      </c>
      <c r="U490" s="330">
        <v>0.14071117165776167</v>
      </c>
      <c r="V490" s="330">
        <v>0.94977601826926383</v>
      </c>
      <c r="W490" s="330">
        <v>0.99955943922069923</v>
      </c>
      <c r="X490" s="330">
        <v>0.61055327907528523</v>
      </c>
      <c r="Y490" s="330">
        <v>0</v>
      </c>
      <c r="Z490" s="331">
        <v>0</v>
      </c>
      <c r="AA490" s="235"/>
      <c r="AB490" s="335">
        <v>77439.70337278262</v>
      </c>
      <c r="AC490" s="336">
        <v>3.4718215899428064</v>
      </c>
      <c r="AD490" s="337">
        <v>65726.644912855743</v>
      </c>
      <c r="AE490" s="336">
        <v>2.6186091322593379</v>
      </c>
      <c r="AF490" s="337">
        <v>11713.058459926877</v>
      </c>
      <c r="AG490" s="338">
        <v>0.85321245768346854</v>
      </c>
      <c r="AH490" s="235"/>
      <c r="AI490" s="208">
        <f t="shared" si="52"/>
        <v>3220790.8070728835</v>
      </c>
      <c r="AJ490" s="208">
        <f t="shared" si="53"/>
        <v>2421952.0307335155</v>
      </c>
      <c r="AK490" s="208">
        <f t="shared" si="54"/>
        <v>798838.7763393682</v>
      </c>
      <c r="AL490" s="235"/>
      <c r="AM490" s="52">
        <f t="shared" si="30"/>
        <v>1</v>
      </c>
      <c r="AN490" s="52">
        <f t="shared" si="31"/>
        <v>0</v>
      </c>
      <c r="AO490" s="52">
        <f t="shared" si="32"/>
        <v>1</v>
      </c>
      <c r="AP490" s="235"/>
      <c r="AQ490" s="28"/>
      <c r="AR490" s="28"/>
      <c r="AS490" s="28"/>
      <c r="AT490" s="28"/>
      <c r="AU490" s="235"/>
      <c r="AV490" s="360">
        <f t="shared" si="55"/>
        <v>3220790.8070728835</v>
      </c>
      <c r="AW490" s="235"/>
      <c r="AX490" s="355"/>
      <c r="AY490" s="344"/>
      <c r="AZ490" s="14">
        <f t="shared" si="57"/>
        <v>11713.058459926877</v>
      </c>
      <c r="BA490" s="14">
        <f t="shared" si="56"/>
        <v>0.85321245768346854</v>
      </c>
      <c r="BB490" s="14">
        <f t="shared" si="33"/>
        <v>13728.184995948897</v>
      </c>
      <c r="BC490" s="344"/>
      <c r="BD490" s="344"/>
      <c r="BE490" s="344"/>
      <c r="BF490" s="344"/>
      <c r="BG490" s="344"/>
      <c r="BH490" s="344"/>
      <c r="BI490" s="344"/>
      <c r="BJ490" s="344"/>
      <c r="BK490" s="344"/>
      <c r="BL490" s="344"/>
      <c r="BM490" s="344"/>
      <c r="BN490" s="344"/>
      <c r="BO490" s="344"/>
      <c r="BP490" s="14"/>
      <c r="BQ490" s="14"/>
      <c r="BR490" s="14"/>
      <c r="BS490" s="14"/>
      <c r="BT490" s="14"/>
      <c r="BU490" s="14"/>
      <c r="BV490" s="14"/>
      <c r="BW490" s="14"/>
      <c r="BX490" s="14"/>
      <c r="BY490" s="14"/>
      <c r="BZ490" s="14"/>
      <c r="CA490" s="14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</row>
    <row r="491" spans="1:101" ht="14.25" customHeight="1" x14ac:dyDescent="0.2">
      <c r="A491" s="328"/>
      <c r="B491" s="52">
        <v>0.15158437709501035</v>
      </c>
      <c r="C491" s="330">
        <v>0.3293578337628511</v>
      </c>
      <c r="D491" s="330">
        <v>1.5906656678189135E-2</v>
      </c>
      <c r="E491" s="330">
        <v>3.7411188104320536E-2</v>
      </c>
      <c r="F491" s="331">
        <v>0.80320315606514703</v>
      </c>
      <c r="G491" s="94">
        <v>0.36871007356321328</v>
      </c>
      <c r="H491" s="330">
        <v>0.71327504863366231</v>
      </c>
      <c r="I491" s="330">
        <v>1.1054700502227307E-2</v>
      </c>
      <c r="J491" s="330">
        <v>0.80021868206306612</v>
      </c>
      <c r="K491" s="330">
        <v>0.70544499523484472</v>
      </c>
      <c r="L491" s="332">
        <v>11489.161517426804</v>
      </c>
      <c r="M491" s="330">
        <v>0</v>
      </c>
      <c r="N491" s="330">
        <v>19388.656538698622</v>
      </c>
      <c r="O491" s="330">
        <v>897.40303335381998</v>
      </c>
      <c r="P491" s="330">
        <v>50507.141316283298</v>
      </c>
      <c r="Q491" s="333">
        <v>82533.878748309813</v>
      </c>
      <c r="R491" s="330">
        <v>22560.070186843357</v>
      </c>
      <c r="S491" s="330">
        <v>6731.4205691622492</v>
      </c>
      <c r="T491" s="332">
        <v>0.25852681967453334</v>
      </c>
      <c r="U491" s="330">
        <v>0.12351349916552386</v>
      </c>
      <c r="V491" s="330">
        <v>0.99943934729996042</v>
      </c>
      <c r="W491" s="330">
        <v>0.92140283856084149</v>
      </c>
      <c r="X491" s="330">
        <v>0.82890167607022569</v>
      </c>
      <c r="Y491" s="330">
        <v>0</v>
      </c>
      <c r="Z491" s="331">
        <v>0</v>
      </c>
      <c r="AA491" s="235"/>
      <c r="AB491" s="335">
        <v>70977.356683814141</v>
      </c>
      <c r="AC491" s="336">
        <v>4.144555583184923</v>
      </c>
      <c r="AD491" s="337">
        <v>57751.902211932669</v>
      </c>
      <c r="AE491" s="336">
        <v>3.5708646389758263</v>
      </c>
      <c r="AF491" s="337">
        <v>13225.454471881472</v>
      </c>
      <c r="AG491" s="338">
        <v>0.57369094420909672</v>
      </c>
      <c r="AH491" s="235"/>
      <c r="AI491" s="208">
        <f t="shared" si="52"/>
        <v>3866350.4473418631</v>
      </c>
      <c r="AJ491" s="208">
        <f t="shared" si="53"/>
        <v>3334569.5048151026</v>
      </c>
      <c r="AK491" s="208">
        <f t="shared" si="54"/>
        <v>531780.94252676039</v>
      </c>
      <c r="AL491" s="235"/>
      <c r="AM491" s="52">
        <f t="shared" si="30"/>
        <v>1</v>
      </c>
      <c r="AN491" s="52">
        <f t="shared" si="31"/>
        <v>0</v>
      </c>
      <c r="AO491" s="52">
        <f t="shared" si="32"/>
        <v>1</v>
      </c>
      <c r="AP491" s="235"/>
      <c r="AQ491" s="28"/>
      <c r="AR491" s="28"/>
      <c r="AS491" s="28"/>
      <c r="AT491" s="28"/>
      <c r="AU491" s="235"/>
      <c r="AV491" s="360">
        <f t="shared" si="55"/>
        <v>3866350.4473418631</v>
      </c>
      <c r="AW491" s="235"/>
      <c r="AX491" s="355"/>
      <c r="AY491" s="344"/>
      <c r="AZ491" s="14">
        <f t="shared" si="57"/>
        <v>13225.454471881472</v>
      </c>
      <c r="BA491" s="14">
        <f t="shared" si="56"/>
        <v>0.57369094420909672</v>
      </c>
      <c r="BB491" s="14">
        <f t="shared" si="33"/>
        <v>23053.273901881756</v>
      </c>
      <c r="BC491" s="344"/>
      <c r="BD491" s="344"/>
      <c r="BE491" s="344"/>
      <c r="BF491" s="344"/>
      <c r="BG491" s="344"/>
      <c r="BH491" s="344"/>
      <c r="BI491" s="344"/>
      <c r="BJ491" s="344"/>
      <c r="BK491" s="344"/>
      <c r="BL491" s="344"/>
      <c r="BM491" s="344"/>
      <c r="BN491" s="344"/>
      <c r="BO491" s="344"/>
      <c r="BP491" s="14"/>
      <c r="BQ491" s="14"/>
      <c r="BR491" s="14"/>
      <c r="BS491" s="14"/>
      <c r="BT491" s="14"/>
      <c r="BU491" s="14"/>
      <c r="BV491" s="14"/>
      <c r="BW491" s="14"/>
      <c r="BX491" s="14"/>
      <c r="BY491" s="14"/>
      <c r="BZ491" s="14"/>
      <c r="CA491" s="14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</row>
    <row r="492" spans="1:101" ht="14.25" customHeight="1" x14ac:dyDescent="0.2">
      <c r="A492" s="328"/>
      <c r="B492" s="52">
        <v>0.15992855710467613</v>
      </c>
      <c r="C492" s="330">
        <v>0.20256222865072673</v>
      </c>
      <c r="D492" s="330">
        <v>1.4187170475863741E-2</v>
      </c>
      <c r="E492" s="330">
        <v>6.8455688962502925E-3</v>
      </c>
      <c r="F492" s="331">
        <v>0.80531313483365186</v>
      </c>
      <c r="G492" s="94">
        <v>0.45470341832455474</v>
      </c>
      <c r="H492" s="330">
        <v>8.907680427187821E-2</v>
      </c>
      <c r="I492" s="330">
        <v>1.5697800342907325E-2</v>
      </c>
      <c r="J492" s="330">
        <v>0.98613159140077</v>
      </c>
      <c r="K492" s="330">
        <v>0.79643435528734652</v>
      </c>
      <c r="L492" s="332">
        <v>8740.625122912903</v>
      </c>
      <c r="M492" s="330">
        <v>0</v>
      </c>
      <c r="N492" s="330">
        <v>16103.86549991022</v>
      </c>
      <c r="O492" s="330">
        <v>1481.2493380951653</v>
      </c>
      <c r="P492" s="330">
        <v>41004.672448013611</v>
      </c>
      <c r="Q492" s="333">
        <v>120082.84395865869</v>
      </c>
      <c r="R492" s="330">
        <v>24242.05464737795</v>
      </c>
      <c r="S492" s="330">
        <v>7912.384134016379</v>
      </c>
      <c r="T492" s="332">
        <v>0.82194240729898316</v>
      </c>
      <c r="U492" s="330">
        <v>0.64038573706809021</v>
      </c>
      <c r="V492" s="330">
        <v>0.31322316762791513</v>
      </c>
      <c r="W492" s="330">
        <v>0.50993389776616471</v>
      </c>
      <c r="X492" s="330">
        <v>0.81045197879918063</v>
      </c>
      <c r="Y492" s="330">
        <v>0</v>
      </c>
      <c r="Z492" s="331">
        <v>0</v>
      </c>
      <c r="AA492" s="235"/>
      <c r="AB492" s="335">
        <v>78415.034871980897</v>
      </c>
      <c r="AC492" s="336">
        <v>4.0448234931560014</v>
      </c>
      <c r="AD492" s="337">
        <v>70559.107769781142</v>
      </c>
      <c r="AE492" s="336">
        <v>4.1470500489606943</v>
      </c>
      <c r="AF492" s="337">
        <v>7855.9271021997556</v>
      </c>
      <c r="AG492" s="338">
        <v>-0.10222655580469286</v>
      </c>
      <c r="AH492" s="235"/>
      <c r="AI492" s="208">
        <f t="shared" si="52"/>
        <v>3764167.2836262202</v>
      </c>
      <c r="AJ492" s="208">
        <f t="shared" si="53"/>
        <v>3869138.4387428784</v>
      </c>
      <c r="AK492" s="208">
        <f t="shared" si="54"/>
        <v>-104971.15511665797</v>
      </c>
      <c r="AL492" s="235"/>
      <c r="AM492" s="52">
        <f t="shared" si="30"/>
        <v>0</v>
      </c>
      <c r="AN492" s="52">
        <f t="shared" si="31"/>
        <v>1</v>
      </c>
      <c r="AO492" s="52">
        <f t="shared" si="32"/>
        <v>0</v>
      </c>
      <c r="AP492" s="235"/>
      <c r="AQ492" s="28"/>
      <c r="AR492" s="28"/>
      <c r="AS492" s="28"/>
      <c r="AT492" s="28"/>
      <c r="AU492" s="235"/>
      <c r="AV492" s="360">
        <f t="shared" si="55"/>
        <v>3869138.4387428784</v>
      </c>
      <c r="AW492" s="235"/>
      <c r="AX492" s="355"/>
      <c r="AY492" s="344"/>
      <c r="AZ492" s="14">
        <f t="shared" si="57"/>
        <v>7855.9271021997556</v>
      </c>
      <c r="BA492" s="14">
        <f t="shared" si="56"/>
        <v>-0.10222655580469286</v>
      </c>
      <c r="BB492" s="14">
        <f t="shared" si="33"/>
        <v>-76848.202899535798</v>
      </c>
      <c r="BC492" s="344"/>
      <c r="BD492" s="344"/>
      <c r="BE492" s="344"/>
      <c r="BF492" s="344"/>
      <c r="BG492" s="344"/>
      <c r="BH492" s="344"/>
      <c r="BI492" s="344"/>
      <c r="BJ492" s="344"/>
      <c r="BK492" s="344"/>
      <c r="BL492" s="344"/>
      <c r="BM492" s="344"/>
      <c r="BN492" s="344"/>
      <c r="BO492" s="344"/>
      <c r="BP492" s="14"/>
      <c r="BQ492" s="14"/>
      <c r="BR492" s="14"/>
      <c r="BS492" s="14"/>
      <c r="BT492" s="14"/>
      <c r="BU492" s="14"/>
      <c r="BV492" s="14"/>
      <c r="BW492" s="14"/>
      <c r="BX492" s="14"/>
      <c r="BY492" s="14"/>
      <c r="BZ492" s="14"/>
      <c r="CA492" s="14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</row>
    <row r="493" spans="1:101" ht="14.25" customHeight="1" x14ac:dyDescent="0.2">
      <c r="A493" s="328"/>
      <c r="B493" s="52">
        <v>0.15658917516096466</v>
      </c>
      <c r="C493" s="330">
        <v>0.32254699738828407</v>
      </c>
      <c r="D493" s="330">
        <v>1.0456497906053637E-2</v>
      </c>
      <c r="E493" s="330">
        <v>1.6235771248437558E-2</v>
      </c>
      <c r="F493" s="331">
        <v>0.78932218954243838</v>
      </c>
      <c r="G493" s="94">
        <v>0.37874607474113398</v>
      </c>
      <c r="H493" s="330">
        <v>0.69881869382828665</v>
      </c>
      <c r="I493" s="330">
        <v>1.4921227449111934E-2</v>
      </c>
      <c r="J493" s="330">
        <v>0.99985239265432269</v>
      </c>
      <c r="K493" s="330">
        <v>0.71477959917868683</v>
      </c>
      <c r="L493" s="332">
        <v>13302.10937007161</v>
      </c>
      <c r="M493" s="330">
        <v>0</v>
      </c>
      <c r="N493" s="330">
        <v>21855.746747763369</v>
      </c>
      <c r="O493" s="330">
        <v>1464.487761063916</v>
      </c>
      <c r="P493" s="330">
        <v>36340.074885797389</v>
      </c>
      <c r="Q493" s="333">
        <v>106614.84881909193</v>
      </c>
      <c r="R493" s="330">
        <v>25037.549160290037</v>
      </c>
      <c r="S493" s="330">
        <v>9052.7848537763202</v>
      </c>
      <c r="T493" s="332">
        <v>0.97569567812281266</v>
      </c>
      <c r="U493" s="330">
        <v>0.94264722352947139</v>
      </c>
      <c r="V493" s="330">
        <v>0.8563393562331364</v>
      </c>
      <c r="W493" s="330">
        <v>0.99865787036636533</v>
      </c>
      <c r="X493" s="330">
        <v>0.92644483022208857</v>
      </c>
      <c r="Y493" s="330">
        <v>0</v>
      </c>
      <c r="Z493" s="331">
        <v>0</v>
      </c>
      <c r="AA493" s="235"/>
      <c r="AB493" s="335">
        <v>91652.827975407912</v>
      </c>
      <c r="AC493" s="336">
        <v>4.8389853598171229</v>
      </c>
      <c r="AD493" s="337">
        <v>77498.663614356483</v>
      </c>
      <c r="AE493" s="336">
        <v>4.3344136526258232</v>
      </c>
      <c r="AF493" s="337">
        <v>14154.164361051429</v>
      </c>
      <c r="AG493" s="338">
        <v>0.50457170719129962</v>
      </c>
      <c r="AH493" s="235"/>
      <c r="AI493" s="208">
        <f t="shared" si="52"/>
        <v>4505383.2638508584</v>
      </c>
      <c r="AJ493" s="208">
        <f t="shared" si="53"/>
        <v>4040194.3063801755</v>
      </c>
      <c r="AK493" s="208">
        <f t="shared" si="54"/>
        <v>465188.95747068326</v>
      </c>
      <c r="AL493" s="235"/>
      <c r="AM493" s="52">
        <f t="shared" si="30"/>
        <v>1</v>
      </c>
      <c r="AN493" s="52">
        <f t="shared" si="31"/>
        <v>0</v>
      </c>
      <c r="AO493" s="52">
        <f t="shared" si="32"/>
        <v>1</v>
      </c>
      <c r="AP493" s="235"/>
      <c r="AQ493" s="28"/>
      <c r="AR493" s="28"/>
      <c r="AS493" s="28"/>
      <c r="AT493" s="28"/>
      <c r="AU493" s="235"/>
      <c r="AV493" s="360">
        <f t="shared" si="55"/>
        <v>4505383.2638508584</v>
      </c>
      <c r="AW493" s="235"/>
      <c r="AX493" s="355"/>
      <c r="AY493" s="344"/>
      <c r="AZ493" s="14">
        <f t="shared" si="57"/>
        <v>14154.164361051429</v>
      </c>
      <c r="BA493" s="14">
        <f t="shared" si="56"/>
        <v>0.50457170719129962</v>
      </c>
      <c r="BB493" s="14">
        <f t="shared" si="33"/>
        <v>28051.8391327184</v>
      </c>
      <c r="BC493" s="344"/>
      <c r="BD493" s="344"/>
      <c r="BE493" s="344"/>
      <c r="BF493" s="344"/>
      <c r="BG493" s="344"/>
      <c r="BH493" s="344"/>
      <c r="BI493" s="344"/>
      <c r="BJ493" s="344"/>
      <c r="BK493" s="344"/>
      <c r="BL493" s="344"/>
      <c r="BM493" s="344"/>
      <c r="BN493" s="344"/>
      <c r="BO493" s="344"/>
      <c r="BP493" s="14"/>
      <c r="BQ493" s="14"/>
      <c r="BR493" s="14"/>
      <c r="BS493" s="14"/>
      <c r="BT493" s="14"/>
      <c r="BU493" s="14"/>
      <c r="BV493" s="14"/>
      <c r="BW493" s="14"/>
      <c r="BX493" s="14"/>
      <c r="BY493" s="14"/>
      <c r="BZ493" s="14"/>
      <c r="CA493" s="14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</row>
    <row r="494" spans="1:101" ht="14.25" customHeight="1" x14ac:dyDescent="0.2">
      <c r="A494" s="328"/>
      <c r="B494" s="52">
        <v>0.15610828590059425</v>
      </c>
      <c r="C494" s="330">
        <v>6.2314118884718238E-2</v>
      </c>
      <c r="D494" s="330">
        <v>1.8134919687027962E-2</v>
      </c>
      <c r="E494" s="330">
        <v>2.6193192520194031E-2</v>
      </c>
      <c r="F494" s="331">
        <v>0.79862097124332643</v>
      </c>
      <c r="G494" s="94">
        <v>0.32822951740034445</v>
      </c>
      <c r="H494" s="330">
        <v>9.6667119277196248E-2</v>
      </c>
      <c r="I494" s="330">
        <v>1.4854635814298725E-2</v>
      </c>
      <c r="J494" s="330">
        <v>0.99998364979694843</v>
      </c>
      <c r="K494" s="330">
        <v>0.80647204125600558</v>
      </c>
      <c r="L494" s="332">
        <v>10663.755534697517</v>
      </c>
      <c r="M494" s="330">
        <v>0</v>
      </c>
      <c r="N494" s="330">
        <v>20161.524183470981</v>
      </c>
      <c r="O494" s="330">
        <v>1288.6268281448363</v>
      </c>
      <c r="P494" s="330">
        <v>44551.880979346875</v>
      </c>
      <c r="Q494" s="333">
        <v>93950.713830316265</v>
      </c>
      <c r="R494" s="330">
        <v>26537.290204638459</v>
      </c>
      <c r="S494" s="330">
        <v>8710.8980127573232</v>
      </c>
      <c r="T494" s="332">
        <v>0.72420352971800139</v>
      </c>
      <c r="U494" s="330">
        <v>0.9955329243337997</v>
      </c>
      <c r="V494" s="330">
        <v>0.94815255232189855</v>
      </c>
      <c r="W494" s="330">
        <v>0.99952926568276257</v>
      </c>
      <c r="X494" s="330">
        <v>0.82190217299450619</v>
      </c>
      <c r="Y494" s="330">
        <v>0</v>
      </c>
      <c r="Z494" s="331">
        <v>0</v>
      </c>
      <c r="AA494" s="235"/>
      <c r="AB494" s="335">
        <v>86047.862401864637</v>
      </c>
      <c r="AC494" s="336">
        <v>4.1146130196603972</v>
      </c>
      <c r="AD494" s="337">
        <v>77422.047131811691</v>
      </c>
      <c r="AE494" s="336">
        <v>4.0411802775438934</v>
      </c>
      <c r="AF494" s="337">
        <v>8625.8152700529463</v>
      </c>
      <c r="AG494" s="338">
        <v>7.3432742116503746E-2</v>
      </c>
      <c r="AH494" s="235"/>
      <c r="AI494" s="208">
        <f t="shared" si="52"/>
        <v>3822834.5062755127</v>
      </c>
      <c r="AJ494" s="208">
        <f t="shared" si="53"/>
        <v>3761699.216534887</v>
      </c>
      <c r="AK494" s="208">
        <f t="shared" si="54"/>
        <v>61135.289740625609</v>
      </c>
      <c r="AL494" s="235"/>
      <c r="AM494" s="52">
        <f t="shared" si="30"/>
        <v>1</v>
      </c>
      <c r="AN494" s="52">
        <f t="shared" si="31"/>
        <v>0</v>
      </c>
      <c r="AO494" s="52">
        <f t="shared" si="32"/>
        <v>1</v>
      </c>
      <c r="AP494" s="235"/>
      <c r="AQ494" s="28"/>
      <c r="AR494" s="28"/>
      <c r="AS494" s="28"/>
      <c r="AT494" s="28"/>
      <c r="AU494" s="235"/>
      <c r="AV494" s="360">
        <f t="shared" si="55"/>
        <v>3822834.5062755127</v>
      </c>
      <c r="AW494" s="235"/>
      <c r="AX494" s="355"/>
      <c r="AY494" s="344"/>
      <c r="AZ494" s="14">
        <f t="shared" si="57"/>
        <v>8625.8152700529463</v>
      </c>
      <c r="BA494" s="14">
        <f t="shared" si="56"/>
        <v>7.3432742116503746E-2</v>
      </c>
      <c r="BB494" s="14">
        <f t="shared" si="33"/>
        <v>117465.52044002079</v>
      </c>
      <c r="BC494" s="344"/>
      <c r="BD494" s="344"/>
      <c r="BE494" s="344"/>
      <c r="BF494" s="344"/>
      <c r="BG494" s="344"/>
      <c r="BH494" s="344"/>
      <c r="BI494" s="344"/>
      <c r="BJ494" s="344"/>
      <c r="BK494" s="344"/>
      <c r="BL494" s="344"/>
      <c r="BM494" s="344"/>
      <c r="BN494" s="344"/>
      <c r="BO494" s="344"/>
      <c r="BP494" s="14"/>
      <c r="BQ494" s="14"/>
      <c r="BR494" s="14"/>
      <c r="BS494" s="14"/>
      <c r="BT494" s="14"/>
      <c r="BU494" s="14"/>
      <c r="BV494" s="14"/>
      <c r="BW494" s="14"/>
      <c r="BX494" s="14"/>
      <c r="BY494" s="14"/>
      <c r="BZ494" s="14"/>
      <c r="CA494" s="14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</row>
    <row r="495" spans="1:101" ht="14.25" customHeight="1" x14ac:dyDescent="0.2">
      <c r="A495" s="328"/>
      <c r="B495" s="52">
        <v>0.16073879278173042</v>
      </c>
      <c r="C495" s="330">
        <v>0.58073191816016689</v>
      </c>
      <c r="D495" s="330">
        <v>6.9790641228325585E-3</v>
      </c>
      <c r="E495" s="330">
        <v>9.7540607248794466E-3</v>
      </c>
      <c r="F495" s="331">
        <v>0.79480811889369851</v>
      </c>
      <c r="G495" s="94">
        <v>0.35535404938386045</v>
      </c>
      <c r="H495" s="330">
        <v>0.75420645706979528</v>
      </c>
      <c r="I495" s="330">
        <v>3.5771829017005596E-2</v>
      </c>
      <c r="J495" s="330">
        <v>0.99999999584344412</v>
      </c>
      <c r="K495" s="330">
        <v>0.8156736103847535</v>
      </c>
      <c r="L495" s="332">
        <v>12620.553032930291</v>
      </c>
      <c r="M495" s="330">
        <v>0</v>
      </c>
      <c r="N495" s="330">
        <v>15902.132300447134</v>
      </c>
      <c r="O495" s="330">
        <v>1578.339262957772</v>
      </c>
      <c r="P495" s="330">
        <v>37104.716063111024</v>
      </c>
      <c r="Q495" s="333">
        <v>70027.368588053767</v>
      </c>
      <c r="R495" s="330">
        <v>31556.168240784722</v>
      </c>
      <c r="S495" s="330">
        <v>7423.9579484361448</v>
      </c>
      <c r="T495" s="332">
        <v>0.99659181185524526</v>
      </c>
      <c r="U495" s="330">
        <v>0.68419779233770228</v>
      </c>
      <c r="V495" s="330">
        <v>0.99970203400774849</v>
      </c>
      <c r="W495" s="330">
        <v>0.82467228148642047</v>
      </c>
      <c r="X495" s="330">
        <v>0.11466887013344154</v>
      </c>
      <c r="Y495" s="330">
        <v>0</v>
      </c>
      <c r="Z495" s="331">
        <v>0</v>
      </c>
      <c r="AA495" s="235"/>
      <c r="AB495" s="335">
        <v>79219.977163740536</v>
      </c>
      <c r="AC495" s="336">
        <v>0.67533952146028753</v>
      </c>
      <c r="AD495" s="337">
        <v>75495.887769539957</v>
      </c>
      <c r="AE495" s="336">
        <v>0.64016338543286877</v>
      </c>
      <c r="AF495" s="337">
        <v>3724.0893942005787</v>
      </c>
      <c r="AG495" s="338">
        <v>3.5176136027418758E-2</v>
      </c>
      <c r="AH495" s="235"/>
      <c r="AI495" s="208">
        <f t="shared" si="52"/>
        <v>562352.56822353264</v>
      </c>
      <c r="AJ495" s="208">
        <f t="shared" si="53"/>
        <v>532659.32839168538</v>
      </c>
      <c r="AK495" s="208">
        <f t="shared" si="54"/>
        <v>29693.239831847241</v>
      </c>
      <c r="AL495" s="235"/>
      <c r="AM495" s="52">
        <f t="shared" si="30"/>
        <v>1</v>
      </c>
      <c r="AN495" s="52">
        <f t="shared" si="31"/>
        <v>0</v>
      </c>
      <c r="AO495" s="52">
        <f t="shared" si="32"/>
        <v>1</v>
      </c>
      <c r="AP495" s="235"/>
      <c r="AQ495" s="28"/>
      <c r="AR495" s="28"/>
      <c r="AS495" s="28"/>
      <c r="AT495" s="28"/>
      <c r="AU495" s="235"/>
      <c r="AV495" s="360">
        <f t="shared" si="55"/>
        <v>562352.56822353264</v>
      </c>
      <c r="AW495" s="235"/>
      <c r="AX495" s="355"/>
      <c r="AY495" s="344"/>
      <c r="AZ495" s="14">
        <f t="shared" si="57"/>
        <v>3724.0893942005787</v>
      </c>
      <c r="BA495" s="14">
        <f t="shared" si="56"/>
        <v>3.5176136027418758E-2</v>
      </c>
      <c r="BB495" s="14">
        <f t="shared" si="33"/>
        <v>105869.76896205317</v>
      </c>
      <c r="BC495" s="344"/>
      <c r="BD495" s="344"/>
      <c r="BE495" s="344"/>
      <c r="BF495" s="344"/>
      <c r="BG495" s="344"/>
      <c r="BH495" s="344"/>
      <c r="BI495" s="344"/>
      <c r="BJ495" s="344"/>
      <c r="BK495" s="344"/>
      <c r="BL495" s="344"/>
      <c r="BM495" s="344"/>
      <c r="BN495" s="344"/>
      <c r="BO495" s="344"/>
      <c r="BP495" s="14"/>
      <c r="BQ495" s="14"/>
      <c r="BR495" s="14"/>
      <c r="BS495" s="14"/>
      <c r="BT495" s="14"/>
      <c r="BU495" s="14"/>
      <c r="BV495" s="14"/>
      <c r="BW495" s="14"/>
      <c r="BX495" s="14"/>
      <c r="BY495" s="14"/>
      <c r="BZ495" s="14"/>
      <c r="CA495" s="14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</row>
    <row r="496" spans="1:101" ht="14.25" customHeight="1" x14ac:dyDescent="0.2">
      <c r="A496" s="328"/>
      <c r="B496" s="52">
        <v>0.15890708204704443</v>
      </c>
      <c r="C496" s="330">
        <v>3.9110482611360221E-2</v>
      </c>
      <c r="D496" s="330">
        <v>1.5078381765330051E-2</v>
      </c>
      <c r="E496" s="330">
        <v>2.0581459130947555E-2</v>
      </c>
      <c r="F496" s="331">
        <v>0.78298460517631185</v>
      </c>
      <c r="G496" s="94">
        <v>0.35168005658340462</v>
      </c>
      <c r="H496" s="330">
        <v>0.42221506413403342</v>
      </c>
      <c r="I496" s="330">
        <v>1.8605477754500055E-2</v>
      </c>
      <c r="J496" s="330">
        <v>0.81294474359587199</v>
      </c>
      <c r="K496" s="330">
        <v>0.67130477377078657</v>
      </c>
      <c r="L496" s="332">
        <v>15939.937896272097</v>
      </c>
      <c r="M496" s="330">
        <v>0</v>
      </c>
      <c r="N496" s="330">
        <v>23031.222757505966</v>
      </c>
      <c r="O496" s="330">
        <v>914.77223878321649</v>
      </c>
      <c r="P496" s="330">
        <v>50588.325468886338</v>
      </c>
      <c r="Q496" s="333">
        <v>113139.7167647193</v>
      </c>
      <c r="R496" s="330">
        <v>26230.989398746802</v>
      </c>
      <c r="S496" s="330">
        <v>6652.383798832594</v>
      </c>
      <c r="T496" s="332">
        <v>0.98572186553553975</v>
      </c>
      <c r="U496" s="330">
        <v>0.89427458562288287</v>
      </c>
      <c r="V496" s="330">
        <v>0.99634768030656484</v>
      </c>
      <c r="W496" s="330">
        <v>0.97369784242811319</v>
      </c>
      <c r="X496" s="330">
        <v>0.99993012048862362</v>
      </c>
      <c r="Y496" s="330">
        <v>0</v>
      </c>
      <c r="Z496" s="331">
        <v>0</v>
      </c>
      <c r="AA496" s="235"/>
      <c r="AB496" s="335">
        <v>72418.961426974041</v>
      </c>
      <c r="AC496" s="336">
        <v>4.959216278388733</v>
      </c>
      <c r="AD496" s="337">
        <v>53206.030711667721</v>
      </c>
      <c r="AE496" s="336">
        <v>4.3592187568543608</v>
      </c>
      <c r="AF496" s="337">
        <v>19212.93071530632</v>
      </c>
      <c r="AG496" s="338">
        <v>0.59999752153437225</v>
      </c>
      <c r="AH496" s="235"/>
      <c r="AI496" s="208">
        <f t="shared" si="52"/>
        <v>4638836.5030423217</v>
      </c>
      <c r="AJ496" s="208">
        <f t="shared" si="53"/>
        <v>4088051.788299975</v>
      </c>
      <c r="AK496" s="208">
        <f t="shared" si="54"/>
        <v>550784.71474234737</v>
      </c>
      <c r="AL496" s="235"/>
      <c r="AM496" s="52">
        <f t="shared" si="30"/>
        <v>1</v>
      </c>
      <c r="AN496" s="52">
        <f t="shared" si="31"/>
        <v>0</v>
      </c>
      <c r="AO496" s="52">
        <f t="shared" si="32"/>
        <v>1</v>
      </c>
      <c r="AP496" s="235"/>
      <c r="AQ496" s="28"/>
      <c r="AR496" s="28"/>
      <c r="AS496" s="28"/>
      <c r="AT496" s="28"/>
      <c r="AU496" s="235"/>
      <c r="AV496" s="360">
        <f t="shared" si="55"/>
        <v>4638836.5030423217</v>
      </c>
      <c r="AW496" s="235"/>
      <c r="AX496" s="355"/>
      <c r="AY496" s="344"/>
      <c r="AZ496" s="14">
        <f t="shared" si="57"/>
        <v>19212.93071530632</v>
      </c>
      <c r="BA496" s="14">
        <f t="shared" si="56"/>
        <v>0.59999752153437225</v>
      </c>
      <c r="BB496" s="14">
        <f t="shared" si="33"/>
        <v>32021.683466580223</v>
      </c>
      <c r="BC496" s="344"/>
      <c r="BD496" s="344"/>
      <c r="BE496" s="344"/>
      <c r="BF496" s="344"/>
      <c r="BG496" s="344"/>
      <c r="BH496" s="344"/>
      <c r="BI496" s="344"/>
      <c r="BJ496" s="344"/>
      <c r="BK496" s="344"/>
      <c r="BL496" s="344"/>
      <c r="BM496" s="344"/>
      <c r="BN496" s="344"/>
      <c r="BO496" s="344"/>
      <c r="BP496" s="14"/>
      <c r="BQ496" s="14"/>
      <c r="BR496" s="14"/>
      <c r="BS496" s="14"/>
      <c r="BT496" s="14"/>
      <c r="BU496" s="14"/>
      <c r="BV496" s="14"/>
      <c r="BW496" s="14"/>
      <c r="BX496" s="14"/>
      <c r="BY496" s="14"/>
      <c r="BZ496" s="14"/>
      <c r="CA496" s="14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</row>
    <row r="497" spans="1:101" ht="14.25" customHeight="1" x14ac:dyDescent="0.2">
      <c r="A497" s="328"/>
      <c r="B497" s="52">
        <v>0.16496386201418212</v>
      </c>
      <c r="C497" s="330">
        <v>0.48800035771499217</v>
      </c>
      <c r="D497" s="330">
        <v>8.7905478365712733E-3</v>
      </c>
      <c r="E497" s="330">
        <v>5.9674928833925556E-2</v>
      </c>
      <c r="F497" s="331">
        <v>0.80423978468396506</v>
      </c>
      <c r="G497" s="94">
        <v>0.34755298889039909</v>
      </c>
      <c r="H497" s="330">
        <v>0.47190266769600142</v>
      </c>
      <c r="I497" s="330">
        <v>1.1556722034529855E-2</v>
      </c>
      <c r="J497" s="330">
        <v>0.51831620062965855</v>
      </c>
      <c r="K497" s="330">
        <v>0.75090735762496608</v>
      </c>
      <c r="L497" s="332">
        <v>12303.435575836131</v>
      </c>
      <c r="M497" s="330">
        <v>0</v>
      </c>
      <c r="N497" s="330">
        <v>17750.017849341104</v>
      </c>
      <c r="O497" s="330">
        <v>978.56104267788339</v>
      </c>
      <c r="P497" s="330">
        <v>34607.281453492011</v>
      </c>
      <c r="Q497" s="333">
        <v>87056.702787855393</v>
      </c>
      <c r="R497" s="330">
        <v>19978.016490017024</v>
      </c>
      <c r="S497" s="330">
        <v>9628.6116349763779</v>
      </c>
      <c r="T497" s="332">
        <v>0.68097223210583091</v>
      </c>
      <c r="U497" s="330">
        <v>0.91556463158051693</v>
      </c>
      <c r="V497" s="330">
        <v>0.98746719570179753</v>
      </c>
      <c r="W497" s="330">
        <v>0.96475451447282612</v>
      </c>
      <c r="X497" s="330">
        <v>0.81968779634658728</v>
      </c>
      <c r="Y497" s="330">
        <v>0</v>
      </c>
      <c r="Z497" s="331">
        <v>0</v>
      </c>
      <c r="AA497" s="235"/>
      <c r="AB497" s="335">
        <v>97303.485492198393</v>
      </c>
      <c r="AC497" s="336">
        <v>4.0034312119295636</v>
      </c>
      <c r="AD497" s="337">
        <v>81665.579722372087</v>
      </c>
      <c r="AE497" s="336">
        <v>3.9019725761100306</v>
      </c>
      <c r="AF497" s="337">
        <v>15637.905769826306</v>
      </c>
      <c r="AG497" s="338">
        <v>0.10145863581953307</v>
      </c>
      <c r="AH497" s="235"/>
      <c r="AI497" s="208">
        <f t="shared" si="52"/>
        <v>3705956.165840887</v>
      </c>
      <c r="AJ497" s="208">
        <f t="shared" si="53"/>
        <v>3625208.3675821573</v>
      </c>
      <c r="AK497" s="208">
        <f t="shared" si="54"/>
        <v>80747.798258730109</v>
      </c>
      <c r="AL497" s="235"/>
      <c r="AM497" s="52">
        <f t="shared" si="30"/>
        <v>1</v>
      </c>
      <c r="AN497" s="52">
        <f t="shared" si="31"/>
        <v>0</v>
      </c>
      <c r="AO497" s="52">
        <f t="shared" si="32"/>
        <v>1</v>
      </c>
      <c r="AP497" s="235"/>
      <c r="AQ497" s="28"/>
      <c r="AR497" s="28"/>
      <c r="AS497" s="28"/>
      <c r="AT497" s="28"/>
      <c r="AU497" s="235"/>
      <c r="AV497" s="360">
        <f t="shared" si="55"/>
        <v>3705956.165840887</v>
      </c>
      <c r="AW497" s="235"/>
      <c r="AX497" s="355"/>
      <c r="AY497" s="344"/>
      <c r="AZ497" s="14">
        <f t="shared" si="57"/>
        <v>15637.905769826306</v>
      </c>
      <c r="BA497" s="14">
        <f t="shared" si="56"/>
        <v>0.10145863581953307</v>
      </c>
      <c r="BB497" s="14">
        <f t="shared" si="33"/>
        <v>154130.84991248875</v>
      </c>
      <c r="BC497" s="344"/>
      <c r="BD497" s="344"/>
      <c r="BE497" s="344"/>
      <c r="BF497" s="344"/>
      <c r="BG497" s="344"/>
      <c r="BH497" s="344"/>
      <c r="BI497" s="344"/>
      <c r="BJ497" s="344"/>
      <c r="BK497" s="344"/>
      <c r="BL497" s="344"/>
      <c r="BM497" s="344"/>
      <c r="BN497" s="344"/>
      <c r="BO497" s="344"/>
      <c r="BP497" s="14"/>
      <c r="BQ497" s="14"/>
      <c r="BR497" s="14"/>
      <c r="BS497" s="14"/>
      <c r="BT497" s="14"/>
      <c r="BU497" s="14"/>
      <c r="BV497" s="14"/>
      <c r="BW497" s="14"/>
      <c r="BX497" s="14"/>
      <c r="BY497" s="14"/>
      <c r="BZ497" s="14"/>
      <c r="CA497" s="14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</row>
    <row r="498" spans="1:101" ht="14.25" customHeight="1" x14ac:dyDescent="0.2">
      <c r="A498" s="328"/>
      <c r="B498" s="52">
        <v>0.14296675855890512</v>
      </c>
      <c r="C498" s="330">
        <v>0.81865189393124971</v>
      </c>
      <c r="D498" s="330">
        <v>9.0085229765133751E-3</v>
      </c>
      <c r="E498" s="330">
        <v>2.1606873688107542E-2</v>
      </c>
      <c r="F498" s="331">
        <v>0.79274270548045034</v>
      </c>
      <c r="G498" s="94">
        <v>0.43707834349585661</v>
      </c>
      <c r="H498" s="330">
        <v>0.94894769674189927</v>
      </c>
      <c r="I498" s="330">
        <v>9.9280839566787179E-3</v>
      </c>
      <c r="J498" s="330">
        <v>0.99999834165953261</v>
      </c>
      <c r="K498" s="330">
        <v>0.73849680443540766</v>
      </c>
      <c r="L498" s="332">
        <v>16600.949586524712</v>
      </c>
      <c r="M498" s="330">
        <v>0</v>
      </c>
      <c r="N498" s="330">
        <v>23370.236576072926</v>
      </c>
      <c r="O498" s="330">
        <v>953.46203381608484</v>
      </c>
      <c r="P498" s="330">
        <v>54593.502301148706</v>
      </c>
      <c r="Q498" s="333">
        <v>111015.62094554694</v>
      </c>
      <c r="R498" s="330">
        <v>18699.831501244404</v>
      </c>
      <c r="S498" s="330">
        <v>10315.674702228247</v>
      </c>
      <c r="T498" s="332">
        <v>0.99373143489701476</v>
      </c>
      <c r="U498" s="330">
        <v>0.99996569052960249</v>
      </c>
      <c r="V498" s="330">
        <v>0.99699714260126227</v>
      </c>
      <c r="W498" s="330">
        <v>0.99982779150454382</v>
      </c>
      <c r="X498" s="330">
        <v>0.95918984140638508</v>
      </c>
      <c r="Y498" s="330">
        <v>0</v>
      </c>
      <c r="Z498" s="331">
        <v>0</v>
      </c>
      <c r="AA498" s="235"/>
      <c r="AB498" s="335">
        <v>106827.57118059621</v>
      </c>
      <c r="AC498" s="336">
        <v>4.5984979387417591</v>
      </c>
      <c r="AD498" s="337">
        <v>90733.753612477376</v>
      </c>
      <c r="AE498" s="336">
        <v>4.5206923233297402</v>
      </c>
      <c r="AF498" s="337">
        <v>16093.81756811883</v>
      </c>
      <c r="AG498" s="338">
        <v>7.7805615412018803E-2</v>
      </c>
      <c r="AH498" s="235"/>
      <c r="AI498" s="208">
        <f t="shared" si="52"/>
        <v>4261745.4706240753</v>
      </c>
      <c r="AJ498" s="208">
        <f t="shared" si="53"/>
        <v>4203923.9535507755</v>
      </c>
      <c r="AK498" s="208">
        <f t="shared" si="54"/>
        <v>57821.517073299037</v>
      </c>
      <c r="AL498" s="235"/>
      <c r="AM498" s="52">
        <f t="shared" si="30"/>
        <v>1</v>
      </c>
      <c r="AN498" s="52">
        <f t="shared" si="31"/>
        <v>0</v>
      </c>
      <c r="AO498" s="52">
        <f t="shared" si="32"/>
        <v>1</v>
      </c>
      <c r="AP498" s="235"/>
      <c r="AQ498" s="28"/>
      <c r="AR498" s="28"/>
      <c r="AS498" s="28"/>
      <c r="AT498" s="28"/>
      <c r="AU498" s="235"/>
      <c r="AV498" s="360">
        <f t="shared" si="55"/>
        <v>4261745.4706240753</v>
      </c>
      <c r="AW498" s="235"/>
      <c r="AX498" s="355"/>
      <c r="AY498" s="344"/>
      <c r="AZ498" s="14">
        <f t="shared" si="57"/>
        <v>16093.81756811883</v>
      </c>
      <c r="BA498" s="14">
        <f t="shared" si="56"/>
        <v>7.7805615412018803E-2</v>
      </c>
      <c r="BB498" s="14">
        <f t="shared" si="33"/>
        <v>206846.47866216584</v>
      </c>
      <c r="BC498" s="344"/>
      <c r="BD498" s="344"/>
      <c r="BE498" s="344"/>
      <c r="BF498" s="344"/>
      <c r="BG498" s="344"/>
      <c r="BH498" s="344"/>
      <c r="BI498" s="344"/>
      <c r="BJ498" s="344"/>
      <c r="BK498" s="344"/>
      <c r="BL498" s="344"/>
      <c r="BM498" s="344"/>
      <c r="BN498" s="344"/>
      <c r="BO498" s="344"/>
      <c r="BP498" s="14"/>
      <c r="BQ498" s="14"/>
      <c r="BR498" s="14"/>
      <c r="BS498" s="14"/>
      <c r="BT498" s="14"/>
      <c r="BU498" s="14"/>
      <c r="BV498" s="14"/>
      <c r="BW498" s="14"/>
      <c r="BX498" s="14"/>
      <c r="BY498" s="14"/>
      <c r="BZ498" s="14"/>
      <c r="CA498" s="14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</row>
    <row r="499" spans="1:101" ht="14.25" customHeight="1" x14ac:dyDescent="0.2">
      <c r="A499" s="328"/>
      <c r="B499" s="52">
        <v>0.18168836073269223</v>
      </c>
      <c r="C499" s="330">
        <v>0.48705572598402058</v>
      </c>
      <c r="D499" s="330">
        <v>5.0816409788638599E-3</v>
      </c>
      <c r="E499" s="330">
        <v>1.0807053055382333E-2</v>
      </c>
      <c r="F499" s="331">
        <v>0.79959206428153207</v>
      </c>
      <c r="G499" s="94">
        <v>0.38821357875017054</v>
      </c>
      <c r="H499" s="330">
        <v>8.4791149068544944E-2</v>
      </c>
      <c r="I499" s="330">
        <v>5.5940978153673927E-3</v>
      </c>
      <c r="J499" s="330">
        <v>0.99762868734289034</v>
      </c>
      <c r="K499" s="330">
        <v>0.79311532448083621</v>
      </c>
      <c r="L499" s="332">
        <v>15099.975788266698</v>
      </c>
      <c r="M499" s="330">
        <v>0</v>
      </c>
      <c r="N499" s="330">
        <v>17861.165732879159</v>
      </c>
      <c r="O499" s="330">
        <v>1046.6990163215016</v>
      </c>
      <c r="P499" s="330">
        <v>50881.333782810121</v>
      </c>
      <c r="Q499" s="333">
        <v>104483.20363938945</v>
      </c>
      <c r="R499" s="330">
        <v>27639.028943528279</v>
      </c>
      <c r="S499" s="330">
        <v>10453.335346590446</v>
      </c>
      <c r="T499" s="332">
        <v>0.92384908732588433</v>
      </c>
      <c r="U499" s="330">
        <v>0.94878462460235746</v>
      </c>
      <c r="V499" s="330">
        <v>0.99998826112928141</v>
      </c>
      <c r="W499" s="330">
        <v>0.21842858025056669</v>
      </c>
      <c r="X499" s="330">
        <v>0.97871324955380579</v>
      </c>
      <c r="Y499" s="330">
        <v>0</v>
      </c>
      <c r="Z499" s="331">
        <v>0</v>
      </c>
      <c r="AA499" s="235"/>
      <c r="AB499" s="335">
        <v>107529.11052904032</v>
      </c>
      <c r="AC499" s="336">
        <v>5.3053717156263422</v>
      </c>
      <c r="AD499" s="337">
        <v>90685.549297240315</v>
      </c>
      <c r="AE499" s="336">
        <v>4.9396814363925508</v>
      </c>
      <c r="AF499" s="337">
        <v>16843.561231800006</v>
      </c>
      <c r="AG499" s="338">
        <v>0.36569027923379149</v>
      </c>
      <c r="AH499" s="235"/>
      <c r="AI499" s="208">
        <f t="shared" si="52"/>
        <v>4932574.019315985</v>
      </c>
      <c r="AJ499" s="208">
        <f t="shared" si="53"/>
        <v>4602011.8152756831</v>
      </c>
      <c r="AK499" s="208">
        <f t="shared" si="54"/>
        <v>330562.20404030191</v>
      </c>
      <c r="AL499" s="235"/>
      <c r="AM499" s="52">
        <f t="shared" si="30"/>
        <v>1</v>
      </c>
      <c r="AN499" s="52">
        <f t="shared" si="31"/>
        <v>0</v>
      </c>
      <c r="AO499" s="52">
        <f t="shared" si="32"/>
        <v>1</v>
      </c>
      <c r="AP499" s="235"/>
      <c r="AQ499" s="28"/>
      <c r="AR499" s="28"/>
      <c r="AS499" s="28"/>
      <c r="AT499" s="28"/>
      <c r="AU499" s="235"/>
      <c r="AV499" s="360">
        <f t="shared" si="55"/>
        <v>4932574.019315985</v>
      </c>
      <c r="AW499" s="235"/>
      <c r="AX499" s="355"/>
      <c r="AY499" s="344"/>
      <c r="AZ499" s="14">
        <f t="shared" si="57"/>
        <v>16843.561231800006</v>
      </c>
      <c r="BA499" s="14">
        <f t="shared" si="56"/>
        <v>0.36569027923379149</v>
      </c>
      <c r="BB499" s="14">
        <f t="shared" si="33"/>
        <v>46059.636223011701</v>
      </c>
      <c r="BC499" s="344"/>
      <c r="BD499" s="344"/>
      <c r="BE499" s="344"/>
      <c r="BF499" s="344"/>
      <c r="BG499" s="344"/>
      <c r="BH499" s="344"/>
      <c r="BI499" s="344"/>
      <c r="BJ499" s="344"/>
      <c r="BK499" s="344"/>
      <c r="BL499" s="344"/>
      <c r="BM499" s="344"/>
      <c r="BN499" s="344"/>
      <c r="BO499" s="344"/>
      <c r="BP499" s="14"/>
      <c r="BQ499" s="14"/>
      <c r="BR499" s="14"/>
      <c r="BS499" s="14"/>
      <c r="BT499" s="14"/>
      <c r="BU499" s="14"/>
      <c r="BV499" s="14"/>
      <c r="BW499" s="14"/>
      <c r="BX499" s="14"/>
      <c r="BY499" s="14"/>
      <c r="BZ499" s="14"/>
      <c r="CA499" s="14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</row>
    <row r="500" spans="1:101" ht="14.25" customHeight="1" x14ac:dyDescent="0.2">
      <c r="A500" s="328"/>
      <c r="B500" s="52">
        <v>0.19942878983277279</v>
      </c>
      <c r="C500" s="330">
        <v>0.10347830754871387</v>
      </c>
      <c r="D500" s="330">
        <v>1.5223166399586874E-2</v>
      </c>
      <c r="E500" s="330">
        <v>1.7978780432988839E-2</v>
      </c>
      <c r="F500" s="331">
        <v>0.80636008750653754</v>
      </c>
      <c r="G500" s="94">
        <v>0.41312868908509714</v>
      </c>
      <c r="H500" s="330">
        <v>0.86222481198032308</v>
      </c>
      <c r="I500" s="330">
        <v>1.6045181677332376E-2</v>
      </c>
      <c r="J500" s="330">
        <v>0.99999995390865815</v>
      </c>
      <c r="K500" s="330">
        <v>0.72999925216109673</v>
      </c>
      <c r="L500" s="332">
        <v>8296.1080416955356</v>
      </c>
      <c r="M500" s="330">
        <v>0</v>
      </c>
      <c r="N500" s="330">
        <v>15007.892186509849</v>
      </c>
      <c r="O500" s="330">
        <v>1476.8420185337586</v>
      </c>
      <c r="P500" s="330">
        <v>41650.58565870826</v>
      </c>
      <c r="Q500" s="333">
        <v>89681.056877331546</v>
      </c>
      <c r="R500" s="330">
        <v>26915.069426187187</v>
      </c>
      <c r="S500" s="330">
        <v>8880.3752150716537</v>
      </c>
      <c r="T500" s="332">
        <v>0.98518510012699256</v>
      </c>
      <c r="U500" s="330">
        <v>0.83233906069339991</v>
      </c>
      <c r="V500" s="330">
        <v>0.98105977814688106</v>
      </c>
      <c r="W500" s="330">
        <v>0.97660297871056656</v>
      </c>
      <c r="X500" s="330">
        <v>3.1787961758042119E-2</v>
      </c>
      <c r="Y500" s="330">
        <v>0</v>
      </c>
      <c r="Z500" s="331">
        <v>0</v>
      </c>
      <c r="AA500" s="235"/>
      <c r="AB500" s="335">
        <v>86265.413519815324</v>
      </c>
      <c r="AC500" s="336">
        <v>0.28408617205661335</v>
      </c>
      <c r="AD500" s="337">
        <v>80599.213738499893</v>
      </c>
      <c r="AE500" s="336">
        <v>0.2460440698717821</v>
      </c>
      <c r="AF500" s="337">
        <v>5666.1997813154303</v>
      </c>
      <c r="AG500" s="338">
        <v>3.8042102184831256E-2</v>
      </c>
      <c r="AH500" s="235"/>
      <c r="AI500" s="208">
        <f t="shared" si="52"/>
        <v>183616.44993396738</v>
      </c>
      <c r="AJ500" s="208">
        <f t="shared" si="53"/>
        <v>153142.65263969311</v>
      </c>
      <c r="AK500" s="208">
        <f t="shared" si="54"/>
        <v>30473.797294274264</v>
      </c>
      <c r="AL500" s="235"/>
      <c r="AM500" s="52">
        <f t="shared" si="30"/>
        <v>1</v>
      </c>
      <c r="AN500" s="52">
        <f t="shared" si="31"/>
        <v>0</v>
      </c>
      <c r="AO500" s="52">
        <f t="shared" si="32"/>
        <v>1</v>
      </c>
      <c r="AP500" s="235"/>
      <c r="AQ500" s="28"/>
      <c r="AR500" s="28"/>
      <c r="AS500" s="28"/>
      <c r="AT500" s="28"/>
      <c r="AU500" s="235"/>
      <c r="AV500" s="360">
        <f t="shared" si="55"/>
        <v>183616.44993396738</v>
      </c>
      <c r="AW500" s="235"/>
      <c r="AX500" s="355"/>
      <c r="AY500" s="344"/>
      <c r="AZ500" s="14">
        <f t="shared" si="57"/>
        <v>5666.1997813154303</v>
      </c>
      <c r="BA500" s="14">
        <f t="shared" si="56"/>
        <v>3.8042102184831256E-2</v>
      </c>
      <c r="BB500" s="14">
        <f t="shared" si="33"/>
        <v>148945.49606605983</v>
      </c>
      <c r="BC500" s="344"/>
      <c r="BD500" s="344"/>
      <c r="BE500" s="344"/>
      <c r="BF500" s="344"/>
      <c r="BG500" s="344"/>
      <c r="BH500" s="344"/>
      <c r="BI500" s="344"/>
      <c r="BJ500" s="344"/>
      <c r="BK500" s="344"/>
      <c r="BL500" s="344"/>
      <c r="BM500" s="344"/>
      <c r="BN500" s="344"/>
      <c r="BO500" s="344"/>
      <c r="BP500" s="14"/>
      <c r="BQ500" s="14"/>
      <c r="BR500" s="14"/>
      <c r="BS500" s="14"/>
      <c r="BT500" s="14"/>
      <c r="BU500" s="14"/>
      <c r="BV500" s="14"/>
      <c r="BW500" s="14"/>
      <c r="BX500" s="14"/>
      <c r="BY500" s="14"/>
      <c r="BZ500" s="14"/>
      <c r="CA500" s="14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</row>
    <row r="501" spans="1:101" ht="14.25" customHeight="1" x14ac:dyDescent="0.2">
      <c r="A501" s="328"/>
      <c r="B501" s="52">
        <v>0.20779283254889369</v>
      </c>
      <c r="C501" s="330">
        <v>0.60782429386427905</v>
      </c>
      <c r="D501" s="330">
        <v>2.0730503624127428E-2</v>
      </c>
      <c r="E501" s="330">
        <v>5.6372960348127889E-3</v>
      </c>
      <c r="F501" s="331">
        <v>0.7821254944860373</v>
      </c>
      <c r="G501" s="94">
        <v>0.45592101727503764</v>
      </c>
      <c r="H501" s="330">
        <v>0.20252419780111869</v>
      </c>
      <c r="I501" s="330">
        <v>6.293992019432244E-3</v>
      </c>
      <c r="J501" s="330">
        <v>1</v>
      </c>
      <c r="K501" s="330">
        <v>0.78802554210122833</v>
      </c>
      <c r="L501" s="332">
        <v>14153.324682310784</v>
      </c>
      <c r="M501" s="330">
        <v>0</v>
      </c>
      <c r="N501" s="330">
        <v>17689.674490614696</v>
      </c>
      <c r="O501" s="330">
        <v>1050.7943714810235</v>
      </c>
      <c r="P501" s="330">
        <v>45569.197816385109</v>
      </c>
      <c r="Q501" s="333">
        <v>94899.648434162315</v>
      </c>
      <c r="R501" s="330">
        <v>16677.403997198428</v>
      </c>
      <c r="S501" s="330">
        <v>9041.8964692730042</v>
      </c>
      <c r="T501" s="332">
        <v>0.98627244091585053</v>
      </c>
      <c r="U501" s="330">
        <v>0.6407596875639725</v>
      </c>
      <c r="V501" s="330">
        <v>0.88038248126127649</v>
      </c>
      <c r="W501" s="330">
        <v>0.85616939532934355</v>
      </c>
      <c r="X501" s="330">
        <v>0.99999893935013828</v>
      </c>
      <c r="Y501" s="330">
        <v>0</v>
      </c>
      <c r="Z501" s="331">
        <v>0</v>
      </c>
      <c r="AA501" s="235"/>
      <c r="AB501" s="335">
        <v>92778.554780096281</v>
      </c>
      <c r="AC501" s="336">
        <v>5.0699403011452935</v>
      </c>
      <c r="AD501" s="337">
        <v>78954.886155566812</v>
      </c>
      <c r="AE501" s="336">
        <v>4.9951883846485403</v>
      </c>
      <c r="AF501" s="337">
        <v>13823.66862452947</v>
      </c>
      <c r="AG501" s="338">
        <v>7.4751916496753168E-2</v>
      </c>
      <c r="AH501" s="235"/>
      <c r="AI501" s="208">
        <f t="shared" si="52"/>
        <v>4723664.7313079331</v>
      </c>
      <c r="AJ501" s="208">
        <f t="shared" si="53"/>
        <v>4666474.0792605458</v>
      </c>
      <c r="AK501" s="208">
        <f t="shared" si="54"/>
        <v>57190.652047386044</v>
      </c>
      <c r="AL501" s="235"/>
      <c r="AM501" s="52">
        <f t="shared" si="30"/>
        <v>1</v>
      </c>
      <c r="AN501" s="52">
        <f t="shared" si="31"/>
        <v>0</v>
      </c>
      <c r="AO501" s="52">
        <f t="shared" si="32"/>
        <v>1</v>
      </c>
      <c r="AP501" s="235"/>
      <c r="AQ501" s="28"/>
      <c r="AR501" s="28"/>
      <c r="AS501" s="28"/>
      <c r="AT501" s="28"/>
      <c r="AU501" s="235"/>
      <c r="AV501" s="360">
        <f t="shared" si="55"/>
        <v>4723664.7313079331</v>
      </c>
      <c r="AW501" s="235"/>
      <c r="AX501" s="355"/>
      <c r="AY501" s="344"/>
      <c r="AZ501" s="14">
        <f t="shared" si="57"/>
        <v>13823.66862452947</v>
      </c>
      <c r="BA501" s="14">
        <f t="shared" si="56"/>
        <v>7.4751916496753168E-2</v>
      </c>
      <c r="BB501" s="14">
        <f t="shared" si="33"/>
        <v>184927.28042805294</v>
      </c>
      <c r="BC501" s="344"/>
      <c r="BD501" s="344"/>
      <c r="BE501" s="344"/>
      <c r="BF501" s="344"/>
      <c r="BG501" s="344"/>
      <c r="BH501" s="344"/>
      <c r="BI501" s="344"/>
      <c r="BJ501" s="344"/>
      <c r="BK501" s="344"/>
      <c r="BL501" s="344"/>
      <c r="BM501" s="344"/>
      <c r="BN501" s="344"/>
      <c r="BO501" s="344"/>
      <c r="BP501" s="14"/>
      <c r="BQ501" s="14"/>
      <c r="BR501" s="14"/>
      <c r="BS501" s="14"/>
      <c r="BT501" s="14"/>
      <c r="BU501" s="14"/>
      <c r="BV501" s="14"/>
      <c r="BW501" s="14"/>
      <c r="BX501" s="14"/>
      <c r="BY501" s="14"/>
      <c r="BZ501" s="14"/>
      <c r="CA501" s="14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</row>
    <row r="502" spans="1:101" ht="14.25" customHeight="1" x14ac:dyDescent="0.2">
      <c r="A502" s="328"/>
      <c r="B502" s="52">
        <v>0.19403743619229397</v>
      </c>
      <c r="C502" s="330">
        <v>8.3709816722975477E-2</v>
      </c>
      <c r="D502" s="330">
        <v>1.699303621310011E-2</v>
      </c>
      <c r="E502" s="330">
        <v>1.0412072903343585E-2</v>
      </c>
      <c r="F502" s="331">
        <v>0.80318591273936923</v>
      </c>
      <c r="G502" s="94">
        <v>0.40197044434927631</v>
      </c>
      <c r="H502" s="330">
        <v>0.79386093385378453</v>
      </c>
      <c r="I502" s="330">
        <v>8.0471865445887972E-3</v>
      </c>
      <c r="J502" s="330">
        <v>0.99999972576178453</v>
      </c>
      <c r="K502" s="330">
        <v>0.82508779456492298</v>
      </c>
      <c r="L502" s="332">
        <v>15222.84159018464</v>
      </c>
      <c r="M502" s="330">
        <v>0</v>
      </c>
      <c r="N502" s="330">
        <v>18687.87308398102</v>
      </c>
      <c r="O502" s="330">
        <v>1698.4923742106819</v>
      </c>
      <c r="P502" s="330">
        <v>38626.688806786224</v>
      </c>
      <c r="Q502" s="333">
        <v>89874.251850952147</v>
      </c>
      <c r="R502" s="330">
        <v>27674.525261131836</v>
      </c>
      <c r="S502" s="330">
        <v>10202.460679895961</v>
      </c>
      <c r="T502" s="332">
        <v>0.98927870627721792</v>
      </c>
      <c r="U502" s="330">
        <v>0.95318814212657899</v>
      </c>
      <c r="V502" s="330">
        <v>0.35231264046295263</v>
      </c>
      <c r="W502" s="330">
        <v>0.98702107435032649</v>
      </c>
      <c r="X502" s="330">
        <v>0.48210186629889723</v>
      </c>
      <c r="Y502" s="330">
        <v>0</v>
      </c>
      <c r="Z502" s="331">
        <v>0</v>
      </c>
      <c r="AA502" s="235"/>
      <c r="AB502" s="335">
        <v>104237.01590533688</v>
      </c>
      <c r="AC502" s="336">
        <v>2.558811308996467</v>
      </c>
      <c r="AD502" s="337">
        <v>100261.1757548576</v>
      </c>
      <c r="AE502" s="336">
        <v>2.408504335807212</v>
      </c>
      <c r="AF502" s="337">
        <v>3975.8401504792855</v>
      </c>
      <c r="AG502" s="338">
        <v>0.15030697318925501</v>
      </c>
      <c r="AH502" s="235"/>
      <c r="AI502" s="208">
        <f t="shared" si="52"/>
        <v>2326633.7276413068</v>
      </c>
      <c r="AJ502" s="208">
        <f t="shared" si="53"/>
        <v>2187817.9432619936</v>
      </c>
      <c r="AK502" s="208">
        <f t="shared" si="54"/>
        <v>138815.78437931297</v>
      </c>
      <c r="AL502" s="235"/>
      <c r="AM502" s="52">
        <f t="shared" si="30"/>
        <v>1</v>
      </c>
      <c r="AN502" s="52">
        <f t="shared" si="31"/>
        <v>0</v>
      </c>
      <c r="AO502" s="52">
        <f t="shared" si="32"/>
        <v>1</v>
      </c>
      <c r="AP502" s="235"/>
      <c r="AQ502" s="28"/>
      <c r="AR502" s="28"/>
      <c r="AS502" s="28"/>
      <c r="AT502" s="28"/>
      <c r="AU502" s="235"/>
      <c r="AV502" s="360">
        <f t="shared" si="55"/>
        <v>2326633.7276413068</v>
      </c>
      <c r="AW502" s="235"/>
      <c r="AX502" s="355"/>
      <c r="AY502" s="344"/>
      <c r="AZ502" s="14">
        <f t="shared" si="57"/>
        <v>3975.8401504792855</v>
      </c>
      <c r="BA502" s="14">
        <f t="shared" si="56"/>
        <v>0.15030697318925501</v>
      </c>
      <c r="BB502" s="14">
        <f t="shared" si="33"/>
        <v>26451.46839244253</v>
      </c>
      <c r="BC502" s="344"/>
      <c r="BD502" s="344"/>
      <c r="BE502" s="344"/>
      <c r="BF502" s="344"/>
      <c r="BG502" s="344"/>
      <c r="BH502" s="344"/>
      <c r="BI502" s="344"/>
      <c r="BJ502" s="344"/>
      <c r="BK502" s="344"/>
      <c r="BL502" s="344"/>
      <c r="BM502" s="344"/>
      <c r="BN502" s="344"/>
      <c r="BO502" s="344"/>
      <c r="BP502" s="14"/>
      <c r="BQ502" s="14"/>
      <c r="BR502" s="14"/>
      <c r="BS502" s="14"/>
      <c r="BT502" s="14"/>
      <c r="BU502" s="14"/>
      <c r="BV502" s="14"/>
      <c r="BW502" s="14"/>
      <c r="BX502" s="14"/>
      <c r="BY502" s="14"/>
      <c r="BZ502" s="14"/>
      <c r="CA502" s="14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</row>
    <row r="503" spans="1:101" ht="14.25" customHeight="1" x14ac:dyDescent="0.2">
      <c r="A503" s="328"/>
      <c r="B503" s="52">
        <v>0.16383324359316043</v>
      </c>
      <c r="C503" s="330">
        <v>0.36458027367465262</v>
      </c>
      <c r="D503" s="330">
        <v>1.227019168779369E-2</v>
      </c>
      <c r="E503" s="330">
        <v>1.9105813182539455E-2</v>
      </c>
      <c r="F503" s="331">
        <v>0.7774871793398529</v>
      </c>
      <c r="G503" s="94">
        <v>0.45332498722073056</v>
      </c>
      <c r="H503" s="330">
        <v>0.57627332840406553</v>
      </c>
      <c r="I503" s="330">
        <v>5.1356958966196874E-3</v>
      </c>
      <c r="J503" s="330">
        <v>0.99977853008436579</v>
      </c>
      <c r="K503" s="330">
        <v>0.76961576366741458</v>
      </c>
      <c r="L503" s="332">
        <v>9638.5724180224661</v>
      </c>
      <c r="M503" s="330">
        <v>0</v>
      </c>
      <c r="N503" s="330">
        <v>13865.020570847846</v>
      </c>
      <c r="O503" s="330">
        <v>1496.8906808093313</v>
      </c>
      <c r="P503" s="330">
        <v>47912.224069268326</v>
      </c>
      <c r="Q503" s="333">
        <v>100656.62149538584</v>
      </c>
      <c r="R503" s="330">
        <v>26173.138293468601</v>
      </c>
      <c r="S503" s="330">
        <v>9394.6391383999544</v>
      </c>
      <c r="T503" s="332">
        <v>0.68589940622474177</v>
      </c>
      <c r="U503" s="330">
        <v>0.51527050454270962</v>
      </c>
      <c r="V503" s="330">
        <v>0.3683082179568905</v>
      </c>
      <c r="W503" s="330">
        <v>0.98831258467773575</v>
      </c>
      <c r="X503" s="330">
        <v>0.95904002277719691</v>
      </c>
      <c r="Y503" s="330">
        <v>0</v>
      </c>
      <c r="Z503" s="331">
        <v>0</v>
      </c>
      <c r="AA503" s="235"/>
      <c r="AB503" s="335">
        <v>90035.046025499789</v>
      </c>
      <c r="AC503" s="336">
        <v>4.5468050502469888</v>
      </c>
      <c r="AD503" s="337">
        <v>85470.880087215599</v>
      </c>
      <c r="AE503" s="336">
        <v>4.5440291579601642</v>
      </c>
      <c r="AF503" s="337">
        <v>4564.1659382841899</v>
      </c>
      <c r="AG503" s="338">
        <v>2.7758922868246216E-3</v>
      </c>
      <c r="AH503" s="235"/>
      <c r="AI503" s="208">
        <f t="shared" si="52"/>
        <v>4229429.7517091399</v>
      </c>
      <c r="AJ503" s="208">
        <f t="shared" si="53"/>
        <v>4231356.8199749403</v>
      </c>
      <c r="AK503" s="208">
        <f t="shared" si="54"/>
        <v>-1927.0682658007995</v>
      </c>
      <c r="AL503" s="235"/>
      <c r="AM503" s="52">
        <f t="shared" si="30"/>
        <v>0</v>
      </c>
      <c r="AN503" s="52">
        <f t="shared" si="31"/>
        <v>1</v>
      </c>
      <c r="AO503" s="52">
        <f t="shared" si="32"/>
        <v>0</v>
      </c>
      <c r="AP503" s="235"/>
      <c r="AQ503" s="28"/>
      <c r="AR503" s="28"/>
      <c r="AS503" s="28"/>
      <c r="AT503" s="28"/>
      <c r="AU503" s="235"/>
      <c r="AV503" s="360">
        <f t="shared" si="55"/>
        <v>4231356.8199749403</v>
      </c>
      <c r="AW503" s="235"/>
      <c r="AX503" s="355"/>
      <c r="AY503" s="344"/>
      <c r="AZ503" s="14">
        <f t="shared" si="57"/>
        <v>4564.1659382841899</v>
      </c>
      <c r="BA503" s="14">
        <f t="shared" si="56"/>
        <v>2.7758922868246216E-3</v>
      </c>
      <c r="BB503" s="14">
        <f t="shared" si="33"/>
        <v>1644215.7932234458</v>
      </c>
      <c r="BC503" s="344"/>
      <c r="BD503" s="344"/>
      <c r="BE503" s="344"/>
      <c r="BF503" s="344"/>
      <c r="BG503" s="344"/>
      <c r="BH503" s="344"/>
      <c r="BI503" s="344"/>
      <c r="BJ503" s="344"/>
      <c r="BK503" s="344"/>
      <c r="BL503" s="344"/>
      <c r="BM503" s="344"/>
      <c r="BN503" s="344"/>
      <c r="BO503" s="344"/>
      <c r="BP503" s="14"/>
      <c r="BQ503" s="14"/>
      <c r="BR503" s="14"/>
      <c r="BS503" s="14"/>
      <c r="BT503" s="14"/>
      <c r="BU503" s="14"/>
      <c r="BV503" s="14"/>
      <c r="BW503" s="14"/>
      <c r="BX503" s="14"/>
      <c r="BY503" s="14"/>
      <c r="BZ503" s="14"/>
      <c r="CA503" s="14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</row>
    <row r="504" spans="1:101" ht="14.25" customHeight="1" x14ac:dyDescent="0.2">
      <c r="A504" s="328"/>
      <c r="B504" s="52">
        <v>0.16208564971062289</v>
      </c>
      <c r="C504" s="330">
        <v>0.27348448647158141</v>
      </c>
      <c r="D504" s="330">
        <v>1.3541445368888343E-2</v>
      </c>
      <c r="E504" s="330">
        <v>1.8199763703645178E-2</v>
      </c>
      <c r="F504" s="331">
        <v>0.75796454698291615</v>
      </c>
      <c r="G504" s="94">
        <v>0.44874637719334731</v>
      </c>
      <c r="H504" s="330">
        <v>0.29333445804555353</v>
      </c>
      <c r="I504" s="330">
        <v>1.2134720898424881E-2</v>
      </c>
      <c r="J504" s="330">
        <v>1</v>
      </c>
      <c r="K504" s="330">
        <v>0.74841695777268225</v>
      </c>
      <c r="L504" s="332">
        <v>10499.421120988201</v>
      </c>
      <c r="M504" s="330">
        <v>0</v>
      </c>
      <c r="N504" s="330">
        <v>25502.481899932063</v>
      </c>
      <c r="O504" s="330">
        <v>821.80395498230143</v>
      </c>
      <c r="P504" s="330">
        <v>29740.570698655556</v>
      </c>
      <c r="Q504" s="333">
        <v>114518.15171607355</v>
      </c>
      <c r="R504" s="330">
        <v>24449.237858557033</v>
      </c>
      <c r="S504" s="330">
        <v>10826.983543678416</v>
      </c>
      <c r="T504" s="332">
        <v>0.98179253415915368</v>
      </c>
      <c r="U504" s="330">
        <v>0.968428736708003</v>
      </c>
      <c r="V504" s="330">
        <v>0.99285864647911892</v>
      </c>
      <c r="W504" s="330">
        <v>0.13708200701209355</v>
      </c>
      <c r="X504" s="330">
        <v>8.8165547212113615E-2</v>
      </c>
      <c r="Y504" s="330">
        <v>0</v>
      </c>
      <c r="Z504" s="331">
        <v>0</v>
      </c>
      <c r="AA504" s="235"/>
      <c r="AB504" s="335">
        <v>100035.49108015897</v>
      </c>
      <c r="AC504" s="336">
        <v>0.95773528333436331</v>
      </c>
      <c r="AD504" s="337">
        <v>91465.099125733803</v>
      </c>
      <c r="AE504" s="336">
        <v>0.62851967169557044</v>
      </c>
      <c r="AF504" s="337">
        <v>8570.3919544251694</v>
      </c>
      <c r="AG504" s="338">
        <v>0.32921561163879287</v>
      </c>
      <c r="AH504" s="235"/>
      <c r="AI504" s="208">
        <f t="shared" si="52"/>
        <v>809813.02808748616</v>
      </c>
      <c r="AJ504" s="208">
        <f t="shared" si="53"/>
        <v>505628.58898505813</v>
      </c>
      <c r="AK504" s="208">
        <f t="shared" si="54"/>
        <v>304184.43910242803</v>
      </c>
      <c r="AL504" s="235"/>
      <c r="AM504" s="52">
        <f t="shared" si="30"/>
        <v>1</v>
      </c>
      <c r="AN504" s="52">
        <f t="shared" si="31"/>
        <v>0</v>
      </c>
      <c r="AO504" s="52">
        <f t="shared" si="32"/>
        <v>1</v>
      </c>
      <c r="AP504" s="235"/>
      <c r="AQ504" s="28"/>
      <c r="AR504" s="28"/>
      <c r="AS504" s="28"/>
      <c r="AT504" s="28"/>
      <c r="AU504" s="235"/>
      <c r="AV504" s="360">
        <f t="shared" si="55"/>
        <v>809813.02808748616</v>
      </c>
      <c r="AW504" s="235"/>
      <c r="AX504" s="355"/>
      <c r="AY504" s="344"/>
      <c r="AZ504" s="14">
        <f t="shared" si="57"/>
        <v>8570.3919544251694</v>
      </c>
      <c r="BA504" s="14">
        <f t="shared" si="56"/>
        <v>0.32921561163879287</v>
      </c>
      <c r="BB504" s="14">
        <f t="shared" si="33"/>
        <v>26032.762880723862</v>
      </c>
      <c r="BC504" s="344"/>
      <c r="BD504" s="344"/>
      <c r="BE504" s="344"/>
      <c r="BF504" s="344"/>
      <c r="BG504" s="344"/>
      <c r="BH504" s="344"/>
      <c r="BI504" s="344"/>
      <c r="BJ504" s="344"/>
      <c r="BK504" s="344"/>
      <c r="BL504" s="344"/>
      <c r="BM504" s="344"/>
      <c r="BN504" s="344"/>
      <c r="BO504" s="344"/>
      <c r="BP504" s="14"/>
      <c r="BQ504" s="14"/>
      <c r="BR504" s="14"/>
      <c r="BS504" s="14"/>
      <c r="BT504" s="14"/>
      <c r="BU504" s="14"/>
      <c r="BV504" s="14"/>
      <c r="BW504" s="14"/>
      <c r="BX504" s="14"/>
      <c r="BY504" s="14"/>
      <c r="BZ504" s="14"/>
      <c r="CA504" s="14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</row>
    <row r="505" spans="1:101" ht="14.25" customHeight="1" x14ac:dyDescent="0.2">
      <c r="A505" s="328"/>
      <c r="B505" s="52">
        <v>0.14356888954716515</v>
      </c>
      <c r="C505" s="330">
        <v>0.18369680919444412</v>
      </c>
      <c r="D505" s="330">
        <v>9.9666699326988739E-3</v>
      </c>
      <c r="E505" s="330">
        <v>2.2801901794483048E-2</v>
      </c>
      <c r="F505" s="331">
        <v>0.75896353086174184</v>
      </c>
      <c r="G505" s="94">
        <v>0.41910383336186974</v>
      </c>
      <c r="H505" s="330">
        <v>0.27277798700205297</v>
      </c>
      <c r="I505" s="330">
        <v>2.2544677007843017E-2</v>
      </c>
      <c r="J505" s="330">
        <v>0.99999999945712315</v>
      </c>
      <c r="K505" s="330">
        <v>0.75772792101268149</v>
      </c>
      <c r="L505" s="332">
        <v>12730.627219388876</v>
      </c>
      <c r="M505" s="330">
        <v>0</v>
      </c>
      <c r="N505" s="330">
        <v>20969.920533856024</v>
      </c>
      <c r="O505" s="330">
        <v>980.13528274004727</v>
      </c>
      <c r="P505" s="330">
        <v>43753.600906114116</v>
      </c>
      <c r="Q505" s="333">
        <v>84452.28309791912</v>
      </c>
      <c r="R505" s="330">
        <v>31577.409422517168</v>
      </c>
      <c r="S505" s="330">
        <v>12273.654781413838</v>
      </c>
      <c r="T505" s="332">
        <v>0.98459134294279615</v>
      </c>
      <c r="U505" s="330">
        <v>2.7684394007345056E-2</v>
      </c>
      <c r="V505" s="330">
        <v>0.71396388103195685</v>
      </c>
      <c r="W505" s="330">
        <v>0.10670842666939973</v>
      </c>
      <c r="X505" s="330">
        <v>0.21051650840316322</v>
      </c>
      <c r="Y505" s="330">
        <v>0</v>
      </c>
      <c r="Z505" s="331">
        <v>0</v>
      </c>
      <c r="AA505" s="235"/>
      <c r="AB505" s="335">
        <v>113791.26512466832</v>
      </c>
      <c r="AC505" s="336">
        <v>1.0227162866041248</v>
      </c>
      <c r="AD505" s="337">
        <v>105205.12532790638</v>
      </c>
      <c r="AE505" s="336">
        <v>0.97338154464668503</v>
      </c>
      <c r="AF505" s="337">
        <v>8586.1397967619414</v>
      </c>
      <c r="AG505" s="338">
        <v>4.9334741957439809E-2</v>
      </c>
      <c r="AH505" s="235"/>
      <c r="AI505" s="208">
        <f t="shared" si="52"/>
        <v>857789.2071492502</v>
      </c>
      <c r="AJ505" s="208">
        <f t="shared" si="53"/>
        <v>819507.34208644449</v>
      </c>
      <c r="AK505" s="208">
        <f t="shared" si="54"/>
        <v>38281.865062805875</v>
      </c>
      <c r="AL505" s="235"/>
      <c r="AM505" s="52">
        <f t="shared" si="30"/>
        <v>1</v>
      </c>
      <c r="AN505" s="52">
        <f t="shared" si="31"/>
        <v>0</v>
      </c>
      <c r="AO505" s="52">
        <f t="shared" si="32"/>
        <v>1</v>
      </c>
      <c r="AP505" s="235"/>
      <c r="AQ505" s="28"/>
      <c r="AR505" s="28"/>
      <c r="AS505" s="28"/>
      <c r="AT505" s="28"/>
      <c r="AU505" s="235"/>
      <c r="AV505" s="360">
        <f t="shared" si="55"/>
        <v>857789.2071492502</v>
      </c>
      <c r="AW505" s="235"/>
      <c r="AX505" s="355"/>
      <c r="AY505" s="344"/>
      <c r="AZ505" s="14">
        <f t="shared" si="57"/>
        <v>8586.1397967619414</v>
      </c>
      <c r="BA505" s="14">
        <f t="shared" si="56"/>
        <v>4.9334741957439809E-2</v>
      </c>
      <c r="BB505" s="14">
        <f t="shared" si="33"/>
        <v>174038.40490681087</v>
      </c>
      <c r="BC505" s="344"/>
      <c r="BD505" s="344"/>
      <c r="BE505" s="344"/>
      <c r="BF505" s="344"/>
      <c r="BG505" s="344"/>
      <c r="BH505" s="344"/>
      <c r="BI505" s="344"/>
      <c r="BJ505" s="344"/>
      <c r="BK505" s="344"/>
      <c r="BL505" s="344"/>
      <c r="BM505" s="344"/>
      <c r="BN505" s="344"/>
      <c r="BO505" s="344"/>
      <c r="BP505" s="14"/>
      <c r="BQ505" s="14"/>
      <c r="BR505" s="14"/>
      <c r="BS505" s="14"/>
      <c r="BT505" s="14"/>
      <c r="BU505" s="14"/>
      <c r="BV505" s="14"/>
      <c r="BW505" s="14"/>
      <c r="BX505" s="14"/>
      <c r="BY505" s="14"/>
      <c r="BZ505" s="14"/>
      <c r="CA505" s="14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</row>
    <row r="506" spans="1:101" ht="14.25" customHeight="1" x14ac:dyDescent="0.2">
      <c r="A506" s="328"/>
      <c r="B506" s="52">
        <v>0.17347882537713033</v>
      </c>
      <c r="C506" s="330">
        <v>0.86153782499268561</v>
      </c>
      <c r="D506" s="330">
        <v>1.4452534375604342E-2</v>
      </c>
      <c r="E506" s="330">
        <v>1.860744188897101E-2</v>
      </c>
      <c r="F506" s="331">
        <v>0.77327995879137956</v>
      </c>
      <c r="G506" s="94">
        <v>0.43126168812691912</v>
      </c>
      <c r="H506" s="330">
        <v>0.96979839193891759</v>
      </c>
      <c r="I506" s="330">
        <v>7.2352843793879375E-3</v>
      </c>
      <c r="J506" s="330">
        <v>3.8498238620426867E-4</v>
      </c>
      <c r="K506" s="330">
        <v>0.75039257764793554</v>
      </c>
      <c r="L506" s="332">
        <v>16245.765456117269</v>
      </c>
      <c r="M506" s="330">
        <v>0</v>
      </c>
      <c r="N506" s="330">
        <v>19691.032175081553</v>
      </c>
      <c r="O506" s="330">
        <v>1148.7091445566161</v>
      </c>
      <c r="P506" s="330">
        <v>48714.160876647991</v>
      </c>
      <c r="Q506" s="333">
        <v>99296.321003645513</v>
      </c>
      <c r="R506" s="330">
        <v>28243.619587701811</v>
      </c>
      <c r="S506" s="330">
        <v>11082.726108911578</v>
      </c>
      <c r="T506" s="332">
        <v>0.96366857942917505</v>
      </c>
      <c r="U506" s="330">
        <v>0.63164054079373444</v>
      </c>
      <c r="V506" s="330">
        <v>0.49523085310144976</v>
      </c>
      <c r="W506" s="330">
        <v>0.66018888480595206</v>
      </c>
      <c r="X506" s="330">
        <v>0.99214101619220973</v>
      </c>
      <c r="Y506" s="330">
        <v>0</v>
      </c>
      <c r="Z506" s="331">
        <v>0</v>
      </c>
      <c r="AA506" s="235"/>
      <c r="AB506" s="335">
        <v>112885.62950305616</v>
      </c>
      <c r="AC506" s="336">
        <v>4.6809871503558735</v>
      </c>
      <c r="AD506" s="337">
        <v>101853.45616509161</v>
      </c>
      <c r="AE506" s="336">
        <v>4.7382247472879655</v>
      </c>
      <c r="AF506" s="337">
        <v>11032.173337964545</v>
      </c>
      <c r="AG506" s="338">
        <v>-5.7237596932091961E-2</v>
      </c>
      <c r="AH506" s="235"/>
      <c r="AI506" s="208">
        <f t="shared" si="52"/>
        <v>4334052.1633350234</v>
      </c>
      <c r="AJ506" s="208">
        <f t="shared" si="53"/>
        <v>4399460.053758475</v>
      </c>
      <c r="AK506" s="208">
        <f t="shared" si="54"/>
        <v>-65407.890423451907</v>
      </c>
      <c r="AL506" s="235"/>
      <c r="AM506" s="52">
        <f t="shared" si="30"/>
        <v>0</v>
      </c>
      <c r="AN506" s="52">
        <f t="shared" si="31"/>
        <v>1</v>
      </c>
      <c r="AO506" s="52">
        <f t="shared" si="32"/>
        <v>0</v>
      </c>
      <c r="AP506" s="235"/>
      <c r="AQ506" s="28"/>
      <c r="AR506" s="28"/>
      <c r="AS506" s="28"/>
      <c r="AT506" s="28"/>
      <c r="AU506" s="235"/>
      <c r="AV506" s="360">
        <f t="shared" si="55"/>
        <v>4399460.053758475</v>
      </c>
      <c r="AW506" s="235"/>
      <c r="AX506" s="355"/>
      <c r="AY506" s="344"/>
      <c r="AZ506" s="14">
        <f t="shared" si="57"/>
        <v>11032.173337964545</v>
      </c>
      <c r="BA506" s="14">
        <f t="shared" si="56"/>
        <v>-5.7237596932091961E-2</v>
      </c>
      <c r="BB506" s="14">
        <f t="shared" si="33"/>
        <v>-192743.47508078258</v>
      </c>
      <c r="BC506" s="344"/>
      <c r="BD506" s="344"/>
      <c r="BE506" s="344"/>
      <c r="BF506" s="344"/>
      <c r="BG506" s="344"/>
      <c r="BH506" s="344"/>
      <c r="BI506" s="344"/>
      <c r="BJ506" s="344"/>
      <c r="BK506" s="344"/>
      <c r="BL506" s="344"/>
      <c r="BM506" s="344"/>
      <c r="BN506" s="344"/>
      <c r="BO506" s="344"/>
      <c r="BP506" s="14"/>
      <c r="BQ506" s="14"/>
      <c r="BR506" s="14"/>
      <c r="BS506" s="14"/>
      <c r="BT506" s="14"/>
      <c r="BU506" s="14"/>
      <c r="BV506" s="14"/>
      <c r="BW506" s="14"/>
      <c r="BX506" s="14"/>
      <c r="BY506" s="14"/>
      <c r="BZ506" s="14"/>
      <c r="CA506" s="14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</row>
    <row r="507" spans="1:101" ht="14.25" customHeight="1" x14ac:dyDescent="0.2">
      <c r="A507" s="328"/>
      <c r="B507" s="52">
        <v>0.13533286772695735</v>
      </c>
      <c r="C507" s="330">
        <v>4.3935238584146951E-3</v>
      </c>
      <c r="D507" s="330">
        <v>1.432511613857539E-2</v>
      </c>
      <c r="E507" s="330">
        <v>1.1451197225450085E-2</v>
      </c>
      <c r="F507" s="331">
        <v>0.80253091396444409</v>
      </c>
      <c r="G507" s="94">
        <v>0.40384545807050232</v>
      </c>
      <c r="H507" s="330">
        <v>0.44695021089226816</v>
      </c>
      <c r="I507" s="330">
        <v>2.4948427516891858E-2</v>
      </c>
      <c r="J507" s="330">
        <v>0.99999999948125273</v>
      </c>
      <c r="K507" s="330">
        <v>0.77961951521707651</v>
      </c>
      <c r="L507" s="332">
        <v>15051.003994295848</v>
      </c>
      <c r="M507" s="330">
        <v>0</v>
      </c>
      <c r="N507" s="330">
        <v>18958.072662438368</v>
      </c>
      <c r="O507" s="330">
        <v>1562.0908892243997</v>
      </c>
      <c r="P507" s="330">
        <v>33107.368219369608</v>
      </c>
      <c r="Q507" s="333">
        <v>115022.72702201613</v>
      </c>
      <c r="R507" s="330">
        <v>29451.943764171767</v>
      </c>
      <c r="S507" s="330">
        <v>10335.579047236408</v>
      </c>
      <c r="T507" s="332">
        <v>0.56078775381194745</v>
      </c>
      <c r="U507" s="330">
        <v>0.96160168389228717</v>
      </c>
      <c r="V507" s="330">
        <v>0.9999115723167169</v>
      </c>
      <c r="W507" s="330">
        <v>0.94934532023064899</v>
      </c>
      <c r="X507" s="330">
        <v>0.89036543827876768</v>
      </c>
      <c r="Y507" s="330">
        <v>0</v>
      </c>
      <c r="Z507" s="331">
        <v>0</v>
      </c>
      <c r="AA507" s="235"/>
      <c r="AB507" s="335">
        <v>104515.56749083353</v>
      </c>
      <c r="AC507" s="336">
        <v>4.6652228407653222</v>
      </c>
      <c r="AD507" s="337">
        <v>93969.346600089018</v>
      </c>
      <c r="AE507" s="336">
        <v>4.3461517835031547</v>
      </c>
      <c r="AF507" s="337">
        <v>10546.220890744517</v>
      </c>
      <c r="AG507" s="338">
        <v>0.31907105726216756</v>
      </c>
      <c r="AH507" s="235"/>
      <c r="AI507" s="208">
        <f t="shared" si="52"/>
        <v>4327446.1312362226</v>
      </c>
      <c r="AJ507" s="208">
        <f t="shared" si="53"/>
        <v>4034874.8477279078</v>
      </c>
      <c r="AK507" s="208">
        <f t="shared" si="54"/>
        <v>292571.28350831463</v>
      </c>
      <c r="AL507" s="235"/>
      <c r="AM507" s="52">
        <f t="shared" si="30"/>
        <v>1</v>
      </c>
      <c r="AN507" s="52">
        <f t="shared" si="31"/>
        <v>0</v>
      </c>
      <c r="AO507" s="52">
        <f t="shared" si="32"/>
        <v>1</v>
      </c>
      <c r="AP507" s="235"/>
      <c r="AQ507" s="28"/>
      <c r="AR507" s="28"/>
      <c r="AS507" s="28"/>
      <c r="AT507" s="28"/>
      <c r="AU507" s="235"/>
      <c r="AV507" s="360">
        <f t="shared" si="55"/>
        <v>4327446.1312362226</v>
      </c>
      <c r="AW507" s="235"/>
      <c r="AX507" s="355"/>
      <c r="AY507" s="344"/>
      <c r="AZ507" s="14">
        <f t="shared" si="57"/>
        <v>10546.220890744517</v>
      </c>
      <c r="BA507" s="14">
        <f t="shared" si="56"/>
        <v>0.31907105726216756</v>
      </c>
      <c r="BB507" s="14">
        <f t="shared" si="33"/>
        <v>33052.891043260999</v>
      </c>
      <c r="BC507" s="344"/>
      <c r="BD507" s="344"/>
      <c r="BE507" s="344"/>
      <c r="BF507" s="344"/>
      <c r="BG507" s="344"/>
      <c r="BH507" s="344"/>
      <c r="BI507" s="344"/>
      <c r="BJ507" s="344"/>
      <c r="BK507" s="344"/>
      <c r="BL507" s="344"/>
      <c r="BM507" s="344"/>
      <c r="BN507" s="344"/>
      <c r="BO507" s="344"/>
      <c r="BP507" s="14"/>
      <c r="BQ507" s="14"/>
      <c r="BR507" s="14"/>
      <c r="BS507" s="14"/>
      <c r="BT507" s="14"/>
      <c r="BU507" s="14"/>
      <c r="BV507" s="14"/>
      <c r="BW507" s="14"/>
      <c r="BX507" s="14"/>
      <c r="BY507" s="14"/>
      <c r="BZ507" s="14"/>
      <c r="CA507" s="14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</row>
    <row r="508" spans="1:101" ht="14.25" customHeight="1" x14ac:dyDescent="0.2">
      <c r="A508" s="328"/>
      <c r="B508" s="52">
        <v>0.14690227256059041</v>
      </c>
      <c r="C508" s="330">
        <v>0.26061845477044487</v>
      </c>
      <c r="D508" s="330">
        <v>1.1639085979784212E-2</v>
      </c>
      <c r="E508" s="330">
        <v>1.3322541971527884E-2</v>
      </c>
      <c r="F508" s="331">
        <v>0.77665643933301964</v>
      </c>
      <c r="G508" s="94">
        <v>0.38115769705004066</v>
      </c>
      <c r="H508" s="330">
        <v>1.4729085152380985E-3</v>
      </c>
      <c r="I508" s="330">
        <v>9.0484026595917394E-3</v>
      </c>
      <c r="J508" s="330">
        <v>0.99999999999947509</v>
      </c>
      <c r="K508" s="330">
        <v>0.73824004910657415</v>
      </c>
      <c r="L508" s="332">
        <v>11340.241839856835</v>
      </c>
      <c r="M508" s="330">
        <v>0</v>
      </c>
      <c r="N508" s="330">
        <v>11842.008316523512</v>
      </c>
      <c r="O508" s="330">
        <v>853.85804562843043</v>
      </c>
      <c r="P508" s="330">
        <v>34862.148164053855</v>
      </c>
      <c r="Q508" s="333">
        <v>77756.855289215178</v>
      </c>
      <c r="R508" s="330">
        <v>20623.776407173817</v>
      </c>
      <c r="S508" s="330">
        <v>9541.132012284088</v>
      </c>
      <c r="T508" s="332">
        <v>0.99182936143083245</v>
      </c>
      <c r="U508" s="330">
        <v>0.98928560857331771</v>
      </c>
      <c r="V508" s="330">
        <v>0.41885391542900263</v>
      </c>
      <c r="W508" s="330">
        <v>0.99351145371608474</v>
      </c>
      <c r="X508" s="330">
        <v>0.93975756446820946</v>
      </c>
      <c r="Y508" s="330">
        <v>0</v>
      </c>
      <c r="Z508" s="331">
        <v>0</v>
      </c>
      <c r="AA508" s="235"/>
      <c r="AB508" s="335">
        <v>91909.651826645248</v>
      </c>
      <c r="AC508" s="336">
        <v>4.4392227442139847</v>
      </c>
      <c r="AD508" s="337">
        <v>76371.707006918863</v>
      </c>
      <c r="AE508" s="336">
        <v>4.3979975866770209</v>
      </c>
      <c r="AF508" s="337">
        <v>15537.944819726385</v>
      </c>
      <c r="AG508" s="338">
        <v>4.1225157536963764E-2</v>
      </c>
      <c r="AH508" s="235"/>
      <c r="AI508" s="208">
        <f t="shared" si="52"/>
        <v>4125351.9551766403</v>
      </c>
      <c r="AJ508" s="208">
        <f t="shared" si="53"/>
        <v>4101726.0003362512</v>
      </c>
      <c r="AK508" s="208">
        <f t="shared" si="54"/>
        <v>23625.954840389189</v>
      </c>
      <c r="AL508" s="235"/>
      <c r="AM508" s="52">
        <f t="shared" si="30"/>
        <v>1</v>
      </c>
      <c r="AN508" s="52">
        <f t="shared" si="31"/>
        <v>0</v>
      </c>
      <c r="AO508" s="52">
        <f t="shared" si="32"/>
        <v>1</v>
      </c>
      <c r="AP508" s="235"/>
      <c r="AQ508" s="28"/>
      <c r="AR508" s="28"/>
      <c r="AS508" s="28"/>
      <c r="AT508" s="28"/>
      <c r="AU508" s="235"/>
      <c r="AV508" s="360">
        <f t="shared" si="55"/>
        <v>4125351.9551766403</v>
      </c>
      <c r="AW508" s="235"/>
      <c r="AX508" s="355"/>
      <c r="AY508" s="344"/>
      <c r="AZ508" s="14">
        <f t="shared" si="57"/>
        <v>15537.944819726385</v>
      </c>
      <c r="BA508" s="14">
        <f t="shared" si="56"/>
        <v>4.1225157536963764E-2</v>
      </c>
      <c r="BB508" s="14">
        <f t="shared" si="33"/>
        <v>376904.43767970026</v>
      </c>
      <c r="BC508" s="344"/>
      <c r="BD508" s="344"/>
      <c r="BE508" s="344"/>
      <c r="BF508" s="344"/>
      <c r="BG508" s="344"/>
      <c r="BH508" s="344"/>
      <c r="BI508" s="344"/>
      <c r="BJ508" s="344"/>
      <c r="BK508" s="344"/>
      <c r="BL508" s="344"/>
      <c r="BM508" s="344"/>
      <c r="BN508" s="344"/>
      <c r="BO508" s="344"/>
      <c r="BP508" s="14"/>
      <c r="BQ508" s="14"/>
      <c r="BR508" s="14"/>
      <c r="BS508" s="14"/>
      <c r="BT508" s="14"/>
      <c r="BU508" s="14"/>
      <c r="BV508" s="14"/>
      <c r="BW508" s="14"/>
      <c r="BX508" s="14"/>
      <c r="BY508" s="14"/>
      <c r="BZ508" s="14"/>
      <c r="CA508" s="14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</row>
    <row r="509" spans="1:101" ht="14.25" customHeight="1" x14ac:dyDescent="0.2">
      <c r="A509" s="328"/>
      <c r="B509" s="52">
        <v>0.13532957478563892</v>
      </c>
      <c r="C509" s="330">
        <v>0.44441471677920508</v>
      </c>
      <c r="D509" s="330">
        <v>2.1888138803279555E-2</v>
      </c>
      <c r="E509" s="330">
        <v>6.181394464302656E-3</v>
      </c>
      <c r="F509" s="331">
        <v>0.76169322576498344</v>
      </c>
      <c r="G509" s="94">
        <v>0.42619734419140054</v>
      </c>
      <c r="H509" s="330">
        <v>0.85619556785753326</v>
      </c>
      <c r="I509" s="330">
        <v>3.0111055628786465E-2</v>
      </c>
      <c r="J509" s="330">
        <v>0.99999981295414175</v>
      </c>
      <c r="K509" s="330">
        <v>0.792235807539591</v>
      </c>
      <c r="L509" s="332">
        <v>8391.1173749306345</v>
      </c>
      <c r="M509" s="330">
        <v>0</v>
      </c>
      <c r="N509" s="330">
        <v>18943.213255403523</v>
      </c>
      <c r="O509" s="330">
        <v>996.07400345470819</v>
      </c>
      <c r="P509" s="330">
        <v>50733.523118988771</v>
      </c>
      <c r="Q509" s="333">
        <v>79852.687735402098</v>
      </c>
      <c r="R509" s="330">
        <v>18647.955997784731</v>
      </c>
      <c r="S509" s="330">
        <v>9329.5436747655385</v>
      </c>
      <c r="T509" s="332">
        <v>0.82708205497226306</v>
      </c>
      <c r="U509" s="330">
        <v>0.7745384378897332</v>
      </c>
      <c r="V509" s="330">
        <v>0.99720959715820934</v>
      </c>
      <c r="W509" s="330">
        <v>0.51864084717769843</v>
      </c>
      <c r="X509" s="330">
        <v>0.58223647165949344</v>
      </c>
      <c r="Y509" s="330">
        <v>0</v>
      </c>
      <c r="Z509" s="331">
        <v>0</v>
      </c>
      <c r="AA509" s="235"/>
      <c r="AB509" s="335">
        <v>86144.072479587529</v>
      </c>
      <c r="AC509" s="336">
        <v>3.1517822165229528</v>
      </c>
      <c r="AD509" s="337">
        <v>88366.382516934071</v>
      </c>
      <c r="AE509" s="336">
        <v>3.0646720936967329</v>
      </c>
      <c r="AF509" s="337">
        <v>-2222.3100373465422</v>
      </c>
      <c r="AG509" s="338">
        <v>8.7110122826219882E-2</v>
      </c>
      <c r="AH509" s="235"/>
      <c r="AI509" s="208">
        <f t="shared" si="52"/>
        <v>2908049.0332172178</v>
      </c>
      <c r="AJ509" s="208">
        <f t="shared" si="53"/>
        <v>2823072.1064949622</v>
      </c>
      <c r="AK509" s="208">
        <f t="shared" si="54"/>
        <v>84976.926722255434</v>
      </c>
      <c r="AL509" s="235"/>
      <c r="AM509" s="52">
        <f t="shared" si="30"/>
        <v>1</v>
      </c>
      <c r="AN509" s="52">
        <f t="shared" si="31"/>
        <v>0</v>
      </c>
      <c r="AO509" s="52">
        <f t="shared" si="32"/>
        <v>1</v>
      </c>
      <c r="AP509" s="235"/>
      <c r="AQ509" s="28"/>
      <c r="AR509" s="28"/>
      <c r="AS509" s="28"/>
      <c r="AT509" s="28"/>
      <c r="AU509" s="235"/>
      <c r="AV509" s="360">
        <f t="shared" si="55"/>
        <v>2908049.0332172178</v>
      </c>
      <c r="AW509" s="235"/>
      <c r="AX509" s="355"/>
      <c r="AY509" s="344"/>
      <c r="AZ509" s="14">
        <f t="shared" si="57"/>
        <v>-2222.3100373465422</v>
      </c>
      <c r="BA509" s="14">
        <f t="shared" si="56"/>
        <v>8.7110122826219882E-2</v>
      </c>
      <c r="BB509" s="14">
        <f t="shared" si="33"/>
        <v>-25511.501594136585</v>
      </c>
      <c r="BC509" s="344"/>
      <c r="BD509" s="344"/>
      <c r="BE509" s="344"/>
      <c r="BF509" s="344"/>
      <c r="BG509" s="344"/>
      <c r="BH509" s="344"/>
      <c r="BI509" s="344"/>
      <c r="BJ509" s="344"/>
      <c r="BK509" s="344"/>
      <c r="BL509" s="344"/>
      <c r="BM509" s="344"/>
      <c r="BN509" s="344"/>
      <c r="BO509" s="344"/>
      <c r="BP509" s="14"/>
      <c r="BQ509" s="14"/>
      <c r="BR509" s="14"/>
      <c r="BS509" s="14"/>
      <c r="BT509" s="14"/>
      <c r="BU509" s="14"/>
      <c r="BV509" s="14"/>
      <c r="BW509" s="14"/>
      <c r="BX509" s="14"/>
      <c r="BY509" s="14"/>
      <c r="BZ509" s="14"/>
      <c r="CA509" s="14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</row>
    <row r="510" spans="1:101" ht="14.25" customHeight="1" x14ac:dyDescent="0.2">
      <c r="A510" s="328"/>
      <c r="B510" s="52">
        <v>0.22906207590039507</v>
      </c>
      <c r="C510" s="330">
        <v>0.54472063748596211</v>
      </c>
      <c r="D510" s="330">
        <v>2.5057475017166597E-2</v>
      </c>
      <c r="E510" s="330">
        <v>1.5198143236961892E-2</v>
      </c>
      <c r="F510" s="331">
        <v>0.76856668121925975</v>
      </c>
      <c r="G510" s="94">
        <v>0.4105457055138324</v>
      </c>
      <c r="H510" s="330">
        <v>0.32051356434672268</v>
      </c>
      <c r="I510" s="330">
        <v>1.5638821114413871E-2</v>
      </c>
      <c r="J510" s="330">
        <v>0.48702928718331051</v>
      </c>
      <c r="K510" s="330">
        <v>0.77149433215130447</v>
      </c>
      <c r="L510" s="332">
        <v>13080.739771176559</v>
      </c>
      <c r="M510" s="330">
        <v>0</v>
      </c>
      <c r="N510" s="330">
        <v>17493.468547148805</v>
      </c>
      <c r="O510" s="330">
        <v>1067.6809526962957</v>
      </c>
      <c r="P510" s="330">
        <v>30012.385591342907</v>
      </c>
      <c r="Q510" s="333">
        <v>142568.95312253461</v>
      </c>
      <c r="R510" s="330">
        <v>32453.900893834641</v>
      </c>
      <c r="S510" s="330">
        <v>9163.6144415080544</v>
      </c>
      <c r="T510" s="332">
        <v>0.97311144542697914</v>
      </c>
      <c r="U510" s="330">
        <v>0.46093526329668844</v>
      </c>
      <c r="V510" s="330">
        <v>0.93626692116568422</v>
      </c>
      <c r="W510" s="330">
        <v>0.99933770570343772</v>
      </c>
      <c r="X510" s="330">
        <v>0.64463271640415398</v>
      </c>
      <c r="Y510" s="330">
        <v>0</v>
      </c>
      <c r="Z510" s="331">
        <v>0</v>
      </c>
      <c r="AA510" s="235"/>
      <c r="AB510" s="335">
        <v>93775.62348118778</v>
      </c>
      <c r="AC510" s="336">
        <v>3.0049046393277874</v>
      </c>
      <c r="AD510" s="337">
        <v>81685.751212397008</v>
      </c>
      <c r="AE510" s="336">
        <v>3.1208449044778415</v>
      </c>
      <c r="AF510" s="337">
        <v>12089.872268790772</v>
      </c>
      <c r="AG510" s="338">
        <v>-0.11594026515005407</v>
      </c>
      <c r="AH510" s="235"/>
      <c r="AI510" s="208">
        <f t="shared" si="52"/>
        <v>2760883.78388021</v>
      </c>
      <c r="AJ510" s="208">
        <f t="shared" si="53"/>
        <v>2883116.9080415522</v>
      </c>
      <c r="AK510" s="208">
        <f t="shared" si="54"/>
        <v>-122233.12416134213</v>
      </c>
      <c r="AL510" s="235"/>
      <c r="AM510" s="52">
        <f t="shared" si="30"/>
        <v>0</v>
      </c>
      <c r="AN510" s="52">
        <f t="shared" si="31"/>
        <v>1</v>
      </c>
      <c r="AO510" s="52">
        <f t="shared" si="32"/>
        <v>0</v>
      </c>
      <c r="AP510" s="235"/>
      <c r="AQ510" s="28"/>
      <c r="AR510" s="28"/>
      <c r="AS510" s="28"/>
      <c r="AT510" s="28"/>
      <c r="AU510" s="235"/>
      <c r="AV510" s="360">
        <f t="shared" si="55"/>
        <v>2883116.9080415522</v>
      </c>
      <c r="AW510" s="235"/>
      <c r="AX510" s="355"/>
      <c r="AY510" s="344"/>
      <c r="AZ510" s="14">
        <f t="shared" si="57"/>
        <v>12089.872268790772</v>
      </c>
      <c r="BA510" s="14">
        <f t="shared" si="56"/>
        <v>-0.11594026515005407</v>
      </c>
      <c r="BB510" s="14">
        <f t="shared" si="33"/>
        <v>-104276.73468870908</v>
      </c>
      <c r="BC510" s="344"/>
      <c r="BD510" s="344"/>
      <c r="BE510" s="344"/>
      <c r="BF510" s="344"/>
      <c r="BG510" s="344"/>
      <c r="BH510" s="344"/>
      <c r="BI510" s="344"/>
      <c r="BJ510" s="344"/>
      <c r="BK510" s="344"/>
      <c r="BL510" s="344"/>
      <c r="BM510" s="344"/>
      <c r="BN510" s="344"/>
      <c r="BO510" s="344"/>
      <c r="BP510" s="14"/>
      <c r="BQ510" s="14"/>
      <c r="BR510" s="14"/>
      <c r="BS510" s="14"/>
      <c r="BT510" s="14"/>
      <c r="BU510" s="14"/>
      <c r="BV510" s="14"/>
      <c r="BW510" s="14"/>
      <c r="BX510" s="14"/>
      <c r="BY510" s="14"/>
      <c r="BZ510" s="14"/>
      <c r="CA510" s="14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</row>
    <row r="511" spans="1:101" ht="14.25" customHeight="1" x14ac:dyDescent="0.2">
      <c r="A511" s="328"/>
      <c r="B511" s="52">
        <v>0.13873913009131034</v>
      </c>
      <c r="C511" s="330">
        <v>0.3027511615436157</v>
      </c>
      <c r="D511" s="330">
        <v>1.4474966094193187E-2</v>
      </c>
      <c r="E511" s="330">
        <v>6.5491748960494261E-3</v>
      </c>
      <c r="F511" s="331">
        <v>0.8135598668326729</v>
      </c>
      <c r="G511" s="94">
        <v>0.36048852425079836</v>
      </c>
      <c r="H511" s="330">
        <v>0.97168433046004665</v>
      </c>
      <c r="I511" s="330">
        <v>2.0446850597928279E-2</v>
      </c>
      <c r="J511" s="330">
        <v>0.99999999951848539</v>
      </c>
      <c r="K511" s="330">
        <v>0.79521633383406787</v>
      </c>
      <c r="L511" s="332">
        <v>17429.032905769036</v>
      </c>
      <c r="M511" s="330">
        <v>0</v>
      </c>
      <c r="N511" s="330">
        <v>19925.611475854206</v>
      </c>
      <c r="O511" s="330">
        <v>1004.8295037082476</v>
      </c>
      <c r="P511" s="330">
        <v>33361.202308306078</v>
      </c>
      <c r="Q511" s="333">
        <v>113824.05713790045</v>
      </c>
      <c r="R511" s="330">
        <v>24609.48109150965</v>
      </c>
      <c r="S511" s="330">
        <v>8759.5444133285546</v>
      </c>
      <c r="T511" s="332">
        <v>0.70112033607053537</v>
      </c>
      <c r="U511" s="330">
        <v>0.19858994529019819</v>
      </c>
      <c r="V511" s="330">
        <v>0.82886366826351421</v>
      </c>
      <c r="W511" s="330">
        <v>0.96871033846882826</v>
      </c>
      <c r="X511" s="330">
        <v>0.49062636331377751</v>
      </c>
      <c r="Y511" s="330">
        <v>0</v>
      </c>
      <c r="Z511" s="331">
        <v>0</v>
      </c>
      <c r="AA511" s="235"/>
      <c r="AB511" s="335">
        <v>95306.606602492553</v>
      </c>
      <c r="AC511" s="336">
        <v>2.5928861739350855</v>
      </c>
      <c r="AD511" s="337">
        <v>84843.764253668749</v>
      </c>
      <c r="AE511" s="336">
        <v>2.3670481279074727</v>
      </c>
      <c r="AF511" s="337">
        <v>10462.842348823804</v>
      </c>
      <c r="AG511" s="338">
        <v>0.22583804602761282</v>
      </c>
      <c r="AH511" s="235"/>
      <c r="AI511" s="208">
        <f t="shared" si="52"/>
        <v>2367935.2586358385</v>
      </c>
      <c r="AJ511" s="208">
        <f t="shared" si="53"/>
        <v>2163851.9572584298</v>
      </c>
      <c r="AK511" s="208">
        <f t="shared" si="54"/>
        <v>204083.30137740838</v>
      </c>
      <c r="AL511" s="235"/>
      <c r="AM511" s="52">
        <f t="shared" si="30"/>
        <v>1</v>
      </c>
      <c r="AN511" s="52">
        <f t="shared" si="31"/>
        <v>0</v>
      </c>
      <c r="AO511" s="52">
        <f t="shared" si="32"/>
        <v>1</v>
      </c>
      <c r="AP511" s="235"/>
      <c r="AQ511" s="28"/>
      <c r="AR511" s="28"/>
      <c r="AS511" s="28"/>
      <c r="AT511" s="28"/>
      <c r="AU511" s="235"/>
      <c r="AV511" s="360">
        <f t="shared" si="55"/>
        <v>2367935.2586358385</v>
      </c>
      <c r="AW511" s="235"/>
      <c r="AX511" s="355"/>
      <c r="AY511" s="344"/>
      <c r="AZ511" s="14">
        <f t="shared" si="57"/>
        <v>10462.842348823804</v>
      </c>
      <c r="BA511" s="14">
        <f t="shared" si="56"/>
        <v>0.22583804602761282</v>
      </c>
      <c r="BB511" s="14">
        <f t="shared" si="33"/>
        <v>46328.962426218168</v>
      </c>
      <c r="BC511" s="344"/>
      <c r="BD511" s="344"/>
      <c r="BE511" s="344"/>
      <c r="BF511" s="344"/>
      <c r="BG511" s="344"/>
      <c r="BH511" s="344"/>
      <c r="BI511" s="344"/>
      <c r="BJ511" s="344"/>
      <c r="BK511" s="344"/>
      <c r="BL511" s="344"/>
      <c r="BM511" s="344"/>
      <c r="BN511" s="344"/>
      <c r="BO511" s="344"/>
      <c r="BP511" s="14"/>
      <c r="BQ511" s="14"/>
      <c r="BR511" s="14"/>
      <c r="BS511" s="14"/>
      <c r="BT511" s="14"/>
      <c r="BU511" s="14"/>
      <c r="BV511" s="14"/>
      <c r="BW511" s="14"/>
      <c r="BX511" s="14"/>
      <c r="BY511" s="14"/>
      <c r="BZ511" s="14"/>
      <c r="CA511" s="14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</row>
    <row r="512" spans="1:101" ht="14.25" customHeight="1" x14ac:dyDescent="0.2">
      <c r="A512" s="328"/>
      <c r="B512" s="52">
        <v>0.17248419551635419</v>
      </c>
      <c r="C512" s="330">
        <v>5.7867270499695818E-2</v>
      </c>
      <c r="D512" s="330">
        <v>5.2167104477549592E-3</v>
      </c>
      <c r="E512" s="330">
        <v>1.0208289167536889E-2</v>
      </c>
      <c r="F512" s="331">
        <v>0.76320916859927046</v>
      </c>
      <c r="G512" s="94">
        <v>0.39009772771510648</v>
      </c>
      <c r="H512" s="330">
        <v>0.23190250284311886</v>
      </c>
      <c r="I512" s="330">
        <v>3.2249004211965637E-2</v>
      </c>
      <c r="J512" s="330">
        <v>0.99999629945399326</v>
      </c>
      <c r="K512" s="330">
        <v>0.75879268285236368</v>
      </c>
      <c r="L512" s="332">
        <v>13271.398112436156</v>
      </c>
      <c r="M512" s="330">
        <v>0</v>
      </c>
      <c r="N512" s="330">
        <v>13103.146433807555</v>
      </c>
      <c r="O512" s="330">
        <v>1137.3071499954469</v>
      </c>
      <c r="P512" s="330">
        <v>55404.059264768854</v>
      </c>
      <c r="Q512" s="333">
        <v>152807.96209725004</v>
      </c>
      <c r="R512" s="330">
        <v>20920.717353331096</v>
      </c>
      <c r="S512" s="330">
        <v>8806.183428566661</v>
      </c>
      <c r="T512" s="332">
        <v>0.80344336961613583</v>
      </c>
      <c r="U512" s="330">
        <v>0.93041093948500098</v>
      </c>
      <c r="V512" s="330">
        <v>0.9309437322738322</v>
      </c>
      <c r="W512" s="330">
        <v>0.40459900494335937</v>
      </c>
      <c r="X512" s="330">
        <v>0.9280496237884408</v>
      </c>
      <c r="Y512" s="330">
        <v>0</v>
      </c>
      <c r="Z512" s="331">
        <v>0</v>
      </c>
      <c r="AA512" s="235"/>
      <c r="AB512" s="335">
        <v>85938.68057536101</v>
      </c>
      <c r="AC512" s="336">
        <v>4.570805957783608</v>
      </c>
      <c r="AD512" s="337">
        <v>76781.454221518157</v>
      </c>
      <c r="AE512" s="336">
        <v>4.6322034034256534</v>
      </c>
      <c r="AF512" s="337">
        <v>9157.2263538428524</v>
      </c>
      <c r="AG512" s="338">
        <v>-6.1397445642045412E-2</v>
      </c>
      <c r="AH512" s="235"/>
      <c r="AI512" s="208">
        <f t="shared" si="52"/>
        <v>4256326.9793190658</v>
      </c>
      <c r="AJ512" s="208">
        <f t="shared" si="53"/>
        <v>4323811.7790328525</v>
      </c>
      <c r="AK512" s="208">
        <f t="shared" si="54"/>
        <v>-67484.799713785993</v>
      </c>
      <c r="AL512" s="235"/>
      <c r="AM512" s="52">
        <f t="shared" si="30"/>
        <v>0</v>
      </c>
      <c r="AN512" s="52">
        <f t="shared" si="31"/>
        <v>1</v>
      </c>
      <c r="AO512" s="52">
        <f t="shared" si="32"/>
        <v>0</v>
      </c>
      <c r="AP512" s="235"/>
      <c r="AQ512" s="28"/>
      <c r="AR512" s="28"/>
      <c r="AS512" s="28"/>
      <c r="AT512" s="28"/>
      <c r="AU512" s="235"/>
      <c r="AV512" s="360">
        <f t="shared" si="55"/>
        <v>4323811.7790328525</v>
      </c>
      <c r="AW512" s="235"/>
      <c r="AX512" s="355"/>
      <c r="AY512" s="344"/>
      <c r="AZ512" s="14">
        <f t="shared" si="57"/>
        <v>9157.2263538428524</v>
      </c>
      <c r="BA512" s="14">
        <f t="shared" si="56"/>
        <v>-6.1397445642045412E-2</v>
      </c>
      <c r="BB512" s="14">
        <f t="shared" si="33"/>
        <v>-149146.69915146954</v>
      </c>
      <c r="BC512" s="344"/>
      <c r="BD512" s="344"/>
      <c r="BE512" s="344"/>
      <c r="BF512" s="344"/>
      <c r="BG512" s="344"/>
      <c r="BH512" s="344"/>
      <c r="BI512" s="344"/>
      <c r="BJ512" s="344"/>
      <c r="BK512" s="344"/>
      <c r="BL512" s="344"/>
      <c r="BM512" s="344"/>
      <c r="BN512" s="344"/>
      <c r="BO512" s="344"/>
      <c r="BP512" s="14"/>
      <c r="BQ512" s="14"/>
      <c r="BR512" s="14"/>
      <c r="BS512" s="14"/>
      <c r="BT512" s="14"/>
      <c r="BU512" s="14"/>
      <c r="BV512" s="14"/>
      <c r="BW512" s="14"/>
      <c r="BX512" s="14"/>
      <c r="BY512" s="14"/>
      <c r="BZ512" s="14"/>
      <c r="CA512" s="14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</row>
    <row r="513" spans="1:101" ht="14.25" customHeight="1" x14ac:dyDescent="0.2">
      <c r="A513" s="328"/>
      <c r="B513" s="52">
        <v>0.15140984527160661</v>
      </c>
      <c r="C513" s="330">
        <v>0.29229380210696942</v>
      </c>
      <c r="D513" s="330">
        <v>6.9441525341632894E-3</v>
      </c>
      <c r="E513" s="330">
        <v>5.7312924536742351E-3</v>
      </c>
      <c r="F513" s="331">
        <v>0.81416986310353023</v>
      </c>
      <c r="G513" s="94">
        <v>0.40091161209250747</v>
      </c>
      <c r="H513" s="330">
        <v>3.133229640085318E-2</v>
      </c>
      <c r="I513" s="330">
        <v>2.1152506746679789E-2</v>
      </c>
      <c r="J513" s="330">
        <v>0.96752221850008169</v>
      </c>
      <c r="K513" s="330">
        <v>0.71083887453281658</v>
      </c>
      <c r="L513" s="332">
        <v>13227.73856554036</v>
      </c>
      <c r="M513" s="330">
        <v>0</v>
      </c>
      <c r="N513" s="330">
        <v>23530.493340961686</v>
      </c>
      <c r="O513" s="330">
        <v>1157.7714159203686</v>
      </c>
      <c r="P513" s="330">
        <v>36957.113032439789</v>
      </c>
      <c r="Q513" s="333">
        <v>86143.416159273227</v>
      </c>
      <c r="R513" s="330">
        <v>19607.907297071379</v>
      </c>
      <c r="S513" s="330">
        <v>7957.4467688756558</v>
      </c>
      <c r="T513" s="332">
        <v>0.54396437072563564</v>
      </c>
      <c r="U513" s="330">
        <v>0.94735839645219311</v>
      </c>
      <c r="V513" s="330">
        <v>0.31528247283398447</v>
      </c>
      <c r="W513" s="330">
        <v>0.99999998977592575</v>
      </c>
      <c r="X513" s="330">
        <v>0.37088612640211988</v>
      </c>
      <c r="Y513" s="330">
        <v>0</v>
      </c>
      <c r="Z513" s="331">
        <v>0</v>
      </c>
      <c r="AA513" s="235"/>
      <c r="AB513" s="335">
        <v>83886.315309005804</v>
      </c>
      <c r="AC513" s="336">
        <v>1.9091291682627192</v>
      </c>
      <c r="AD513" s="337">
        <v>62681.481949094574</v>
      </c>
      <c r="AE513" s="336">
        <v>1.900431244820064</v>
      </c>
      <c r="AF513" s="337">
        <v>21204.83335991123</v>
      </c>
      <c r="AG513" s="338">
        <v>8.6979234426551866E-3</v>
      </c>
      <c r="AH513" s="235"/>
      <c r="AI513" s="208">
        <f t="shared" si="52"/>
        <v>1729786.3945405774</v>
      </c>
      <c r="AJ513" s="208">
        <f t="shared" si="53"/>
        <v>1742728.2006299661</v>
      </c>
      <c r="AK513" s="208">
        <f t="shared" si="54"/>
        <v>-12941.806089388803</v>
      </c>
      <c r="AL513" s="235"/>
      <c r="AM513" s="52">
        <f t="shared" si="30"/>
        <v>0</v>
      </c>
      <c r="AN513" s="52">
        <f t="shared" si="31"/>
        <v>1</v>
      </c>
      <c r="AO513" s="52">
        <f t="shared" si="32"/>
        <v>0</v>
      </c>
      <c r="AP513" s="235"/>
      <c r="AQ513" s="28"/>
      <c r="AR513" s="28"/>
      <c r="AS513" s="28"/>
      <c r="AT513" s="28"/>
      <c r="AU513" s="235"/>
      <c r="AV513" s="360">
        <f t="shared" si="55"/>
        <v>1742728.2006299661</v>
      </c>
      <c r="AW513" s="235"/>
      <c r="AX513" s="355"/>
      <c r="AY513" s="344"/>
      <c r="AZ513" s="14">
        <f t="shared" si="57"/>
        <v>21204.83335991123</v>
      </c>
      <c r="BA513" s="14">
        <f t="shared" si="56"/>
        <v>8.6979234426551866E-3</v>
      </c>
      <c r="BB513" s="14">
        <f t="shared" si="33"/>
        <v>2437919.0619132537</v>
      </c>
      <c r="BC513" s="344"/>
      <c r="BD513" s="344"/>
      <c r="BE513" s="344"/>
      <c r="BF513" s="344"/>
      <c r="BG513" s="344"/>
      <c r="BH513" s="344"/>
      <c r="BI513" s="344"/>
      <c r="BJ513" s="344"/>
      <c r="BK513" s="344"/>
      <c r="BL513" s="344"/>
      <c r="BM513" s="344"/>
      <c r="BN513" s="344"/>
      <c r="BO513" s="344"/>
      <c r="BP513" s="14"/>
      <c r="BQ513" s="14"/>
      <c r="BR513" s="14"/>
      <c r="BS513" s="14"/>
      <c r="BT513" s="14"/>
      <c r="BU513" s="14"/>
      <c r="BV513" s="14"/>
      <c r="BW513" s="14"/>
      <c r="BX513" s="14"/>
      <c r="BY513" s="14"/>
      <c r="BZ513" s="14"/>
      <c r="CA513" s="14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</row>
    <row r="514" spans="1:101" ht="14.25" customHeight="1" x14ac:dyDescent="0.2">
      <c r="A514" s="328"/>
      <c r="B514" s="52">
        <v>0.15285004137516453</v>
      </c>
      <c r="C514" s="330">
        <v>0.75985205570086611</v>
      </c>
      <c r="D514" s="330">
        <v>2.3072335610562655E-2</v>
      </c>
      <c r="E514" s="330">
        <v>1.7329313088529363E-2</v>
      </c>
      <c r="F514" s="331">
        <v>0.81394778073030094</v>
      </c>
      <c r="G514" s="94">
        <v>0.40325111987985063</v>
      </c>
      <c r="H514" s="330">
        <v>0.84694014934789841</v>
      </c>
      <c r="I514" s="330">
        <v>1.8962890327595239E-2</v>
      </c>
      <c r="J514" s="330">
        <v>2.9180432186362636E-2</v>
      </c>
      <c r="K514" s="330">
        <v>0.71693677761559005</v>
      </c>
      <c r="L514" s="332">
        <v>12960.650529856626</v>
      </c>
      <c r="M514" s="330">
        <v>0</v>
      </c>
      <c r="N514" s="330">
        <v>13167.245074015374</v>
      </c>
      <c r="O514" s="330">
        <v>1260.3180192316875</v>
      </c>
      <c r="P514" s="330">
        <v>42060.928640111677</v>
      </c>
      <c r="Q514" s="333">
        <v>146886.93568569087</v>
      </c>
      <c r="R514" s="330">
        <v>28777.621507286593</v>
      </c>
      <c r="S514" s="330">
        <v>7614.1367873364179</v>
      </c>
      <c r="T514" s="332">
        <v>0.99998868158197496</v>
      </c>
      <c r="U514" s="330">
        <v>0.99380784332116057</v>
      </c>
      <c r="V514" s="330">
        <v>0.92325405064347144</v>
      </c>
      <c r="W514" s="330">
        <v>0.97818497368363588</v>
      </c>
      <c r="X514" s="330">
        <v>0.93627273606971007</v>
      </c>
      <c r="Y514" s="330">
        <v>0</v>
      </c>
      <c r="Z514" s="331">
        <v>0</v>
      </c>
      <c r="AA514" s="235"/>
      <c r="AB514" s="335">
        <v>83523.919619419859</v>
      </c>
      <c r="AC514" s="336">
        <v>5.0233191355798539</v>
      </c>
      <c r="AD514" s="337">
        <v>70033.240496078317</v>
      </c>
      <c r="AE514" s="336">
        <v>4.1960831754498455</v>
      </c>
      <c r="AF514" s="337">
        <v>13490.679123341542</v>
      </c>
      <c r="AG514" s="338">
        <v>0.82723596013000833</v>
      </c>
      <c r="AH514" s="235"/>
      <c r="AI514" s="208">
        <f t="shared" si="52"/>
        <v>4688629.2591814417</v>
      </c>
      <c r="AJ514" s="208">
        <f t="shared" si="53"/>
        <v>3916245.7761812746</v>
      </c>
      <c r="AK514" s="208">
        <f t="shared" si="54"/>
        <v>772383.48300016636</v>
      </c>
      <c r="AL514" s="235"/>
      <c r="AM514" s="52">
        <f t="shared" si="30"/>
        <v>1</v>
      </c>
      <c r="AN514" s="52">
        <f t="shared" si="31"/>
        <v>0</v>
      </c>
      <c r="AO514" s="52">
        <f t="shared" si="32"/>
        <v>1</v>
      </c>
      <c r="AP514" s="235"/>
      <c r="AQ514" s="28"/>
      <c r="AR514" s="28"/>
      <c r="AS514" s="28"/>
      <c r="AT514" s="28"/>
      <c r="AU514" s="235"/>
      <c r="AV514" s="360">
        <f t="shared" si="55"/>
        <v>4688629.2591814417</v>
      </c>
      <c r="AW514" s="235"/>
      <c r="AX514" s="355"/>
      <c r="AY514" s="344"/>
      <c r="AZ514" s="14">
        <f t="shared" si="57"/>
        <v>13490.679123341542</v>
      </c>
      <c r="BA514" s="14">
        <f t="shared" si="56"/>
        <v>0.82723596013000833</v>
      </c>
      <c r="BB514" s="14">
        <f t="shared" si="33"/>
        <v>16308.139120573709</v>
      </c>
      <c r="BC514" s="344"/>
      <c r="BD514" s="344"/>
      <c r="BE514" s="344"/>
      <c r="BF514" s="344"/>
      <c r="BG514" s="344"/>
      <c r="BH514" s="344"/>
      <c r="BI514" s="344"/>
      <c r="BJ514" s="344"/>
      <c r="BK514" s="344"/>
      <c r="BL514" s="344"/>
      <c r="BM514" s="344"/>
      <c r="BN514" s="344"/>
      <c r="BO514" s="344"/>
      <c r="BP514" s="14"/>
      <c r="BQ514" s="14"/>
      <c r="BR514" s="14"/>
      <c r="BS514" s="14"/>
      <c r="BT514" s="14"/>
      <c r="BU514" s="14"/>
      <c r="BV514" s="14"/>
      <c r="BW514" s="14"/>
      <c r="BX514" s="14"/>
      <c r="BY514" s="14"/>
      <c r="BZ514" s="14"/>
      <c r="CA514" s="14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</row>
    <row r="515" spans="1:101" ht="14.25" customHeight="1" x14ac:dyDescent="0.2">
      <c r="A515" s="328"/>
      <c r="B515" s="52">
        <v>0.16567552009318365</v>
      </c>
      <c r="C515" s="330">
        <v>0.13286050369336694</v>
      </c>
      <c r="D515" s="330">
        <v>1.888616838051782E-2</v>
      </c>
      <c r="E515" s="330">
        <v>1.4498761015691475E-2</v>
      </c>
      <c r="F515" s="331">
        <v>0.8111902361848522</v>
      </c>
      <c r="G515" s="94">
        <v>0.41085040134753892</v>
      </c>
      <c r="H515" s="330">
        <v>0.49469560376416244</v>
      </c>
      <c r="I515" s="330">
        <v>1.0244553018978714E-2</v>
      </c>
      <c r="J515" s="330">
        <v>0.99871611679336914</v>
      </c>
      <c r="K515" s="330">
        <v>0.80065176466401833</v>
      </c>
      <c r="L515" s="332">
        <v>13420.073118248791</v>
      </c>
      <c r="M515" s="330">
        <v>0</v>
      </c>
      <c r="N515" s="330">
        <v>22832.641046795812</v>
      </c>
      <c r="O515" s="330">
        <v>1309.976292129792</v>
      </c>
      <c r="P515" s="330">
        <v>55121.664617332724</v>
      </c>
      <c r="Q515" s="333">
        <v>121237.73137063348</v>
      </c>
      <c r="R515" s="330">
        <v>22962.338307675382</v>
      </c>
      <c r="S515" s="330">
        <v>9798.083937804995</v>
      </c>
      <c r="T515" s="332">
        <v>0.57475032483430588</v>
      </c>
      <c r="U515" s="330">
        <v>0.86720981661270102</v>
      </c>
      <c r="V515" s="330">
        <v>0.92173535683389063</v>
      </c>
      <c r="W515" s="330">
        <v>0.98532829757513118</v>
      </c>
      <c r="X515" s="330">
        <v>0.73381117474461521</v>
      </c>
      <c r="Y515" s="330">
        <v>0</v>
      </c>
      <c r="Z515" s="331">
        <v>0</v>
      </c>
      <c r="AA515" s="235"/>
      <c r="AB515" s="335">
        <v>99818.438252086635</v>
      </c>
      <c r="AC515" s="336">
        <v>3.8466913076938143</v>
      </c>
      <c r="AD515" s="337">
        <v>90193.142208421894</v>
      </c>
      <c r="AE515" s="336">
        <v>3.5784826429243157</v>
      </c>
      <c r="AF515" s="337">
        <v>9625.2960436647409</v>
      </c>
      <c r="AG515" s="338">
        <v>0.26820866476949856</v>
      </c>
      <c r="AH515" s="235"/>
      <c r="AI515" s="208">
        <f t="shared" si="52"/>
        <v>3554538.304057037</v>
      </c>
      <c r="AJ515" s="208">
        <f t="shared" si="53"/>
        <v>3309365.3685696777</v>
      </c>
      <c r="AK515" s="208">
        <f t="shared" si="54"/>
        <v>245172.93548735889</v>
      </c>
      <c r="AL515" s="235"/>
      <c r="AM515" s="52">
        <f t="shared" si="30"/>
        <v>1</v>
      </c>
      <c r="AN515" s="52">
        <f t="shared" si="31"/>
        <v>0</v>
      </c>
      <c r="AO515" s="52">
        <f t="shared" si="32"/>
        <v>1</v>
      </c>
      <c r="AP515" s="235"/>
      <c r="AQ515" s="28"/>
      <c r="AR515" s="28"/>
      <c r="AS515" s="28"/>
      <c r="AT515" s="28"/>
      <c r="AU515" s="235"/>
      <c r="AV515" s="360">
        <f t="shared" si="55"/>
        <v>3554538.304057037</v>
      </c>
      <c r="AW515" s="235"/>
      <c r="AX515" s="355"/>
      <c r="AY515" s="344"/>
      <c r="AZ515" s="14">
        <f t="shared" si="57"/>
        <v>9625.2960436647409</v>
      </c>
      <c r="BA515" s="14">
        <f t="shared" si="56"/>
        <v>0.26820866476949856</v>
      </c>
      <c r="BB515" s="14">
        <f t="shared" si="33"/>
        <v>35887.341864726201</v>
      </c>
      <c r="BC515" s="344"/>
      <c r="BD515" s="344"/>
      <c r="BE515" s="344"/>
      <c r="BF515" s="344"/>
      <c r="BG515" s="344"/>
      <c r="BH515" s="344"/>
      <c r="BI515" s="344"/>
      <c r="BJ515" s="344"/>
      <c r="BK515" s="344"/>
      <c r="BL515" s="344"/>
      <c r="BM515" s="344"/>
      <c r="BN515" s="344"/>
      <c r="BO515" s="344"/>
      <c r="BP515" s="14"/>
      <c r="BQ515" s="14"/>
      <c r="BR515" s="14"/>
      <c r="BS515" s="14"/>
      <c r="BT515" s="14"/>
      <c r="BU515" s="14"/>
      <c r="BV515" s="14"/>
      <c r="BW515" s="14"/>
      <c r="BX515" s="14"/>
      <c r="BY515" s="14"/>
      <c r="BZ515" s="14"/>
      <c r="CA515" s="14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</row>
    <row r="516" spans="1:101" ht="14.25" customHeight="1" x14ac:dyDescent="0.2">
      <c r="A516" s="328"/>
      <c r="B516" s="52">
        <v>0.16564196373837381</v>
      </c>
      <c r="C516" s="330">
        <v>0.62798996501568727</v>
      </c>
      <c r="D516" s="330">
        <v>1.3930604780798914E-2</v>
      </c>
      <c r="E516" s="330">
        <v>9.719715789237228E-3</v>
      </c>
      <c r="F516" s="331">
        <v>0.81805723534976038</v>
      </c>
      <c r="G516" s="94">
        <v>0.38761398324835544</v>
      </c>
      <c r="H516" s="330">
        <v>1.8939276194635639E-2</v>
      </c>
      <c r="I516" s="330">
        <v>1.8313334571975814E-2</v>
      </c>
      <c r="J516" s="330">
        <v>1.4909949128146911E-3</v>
      </c>
      <c r="K516" s="330">
        <v>0.75772866791517479</v>
      </c>
      <c r="L516" s="332">
        <v>8504.038625003066</v>
      </c>
      <c r="M516" s="330">
        <v>0</v>
      </c>
      <c r="N516" s="330">
        <v>20033.809367716756</v>
      </c>
      <c r="O516" s="330">
        <v>712.21541772257933</v>
      </c>
      <c r="P516" s="330">
        <v>38296.992098956587</v>
      </c>
      <c r="Q516" s="333">
        <v>83461.286124771854</v>
      </c>
      <c r="R516" s="330">
        <v>25903.664834130708</v>
      </c>
      <c r="S516" s="330">
        <v>8552.4776260653252</v>
      </c>
      <c r="T516" s="332">
        <v>0.14611978497159656</v>
      </c>
      <c r="U516" s="330">
        <v>0.51692176392473188</v>
      </c>
      <c r="V516" s="330">
        <v>0.84366597274931054</v>
      </c>
      <c r="W516" s="330">
        <v>0.99945181621332324</v>
      </c>
      <c r="X516" s="330">
        <v>0.83414082295518333</v>
      </c>
      <c r="Y516" s="330">
        <v>0</v>
      </c>
      <c r="Z516" s="331">
        <v>0</v>
      </c>
      <c r="AA516" s="235"/>
      <c r="AB516" s="335">
        <v>86590.604138134833</v>
      </c>
      <c r="AC516" s="336">
        <v>4.179631990778109</v>
      </c>
      <c r="AD516" s="337">
        <v>70714.573014545647</v>
      </c>
      <c r="AE516" s="336">
        <v>3.8955195850938651</v>
      </c>
      <c r="AF516" s="337">
        <v>15876.031123589186</v>
      </c>
      <c r="AG516" s="338">
        <v>0.2841124056842439</v>
      </c>
      <c r="AH516" s="235"/>
      <c r="AI516" s="208">
        <f t="shared" si="52"/>
        <v>3884059.7871010685</v>
      </c>
      <c r="AJ516" s="208">
        <f t="shared" si="53"/>
        <v>3630029.0328246262</v>
      </c>
      <c r="AK516" s="208">
        <f t="shared" si="54"/>
        <v>254030.75427644252</v>
      </c>
      <c r="AL516" s="235"/>
      <c r="AM516" s="52">
        <f t="shared" si="30"/>
        <v>1</v>
      </c>
      <c r="AN516" s="52">
        <f t="shared" si="31"/>
        <v>0</v>
      </c>
      <c r="AO516" s="52">
        <f t="shared" si="32"/>
        <v>1</v>
      </c>
      <c r="AP516" s="235"/>
      <c r="AQ516" s="28"/>
      <c r="AR516" s="28"/>
      <c r="AS516" s="28"/>
      <c r="AT516" s="28"/>
      <c r="AU516" s="235"/>
      <c r="AV516" s="360">
        <f t="shared" si="55"/>
        <v>3884059.7871010685</v>
      </c>
      <c r="AW516" s="235"/>
      <c r="AX516" s="355"/>
      <c r="AY516" s="344"/>
      <c r="AZ516" s="14">
        <f t="shared" si="57"/>
        <v>15876.031123589186</v>
      </c>
      <c r="BA516" s="14">
        <f t="shared" si="56"/>
        <v>0.2841124056842439</v>
      </c>
      <c r="BB516" s="14">
        <f t="shared" si="33"/>
        <v>55879.401272021358</v>
      </c>
      <c r="BC516" s="344"/>
      <c r="BD516" s="344"/>
      <c r="BE516" s="344"/>
      <c r="BF516" s="344"/>
      <c r="BG516" s="344"/>
      <c r="BH516" s="344"/>
      <c r="BI516" s="344"/>
      <c r="BJ516" s="344"/>
      <c r="BK516" s="344"/>
      <c r="BL516" s="344"/>
      <c r="BM516" s="344"/>
      <c r="BN516" s="344"/>
      <c r="BO516" s="344"/>
      <c r="BP516" s="14"/>
      <c r="BQ516" s="14"/>
      <c r="BR516" s="14"/>
      <c r="BS516" s="14"/>
      <c r="BT516" s="14"/>
      <c r="BU516" s="14"/>
      <c r="BV516" s="14"/>
      <c r="BW516" s="14"/>
      <c r="BX516" s="14"/>
      <c r="BY516" s="14"/>
      <c r="BZ516" s="14"/>
      <c r="CA516" s="14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</row>
    <row r="517" spans="1:101" ht="14.25" customHeight="1" x14ac:dyDescent="0.2">
      <c r="A517" s="328"/>
      <c r="B517" s="52">
        <v>0.16688343974252329</v>
      </c>
      <c r="C517" s="330">
        <v>0.42654842259141112</v>
      </c>
      <c r="D517" s="330">
        <v>1.2688547318167468E-2</v>
      </c>
      <c r="E517" s="330">
        <v>4.0047325917165113E-3</v>
      </c>
      <c r="F517" s="331">
        <v>0.79951456739245985</v>
      </c>
      <c r="G517" s="94">
        <v>0.38444894928675477</v>
      </c>
      <c r="H517" s="330">
        <v>0.15897748630493375</v>
      </c>
      <c r="I517" s="330">
        <v>1.8885494061942176E-2</v>
      </c>
      <c r="J517" s="330">
        <v>0.99999999991840882</v>
      </c>
      <c r="K517" s="330">
        <v>0.68617707098833558</v>
      </c>
      <c r="L517" s="332">
        <v>9975.7145885685586</v>
      </c>
      <c r="M517" s="330">
        <v>0</v>
      </c>
      <c r="N517" s="330">
        <v>14784.055947605393</v>
      </c>
      <c r="O517" s="330">
        <v>1139.3282035731972</v>
      </c>
      <c r="P517" s="330">
        <v>53756.592807331806</v>
      </c>
      <c r="Q517" s="333">
        <v>97565.195368811546</v>
      </c>
      <c r="R517" s="330">
        <v>23562.513711360163</v>
      </c>
      <c r="S517" s="330">
        <v>10587.779493311793</v>
      </c>
      <c r="T517" s="332">
        <v>0.99639463407405426</v>
      </c>
      <c r="U517" s="330">
        <v>0.21233343086216447</v>
      </c>
      <c r="V517" s="330">
        <v>0.67604191507067124</v>
      </c>
      <c r="W517" s="330">
        <v>0.99988207945301066</v>
      </c>
      <c r="X517" s="330">
        <v>0.33835783015710941</v>
      </c>
      <c r="Y517" s="330">
        <v>0</v>
      </c>
      <c r="Z517" s="331">
        <v>0</v>
      </c>
      <c r="AA517" s="235"/>
      <c r="AB517" s="335">
        <v>102891.07033587502</v>
      </c>
      <c r="AC517" s="336">
        <v>2.0624615644903517</v>
      </c>
      <c r="AD517" s="337">
        <v>81093.289507715963</v>
      </c>
      <c r="AE517" s="336">
        <v>1.4175792242579996</v>
      </c>
      <c r="AF517" s="337">
        <v>21797.780828159055</v>
      </c>
      <c r="AG517" s="338">
        <v>0.64488234023235202</v>
      </c>
      <c r="AH517" s="235"/>
      <c r="AI517" s="208">
        <f t="shared" si="52"/>
        <v>1856447.4159299592</v>
      </c>
      <c r="AJ517" s="208">
        <f t="shared" si="53"/>
        <v>1265606.9735373836</v>
      </c>
      <c r="AK517" s="208">
        <f t="shared" si="54"/>
        <v>590840.44239257532</v>
      </c>
      <c r="AL517" s="235"/>
      <c r="AM517" s="52">
        <f t="shared" si="30"/>
        <v>1</v>
      </c>
      <c r="AN517" s="52">
        <f t="shared" si="31"/>
        <v>0</v>
      </c>
      <c r="AO517" s="52">
        <f t="shared" si="32"/>
        <v>1</v>
      </c>
      <c r="AP517" s="235"/>
      <c r="AQ517" s="28"/>
      <c r="AR517" s="28"/>
      <c r="AS517" s="28"/>
      <c r="AT517" s="28"/>
      <c r="AU517" s="235"/>
      <c r="AV517" s="360">
        <f t="shared" si="55"/>
        <v>1856447.4159299592</v>
      </c>
      <c r="AW517" s="235"/>
      <c r="AX517" s="355"/>
      <c r="AY517" s="344"/>
      <c r="AZ517" s="14">
        <f t="shared" si="57"/>
        <v>21797.780828159055</v>
      </c>
      <c r="BA517" s="14">
        <f t="shared" si="56"/>
        <v>0.64488234023235202</v>
      </c>
      <c r="BB517" s="14">
        <f t="shared" si="33"/>
        <v>33801.174986905804</v>
      </c>
      <c r="BC517" s="344"/>
      <c r="BD517" s="344"/>
      <c r="BE517" s="344"/>
      <c r="BF517" s="344"/>
      <c r="BG517" s="344"/>
      <c r="BH517" s="344"/>
      <c r="BI517" s="344"/>
      <c r="BJ517" s="344"/>
      <c r="BK517" s="344"/>
      <c r="BL517" s="344"/>
      <c r="BM517" s="344"/>
      <c r="BN517" s="344"/>
      <c r="BO517" s="344"/>
      <c r="BP517" s="14"/>
      <c r="BQ517" s="14"/>
      <c r="BR517" s="14"/>
      <c r="BS517" s="14"/>
      <c r="BT517" s="14"/>
      <c r="BU517" s="14"/>
      <c r="BV517" s="14"/>
      <c r="BW517" s="14"/>
      <c r="BX517" s="14"/>
      <c r="BY517" s="14"/>
      <c r="BZ517" s="14"/>
      <c r="CA517" s="14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</row>
    <row r="518" spans="1:101" ht="14.25" customHeight="1" x14ac:dyDescent="0.2">
      <c r="A518" s="328"/>
      <c r="B518" s="52">
        <v>0.16053130712465602</v>
      </c>
      <c r="C518" s="330">
        <v>6.2809676029744493E-2</v>
      </c>
      <c r="D518" s="330">
        <v>2.4686399794164204E-2</v>
      </c>
      <c r="E518" s="330">
        <v>3.0884148389617394E-2</v>
      </c>
      <c r="F518" s="331">
        <v>0.78733791686447097</v>
      </c>
      <c r="G518" s="94">
        <v>0.43585542520966147</v>
      </c>
      <c r="H518" s="330">
        <v>0.51579298547127972</v>
      </c>
      <c r="I518" s="330">
        <v>1.4183011976674308E-2</v>
      </c>
      <c r="J518" s="330">
        <v>3.5978108113538063E-2</v>
      </c>
      <c r="K518" s="330">
        <v>0.7496532250487713</v>
      </c>
      <c r="L518" s="332">
        <v>16187.232356262195</v>
      </c>
      <c r="M518" s="330">
        <v>0</v>
      </c>
      <c r="N518" s="330">
        <v>19107.478134619247</v>
      </c>
      <c r="O518" s="330">
        <v>1416.7421633253773</v>
      </c>
      <c r="P518" s="330">
        <v>39460.40203384198</v>
      </c>
      <c r="Q518" s="333">
        <v>82433.690885672215</v>
      </c>
      <c r="R518" s="330">
        <v>23077.681485468198</v>
      </c>
      <c r="S518" s="330">
        <v>7463.5474971009016</v>
      </c>
      <c r="T518" s="332">
        <v>0.40095927266523823</v>
      </c>
      <c r="U518" s="330">
        <v>0.60710209568098561</v>
      </c>
      <c r="V518" s="330">
        <v>0.99078021176028375</v>
      </c>
      <c r="W518" s="330">
        <v>0.99991348054042817</v>
      </c>
      <c r="X518" s="330">
        <v>0.85525578048307116</v>
      </c>
      <c r="Y518" s="330">
        <v>0</v>
      </c>
      <c r="Z518" s="331">
        <v>0</v>
      </c>
      <c r="AA518" s="235"/>
      <c r="AB518" s="335">
        <v>80041.500780679562</v>
      </c>
      <c r="AC518" s="336">
        <v>4.3080198164284624</v>
      </c>
      <c r="AD518" s="337">
        <v>66305.618893134175</v>
      </c>
      <c r="AE518" s="336">
        <v>4.047232482071438</v>
      </c>
      <c r="AF518" s="337">
        <v>13735.881887545387</v>
      </c>
      <c r="AG518" s="338">
        <v>0.26078733435702439</v>
      </c>
      <c r="AH518" s="235"/>
      <c r="AI518" s="208">
        <f t="shared" si="52"/>
        <v>4012577.3248263597</v>
      </c>
      <c r="AJ518" s="208">
        <f t="shared" si="53"/>
        <v>3778565.2390747322</v>
      </c>
      <c r="AK518" s="208">
        <f t="shared" si="54"/>
        <v>234012.0857516278</v>
      </c>
      <c r="AL518" s="235"/>
      <c r="AM518" s="52">
        <f t="shared" si="30"/>
        <v>1</v>
      </c>
      <c r="AN518" s="52">
        <f t="shared" si="31"/>
        <v>0</v>
      </c>
      <c r="AO518" s="52">
        <f t="shared" si="32"/>
        <v>1</v>
      </c>
      <c r="AP518" s="235"/>
      <c r="AQ518" s="28"/>
      <c r="AR518" s="28"/>
      <c r="AS518" s="28"/>
      <c r="AT518" s="28"/>
      <c r="AU518" s="235"/>
      <c r="AV518" s="360">
        <f t="shared" si="55"/>
        <v>4012577.3248263597</v>
      </c>
      <c r="AW518" s="235"/>
      <c r="AX518" s="355"/>
      <c r="AY518" s="344"/>
      <c r="AZ518" s="14">
        <f t="shared" si="57"/>
        <v>13735.881887545387</v>
      </c>
      <c r="BA518" s="14">
        <f t="shared" si="56"/>
        <v>0.26078733435702439</v>
      </c>
      <c r="BB518" s="14">
        <f t="shared" si="33"/>
        <v>52670.816707457969</v>
      </c>
      <c r="BC518" s="344"/>
      <c r="BD518" s="344"/>
      <c r="BE518" s="344"/>
      <c r="BF518" s="344"/>
      <c r="BG518" s="344"/>
      <c r="BH518" s="344"/>
      <c r="BI518" s="344"/>
      <c r="BJ518" s="344"/>
      <c r="BK518" s="344"/>
      <c r="BL518" s="344"/>
      <c r="BM518" s="344"/>
      <c r="BN518" s="344"/>
      <c r="BO518" s="344"/>
      <c r="BP518" s="14"/>
      <c r="BQ518" s="14"/>
      <c r="BR518" s="14"/>
      <c r="BS518" s="14"/>
      <c r="BT518" s="14"/>
      <c r="BU518" s="14"/>
      <c r="BV518" s="14"/>
      <c r="BW518" s="14"/>
      <c r="BX518" s="14"/>
      <c r="BY518" s="14"/>
      <c r="BZ518" s="14"/>
      <c r="CA518" s="14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</row>
    <row r="519" spans="1:101" ht="14.25" customHeight="1" x14ac:dyDescent="0.2">
      <c r="A519" s="328"/>
      <c r="B519" s="52">
        <v>0.14110303202455898</v>
      </c>
      <c r="C519" s="330">
        <v>8.4176526632539481E-2</v>
      </c>
      <c r="D519" s="330">
        <v>6.2708573825946681E-3</v>
      </c>
      <c r="E519" s="330">
        <v>1.585321417865182E-2</v>
      </c>
      <c r="F519" s="331">
        <v>0.76731023681397681</v>
      </c>
      <c r="G519" s="94">
        <v>0.39656620769174944</v>
      </c>
      <c r="H519" s="330">
        <v>0.69756112954299376</v>
      </c>
      <c r="I519" s="330">
        <v>8.5291538018686767E-3</v>
      </c>
      <c r="J519" s="330">
        <v>0.99926906182332276</v>
      </c>
      <c r="K519" s="330">
        <v>0.76872955567967982</v>
      </c>
      <c r="L519" s="332">
        <v>13902.486981751075</v>
      </c>
      <c r="M519" s="330">
        <v>0</v>
      </c>
      <c r="N519" s="330">
        <v>15589.532593744807</v>
      </c>
      <c r="O519" s="330">
        <v>1486.7991436326824</v>
      </c>
      <c r="P519" s="330">
        <v>43136.563307094657</v>
      </c>
      <c r="Q519" s="333">
        <v>94772.358196300804</v>
      </c>
      <c r="R519" s="330">
        <v>24740.721423432249</v>
      </c>
      <c r="S519" s="330">
        <v>12421.817851837292</v>
      </c>
      <c r="T519" s="332">
        <v>2.5207123218547588E-2</v>
      </c>
      <c r="U519" s="330">
        <v>0.99775358069835907</v>
      </c>
      <c r="V519" s="330">
        <v>0.6892140849461027</v>
      </c>
      <c r="W519" s="330">
        <v>0.56418361402580375</v>
      </c>
      <c r="X519" s="330">
        <v>0.99921731566672389</v>
      </c>
      <c r="Y519" s="330">
        <v>0</v>
      </c>
      <c r="Z519" s="331">
        <v>0</v>
      </c>
      <c r="AA519" s="235"/>
      <c r="AB519" s="335">
        <v>116774.34915566351</v>
      </c>
      <c r="AC519" s="336">
        <v>4.6400791175747766</v>
      </c>
      <c r="AD519" s="337">
        <v>110374.06026044827</v>
      </c>
      <c r="AE519" s="336">
        <v>4.7236342999997651</v>
      </c>
      <c r="AF519" s="337">
        <v>6400.2888952152425</v>
      </c>
      <c r="AG519" s="338">
        <v>-8.3555182424988494E-2</v>
      </c>
      <c r="AH519" s="235"/>
      <c r="AI519" s="208">
        <f t="shared" si="52"/>
        <v>4291300.8125403747</v>
      </c>
      <c r="AJ519" s="208">
        <f t="shared" si="53"/>
        <v>4377078.5247393278</v>
      </c>
      <c r="AK519" s="208">
        <f t="shared" si="54"/>
        <v>-85777.712198954308</v>
      </c>
      <c r="AL519" s="235"/>
      <c r="AM519" s="52">
        <f t="shared" si="30"/>
        <v>0</v>
      </c>
      <c r="AN519" s="52">
        <f t="shared" si="31"/>
        <v>1</v>
      </c>
      <c r="AO519" s="52">
        <f t="shared" si="32"/>
        <v>0</v>
      </c>
      <c r="AP519" s="235"/>
      <c r="AQ519" s="28"/>
      <c r="AR519" s="28"/>
      <c r="AS519" s="28"/>
      <c r="AT519" s="28"/>
      <c r="AU519" s="235"/>
      <c r="AV519" s="360">
        <f t="shared" si="55"/>
        <v>4377078.5247393278</v>
      </c>
      <c r="AW519" s="235"/>
      <c r="AX519" s="355"/>
      <c r="AY519" s="344"/>
      <c r="AZ519" s="14">
        <f t="shared" si="57"/>
        <v>6400.2888952152425</v>
      </c>
      <c r="BA519" s="14">
        <f t="shared" si="56"/>
        <v>-8.3555182424988494E-2</v>
      </c>
      <c r="BB519" s="14">
        <f t="shared" si="33"/>
        <v>-76599.544270770872</v>
      </c>
      <c r="BC519" s="344"/>
      <c r="BD519" s="344"/>
      <c r="BE519" s="344"/>
      <c r="BF519" s="344"/>
      <c r="BG519" s="344"/>
      <c r="BH519" s="344"/>
      <c r="BI519" s="344"/>
      <c r="BJ519" s="344"/>
      <c r="BK519" s="344"/>
      <c r="BL519" s="344"/>
      <c r="BM519" s="344"/>
      <c r="BN519" s="344"/>
      <c r="BO519" s="344"/>
      <c r="BP519" s="14"/>
      <c r="BQ519" s="14"/>
      <c r="BR519" s="14"/>
      <c r="BS519" s="14"/>
      <c r="BT519" s="14"/>
      <c r="BU519" s="14"/>
      <c r="BV519" s="14"/>
      <c r="BW519" s="14"/>
      <c r="BX519" s="14"/>
      <c r="BY519" s="14"/>
      <c r="BZ519" s="14"/>
      <c r="CA519" s="14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</row>
    <row r="520" spans="1:101" ht="14.25" customHeight="1" x14ac:dyDescent="0.2">
      <c r="A520" s="328"/>
      <c r="B520" s="52">
        <v>0.20514453645865682</v>
      </c>
      <c r="C520" s="330">
        <v>8.231074093855778E-2</v>
      </c>
      <c r="D520" s="330">
        <v>2.6625244009949589E-2</v>
      </c>
      <c r="E520" s="330">
        <v>1.5170140588583458E-2</v>
      </c>
      <c r="F520" s="331">
        <v>0.7705306902301301</v>
      </c>
      <c r="G520" s="94">
        <v>0.4028438705224705</v>
      </c>
      <c r="H520" s="330">
        <v>0.97154611981416794</v>
      </c>
      <c r="I520" s="330">
        <v>2.5257688772945763E-2</v>
      </c>
      <c r="J520" s="330">
        <v>0.99999576863050077</v>
      </c>
      <c r="K520" s="330">
        <v>0.70597074047954222</v>
      </c>
      <c r="L520" s="332">
        <v>8136.9728524259926</v>
      </c>
      <c r="M520" s="330">
        <v>0</v>
      </c>
      <c r="N520" s="330">
        <v>17624.798146561334</v>
      </c>
      <c r="O520" s="330">
        <v>1450.9048618889733</v>
      </c>
      <c r="P520" s="330">
        <v>47457.080051003708</v>
      </c>
      <c r="Q520" s="333">
        <v>67616.472007372737</v>
      </c>
      <c r="R520" s="330">
        <v>20439.330219527052</v>
      </c>
      <c r="S520" s="330">
        <v>7613.3811746817055</v>
      </c>
      <c r="T520" s="332">
        <v>0.97337591677193602</v>
      </c>
      <c r="U520" s="330">
        <v>0.99313811523391338</v>
      </c>
      <c r="V520" s="330">
        <v>0.68476183962278603</v>
      </c>
      <c r="W520" s="330">
        <v>0.26826996583481227</v>
      </c>
      <c r="X520" s="330">
        <v>0.51613893258597165</v>
      </c>
      <c r="Y520" s="330">
        <v>0</v>
      </c>
      <c r="Z520" s="331">
        <v>0</v>
      </c>
      <c r="AA520" s="235"/>
      <c r="AB520" s="335">
        <v>72107.556397320732</v>
      </c>
      <c r="AC520" s="336">
        <v>2.4026239441765269</v>
      </c>
      <c r="AD520" s="337">
        <v>67427.802493972122</v>
      </c>
      <c r="AE520" s="336">
        <v>2.3719681977641884</v>
      </c>
      <c r="AF520" s="337">
        <v>4679.75390334861</v>
      </c>
      <c r="AG520" s="338">
        <v>3.065574641233848E-2</v>
      </c>
      <c r="AH520" s="235"/>
      <c r="AI520" s="208">
        <f t="shared" si="52"/>
        <v>2210385.1905703801</v>
      </c>
      <c r="AJ520" s="208">
        <f t="shared" si="53"/>
        <v>2185941.985382007</v>
      </c>
      <c r="AK520" s="208">
        <f t="shared" si="54"/>
        <v>24443.205188372947</v>
      </c>
      <c r="AL520" s="235"/>
      <c r="AM520" s="52">
        <f t="shared" si="30"/>
        <v>1</v>
      </c>
      <c r="AN520" s="52">
        <f t="shared" si="31"/>
        <v>0</v>
      </c>
      <c r="AO520" s="52">
        <f t="shared" si="32"/>
        <v>1</v>
      </c>
      <c r="AP520" s="235"/>
      <c r="AQ520" s="28"/>
      <c r="AR520" s="28"/>
      <c r="AS520" s="28"/>
      <c r="AT520" s="28"/>
      <c r="AU520" s="235"/>
      <c r="AV520" s="360">
        <f t="shared" si="55"/>
        <v>2210385.1905703801</v>
      </c>
      <c r="AW520" s="235"/>
      <c r="AX520" s="355"/>
      <c r="AY520" s="344"/>
      <c r="AZ520" s="14">
        <f t="shared" si="57"/>
        <v>4679.75390334861</v>
      </c>
      <c r="BA520" s="14">
        <f t="shared" si="56"/>
        <v>3.065574641233848E-2</v>
      </c>
      <c r="BB520" s="14">
        <f t="shared" si="33"/>
        <v>152655.03049258911</v>
      </c>
      <c r="BC520" s="344"/>
      <c r="BD520" s="344"/>
      <c r="BE520" s="344"/>
      <c r="BF520" s="344"/>
      <c r="BG520" s="344"/>
      <c r="BH520" s="344"/>
      <c r="BI520" s="344"/>
      <c r="BJ520" s="344"/>
      <c r="BK520" s="344"/>
      <c r="BL520" s="344"/>
      <c r="BM520" s="344"/>
      <c r="BN520" s="344"/>
      <c r="BO520" s="344"/>
      <c r="BP520" s="14"/>
      <c r="BQ520" s="14"/>
      <c r="BR520" s="14"/>
      <c r="BS520" s="14"/>
      <c r="BT520" s="14"/>
      <c r="BU520" s="14"/>
      <c r="BV520" s="14"/>
      <c r="BW520" s="14"/>
      <c r="BX520" s="14"/>
      <c r="BY520" s="14"/>
      <c r="BZ520" s="14"/>
      <c r="CA520" s="14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</row>
    <row r="521" spans="1:101" ht="14.25" customHeight="1" x14ac:dyDescent="0.2">
      <c r="A521" s="328"/>
      <c r="B521" s="52">
        <v>0.18003344256098064</v>
      </c>
      <c r="C521" s="330">
        <v>0.40847447101768464</v>
      </c>
      <c r="D521" s="330">
        <v>1.381384879337438E-2</v>
      </c>
      <c r="E521" s="330">
        <v>2.1634567614817302E-2</v>
      </c>
      <c r="F521" s="331">
        <v>0.78634349802739278</v>
      </c>
      <c r="G521" s="94">
        <v>0.36491645279248724</v>
      </c>
      <c r="H521" s="330">
        <v>0.62731936728061577</v>
      </c>
      <c r="I521" s="330">
        <v>1.5263144749191672E-2</v>
      </c>
      <c r="J521" s="330">
        <v>0.11649402499399131</v>
      </c>
      <c r="K521" s="330">
        <v>0.75359226227403076</v>
      </c>
      <c r="L521" s="332">
        <v>9872.8521977160744</v>
      </c>
      <c r="M521" s="330">
        <v>0</v>
      </c>
      <c r="N521" s="330">
        <v>16985.10557314707</v>
      </c>
      <c r="O521" s="330">
        <v>933.41497793741303</v>
      </c>
      <c r="P521" s="330">
        <v>49283.80028637038</v>
      </c>
      <c r="Q521" s="333">
        <v>99357.032989904386</v>
      </c>
      <c r="R521" s="330">
        <v>23831.499383887502</v>
      </c>
      <c r="S521" s="330">
        <v>8887.6155541954322</v>
      </c>
      <c r="T521" s="332">
        <v>0.19402177018738626</v>
      </c>
      <c r="U521" s="330">
        <v>0.98702988820117477</v>
      </c>
      <c r="V521" s="330">
        <v>0.46582704313522699</v>
      </c>
      <c r="W521" s="330">
        <v>0.84671816926880283</v>
      </c>
      <c r="X521" s="330">
        <v>0.77173887496936444</v>
      </c>
      <c r="Y521" s="330">
        <v>0</v>
      </c>
      <c r="Z521" s="331">
        <v>0</v>
      </c>
      <c r="AA521" s="235"/>
      <c r="AB521" s="335">
        <v>87041.663003750233</v>
      </c>
      <c r="AC521" s="336">
        <v>3.6939456552117966</v>
      </c>
      <c r="AD521" s="337">
        <v>78237.356713998408</v>
      </c>
      <c r="AE521" s="336">
        <v>3.677553002942064</v>
      </c>
      <c r="AF521" s="337">
        <v>8804.3062897518248</v>
      </c>
      <c r="AG521" s="338">
        <v>1.6392652269732633E-2</v>
      </c>
      <c r="AH521" s="235"/>
      <c r="AI521" s="208">
        <f t="shared" si="52"/>
        <v>3422206.7094474565</v>
      </c>
      <c r="AJ521" s="208">
        <f t="shared" si="53"/>
        <v>3415437.996080962</v>
      </c>
      <c r="AK521" s="208">
        <f t="shared" si="54"/>
        <v>6768.7133664941757</v>
      </c>
      <c r="AL521" s="235"/>
      <c r="AM521" s="52">
        <f t="shared" si="30"/>
        <v>1</v>
      </c>
      <c r="AN521" s="52">
        <f t="shared" si="31"/>
        <v>0</v>
      </c>
      <c r="AO521" s="52">
        <f t="shared" si="32"/>
        <v>1</v>
      </c>
      <c r="AP521" s="235"/>
      <c r="AQ521" s="28"/>
      <c r="AR521" s="28"/>
      <c r="AS521" s="28"/>
      <c r="AT521" s="28"/>
      <c r="AU521" s="235"/>
      <c r="AV521" s="360">
        <f t="shared" si="55"/>
        <v>3422206.7094474565</v>
      </c>
      <c r="AW521" s="235"/>
      <c r="AX521" s="355"/>
      <c r="AY521" s="344"/>
      <c r="AZ521" s="14">
        <f t="shared" si="57"/>
        <v>8804.3062897518248</v>
      </c>
      <c r="BA521" s="14">
        <f t="shared" si="56"/>
        <v>1.6392652269732633E-2</v>
      </c>
      <c r="BB521" s="14">
        <f t="shared" si="33"/>
        <v>537088.57754568988</v>
      </c>
      <c r="BC521" s="344"/>
      <c r="BD521" s="344"/>
      <c r="BE521" s="344"/>
      <c r="BF521" s="344"/>
      <c r="BG521" s="344"/>
      <c r="BH521" s="344"/>
      <c r="BI521" s="344"/>
      <c r="BJ521" s="344"/>
      <c r="BK521" s="344"/>
      <c r="BL521" s="344"/>
      <c r="BM521" s="344"/>
      <c r="BN521" s="344"/>
      <c r="BO521" s="344"/>
      <c r="BP521" s="14"/>
      <c r="BQ521" s="14"/>
      <c r="BR521" s="14"/>
      <c r="BS521" s="14"/>
      <c r="BT521" s="14"/>
      <c r="BU521" s="14"/>
      <c r="BV521" s="14"/>
      <c r="BW521" s="14"/>
      <c r="BX521" s="14"/>
      <c r="BY521" s="14"/>
      <c r="BZ521" s="14"/>
      <c r="CA521" s="14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</row>
    <row r="522" spans="1:101" ht="14.25" customHeight="1" x14ac:dyDescent="0.2">
      <c r="A522" s="328"/>
      <c r="B522" s="52">
        <v>0.1885767162617441</v>
      </c>
      <c r="C522" s="330">
        <v>6.5088486763736117E-2</v>
      </c>
      <c r="D522" s="330">
        <v>1.1547389551464589E-2</v>
      </c>
      <c r="E522" s="330">
        <v>3.9727592750328569E-3</v>
      </c>
      <c r="F522" s="331">
        <v>0.7837984977765845</v>
      </c>
      <c r="G522" s="94">
        <v>0.35348682253168168</v>
      </c>
      <c r="H522" s="330">
        <v>0.78255853851366053</v>
      </c>
      <c r="I522" s="330">
        <v>3.3837034217943374E-2</v>
      </c>
      <c r="J522" s="330">
        <v>0.99999999999920486</v>
      </c>
      <c r="K522" s="330">
        <v>0.7625018949038318</v>
      </c>
      <c r="L522" s="332">
        <v>11936.167689150683</v>
      </c>
      <c r="M522" s="330">
        <v>0</v>
      </c>
      <c r="N522" s="330">
        <v>13641.70513911022</v>
      </c>
      <c r="O522" s="330">
        <v>980.71526458231347</v>
      </c>
      <c r="P522" s="330">
        <v>43346.379798840921</v>
      </c>
      <c r="Q522" s="333">
        <v>69525.494920793222</v>
      </c>
      <c r="R522" s="330">
        <v>16615.916206580394</v>
      </c>
      <c r="S522" s="330">
        <v>6357.5123640018783</v>
      </c>
      <c r="T522" s="332">
        <v>0.98376558883064269</v>
      </c>
      <c r="U522" s="330">
        <v>0.9910799923319058</v>
      </c>
      <c r="V522" s="330">
        <v>0.59414581516654619</v>
      </c>
      <c r="W522" s="330">
        <v>0.97261578970564555</v>
      </c>
      <c r="X522" s="330">
        <v>0.74000670487018627</v>
      </c>
      <c r="Y522" s="330">
        <v>0</v>
      </c>
      <c r="Z522" s="331">
        <v>0</v>
      </c>
      <c r="AA522" s="235"/>
      <c r="AB522" s="335">
        <v>65950.762093179481</v>
      </c>
      <c r="AC522" s="336">
        <v>3.7320275117170585</v>
      </c>
      <c r="AD522" s="337">
        <v>58334.543980725168</v>
      </c>
      <c r="AE522" s="336">
        <v>3.7055011447012483</v>
      </c>
      <c r="AF522" s="337">
        <v>7616.2181124543131</v>
      </c>
      <c r="AG522" s="338">
        <v>2.6526367015810237E-2</v>
      </c>
      <c r="AH522" s="235"/>
      <c r="AI522" s="208">
        <f t="shared" si="52"/>
        <v>3479475.3740380262</v>
      </c>
      <c r="AJ522" s="208">
        <f t="shared" si="53"/>
        <v>3461891.5434854608</v>
      </c>
      <c r="AK522" s="208">
        <f t="shared" si="54"/>
        <v>17583.83055256541</v>
      </c>
      <c r="AL522" s="235"/>
      <c r="AM522" s="52">
        <f t="shared" si="30"/>
        <v>1</v>
      </c>
      <c r="AN522" s="52">
        <f t="shared" si="31"/>
        <v>0</v>
      </c>
      <c r="AO522" s="52">
        <f t="shared" si="32"/>
        <v>1</v>
      </c>
      <c r="AP522" s="235"/>
      <c r="AQ522" s="28"/>
      <c r="AR522" s="28"/>
      <c r="AS522" s="28"/>
      <c r="AT522" s="28"/>
      <c r="AU522" s="235"/>
      <c r="AV522" s="360">
        <f t="shared" si="55"/>
        <v>3479475.3740380262</v>
      </c>
      <c r="AW522" s="235"/>
      <c r="AX522" s="355"/>
      <c r="AY522" s="344"/>
      <c r="AZ522" s="14">
        <f t="shared" si="57"/>
        <v>7616.2181124543131</v>
      </c>
      <c r="BA522" s="14">
        <f t="shared" si="56"/>
        <v>2.6526367015810237E-2</v>
      </c>
      <c r="BB522" s="14">
        <f t="shared" si="33"/>
        <v>287118.77913454553</v>
      </c>
      <c r="BC522" s="344"/>
      <c r="BD522" s="344"/>
      <c r="BE522" s="344"/>
      <c r="BF522" s="344"/>
      <c r="BG522" s="344"/>
      <c r="BH522" s="344"/>
      <c r="BI522" s="344"/>
      <c r="BJ522" s="344"/>
      <c r="BK522" s="344"/>
      <c r="BL522" s="344"/>
      <c r="BM522" s="344"/>
      <c r="BN522" s="344"/>
      <c r="BO522" s="344"/>
      <c r="BP522" s="14"/>
      <c r="BQ522" s="14"/>
      <c r="BR522" s="14"/>
      <c r="BS522" s="14"/>
      <c r="BT522" s="14"/>
      <c r="BU522" s="14"/>
      <c r="BV522" s="14"/>
      <c r="BW522" s="14"/>
      <c r="BX522" s="14"/>
      <c r="BY522" s="14"/>
      <c r="BZ522" s="14"/>
      <c r="CA522" s="14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</row>
    <row r="523" spans="1:101" ht="14.25" customHeight="1" x14ac:dyDescent="0.2">
      <c r="A523" s="328"/>
      <c r="B523" s="52">
        <v>0.1683059753063314</v>
      </c>
      <c r="C523" s="330">
        <v>0.63862465358186959</v>
      </c>
      <c r="D523" s="330">
        <v>5.001709615399641E-3</v>
      </c>
      <c r="E523" s="330">
        <v>1.4885503970591518E-2</v>
      </c>
      <c r="F523" s="331">
        <v>0.819039248646101</v>
      </c>
      <c r="G523" s="94">
        <v>0.41840685038884851</v>
      </c>
      <c r="H523" s="330">
        <v>0.53053317400284039</v>
      </c>
      <c r="I523" s="330">
        <v>1.4559487721953901E-2</v>
      </c>
      <c r="J523" s="330">
        <v>0.99815299692897053</v>
      </c>
      <c r="K523" s="330">
        <v>0.74404183670053103</v>
      </c>
      <c r="L523" s="332">
        <v>13249.664521588295</v>
      </c>
      <c r="M523" s="330">
        <v>0</v>
      </c>
      <c r="N523" s="330">
        <v>16622.169145134321</v>
      </c>
      <c r="O523" s="330">
        <v>896.39884345982784</v>
      </c>
      <c r="P523" s="330">
        <v>37175.79905366918</v>
      </c>
      <c r="Q523" s="333">
        <v>107868.49496187373</v>
      </c>
      <c r="R523" s="330">
        <v>23263.979163194366</v>
      </c>
      <c r="S523" s="330">
        <v>8413.1138957272888</v>
      </c>
      <c r="T523" s="332">
        <v>0.99850350112237374</v>
      </c>
      <c r="U523" s="330">
        <v>0.99907006757587569</v>
      </c>
      <c r="V523" s="330">
        <v>0.82699730523784776</v>
      </c>
      <c r="W523" s="330">
        <v>0.55025991737652324</v>
      </c>
      <c r="X523" s="330">
        <v>0.32446667642772925</v>
      </c>
      <c r="Y523" s="330">
        <v>0</v>
      </c>
      <c r="Z523" s="331">
        <v>0</v>
      </c>
      <c r="AA523" s="235"/>
      <c r="AB523" s="335">
        <v>89937.905695688372</v>
      </c>
      <c r="AC523" s="336">
        <v>1.7707986258693655</v>
      </c>
      <c r="AD523" s="337">
        <v>73713.100910771202</v>
      </c>
      <c r="AE523" s="336">
        <v>1.8319852197637174</v>
      </c>
      <c r="AF523" s="337">
        <v>16224.804784917171</v>
      </c>
      <c r="AG523" s="338">
        <v>-6.1186593894351882E-2</v>
      </c>
      <c r="AH523" s="235"/>
      <c r="AI523" s="208">
        <f t="shared" si="52"/>
        <v>1592320.7888802087</v>
      </c>
      <c r="AJ523" s="208">
        <f t="shared" si="53"/>
        <v>1666672.8578647603</v>
      </c>
      <c r="AK523" s="208">
        <f t="shared" si="54"/>
        <v>-74352.068984551457</v>
      </c>
      <c r="AL523" s="235"/>
      <c r="AM523" s="52">
        <f t="shared" si="30"/>
        <v>0</v>
      </c>
      <c r="AN523" s="52">
        <f t="shared" si="31"/>
        <v>1</v>
      </c>
      <c r="AO523" s="52">
        <f t="shared" si="32"/>
        <v>0</v>
      </c>
      <c r="AP523" s="235"/>
      <c r="AQ523" s="28"/>
      <c r="AR523" s="28"/>
      <c r="AS523" s="28"/>
      <c r="AT523" s="28"/>
      <c r="AU523" s="235"/>
      <c r="AV523" s="360">
        <f t="shared" si="55"/>
        <v>1666672.8578647603</v>
      </c>
      <c r="AW523" s="235"/>
      <c r="AX523" s="355"/>
      <c r="AY523" s="344"/>
      <c r="AZ523" s="14">
        <f t="shared" si="57"/>
        <v>16224.804784917171</v>
      </c>
      <c r="BA523" s="14">
        <f t="shared" si="56"/>
        <v>-6.1186593894351882E-2</v>
      </c>
      <c r="BB523" s="14">
        <f t="shared" si="33"/>
        <v>-265169.27569022402</v>
      </c>
      <c r="BC523" s="344"/>
      <c r="BD523" s="344"/>
      <c r="BE523" s="344"/>
      <c r="BF523" s="344"/>
      <c r="BG523" s="344"/>
      <c r="BH523" s="344"/>
      <c r="BI523" s="344"/>
      <c r="BJ523" s="344"/>
      <c r="BK523" s="344"/>
      <c r="BL523" s="344"/>
      <c r="BM523" s="344"/>
      <c r="BN523" s="344"/>
      <c r="BO523" s="344"/>
      <c r="BP523" s="14"/>
      <c r="BQ523" s="14"/>
      <c r="BR523" s="14"/>
      <c r="BS523" s="14"/>
      <c r="BT523" s="14"/>
      <c r="BU523" s="14"/>
      <c r="BV523" s="14"/>
      <c r="BW523" s="14"/>
      <c r="BX523" s="14"/>
      <c r="BY523" s="14"/>
      <c r="BZ523" s="14"/>
      <c r="CA523" s="14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</row>
    <row r="524" spans="1:101" ht="14.25" customHeight="1" x14ac:dyDescent="0.2">
      <c r="A524" s="328"/>
      <c r="B524" s="52">
        <v>0.19651267596178856</v>
      </c>
      <c r="C524" s="330">
        <v>0.14614677450603683</v>
      </c>
      <c r="D524" s="330">
        <v>7.6417210530827619E-3</v>
      </c>
      <c r="E524" s="330">
        <v>1.1767854899591595E-2</v>
      </c>
      <c r="F524" s="331">
        <v>0.7658586873261013</v>
      </c>
      <c r="G524" s="94">
        <v>0.41400789217762013</v>
      </c>
      <c r="H524" s="330">
        <v>7.5650683251756619E-3</v>
      </c>
      <c r="I524" s="330">
        <v>9.640667432956768E-3</v>
      </c>
      <c r="J524" s="330">
        <v>0.96810994356577718</v>
      </c>
      <c r="K524" s="330">
        <v>0.75467464361913228</v>
      </c>
      <c r="L524" s="332">
        <v>11002.805136635196</v>
      </c>
      <c r="M524" s="330">
        <v>0</v>
      </c>
      <c r="N524" s="330">
        <v>31529.640121074499</v>
      </c>
      <c r="O524" s="330">
        <v>1043.5237863052398</v>
      </c>
      <c r="P524" s="330">
        <v>40006.790597918975</v>
      </c>
      <c r="Q524" s="333">
        <v>100352.74265305119</v>
      </c>
      <c r="R524" s="330">
        <v>21861.074911153821</v>
      </c>
      <c r="S524" s="330">
        <v>8753.8569113220492</v>
      </c>
      <c r="T524" s="332">
        <v>0.99196187443946049</v>
      </c>
      <c r="U524" s="330">
        <v>0.41145701633738108</v>
      </c>
      <c r="V524" s="330">
        <v>0.91988058629952996</v>
      </c>
      <c r="W524" s="330">
        <v>0.58693212772676084</v>
      </c>
      <c r="X524" s="330">
        <v>0.58851812387971492</v>
      </c>
      <c r="Y524" s="330">
        <v>0</v>
      </c>
      <c r="Z524" s="331">
        <v>0</v>
      </c>
      <c r="AA524" s="235"/>
      <c r="AB524" s="335">
        <v>83932.184584441478</v>
      </c>
      <c r="AC524" s="336">
        <v>2.8689394497670881</v>
      </c>
      <c r="AD524" s="337">
        <v>72083.427524916551</v>
      </c>
      <c r="AE524" s="336">
        <v>2.8020616802319358</v>
      </c>
      <c r="AF524" s="337">
        <v>11848.757059524927</v>
      </c>
      <c r="AG524" s="338">
        <v>6.6877769535152343E-2</v>
      </c>
      <c r="AH524" s="235"/>
      <c r="AI524" s="208">
        <f t="shared" si="52"/>
        <v>2641560.292694292</v>
      </c>
      <c r="AJ524" s="208">
        <f t="shared" si="53"/>
        <v>2589875.1686954228</v>
      </c>
      <c r="AK524" s="208">
        <f t="shared" si="54"/>
        <v>51685.1239988698</v>
      </c>
      <c r="AL524" s="235"/>
      <c r="AM524" s="52">
        <f t="shared" ref="AM524:AM778" si="58">IF(MAX(AI524:AJ524)=AI524,1,0)</f>
        <v>1</v>
      </c>
      <c r="AN524" s="52">
        <f t="shared" ref="AN524:AN778" si="59">IF(MAX(AI524:AJ524)=AJ524,1,0)</f>
        <v>0</v>
      </c>
      <c r="AO524" s="52">
        <f t="shared" ref="AO524:AO778" si="60">IF(AK524&gt;0,1,0)</f>
        <v>1</v>
      </c>
      <c r="AP524" s="235"/>
      <c r="AQ524" s="28"/>
      <c r="AR524" s="28"/>
      <c r="AS524" s="28"/>
      <c r="AT524" s="28"/>
      <c r="AU524" s="235"/>
      <c r="AV524" s="360">
        <f t="shared" si="55"/>
        <v>2641560.292694292</v>
      </c>
      <c r="AW524" s="235"/>
      <c r="AX524" s="355"/>
      <c r="AY524" s="344"/>
      <c r="AZ524" s="14">
        <f t="shared" si="57"/>
        <v>11848.757059524927</v>
      </c>
      <c r="BA524" s="14">
        <f t="shared" si="56"/>
        <v>6.6877769535152343E-2</v>
      </c>
      <c r="BB524" s="14">
        <f t="shared" ref="BB524:BB778" si="61">AZ524/BA524</f>
        <v>177170.3383931932</v>
      </c>
      <c r="BC524" s="344"/>
      <c r="BD524" s="344"/>
      <c r="BE524" s="344"/>
      <c r="BF524" s="344"/>
      <c r="BG524" s="344"/>
      <c r="BH524" s="344"/>
      <c r="BI524" s="344"/>
      <c r="BJ524" s="344"/>
      <c r="BK524" s="344"/>
      <c r="BL524" s="344"/>
      <c r="BM524" s="344"/>
      <c r="BN524" s="344"/>
      <c r="BO524" s="344"/>
      <c r="BP524" s="14"/>
      <c r="BQ524" s="14"/>
      <c r="BR524" s="14"/>
      <c r="BS524" s="14"/>
      <c r="BT524" s="14"/>
      <c r="BU524" s="14"/>
      <c r="BV524" s="14"/>
      <c r="BW524" s="14"/>
      <c r="BX524" s="14"/>
      <c r="BY524" s="14"/>
      <c r="BZ524" s="14"/>
      <c r="CA524" s="14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</row>
    <row r="525" spans="1:101" ht="14.25" customHeight="1" x14ac:dyDescent="0.2">
      <c r="A525" s="328"/>
      <c r="B525" s="52">
        <v>0.17494078364563581</v>
      </c>
      <c r="C525" s="330">
        <v>0.45444885730467455</v>
      </c>
      <c r="D525" s="330">
        <v>2.0444683988871892E-2</v>
      </c>
      <c r="E525" s="330">
        <v>1.4178950575284812E-2</v>
      </c>
      <c r="F525" s="331">
        <v>0.76185459475883455</v>
      </c>
      <c r="G525" s="94">
        <v>0.35788309271295826</v>
      </c>
      <c r="H525" s="330">
        <v>0.97718862443849863</v>
      </c>
      <c r="I525" s="330">
        <v>2.934729188735008E-2</v>
      </c>
      <c r="J525" s="330">
        <v>0.99471529014419346</v>
      </c>
      <c r="K525" s="330">
        <v>0.78942396221316247</v>
      </c>
      <c r="L525" s="332">
        <v>10694.950821435521</v>
      </c>
      <c r="M525" s="330">
        <v>0</v>
      </c>
      <c r="N525" s="330">
        <v>17559.48255705792</v>
      </c>
      <c r="O525" s="330">
        <v>721.0471085163698</v>
      </c>
      <c r="P525" s="330">
        <v>48731.082387177972</v>
      </c>
      <c r="Q525" s="333">
        <v>85370.411602459368</v>
      </c>
      <c r="R525" s="330">
        <v>26272.222367459628</v>
      </c>
      <c r="S525" s="330">
        <v>5840.7464594899975</v>
      </c>
      <c r="T525" s="332">
        <v>0.54765895084245098</v>
      </c>
      <c r="U525" s="330">
        <v>0.75019938226419847</v>
      </c>
      <c r="V525" s="330">
        <v>0.99936688678979868</v>
      </c>
      <c r="W525" s="330">
        <v>0.99899446997487829</v>
      </c>
      <c r="X525" s="330">
        <v>0.84661742411620944</v>
      </c>
      <c r="Y525" s="330">
        <v>0</v>
      </c>
      <c r="Z525" s="331">
        <v>0</v>
      </c>
      <c r="AA525" s="235"/>
      <c r="AB525" s="335">
        <v>60970.302305830672</v>
      </c>
      <c r="AC525" s="336">
        <v>4.0561321579804099</v>
      </c>
      <c r="AD525" s="337">
        <v>60370.743780756566</v>
      </c>
      <c r="AE525" s="336">
        <v>4.0973763700771668</v>
      </c>
      <c r="AF525" s="337">
        <v>599.558525074106</v>
      </c>
      <c r="AG525" s="338">
        <v>-4.1244212096756883E-2</v>
      </c>
      <c r="AH525" s="235"/>
      <c r="AI525" s="208">
        <f t="shared" si="52"/>
        <v>3792355.2477755588</v>
      </c>
      <c r="AJ525" s="208">
        <f t="shared" si="53"/>
        <v>3832136.8077925523</v>
      </c>
      <c r="AK525" s="208">
        <f t="shared" si="54"/>
        <v>-39781.560016993142</v>
      </c>
      <c r="AL525" s="235"/>
      <c r="AM525" s="52">
        <f t="shared" si="58"/>
        <v>0</v>
      </c>
      <c r="AN525" s="52">
        <f t="shared" si="59"/>
        <v>1</v>
      </c>
      <c r="AO525" s="52">
        <f t="shared" si="60"/>
        <v>0</v>
      </c>
      <c r="AP525" s="235"/>
      <c r="AQ525" s="28"/>
      <c r="AR525" s="28"/>
      <c r="AS525" s="28"/>
      <c r="AT525" s="28"/>
      <c r="AU525" s="235"/>
      <c r="AV525" s="360">
        <f t="shared" si="55"/>
        <v>3832136.8077925523</v>
      </c>
      <c r="AW525" s="235"/>
      <c r="AX525" s="355"/>
      <c r="AY525" s="344"/>
      <c r="AZ525" s="14">
        <f t="shared" si="57"/>
        <v>599.558525074106</v>
      </c>
      <c r="BA525" s="14">
        <f t="shared" si="56"/>
        <v>-4.1244212096756883E-2</v>
      </c>
      <c r="BB525" s="14">
        <f t="shared" si="61"/>
        <v>-14536.791821057735</v>
      </c>
      <c r="BC525" s="344"/>
      <c r="BD525" s="344"/>
      <c r="BE525" s="344"/>
      <c r="BF525" s="344"/>
      <c r="BG525" s="344"/>
      <c r="BH525" s="344"/>
      <c r="BI525" s="344"/>
      <c r="BJ525" s="344"/>
      <c r="BK525" s="344"/>
      <c r="BL525" s="344"/>
      <c r="BM525" s="344"/>
      <c r="BN525" s="344"/>
      <c r="BO525" s="344"/>
      <c r="BP525" s="14"/>
      <c r="BQ525" s="14"/>
      <c r="BR525" s="14"/>
      <c r="BS525" s="14"/>
      <c r="BT525" s="14"/>
      <c r="BU525" s="14"/>
      <c r="BV525" s="14"/>
      <c r="BW525" s="14"/>
      <c r="BX525" s="14"/>
      <c r="BY525" s="14"/>
      <c r="BZ525" s="14"/>
      <c r="CA525" s="14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</row>
    <row r="526" spans="1:101" ht="14.25" customHeight="1" x14ac:dyDescent="0.2">
      <c r="A526" s="328"/>
      <c r="B526" s="52">
        <v>0.18513982104328708</v>
      </c>
      <c r="C526" s="330">
        <v>0.39550558630142107</v>
      </c>
      <c r="D526" s="330">
        <v>1.0249210226883533E-2</v>
      </c>
      <c r="E526" s="330">
        <v>1.3393665776346174E-2</v>
      </c>
      <c r="F526" s="331">
        <v>0.7801386213250926</v>
      </c>
      <c r="G526" s="94">
        <v>0.36682539992615626</v>
      </c>
      <c r="H526" s="330">
        <v>0.13767819350098226</v>
      </c>
      <c r="I526" s="330">
        <v>2.1710584704548341E-2</v>
      </c>
      <c r="J526" s="330">
        <v>0.9872364746842327</v>
      </c>
      <c r="K526" s="330">
        <v>0.74911205256639546</v>
      </c>
      <c r="L526" s="332">
        <v>15749.603258600195</v>
      </c>
      <c r="M526" s="330">
        <v>0</v>
      </c>
      <c r="N526" s="330">
        <v>16119.758424017375</v>
      </c>
      <c r="O526" s="330">
        <v>953.80212386298422</v>
      </c>
      <c r="P526" s="330">
        <v>29744.315076000217</v>
      </c>
      <c r="Q526" s="333">
        <v>111281.3019119926</v>
      </c>
      <c r="R526" s="330">
        <v>22877.627501632673</v>
      </c>
      <c r="S526" s="330">
        <v>6650.0306481426433</v>
      </c>
      <c r="T526" s="332">
        <v>0.92920935761668322</v>
      </c>
      <c r="U526" s="330">
        <v>0.97859384731282062</v>
      </c>
      <c r="V526" s="330">
        <v>0.53121083537275471</v>
      </c>
      <c r="W526" s="330">
        <v>0.99999770634843133</v>
      </c>
      <c r="X526" s="330">
        <v>0.90347093880247886</v>
      </c>
      <c r="Y526" s="330">
        <v>0</v>
      </c>
      <c r="Z526" s="331">
        <v>0</v>
      </c>
      <c r="AA526" s="235"/>
      <c r="AB526" s="335">
        <v>73486.749202099047</v>
      </c>
      <c r="AC526" s="336">
        <v>4.2623214674339502</v>
      </c>
      <c r="AD526" s="337">
        <v>56258.001586733051</v>
      </c>
      <c r="AE526" s="336">
        <v>4.4342823274231993</v>
      </c>
      <c r="AF526" s="337">
        <v>17228.747615365995</v>
      </c>
      <c r="AG526" s="338">
        <v>-0.17196085998924904</v>
      </c>
      <c r="AH526" s="235"/>
      <c r="AI526" s="208">
        <f t="shared" ref="AI526:AI589" si="62">AC526*cRatio-AB526</f>
        <v>3975718.6448601536</v>
      </c>
      <c r="AJ526" s="208">
        <f t="shared" ref="AJ526:AJ589" si="63">AE526*cRatio-AD526</f>
        <v>4156310.2094653067</v>
      </c>
      <c r="AK526" s="208">
        <f t="shared" ref="AK526:AK589" si="64">AG526*cRatio-AF526</f>
        <v>-180591.56460515258</v>
      </c>
      <c r="AL526" s="235"/>
      <c r="AM526" s="52">
        <f t="shared" si="58"/>
        <v>0</v>
      </c>
      <c r="AN526" s="52">
        <f t="shared" si="59"/>
        <v>1</v>
      </c>
      <c r="AO526" s="52">
        <f t="shared" si="60"/>
        <v>0</v>
      </c>
      <c r="AP526" s="235"/>
      <c r="AQ526" s="28"/>
      <c r="AR526" s="28"/>
      <c r="AS526" s="28"/>
      <c r="AT526" s="28"/>
      <c r="AU526" s="235"/>
      <c r="AV526" s="360">
        <f t="shared" si="55"/>
        <v>4156310.2094653067</v>
      </c>
      <c r="AW526" s="235"/>
      <c r="AX526" s="355"/>
      <c r="AY526" s="344"/>
      <c r="AZ526" s="14">
        <f t="shared" si="57"/>
        <v>17228.747615365995</v>
      </c>
      <c r="BA526" s="14">
        <f t="shared" si="56"/>
        <v>-0.17196085998924904</v>
      </c>
      <c r="BB526" s="14">
        <f t="shared" si="61"/>
        <v>-100189.93634041569</v>
      </c>
      <c r="BC526" s="344"/>
      <c r="BD526" s="344"/>
      <c r="BE526" s="344"/>
      <c r="BF526" s="344"/>
      <c r="BG526" s="344"/>
      <c r="BH526" s="344"/>
      <c r="BI526" s="344"/>
      <c r="BJ526" s="344"/>
      <c r="BK526" s="344"/>
      <c r="BL526" s="344"/>
      <c r="BM526" s="344"/>
      <c r="BN526" s="344"/>
      <c r="BO526" s="344"/>
      <c r="BP526" s="14"/>
      <c r="BQ526" s="14"/>
      <c r="BR526" s="14"/>
      <c r="BS526" s="14"/>
      <c r="BT526" s="14"/>
      <c r="BU526" s="14"/>
      <c r="BV526" s="14"/>
      <c r="BW526" s="14"/>
      <c r="BX526" s="14"/>
      <c r="BY526" s="14"/>
      <c r="BZ526" s="14"/>
      <c r="CA526" s="14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</row>
    <row r="527" spans="1:101" ht="14.25" customHeight="1" x14ac:dyDescent="0.2">
      <c r="A527" s="328"/>
      <c r="B527" s="52">
        <v>0.17113214862337323</v>
      </c>
      <c r="C527" s="330">
        <v>3.8659312372407037E-2</v>
      </c>
      <c r="D527" s="330">
        <v>2.6202955627039337E-2</v>
      </c>
      <c r="E527" s="330">
        <v>1.5592556404945834E-2</v>
      </c>
      <c r="F527" s="331">
        <v>0.77628525202514664</v>
      </c>
      <c r="G527" s="94">
        <v>0.41582245513778116</v>
      </c>
      <c r="H527" s="330">
        <v>2.1252849208622238E-2</v>
      </c>
      <c r="I527" s="330">
        <v>1.650057701359875E-2</v>
      </c>
      <c r="J527" s="330">
        <v>1.606011655500705E-2</v>
      </c>
      <c r="K527" s="330">
        <v>0.76424050700212731</v>
      </c>
      <c r="L527" s="332">
        <v>10989.586227835274</v>
      </c>
      <c r="M527" s="330">
        <v>0</v>
      </c>
      <c r="N527" s="330">
        <v>15949.134362196583</v>
      </c>
      <c r="O527" s="330">
        <v>1319.9839293099694</v>
      </c>
      <c r="P527" s="330">
        <v>35709.809834371154</v>
      </c>
      <c r="Q527" s="333">
        <v>100521.34739632775</v>
      </c>
      <c r="R527" s="330">
        <v>32450.015578876384</v>
      </c>
      <c r="S527" s="330">
        <v>10382.755944820077</v>
      </c>
      <c r="T527" s="332">
        <v>0.77511359303698202</v>
      </c>
      <c r="U527" s="330">
        <v>0.99396768074400366</v>
      </c>
      <c r="V527" s="330">
        <v>0.87411341759053862</v>
      </c>
      <c r="W527" s="330">
        <v>0.86361165359932246</v>
      </c>
      <c r="X527" s="330">
        <v>0.85769146380251327</v>
      </c>
      <c r="Y527" s="330">
        <v>0</v>
      </c>
      <c r="Z527" s="331">
        <v>0</v>
      </c>
      <c r="AA527" s="235"/>
      <c r="AB527" s="335">
        <v>98378.041803923566</v>
      </c>
      <c r="AC527" s="336">
        <v>4.4293287063969533</v>
      </c>
      <c r="AD527" s="337">
        <v>86686.419582533941</v>
      </c>
      <c r="AE527" s="336">
        <v>4.2252081495593643</v>
      </c>
      <c r="AF527" s="337">
        <v>11691.622221389625</v>
      </c>
      <c r="AG527" s="338">
        <v>0.20412055683758901</v>
      </c>
      <c r="AH527" s="235"/>
      <c r="AI527" s="208">
        <f t="shared" si="62"/>
        <v>4109484.2292731823</v>
      </c>
      <c r="AJ527" s="208">
        <f t="shared" si="63"/>
        <v>3927261.3224988622</v>
      </c>
      <c r="AK527" s="208">
        <f t="shared" si="64"/>
        <v>182222.90677431994</v>
      </c>
      <c r="AL527" s="235"/>
      <c r="AM527" s="52">
        <f t="shared" si="58"/>
        <v>1</v>
      </c>
      <c r="AN527" s="52">
        <f t="shared" si="59"/>
        <v>0</v>
      </c>
      <c r="AO527" s="52">
        <f t="shared" si="60"/>
        <v>1</v>
      </c>
      <c r="AP527" s="235"/>
      <c r="AQ527" s="28"/>
      <c r="AR527" s="28"/>
      <c r="AS527" s="28"/>
      <c r="AT527" s="28"/>
      <c r="AU527" s="235"/>
      <c r="AV527" s="360">
        <f t="shared" ref="AV527:AV590" si="65">MAX(AI527:AJ527)</f>
        <v>4109484.2292731823</v>
      </c>
      <c r="AW527" s="235"/>
      <c r="AX527" s="355"/>
      <c r="AY527" s="344"/>
      <c r="AZ527" s="14">
        <f t="shared" si="57"/>
        <v>11691.622221389625</v>
      </c>
      <c r="BA527" s="14">
        <f t="shared" ref="BA527:BA590" si="66">AG527</f>
        <v>0.20412055683758901</v>
      </c>
      <c r="BB527" s="14">
        <f t="shared" si="61"/>
        <v>57278.024332905414</v>
      </c>
      <c r="BC527" s="344"/>
      <c r="BD527" s="344"/>
      <c r="BE527" s="344"/>
      <c r="BF527" s="344"/>
      <c r="BG527" s="344"/>
      <c r="BH527" s="344"/>
      <c r="BI527" s="344"/>
      <c r="BJ527" s="344"/>
      <c r="BK527" s="344"/>
      <c r="BL527" s="344"/>
      <c r="BM527" s="344"/>
      <c r="BN527" s="344"/>
      <c r="BO527" s="344"/>
      <c r="BP527" s="14"/>
      <c r="BQ527" s="14"/>
      <c r="BR527" s="14"/>
      <c r="BS527" s="14"/>
      <c r="BT527" s="14"/>
      <c r="BU527" s="14"/>
      <c r="BV527" s="14"/>
      <c r="BW527" s="14"/>
      <c r="BX527" s="14"/>
      <c r="BY527" s="14"/>
      <c r="BZ527" s="14"/>
      <c r="CA527" s="14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</row>
    <row r="528" spans="1:101" ht="14.25" customHeight="1" x14ac:dyDescent="0.2">
      <c r="A528" s="328"/>
      <c r="B528" s="52">
        <v>0.18048312799447286</v>
      </c>
      <c r="C528" s="330">
        <v>0.75993939858704807</v>
      </c>
      <c r="D528" s="330">
        <v>2.1730030453403937E-2</v>
      </c>
      <c r="E528" s="330">
        <v>1.5210349915480426E-2</v>
      </c>
      <c r="F528" s="331">
        <v>0.80920406468777384</v>
      </c>
      <c r="G528" s="94">
        <v>0.43181647584333793</v>
      </c>
      <c r="H528" s="330">
        <v>0.25501417784997737</v>
      </c>
      <c r="I528" s="330">
        <v>1.2854177418064213E-2</v>
      </c>
      <c r="J528" s="330">
        <v>1.9934632168307201E-3</v>
      </c>
      <c r="K528" s="330">
        <v>0.74088040534133948</v>
      </c>
      <c r="L528" s="332">
        <v>11993.629134448483</v>
      </c>
      <c r="M528" s="330">
        <v>0</v>
      </c>
      <c r="N528" s="330">
        <v>17272.98214423933</v>
      </c>
      <c r="O528" s="330">
        <v>1518.7959751160504</v>
      </c>
      <c r="P528" s="330">
        <v>50467.825957289984</v>
      </c>
      <c r="Q528" s="333">
        <v>79112.058215807599</v>
      </c>
      <c r="R528" s="330">
        <v>21485.895527783061</v>
      </c>
      <c r="S528" s="330">
        <v>7528.6250048951688</v>
      </c>
      <c r="T528" s="332">
        <v>0.84374328768676632</v>
      </c>
      <c r="U528" s="330">
        <v>0.67595070113514255</v>
      </c>
      <c r="V528" s="330">
        <v>0.97617996748681279</v>
      </c>
      <c r="W528" s="330">
        <v>0.58733405619416545</v>
      </c>
      <c r="X528" s="330">
        <v>0.39815464601919665</v>
      </c>
      <c r="Y528" s="330">
        <v>0</v>
      </c>
      <c r="Z528" s="331">
        <v>0</v>
      </c>
      <c r="AA528" s="235"/>
      <c r="AB528" s="335">
        <v>80905.723984120967</v>
      </c>
      <c r="AC528" s="336">
        <v>2.221745511213471</v>
      </c>
      <c r="AD528" s="337">
        <v>63378.720743731261</v>
      </c>
      <c r="AE528" s="336">
        <v>1.9409082748556075</v>
      </c>
      <c r="AF528" s="337">
        <v>17527.003240389706</v>
      </c>
      <c r="AG528" s="338">
        <v>0.28083723635786351</v>
      </c>
      <c r="AH528" s="235"/>
      <c r="AI528" s="208">
        <f t="shared" si="62"/>
        <v>2029752.5116686765</v>
      </c>
      <c r="AJ528" s="208">
        <f t="shared" si="63"/>
        <v>1780484.1403690958</v>
      </c>
      <c r="AK528" s="208">
        <f t="shared" si="64"/>
        <v>249268.37129958061</v>
      </c>
      <c r="AL528" s="235"/>
      <c r="AM528" s="52">
        <f t="shared" si="58"/>
        <v>1</v>
      </c>
      <c r="AN528" s="52">
        <f t="shared" si="59"/>
        <v>0</v>
      </c>
      <c r="AO528" s="52">
        <f t="shared" si="60"/>
        <v>1</v>
      </c>
      <c r="AP528" s="235"/>
      <c r="AQ528" s="28"/>
      <c r="AR528" s="28"/>
      <c r="AS528" s="28"/>
      <c r="AT528" s="28"/>
      <c r="AU528" s="235"/>
      <c r="AV528" s="360">
        <f t="shared" si="65"/>
        <v>2029752.5116686765</v>
      </c>
      <c r="AW528" s="235"/>
      <c r="AX528" s="355"/>
      <c r="AY528" s="344"/>
      <c r="AZ528" s="14">
        <f t="shared" ref="AZ528:AZ591" si="67">AF528</f>
        <v>17527.003240389706</v>
      </c>
      <c r="BA528" s="14">
        <f t="shared" si="66"/>
        <v>0.28083723635786351</v>
      </c>
      <c r="BB528" s="14">
        <f t="shared" si="61"/>
        <v>62409.826658654005</v>
      </c>
      <c r="BC528" s="344"/>
      <c r="BD528" s="344"/>
      <c r="BE528" s="344"/>
      <c r="BF528" s="344"/>
      <c r="BG528" s="344"/>
      <c r="BH528" s="344"/>
      <c r="BI528" s="344"/>
      <c r="BJ528" s="344"/>
      <c r="BK528" s="344"/>
      <c r="BL528" s="344"/>
      <c r="BM528" s="344"/>
      <c r="BN528" s="344"/>
      <c r="BO528" s="344"/>
      <c r="BP528" s="14"/>
      <c r="BQ528" s="14"/>
      <c r="BR528" s="14"/>
      <c r="BS528" s="14"/>
      <c r="BT528" s="14"/>
      <c r="BU528" s="14"/>
      <c r="BV528" s="14"/>
      <c r="BW528" s="14"/>
      <c r="BX528" s="14"/>
      <c r="BY528" s="14"/>
      <c r="BZ528" s="14"/>
      <c r="CA528" s="14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</row>
    <row r="529" spans="1:101" ht="14.25" customHeight="1" x14ac:dyDescent="0.2">
      <c r="A529" s="328"/>
      <c r="B529" s="52">
        <v>0.12834899826648405</v>
      </c>
      <c r="C529" s="330">
        <v>0.35902962233664448</v>
      </c>
      <c r="D529" s="330">
        <v>1.3188267293935799E-2</v>
      </c>
      <c r="E529" s="330">
        <v>9.370601421970097E-3</v>
      </c>
      <c r="F529" s="331">
        <v>0.77965051411821851</v>
      </c>
      <c r="G529" s="94">
        <v>0.36441532152101547</v>
      </c>
      <c r="H529" s="330">
        <v>0.96064499518678159</v>
      </c>
      <c r="I529" s="330">
        <v>1.9787893140721935E-2</v>
      </c>
      <c r="J529" s="330">
        <v>0.99999999501047809</v>
      </c>
      <c r="K529" s="330">
        <v>0.79163207288859572</v>
      </c>
      <c r="L529" s="332">
        <v>15167.399899920836</v>
      </c>
      <c r="M529" s="330">
        <v>0</v>
      </c>
      <c r="N529" s="330">
        <v>24864.489174905979</v>
      </c>
      <c r="O529" s="330">
        <v>1272.0492931703518</v>
      </c>
      <c r="P529" s="330">
        <v>47292.341710787885</v>
      </c>
      <c r="Q529" s="333">
        <v>96207.491386799098</v>
      </c>
      <c r="R529" s="330">
        <v>25520.854608342557</v>
      </c>
      <c r="S529" s="330">
        <v>8445.9373480468257</v>
      </c>
      <c r="T529" s="332">
        <v>0.99638727824066564</v>
      </c>
      <c r="U529" s="330">
        <v>0.27120457387441188</v>
      </c>
      <c r="V529" s="330">
        <v>0.93609307448225731</v>
      </c>
      <c r="W529" s="330">
        <v>0.946281192529554</v>
      </c>
      <c r="X529" s="330">
        <v>0.91596356568946358</v>
      </c>
      <c r="Y529" s="330">
        <v>0</v>
      </c>
      <c r="Z529" s="331">
        <v>0</v>
      </c>
      <c r="AA529" s="235"/>
      <c r="AB529" s="335">
        <v>87334.553743550947</v>
      </c>
      <c r="AC529" s="336">
        <v>4.7682390770088103</v>
      </c>
      <c r="AD529" s="337">
        <v>82250.912676617692</v>
      </c>
      <c r="AE529" s="336">
        <v>4.4954356500988037</v>
      </c>
      <c r="AF529" s="337">
        <v>5083.6410669332545</v>
      </c>
      <c r="AG529" s="338">
        <v>0.27280342691000659</v>
      </c>
      <c r="AH529" s="235"/>
      <c r="AI529" s="208">
        <f t="shared" si="62"/>
        <v>4442492.5694148196</v>
      </c>
      <c r="AJ529" s="208">
        <f t="shared" si="63"/>
        <v>4188412.9549172465</v>
      </c>
      <c r="AK529" s="208">
        <f t="shared" si="64"/>
        <v>254079.614497573</v>
      </c>
      <c r="AL529" s="235"/>
      <c r="AM529" s="52">
        <f t="shared" si="58"/>
        <v>1</v>
      </c>
      <c r="AN529" s="52">
        <f t="shared" si="59"/>
        <v>0</v>
      </c>
      <c r="AO529" s="52">
        <f t="shared" si="60"/>
        <v>1</v>
      </c>
      <c r="AP529" s="235"/>
      <c r="AQ529" s="28"/>
      <c r="AR529" s="28"/>
      <c r="AS529" s="28"/>
      <c r="AT529" s="28"/>
      <c r="AU529" s="235"/>
      <c r="AV529" s="360">
        <f t="shared" si="65"/>
        <v>4442492.5694148196</v>
      </c>
      <c r="AW529" s="235"/>
      <c r="AX529" s="355"/>
      <c r="AY529" s="344"/>
      <c r="AZ529" s="14">
        <f t="shared" si="67"/>
        <v>5083.6410669332545</v>
      </c>
      <c r="BA529" s="14">
        <f t="shared" si="66"/>
        <v>0.27280342691000659</v>
      </c>
      <c r="BB529" s="14">
        <f t="shared" si="61"/>
        <v>18634.813809029845</v>
      </c>
      <c r="BC529" s="344"/>
      <c r="BD529" s="344"/>
      <c r="BE529" s="344"/>
      <c r="BF529" s="344"/>
      <c r="BG529" s="344"/>
      <c r="BH529" s="344"/>
      <c r="BI529" s="344"/>
      <c r="BJ529" s="344"/>
      <c r="BK529" s="344"/>
      <c r="BL529" s="344"/>
      <c r="BM529" s="344"/>
      <c r="BN529" s="344"/>
      <c r="BO529" s="344"/>
      <c r="BP529" s="14"/>
      <c r="BQ529" s="14"/>
      <c r="BR529" s="14"/>
      <c r="BS529" s="14"/>
      <c r="BT529" s="14"/>
      <c r="BU529" s="14"/>
      <c r="BV529" s="14"/>
      <c r="BW529" s="14"/>
      <c r="BX529" s="14"/>
      <c r="BY529" s="14"/>
      <c r="BZ529" s="14"/>
      <c r="CA529" s="14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</row>
    <row r="530" spans="1:101" ht="14.25" customHeight="1" x14ac:dyDescent="0.2">
      <c r="A530" s="328"/>
      <c r="B530" s="52">
        <v>0.14467796127097374</v>
      </c>
      <c r="C530" s="330">
        <v>0.2486505371619325</v>
      </c>
      <c r="D530" s="330">
        <v>2.4827256057002201E-2</v>
      </c>
      <c r="E530" s="330">
        <v>1.4454482940540969E-2</v>
      </c>
      <c r="F530" s="331">
        <v>0.79922379084617701</v>
      </c>
      <c r="G530" s="94">
        <v>0.35566673283415906</v>
      </c>
      <c r="H530" s="330">
        <v>2.4811802263986261E-2</v>
      </c>
      <c r="I530" s="330">
        <v>1.3066330342111519E-2</v>
      </c>
      <c r="J530" s="330">
        <v>0.99999999994792854</v>
      </c>
      <c r="K530" s="330">
        <v>0.73681619926640118</v>
      </c>
      <c r="L530" s="332">
        <v>9230.629032624096</v>
      </c>
      <c r="M530" s="330">
        <v>0</v>
      </c>
      <c r="N530" s="330">
        <v>26833.240851981438</v>
      </c>
      <c r="O530" s="330">
        <v>1379.9059505010559</v>
      </c>
      <c r="P530" s="330">
        <v>39715.750366042317</v>
      </c>
      <c r="Q530" s="333">
        <v>85818.250257064748</v>
      </c>
      <c r="R530" s="330">
        <v>27752.384519301904</v>
      </c>
      <c r="S530" s="330">
        <v>9604.7909435209112</v>
      </c>
      <c r="T530" s="332">
        <v>0.99602747419492954</v>
      </c>
      <c r="U530" s="330">
        <v>0.41208508338603073</v>
      </c>
      <c r="V530" s="330">
        <v>0.9972097460565168</v>
      </c>
      <c r="W530" s="330">
        <v>0.71225357494553931</v>
      </c>
      <c r="X530" s="330">
        <v>0.85450717348237526</v>
      </c>
      <c r="Y530" s="330">
        <v>0</v>
      </c>
      <c r="Z530" s="331">
        <v>0</v>
      </c>
      <c r="AA530" s="235"/>
      <c r="AB530" s="335">
        <v>93117.334493173359</v>
      </c>
      <c r="AC530" s="336">
        <v>4.2530402181393496</v>
      </c>
      <c r="AD530" s="337">
        <v>77417.207211222209</v>
      </c>
      <c r="AE530" s="336">
        <v>3.8248932573905807</v>
      </c>
      <c r="AF530" s="337">
        <v>15700.127281951151</v>
      </c>
      <c r="AG530" s="338">
        <v>0.4281469607487689</v>
      </c>
      <c r="AH530" s="235"/>
      <c r="AI530" s="208">
        <f t="shared" si="62"/>
        <v>3947270.8727392089</v>
      </c>
      <c r="AJ530" s="208">
        <f t="shared" si="63"/>
        <v>3556231.3873098297</v>
      </c>
      <c r="AK530" s="208">
        <f t="shared" si="64"/>
        <v>391039.48542937933</v>
      </c>
      <c r="AL530" s="235"/>
      <c r="AM530" s="52">
        <f t="shared" si="58"/>
        <v>1</v>
      </c>
      <c r="AN530" s="52">
        <f t="shared" si="59"/>
        <v>0</v>
      </c>
      <c r="AO530" s="52">
        <f t="shared" si="60"/>
        <v>1</v>
      </c>
      <c r="AP530" s="235"/>
      <c r="AQ530" s="28"/>
      <c r="AR530" s="28"/>
      <c r="AS530" s="28"/>
      <c r="AT530" s="28"/>
      <c r="AU530" s="235"/>
      <c r="AV530" s="360">
        <f t="shared" si="65"/>
        <v>3947270.8727392089</v>
      </c>
      <c r="AW530" s="235"/>
      <c r="AX530" s="355"/>
      <c r="AY530" s="344"/>
      <c r="AZ530" s="14">
        <f t="shared" si="67"/>
        <v>15700.127281951151</v>
      </c>
      <c r="BA530" s="14">
        <f t="shared" si="66"/>
        <v>0.4281469607487689</v>
      </c>
      <c r="BB530" s="14">
        <f t="shared" si="61"/>
        <v>36669.949155995018</v>
      </c>
      <c r="BC530" s="344"/>
      <c r="BD530" s="344"/>
      <c r="BE530" s="344"/>
      <c r="BF530" s="344"/>
      <c r="BG530" s="344"/>
      <c r="BH530" s="344"/>
      <c r="BI530" s="344"/>
      <c r="BJ530" s="344"/>
      <c r="BK530" s="344"/>
      <c r="BL530" s="344"/>
      <c r="BM530" s="344"/>
      <c r="BN530" s="344"/>
      <c r="BO530" s="344"/>
      <c r="BP530" s="14"/>
      <c r="BQ530" s="14"/>
      <c r="BR530" s="14"/>
      <c r="BS530" s="14"/>
      <c r="BT530" s="14"/>
      <c r="BU530" s="14"/>
      <c r="BV530" s="14"/>
      <c r="BW530" s="14"/>
      <c r="BX530" s="14"/>
      <c r="BY530" s="14"/>
      <c r="BZ530" s="14"/>
      <c r="CA530" s="14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</row>
    <row r="531" spans="1:101" ht="14.25" customHeight="1" x14ac:dyDescent="0.2">
      <c r="A531" s="328"/>
      <c r="B531" s="52">
        <v>0.12575062546994056</v>
      </c>
      <c r="C531" s="330">
        <v>0.55709306049725171</v>
      </c>
      <c r="D531" s="330">
        <v>7.809522758095635E-3</v>
      </c>
      <c r="E531" s="330">
        <v>5.5520810742652619E-3</v>
      </c>
      <c r="F531" s="331">
        <v>0.78110662772265638</v>
      </c>
      <c r="G531" s="94">
        <v>0.45722388706321526</v>
      </c>
      <c r="H531" s="330">
        <v>3.003807006296386E-2</v>
      </c>
      <c r="I531" s="330">
        <v>1.5793125597583401E-2</v>
      </c>
      <c r="J531" s="330">
        <v>0.99999999999999745</v>
      </c>
      <c r="K531" s="330">
        <v>0.80164210566103633</v>
      </c>
      <c r="L531" s="332">
        <v>12338.880280002875</v>
      </c>
      <c r="M531" s="330">
        <v>0</v>
      </c>
      <c r="N531" s="330">
        <v>21255.111194694491</v>
      </c>
      <c r="O531" s="330">
        <v>1197.1096342353383</v>
      </c>
      <c r="P531" s="330">
        <v>30235.094855329291</v>
      </c>
      <c r="Q531" s="333">
        <v>99292.648304842936</v>
      </c>
      <c r="R531" s="330">
        <v>14790.188936544984</v>
      </c>
      <c r="S531" s="330">
        <v>8147.4088326794626</v>
      </c>
      <c r="T531" s="332">
        <v>0.94524133360608797</v>
      </c>
      <c r="U531" s="330">
        <v>0.93268001296100378</v>
      </c>
      <c r="V531" s="330">
        <v>0.22638579547132609</v>
      </c>
      <c r="W531" s="330">
        <v>0.99974052660944213</v>
      </c>
      <c r="X531" s="330">
        <v>0.7340125819459451</v>
      </c>
      <c r="Y531" s="330">
        <v>0</v>
      </c>
      <c r="Z531" s="331">
        <v>0</v>
      </c>
      <c r="AA531" s="235"/>
      <c r="AB531" s="335">
        <v>81916.835207149692</v>
      </c>
      <c r="AC531" s="336">
        <v>3.4711585186028429</v>
      </c>
      <c r="AD531" s="337">
        <v>71984.523834135631</v>
      </c>
      <c r="AE531" s="336">
        <v>3.5548385790951738</v>
      </c>
      <c r="AF531" s="337">
        <v>9932.3113730140612</v>
      </c>
      <c r="AG531" s="338">
        <v>-8.3680060492330899E-2</v>
      </c>
      <c r="AH531" s="235"/>
      <c r="AI531" s="208">
        <f t="shared" si="62"/>
        <v>3215683.7574655507</v>
      </c>
      <c r="AJ531" s="208">
        <f t="shared" si="63"/>
        <v>3305112.1263062791</v>
      </c>
      <c r="AK531" s="208">
        <f t="shared" si="64"/>
        <v>-89428.368840728421</v>
      </c>
      <c r="AL531" s="235"/>
      <c r="AM531" s="52">
        <f t="shared" si="58"/>
        <v>0</v>
      </c>
      <c r="AN531" s="52">
        <f t="shared" si="59"/>
        <v>1</v>
      </c>
      <c r="AO531" s="52">
        <f t="shared" si="60"/>
        <v>0</v>
      </c>
      <c r="AP531" s="235"/>
      <c r="AQ531" s="28"/>
      <c r="AR531" s="28"/>
      <c r="AS531" s="28"/>
      <c r="AT531" s="28"/>
      <c r="AU531" s="235"/>
      <c r="AV531" s="360">
        <f t="shared" si="65"/>
        <v>3305112.1263062791</v>
      </c>
      <c r="AW531" s="235"/>
      <c r="AX531" s="355"/>
      <c r="AY531" s="344"/>
      <c r="AZ531" s="14">
        <f t="shared" si="67"/>
        <v>9932.3113730140612</v>
      </c>
      <c r="BA531" s="14">
        <f t="shared" si="66"/>
        <v>-8.3680060492330899E-2</v>
      </c>
      <c r="BB531" s="14">
        <f t="shared" si="61"/>
        <v>-118693.88375889542</v>
      </c>
      <c r="BC531" s="344"/>
      <c r="BD531" s="344"/>
      <c r="BE531" s="344"/>
      <c r="BF531" s="344"/>
      <c r="BG531" s="344"/>
      <c r="BH531" s="344"/>
      <c r="BI531" s="344"/>
      <c r="BJ531" s="344"/>
      <c r="BK531" s="344"/>
      <c r="BL531" s="344"/>
      <c r="BM531" s="344"/>
      <c r="BN531" s="344"/>
      <c r="BO531" s="344"/>
      <c r="BP531" s="14"/>
      <c r="BQ531" s="14"/>
      <c r="BR531" s="14"/>
      <c r="BS531" s="14"/>
      <c r="BT531" s="14"/>
      <c r="BU531" s="14"/>
      <c r="BV531" s="14"/>
      <c r="BW531" s="14"/>
      <c r="BX531" s="14"/>
      <c r="BY531" s="14"/>
      <c r="BZ531" s="14"/>
      <c r="CA531" s="14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</row>
    <row r="532" spans="1:101" ht="14.25" customHeight="1" x14ac:dyDescent="0.2">
      <c r="A532" s="328"/>
      <c r="B532" s="52">
        <v>0.14802124685925183</v>
      </c>
      <c r="C532" s="330">
        <v>0.41089524722196369</v>
      </c>
      <c r="D532" s="330">
        <v>1.2974516529292534E-2</v>
      </c>
      <c r="E532" s="330">
        <v>1.1189042381091301E-2</v>
      </c>
      <c r="F532" s="331">
        <v>0.74752747229438643</v>
      </c>
      <c r="G532" s="94">
        <v>0.44547734643047521</v>
      </c>
      <c r="H532" s="330">
        <v>0.36910540369534728</v>
      </c>
      <c r="I532" s="330">
        <v>9.5538343150135315E-3</v>
      </c>
      <c r="J532" s="330">
        <v>0.99999999951551455</v>
      </c>
      <c r="K532" s="330">
        <v>0.77390270555786023</v>
      </c>
      <c r="L532" s="332">
        <v>17524.84534996223</v>
      </c>
      <c r="M532" s="330">
        <v>0</v>
      </c>
      <c r="N532" s="330">
        <v>24745.454349338524</v>
      </c>
      <c r="O532" s="330">
        <v>923.15823222845427</v>
      </c>
      <c r="P532" s="330">
        <v>34247.57075968579</v>
      </c>
      <c r="Q532" s="333">
        <v>136817.88382227675</v>
      </c>
      <c r="R532" s="330">
        <v>27090.282337021799</v>
      </c>
      <c r="S532" s="330">
        <v>10063.937515520982</v>
      </c>
      <c r="T532" s="332">
        <v>0.82643377100466964</v>
      </c>
      <c r="U532" s="330">
        <v>0.82757186322261089</v>
      </c>
      <c r="V532" s="330">
        <v>1.7126480675307618E-2</v>
      </c>
      <c r="W532" s="330">
        <v>0.68252941176594162</v>
      </c>
      <c r="X532" s="330">
        <v>7.0287814936821805E-2</v>
      </c>
      <c r="Y532" s="330">
        <v>0</v>
      </c>
      <c r="Z532" s="331">
        <v>0</v>
      </c>
      <c r="AA532" s="235"/>
      <c r="AB532" s="335">
        <v>100304.98518717455</v>
      </c>
      <c r="AC532" s="336">
        <v>0.31741964474933909</v>
      </c>
      <c r="AD532" s="337">
        <v>89284.128044459227</v>
      </c>
      <c r="AE532" s="336">
        <v>0.47655213220028392</v>
      </c>
      <c r="AF532" s="337">
        <v>11020.857142715322</v>
      </c>
      <c r="AG532" s="338">
        <v>-0.15913248745094483</v>
      </c>
      <c r="AH532" s="235"/>
      <c r="AI532" s="208">
        <f t="shared" si="62"/>
        <v>201243.67732469758</v>
      </c>
      <c r="AJ532" s="208">
        <f t="shared" si="63"/>
        <v>363440.3975458105</v>
      </c>
      <c r="AK532" s="208">
        <f t="shared" si="64"/>
        <v>-162196.72022111289</v>
      </c>
      <c r="AL532" s="235"/>
      <c r="AM532" s="52">
        <f t="shared" si="58"/>
        <v>0</v>
      </c>
      <c r="AN532" s="52">
        <f t="shared" si="59"/>
        <v>1</v>
      </c>
      <c r="AO532" s="52">
        <f t="shared" si="60"/>
        <v>0</v>
      </c>
      <c r="AP532" s="235"/>
      <c r="AQ532" s="28"/>
      <c r="AR532" s="28"/>
      <c r="AS532" s="28"/>
      <c r="AT532" s="28"/>
      <c r="AU532" s="235"/>
      <c r="AV532" s="360">
        <f t="shared" si="65"/>
        <v>363440.3975458105</v>
      </c>
      <c r="AW532" s="235"/>
      <c r="AX532" s="355"/>
      <c r="AY532" s="344"/>
      <c r="AZ532" s="14">
        <f t="shared" si="67"/>
        <v>11020.857142715322</v>
      </c>
      <c r="BA532" s="14">
        <f t="shared" si="66"/>
        <v>-0.15913248745094483</v>
      </c>
      <c r="BB532" s="14">
        <f t="shared" si="61"/>
        <v>-69255.859185338762</v>
      </c>
      <c r="BC532" s="344"/>
      <c r="BD532" s="344"/>
      <c r="BE532" s="344"/>
      <c r="BF532" s="344"/>
      <c r="BG532" s="344"/>
      <c r="BH532" s="344"/>
      <c r="BI532" s="344"/>
      <c r="BJ532" s="344"/>
      <c r="BK532" s="344"/>
      <c r="BL532" s="344"/>
      <c r="BM532" s="344"/>
      <c r="BN532" s="344"/>
      <c r="BO532" s="344"/>
      <c r="BP532" s="14"/>
      <c r="BQ532" s="14"/>
      <c r="BR532" s="14"/>
      <c r="BS532" s="14"/>
      <c r="BT532" s="14"/>
      <c r="BU532" s="14"/>
      <c r="BV532" s="14"/>
      <c r="BW532" s="14"/>
      <c r="BX532" s="14"/>
      <c r="BY532" s="14"/>
      <c r="BZ532" s="14"/>
      <c r="CA532" s="14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</row>
    <row r="533" spans="1:101" ht="14.25" customHeight="1" x14ac:dyDescent="0.2">
      <c r="A533" s="328"/>
      <c r="B533" s="52">
        <v>0.1112442334453598</v>
      </c>
      <c r="C533" s="330">
        <v>0.13306504015819584</v>
      </c>
      <c r="D533" s="330">
        <v>2.6472755707344753E-2</v>
      </c>
      <c r="E533" s="330">
        <v>1.3347006645943722E-2</v>
      </c>
      <c r="F533" s="331">
        <v>0.78089761207522657</v>
      </c>
      <c r="G533" s="94">
        <v>0.36329046951384525</v>
      </c>
      <c r="H533" s="330">
        <v>0.7364866285386461</v>
      </c>
      <c r="I533" s="330">
        <v>6.9410085778923783E-3</v>
      </c>
      <c r="J533" s="330">
        <v>0.99999996854181383</v>
      </c>
      <c r="K533" s="330">
        <v>0.72788991760366095</v>
      </c>
      <c r="L533" s="332">
        <v>8703.5652374945003</v>
      </c>
      <c r="M533" s="330">
        <v>0</v>
      </c>
      <c r="N533" s="330">
        <v>23882.530379759846</v>
      </c>
      <c r="O533" s="330">
        <v>1322.3152376889254</v>
      </c>
      <c r="P533" s="330">
        <v>49051.07007010511</v>
      </c>
      <c r="Q533" s="333">
        <v>99358.85080609197</v>
      </c>
      <c r="R533" s="330">
        <v>18359.722093461267</v>
      </c>
      <c r="S533" s="330">
        <v>8902.0537229975453</v>
      </c>
      <c r="T533" s="332">
        <v>0.96726081978029599</v>
      </c>
      <c r="U533" s="330">
        <v>0.99563816230607771</v>
      </c>
      <c r="V533" s="330">
        <v>0.99845572614457367</v>
      </c>
      <c r="W533" s="330">
        <v>0.97135284200732119</v>
      </c>
      <c r="X533" s="330">
        <v>0.40096337281731187</v>
      </c>
      <c r="Y533" s="330">
        <v>0</v>
      </c>
      <c r="Z533" s="331">
        <v>0</v>
      </c>
      <c r="AA533" s="235"/>
      <c r="AB533" s="335">
        <v>84017.05849215397</v>
      </c>
      <c r="AC533" s="336">
        <v>2.0112261531792859</v>
      </c>
      <c r="AD533" s="337">
        <v>75334.524512373202</v>
      </c>
      <c r="AE533" s="336">
        <v>2.0572445464140667</v>
      </c>
      <c r="AF533" s="337">
        <v>8682.5339797807683</v>
      </c>
      <c r="AG533" s="338">
        <v>-4.6018393234780852E-2</v>
      </c>
      <c r="AH533" s="235"/>
      <c r="AI533" s="208">
        <f t="shared" si="62"/>
        <v>1826647.7870281676</v>
      </c>
      <c r="AJ533" s="208">
        <f t="shared" si="63"/>
        <v>1879047.7945809902</v>
      </c>
      <c r="AK533" s="208">
        <f t="shared" si="64"/>
        <v>-52400.007552822579</v>
      </c>
      <c r="AL533" s="235"/>
      <c r="AM533" s="52">
        <f t="shared" si="58"/>
        <v>0</v>
      </c>
      <c r="AN533" s="52">
        <f t="shared" si="59"/>
        <v>1</v>
      </c>
      <c r="AO533" s="52">
        <f t="shared" si="60"/>
        <v>0</v>
      </c>
      <c r="AP533" s="235"/>
      <c r="AQ533" s="28"/>
      <c r="AR533" s="28"/>
      <c r="AS533" s="28"/>
      <c r="AT533" s="28"/>
      <c r="AU533" s="235"/>
      <c r="AV533" s="360">
        <f t="shared" si="65"/>
        <v>1879047.7945809902</v>
      </c>
      <c r="AW533" s="235"/>
      <c r="AX533" s="355"/>
      <c r="AY533" s="344"/>
      <c r="AZ533" s="14">
        <f t="shared" si="67"/>
        <v>8682.5339797807683</v>
      </c>
      <c r="BA533" s="14">
        <f t="shared" si="66"/>
        <v>-4.6018393234780852E-2</v>
      </c>
      <c r="BB533" s="14">
        <f t="shared" si="61"/>
        <v>-188675.29632083027</v>
      </c>
      <c r="BC533" s="344"/>
      <c r="BD533" s="344"/>
      <c r="BE533" s="344"/>
      <c r="BF533" s="344"/>
      <c r="BG533" s="344"/>
      <c r="BH533" s="344"/>
      <c r="BI533" s="344"/>
      <c r="BJ533" s="344"/>
      <c r="BK533" s="344"/>
      <c r="BL533" s="344"/>
      <c r="BM533" s="344"/>
      <c r="BN533" s="344"/>
      <c r="BO533" s="344"/>
      <c r="BP533" s="14"/>
      <c r="BQ533" s="14"/>
      <c r="BR533" s="14"/>
      <c r="BS533" s="14"/>
      <c r="BT533" s="14"/>
      <c r="BU533" s="14"/>
      <c r="BV533" s="14"/>
      <c r="BW533" s="14"/>
      <c r="BX533" s="14"/>
      <c r="BY533" s="14"/>
      <c r="BZ533" s="14"/>
      <c r="CA533" s="14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</row>
    <row r="534" spans="1:101" ht="14.25" customHeight="1" x14ac:dyDescent="0.2">
      <c r="A534" s="328"/>
      <c r="B534" s="52">
        <v>0.18966938514593867</v>
      </c>
      <c r="C534" s="330">
        <v>0.18299183812613865</v>
      </c>
      <c r="D534" s="330">
        <v>1.5732356481042542E-2</v>
      </c>
      <c r="E534" s="330">
        <v>1.5459350127162375E-2</v>
      </c>
      <c r="F534" s="331">
        <v>0.80191264145848062</v>
      </c>
      <c r="G534" s="94">
        <v>0.434590232776075</v>
      </c>
      <c r="H534" s="330">
        <v>0.45567299086477625</v>
      </c>
      <c r="I534" s="330">
        <v>8.6829323994413159E-3</v>
      </c>
      <c r="J534" s="330">
        <v>0.99999999999999944</v>
      </c>
      <c r="K534" s="330">
        <v>0.76176764871274272</v>
      </c>
      <c r="L534" s="332">
        <v>9933.9629520212166</v>
      </c>
      <c r="M534" s="330">
        <v>0</v>
      </c>
      <c r="N534" s="330">
        <v>15154.523572892171</v>
      </c>
      <c r="O534" s="330">
        <v>1191.9835473420535</v>
      </c>
      <c r="P534" s="330">
        <v>41986.899050798842</v>
      </c>
      <c r="Q534" s="333">
        <v>108661.30376941504</v>
      </c>
      <c r="R534" s="330">
        <v>29078.181781791831</v>
      </c>
      <c r="S534" s="330">
        <v>7721.911689326399</v>
      </c>
      <c r="T534" s="332">
        <v>0.95139504146100895</v>
      </c>
      <c r="U534" s="330">
        <v>0.68760103341859591</v>
      </c>
      <c r="V534" s="330">
        <v>0.98692382355091679</v>
      </c>
      <c r="W534" s="330">
        <v>0.90533132696689933</v>
      </c>
      <c r="X534" s="330">
        <v>0.94032660274734603</v>
      </c>
      <c r="Y534" s="330">
        <v>0</v>
      </c>
      <c r="Z534" s="331">
        <v>0</v>
      </c>
      <c r="AA534" s="235"/>
      <c r="AB534" s="335">
        <v>77947.15362039904</v>
      </c>
      <c r="AC534" s="336">
        <v>4.8205462399039183</v>
      </c>
      <c r="AD534" s="337">
        <v>69996.494411457214</v>
      </c>
      <c r="AE534" s="336">
        <v>4.5983551840760706</v>
      </c>
      <c r="AF534" s="337">
        <v>7950.6592089418264</v>
      </c>
      <c r="AG534" s="338">
        <v>0.22219105582784771</v>
      </c>
      <c r="AH534" s="235"/>
      <c r="AI534" s="208">
        <f t="shared" si="62"/>
        <v>4501571.7742883237</v>
      </c>
      <c r="AJ534" s="208">
        <f t="shared" si="63"/>
        <v>4298440.9304608097</v>
      </c>
      <c r="AK534" s="208">
        <f t="shared" si="64"/>
        <v>203130.84382751348</v>
      </c>
      <c r="AL534" s="235"/>
      <c r="AM534" s="52">
        <f t="shared" si="58"/>
        <v>1</v>
      </c>
      <c r="AN534" s="52">
        <f t="shared" si="59"/>
        <v>0</v>
      </c>
      <c r="AO534" s="52">
        <f t="shared" si="60"/>
        <v>1</v>
      </c>
      <c r="AP534" s="235"/>
      <c r="AQ534" s="28"/>
      <c r="AR534" s="28"/>
      <c r="AS534" s="28"/>
      <c r="AT534" s="28"/>
      <c r="AU534" s="235"/>
      <c r="AV534" s="360">
        <f t="shared" si="65"/>
        <v>4501571.7742883237</v>
      </c>
      <c r="AW534" s="235"/>
      <c r="AX534" s="355"/>
      <c r="AY534" s="344"/>
      <c r="AZ534" s="14">
        <f t="shared" si="67"/>
        <v>7950.6592089418264</v>
      </c>
      <c r="BA534" s="14">
        <f t="shared" si="66"/>
        <v>0.22219105582784771</v>
      </c>
      <c r="BB534" s="14">
        <f t="shared" si="61"/>
        <v>35782.984960033449</v>
      </c>
      <c r="BC534" s="344"/>
      <c r="BD534" s="344"/>
      <c r="BE534" s="344"/>
      <c r="BF534" s="344"/>
      <c r="BG534" s="344"/>
      <c r="BH534" s="344"/>
      <c r="BI534" s="344"/>
      <c r="BJ534" s="344"/>
      <c r="BK534" s="344"/>
      <c r="BL534" s="344"/>
      <c r="BM534" s="344"/>
      <c r="BN534" s="344"/>
      <c r="BO534" s="344"/>
      <c r="BP534" s="14"/>
      <c r="BQ534" s="14"/>
      <c r="BR534" s="14"/>
      <c r="BS534" s="14"/>
      <c r="BT534" s="14"/>
      <c r="BU534" s="14"/>
      <c r="BV534" s="14"/>
      <c r="BW534" s="14"/>
      <c r="BX534" s="14"/>
      <c r="BY534" s="14"/>
      <c r="BZ534" s="14"/>
      <c r="CA534" s="14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</row>
    <row r="535" spans="1:101" ht="14.25" customHeight="1" x14ac:dyDescent="0.2">
      <c r="A535" s="328"/>
      <c r="B535" s="52">
        <v>0.16773174768073507</v>
      </c>
      <c r="C535" s="330">
        <v>9.1765266946711721E-2</v>
      </c>
      <c r="D535" s="330">
        <v>1.8990894906302347E-2</v>
      </c>
      <c r="E535" s="330">
        <v>9.4327286724124517E-3</v>
      </c>
      <c r="F535" s="331">
        <v>0.77575836835477918</v>
      </c>
      <c r="G535" s="94">
        <v>0.38852330765823484</v>
      </c>
      <c r="H535" s="330">
        <v>1.0180094085334919E-2</v>
      </c>
      <c r="I535" s="330">
        <v>1.1670961902113154E-2</v>
      </c>
      <c r="J535" s="330">
        <v>0.99999999999884426</v>
      </c>
      <c r="K535" s="330">
        <v>0.78226971776748933</v>
      </c>
      <c r="L535" s="332">
        <v>14745.475983955639</v>
      </c>
      <c r="M535" s="330">
        <v>0</v>
      </c>
      <c r="N535" s="330">
        <v>15992.63684150398</v>
      </c>
      <c r="O535" s="330">
        <v>1733.9974910271289</v>
      </c>
      <c r="P535" s="330">
        <v>47538.514617399145</v>
      </c>
      <c r="Q535" s="333">
        <v>107124.19691947378</v>
      </c>
      <c r="R535" s="330">
        <v>21728.981683223541</v>
      </c>
      <c r="S535" s="330">
        <v>10572.009779224987</v>
      </c>
      <c r="T535" s="332">
        <v>0.48354224051301609</v>
      </c>
      <c r="U535" s="330">
        <v>0.94009370025330874</v>
      </c>
      <c r="V535" s="330">
        <v>0.90607083787220877</v>
      </c>
      <c r="W535" s="330">
        <v>0.76628549294844661</v>
      </c>
      <c r="X535" s="330">
        <v>0.8234374248115236</v>
      </c>
      <c r="Y535" s="330">
        <v>0</v>
      </c>
      <c r="Z535" s="331">
        <v>0</v>
      </c>
      <c r="AA535" s="235"/>
      <c r="AB535" s="335">
        <v>103724.22946413945</v>
      </c>
      <c r="AC535" s="336">
        <v>3.8826399110210361</v>
      </c>
      <c r="AD535" s="337">
        <v>90290.539001336962</v>
      </c>
      <c r="AE535" s="336">
        <v>3.9048593620063294</v>
      </c>
      <c r="AF535" s="337">
        <v>13433.690462802493</v>
      </c>
      <c r="AG535" s="338">
        <v>-2.2219450985293321E-2</v>
      </c>
      <c r="AH535" s="235"/>
      <c r="AI535" s="208">
        <f t="shared" si="62"/>
        <v>3584783.6860058452</v>
      </c>
      <c r="AJ535" s="208">
        <f t="shared" si="63"/>
        <v>3619325.8549046763</v>
      </c>
      <c r="AK535" s="208">
        <f t="shared" si="64"/>
        <v>-34542.168898831151</v>
      </c>
      <c r="AL535" s="235"/>
      <c r="AM535" s="52">
        <f t="shared" si="58"/>
        <v>0</v>
      </c>
      <c r="AN535" s="52">
        <f t="shared" si="59"/>
        <v>1</v>
      </c>
      <c r="AO535" s="52">
        <f t="shared" si="60"/>
        <v>0</v>
      </c>
      <c r="AP535" s="235"/>
      <c r="AQ535" s="28"/>
      <c r="AR535" s="28"/>
      <c r="AS535" s="28"/>
      <c r="AT535" s="28"/>
      <c r="AU535" s="235"/>
      <c r="AV535" s="360">
        <f t="shared" si="65"/>
        <v>3619325.8549046763</v>
      </c>
      <c r="AW535" s="235"/>
      <c r="AX535" s="355"/>
      <c r="AY535" s="344"/>
      <c r="AZ535" s="14">
        <f t="shared" si="67"/>
        <v>13433.690462802493</v>
      </c>
      <c r="BA535" s="14">
        <f t="shared" si="66"/>
        <v>-2.2219450985293321E-2</v>
      </c>
      <c r="BB535" s="14">
        <f t="shared" si="61"/>
        <v>-604591.46680509904</v>
      </c>
      <c r="BC535" s="344"/>
      <c r="BD535" s="344"/>
      <c r="BE535" s="344"/>
      <c r="BF535" s="344"/>
      <c r="BG535" s="344"/>
      <c r="BH535" s="344"/>
      <c r="BI535" s="344"/>
      <c r="BJ535" s="344"/>
      <c r="BK535" s="344"/>
      <c r="BL535" s="344"/>
      <c r="BM535" s="344"/>
      <c r="BN535" s="344"/>
      <c r="BO535" s="344"/>
      <c r="BP535" s="14"/>
      <c r="BQ535" s="14"/>
      <c r="BR535" s="14"/>
      <c r="BS535" s="14"/>
      <c r="BT535" s="14"/>
      <c r="BU535" s="14"/>
      <c r="BV535" s="14"/>
      <c r="BW535" s="14"/>
      <c r="BX535" s="14"/>
      <c r="BY535" s="14"/>
      <c r="BZ535" s="14"/>
      <c r="CA535" s="14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</row>
    <row r="536" spans="1:101" ht="14.25" customHeight="1" x14ac:dyDescent="0.2">
      <c r="A536" s="328"/>
      <c r="B536" s="52">
        <v>0.14292870935232066</v>
      </c>
      <c r="C536" s="330">
        <v>0.70701322309351333</v>
      </c>
      <c r="D536" s="330">
        <v>1.5629096394854103E-2</v>
      </c>
      <c r="E536" s="330">
        <v>2.154264525563232E-2</v>
      </c>
      <c r="F536" s="331">
        <v>0.7450290434036021</v>
      </c>
      <c r="G536" s="94">
        <v>0.40311885307798578</v>
      </c>
      <c r="H536" s="330">
        <v>0.36608621320775497</v>
      </c>
      <c r="I536" s="330">
        <v>5.9311961418129491E-3</v>
      </c>
      <c r="J536" s="330">
        <v>0.35961923201392976</v>
      </c>
      <c r="K536" s="330">
        <v>0.69333049209591235</v>
      </c>
      <c r="L536" s="332">
        <v>9811.9722379332015</v>
      </c>
      <c r="M536" s="330">
        <v>0</v>
      </c>
      <c r="N536" s="330">
        <v>19031.307252830207</v>
      </c>
      <c r="O536" s="330">
        <v>1328.8415511448304</v>
      </c>
      <c r="P536" s="330">
        <v>58542.074906523354</v>
      </c>
      <c r="Q536" s="333">
        <v>114789.50400887583</v>
      </c>
      <c r="R536" s="330">
        <v>38039.481071089205</v>
      </c>
      <c r="S536" s="330">
        <v>9310.7514642133701</v>
      </c>
      <c r="T536" s="332">
        <v>0.9446608834839143</v>
      </c>
      <c r="U536" s="330">
        <v>0.98063834215749845</v>
      </c>
      <c r="V536" s="330">
        <v>0.50038586693862475</v>
      </c>
      <c r="W536" s="330">
        <v>0.92197830288521831</v>
      </c>
      <c r="X536" s="330">
        <v>0.2437541694493727</v>
      </c>
      <c r="Y536" s="330">
        <v>0</v>
      </c>
      <c r="Z536" s="331">
        <v>0</v>
      </c>
      <c r="AA536" s="235"/>
      <c r="AB536" s="335">
        <v>88546.234458773848</v>
      </c>
      <c r="AC536" s="336">
        <v>1.2148231461240782</v>
      </c>
      <c r="AD536" s="337">
        <v>75796.26261279147</v>
      </c>
      <c r="AE536" s="336">
        <v>1.1733216447681696</v>
      </c>
      <c r="AF536" s="337">
        <v>12749.971845982378</v>
      </c>
      <c r="AG536" s="338">
        <v>4.1501501355908577E-2</v>
      </c>
      <c r="AH536" s="235"/>
      <c r="AI536" s="208">
        <f t="shared" si="62"/>
        <v>1065535.7543591005</v>
      </c>
      <c r="AJ536" s="208">
        <f t="shared" si="63"/>
        <v>1038859.2999169696</v>
      </c>
      <c r="AK536" s="208">
        <f t="shared" si="64"/>
        <v>26676.454442130773</v>
      </c>
      <c r="AL536" s="235"/>
      <c r="AM536" s="52">
        <f t="shared" si="58"/>
        <v>1</v>
      </c>
      <c r="AN536" s="52">
        <f t="shared" si="59"/>
        <v>0</v>
      </c>
      <c r="AO536" s="52">
        <f t="shared" si="60"/>
        <v>1</v>
      </c>
      <c r="AP536" s="235"/>
      <c r="AQ536" s="28"/>
      <c r="AR536" s="28"/>
      <c r="AS536" s="28"/>
      <c r="AT536" s="28"/>
      <c r="AU536" s="235"/>
      <c r="AV536" s="360">
        <f t="shared" si="65"/>
        <v>1065535.7543591005</v>
      </c>
      <c r="AW536" s="235"/>
      <c r="AX536" s="355"/>
      <c r="AY536" s="344"/>
      <c r="AZ536" s="14">
        <f t="shared" si="67"/>
        <v>12749.971845982378</v>
      </c>
      <c r="BA536" s="14">
        <f t="shared" si="66"/>
        <v>4.1501501355908577E-2</v>
      </c>
      <c r="BB536" s="14">
        <f t="shared" si="61"/>
        <v>307217.12298167648</v>
      </c>
      <c r="BC536" s="344"/>
      <c r="BD536" s="344"/>
      <c r="BE536" s="344"/>
      <c r="BF536" s="344"/>
      <c r="BG536" s="344"/>
      <c r="BH536" s="344"/>
      <c r="BI536" s="344"/>
      <c r="BJ536" s="344"/>
      <c r="BK536" s="344"/>
      <c r="BL536" s="344"/>
      <c r="BM536" s="344"/>
      <c r="BN536" s="344"/>
      <c r="BO536" s="344"/>
      <c r="BP536" s="14"/>
      <c r="BQ536" s="14"/>
      <c r="BR536" s="14"/>
      <c r="BS536" s="14"/>
      <c r="BT536" s="14"/>
      <c r="BU536" s="14"/>
      <c r="BV536" s="14"/>
      <c r="BW536" s="14"/>
      <c r="BX536" s="14"/>
      <c r="BY536" s="14"/>
      <c r="BZ536" s="14"/>
      <c r="CA536" s="14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</row>
    <row r="537" spans="1:101" ht="14.25" customHeight="1" x14ac:dyDescent="0.2">
      <c r="A537" s="328"/>
      <c r="B537" s="52">
        <v>0.14662458654490532</v>
      </c>
      <c r="C537" s="330">
        <v>0.30819754198215887</v>
      </c>
      <c r="D537" s="330">
        <v>2.508107004341964E-2</v>
      </c>
      <c r="E537" s="330">
        <v>2.649205443185576E-2</v>
      </c>
      <c r="F537" s="331">
        <v>0.7654896359844171</v>
      </c>
      <c r="G537" s="94">
        <v>0.3666613571482501</v>
      </c>
      <c r="H537" s="330">
        <v>0.50338827511478224</v>
      </c>
      <c r="I537" s="330">
        <v>3.1346995626494234E-2</v>
      </c>
      <c r="J537" s="330">
        <v>0.99994819917237543</v>
      </c>
      <c r="K537" s="330">
        <v>0.73373632451770798</v>
      </c>
      <c r="L537" s="332">
        <v>10022.390410473359</v>
      </c>
      <c r="M537" s="330">
        <v>0</v>
      </c>
      <c r="N537" s="330">
        <v>17172.043280234397</v>
      </c>
      <c r="O537" s="330">
        <v>1128.650095610956</v>
      </c>
      <c r="P537" s="330">
        <v>39238.49629659552</v>
      </c>
      <c r="Q537" s="333">
        <v>72892.861287247884</v>
      </c>
      <c r="R537" s="330">
        <v>22000.03838159913</v>
      </c>
      <c r="S537" s="330">
        <v>6572.0129925362089</v>
      </c>
      <c r="T537" s="332">
        <v>0.70362852086391403</v>
      </c>
      <c r="U537" s="330">
        <v>0.99609094939726273</v>
      </c>
      <c r="V537" s="330">
        <v>0.49896763411763195</v>
      </c>
      <c r="W537" s="330">
        <v>0.99835322876719323</v>
      </c>
      <c r="X537" s="330">
        <v>0.27850653072366754</v>
      </c>
      <c r="Y537" s="330">
        <v>0</v>
      </c>
      <c r="Z537" s="331">
        <v>0</v>
      </c>
      <c r="AA537" s="235"/>
      <c r="AB537" s="335">
        <v>65442.367148319536</v>
      </c>
      <c r="AC537" s="336">
        <v>1.29006318300614</v>
      </c>
      <c r="AD537" s="337">
        <v>57658.569629976162</v>
      </c>
      <c r="AE537" s="336">
        <v>1.4883759270744301</v>
      </c>
      <c r="AF537" s="337">
        <v>7783.7975183433737</v>
      </c>
      <c r="AG537" s="338">
        <v>-0.19831274406829014</v>
      </c>
      <c r="AH537" s="235"/>
      <c r="AI537" s="208">
        <f t="shared" si="62"/>
        <v>1160117.6567075134</v>
      </c>
      <c r="AJ537" s="208">
        <f t="shared" si="63"/>
        <v>1356298.5610907325</v>
      </c>
      <c r="AK537" s="208">
        <f t="shared" si="64"/>
        <v>-196180.90438321899</v>
      </c>
      <c r="AL537" s="235"/>
      <c r="AM537" s="52">
        <f t="shared" si="58"/>
        <v>0</v>
      </c>
      <c r="AN537" s="52">
        <f t="shared" si="59"/>
        <v>1</v>
      </c>
      <c r="AO537" s="52">
        <f t="shared" si="60"/>
        <v>0</v>
      </c>
      <c r="AP537" s="235"/>
      <c r="AQ537" s="28"/>
      <c r="AR537" s="28"/>
      <c r="AS537" s="28"/>
      <c r="AT537" s="28"/>
      <c r="AU537" s="235"/>
      <c r="AV537" s="360">
        <f t="shared" si="65"/>
        <v>1356298.5610907325</v>
      </c>
      <c r="AW537" s="235"/>
      <c r="AX537" s="355"/>
      <c r="AY537" s="344"/>
      <c r="AZ537" s="14">
        <f t="shared" si="67"/>
        <v>7783.7975183433737</v>
      </c>
      <c r="BA537" s="14">
        <f t="shared" si="66"/>
        <v>-0.19831274406829014</v>
      </c>
      <c r="BB537" s="14">
        <f t="shared" si="61"/>
        <v>-39250.112517544403</v>
      </c>
      <c r="BC537" s="344"/>
      <c r="BD537" s="344"/>
      <c r="BE537" s="344"/>
      <c r="BF537" s="344"/>
      <c r="BG537" s="344"/>
      <c r="BH537" s="344"/>
      <c r="BI537" s="344"/>
      <c r="BJ537" s="344"/>
      <c r="BK537" s="344"/>
      <c r="BL537" s="344"/>
      <c r="BM537" s="344"/>
      <c r="BN537" s="344"/>
      <c r="BO537" s="344"/>
      <c r="BP537" s="14"/>
      <c r="BQ537" s="14"/>
      <c r="BR537" s="14"/>
      <c r="BS537" s="14"/>
      <c r="BT537" s="14"/>
      <c r="BU537" s="14"/>
      <c r="BV537" s="14"/>
      <c r="BW537" s="14"/>
      <c r="BX537" s="14"/>
      <c r="BY537" s="14"/>
      <c r="BZ537" s="14"/>
      <c r="CA537" s="14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</row>
    <row r="538" spans="1:101" ht="14.25" customHeight="1" x14ac:dyDescent="0.2">
      <c r="A538" s="328"/>
      <c r="B538" s="52">
        <v>0.17806077531302789</v>
      </c>
      <c r="C538" s="330">
        <v>5.6747642812355698E-2</v>
      </c>
      <c r="D538" s="330">
        <v>8.90651532052808E-3</v>
      </c>
      <c r="E538" s="330">
        <v>1.6996264970717712E-2</v>
      </c>
      <c r="F538" s="331">
        <v>0.77135625048901191</v>
      </c>
      <c r="G538" s="94">
        <v>0.38587526366510322</v>
      </c>
      <c r="H538" s="330">
        <v>0.69640683167827466</v>
      </c>
      <c r="I538" s="330">
        <v>9.0821968451581091E-3</v>
      </c>
      <c r="J538" s="330">
        <v>0.78052066176736723</v>
      </c>
      <c r="K538" s="330">
        <v>0.73177031391314984</v>
      </c>
      <c r="L538" s="332">
        <v>12094.397912977152</v>
      </c>
      <c r="M538" s="330">
        <v>0</v>
      </c>
      <c r="N538" s="330">
        <v>21426.349377455746</v>
      </c>
      <c r="O538" s="330">
        <v>1231.1716494765226</v>
      </c>
      <c r="P538" s="330">
        <v>47661.587405695536</v>
      </c>
      <c r="Q538" s="333">
        <v>106982.5297799651</v>
      </c>
      <c r="R538" s="330">
        <v>27970.746255248356</v>
      </c>
      <c r="S538" s="330">
        <v>10975.769542221693</v>
      </c>
      <c r="T538" s="332">
        <v>0.99766899568044276</v>
      </c>
      <c r="U538" s="330">
        <v>0.9563094674158259</v>
      </c>
      <c r="V538" s="330">
        <v>0.98909875323870877</v>
      </c>
      <c r="W538" s="330">
        <v>0.95467091545877003</v>
      </c>
      <c r="X538" s="330">
        <v>0.55953166955148881</v>
      </c>
      <c r="Y538" s="330">
        <v>0</v>
      </c>
      <c r="Z538" s="331">
        <v>0</v>
      </c>
      <c r="AA538" s="235"/>
      <c r="AB538" s="335">
        <v>103620.83384814512</v>
      </c>
      <c r="AC538" s="336">
        <v>2.9211976198268288</v>
      </c>
      <c r="AD538" s="337">
        <v>94683.245476254335</v>
      </c>
      <c r="AE538" s="336">
        <v>2.5516064163369396</v>
      </c>
      <c r="AF538" s="337">
        <v>8937.5883718907862</v>
      </c>
      <c r="AG538" s="338">
        <v>0.36959120348988916</v>
      </c>
      <c r="AH538" s="235"/>
      <c r="AI538" s="208">
        <f t="shared" si="62"/>
        <v>2671516.9049873422</v>
      </c>
      <c r="AJ538" s="208">
        <f t="shared" si="63"/>
        <v>2329342.8500438384</v>
      </c>
      <c r="AK538" s="208">
        <f t="shared" si="64"/>
        <v>342174.05494350393</v>
      </c>
      <c r="AL538" s="235"/>
      <c r="AM538" s="52">
        <f t="shared" si="58"/>
        <v>1</v>
      </c>
      <c r="AN538" s="52">
        <f t="shared" si="59"/>
        <v>0</v>
      </c>
      <c r="AO538" s="52">
        <f t="shared" si="60"/>
        <v>1</v>
      </c>
      <c r="AP538" s="235"/>
      <c r="AQ538" s="28"/>
      <c r="AR538" s="28"/>
      <c r="AS538" s="28"/>
      <c r="AT538" s="28"/>
      <c r="AU538" s="235"/>
      <c r="AV538" s="360">
        <f t="shared" si="65"/>
        <v>2671516.9049873422</v>
      </c>
      <c r="AW538" s="235"/>
      <c r="AX538" s="355"/>
      <c r="AY538" s="344"/>
      <c r="AZ538" s="14">
        <f t="shared" si="67"/>
        <v>8937.5883718907862</v>
      </c>
      <c r="BA538" s="14">
        <f t="shared" si="66"/>
        <v>0.36959120348988916</v>
      </c>
      <c r="BB538" s="14">
        <f t="shared" si="61"/>
        <v>24182.362262675688</v>
      </c>
      <c r="BC538" s="344"/>
      <c r="BD538" s="344"/>
      <c r="BE538" s="344"/>
      <c r="BF538" s="344"/>
      <c r="BG538" s="344"/>
      <c r="BH538" s="344"/>
      <c r="BI538" s="344"/>
      <c r="BJ538" s="344"/>
      <c r="BK538" s="344"/>
      <c r="BL538" s="344"/>
      <c r="BM538" s="344"/>
      <c r="BN538" s="344"/>
      <c r="BO538" s="344"/>
      <c r="BP538" s="14"/>
      <c r="BQ538" s="14"/>
      <c r="BR538" s="14"/>
      <c r="BS538" s="14"/>
      <c r="BT538" s="14"/>
      <c r="BU538" s="14"/>
      <c r="BV538" s="14"/>
      <c r="BW538" s="14"/>
      <c r="BX538" s="14"/>
      <c r="BY538" s="14"/>
      <c r="BZ538" s="14"/>
      <c r="CA538" s="14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</row>
    <row r="539" spans="1:101" ht="14.25" customHeight="1" x14ac:dyDescent="0.2">
      <c r="A539" s="328"/>
      <c r="B539" s="52">
        <v>0.16458430790628997</v>
      </c>
      <c r="C539" s="330">
        <v>0.59519878243569491</v>
      </c>
      <c r="D539" s="330">
        <v>2.4597874710016843E-2</v>
      </c>
      <c r="E539" s="330">
        <v>1.2980584910705967E-2</v>
      </c>
      <c r="F539" s="331">
        <v>0.797183391520633</v>
      </c>
      <c r="G539" s="94">
        <v>0.31819573758393938</v>
      </c>
      <c r="H539" s="330">
        <v>0.69152202202147528</v>
      </c>
      <c r="I539" s="330">
        <v>4.9364052070066024E-3</v>
      </c>
      <c r="J539" s="330">
        <v>0.99999999999999134</v>
      </c>
      <c r="K539" s="330">
        <v>0.76314824165401307</v>
      </c>
      <c r="L539" s="332">
        <v>9750.7228991859301</v>
      </c>
      <c r="M539" s="330">
        <v>0</v>
      </c>
      <c r="N539" s="330">
        <v>22943.535798082419</v>
      </c>
      <c r="O539" s="330">
        <v>967.38810348559332</v>
      </c>
      <c r="P539" s="330">
        <v>57500.053478001508</v>
      </c>
      <c r="Q539" s="333">
        <v>104204.40050200588</v>
      </c>
      <c r="R539" s="330">
        <v>27082.381858288718</v>
      </c>
      <c r="S539" s="330">
        <v>9397.6043996775952</v>
      </c>
      <c r="T539" s="332">
        <v>0.99996980669348023</v>
      </c>
      <c r="U539" s="330">
        <v>0.92374603026210811</v>
      </c>
      <c r="V539" s="330">
        <v>0.93654974243795841</v>
      </c>
      <c r="W539" s="330">
        <v>0.37652603454204131</v>
      </c>
      <c r="X539" s="330">
        <v>0.67983122619976133</v>
      </c>
      <c r="Y539" s="330">
        <v>0</v>
      </c>
      <c r="Z539" s="331">
        <v>0</v>
      </c>
      <c r="AA539" s="235"/>
      <c r="AB539" s="335">
        <v>93383.275236249421</v>
      </c>
      <c r="AC539" s="336">
        <v>3.2740282434167751</v>
      </c>
      <c r="AD539" s="337">
        <v>83514.817540753997</v>
      </c>
      <c r="AE539" s="336">
        <v>3.2793973692045877</v>
      </c>
      <c r="AF539" s="337">
        <v>9868.4576954954246</v>
      </c>
      <c r="AG539" s="338">
        <v>-5.3691257878125676E-3</v>
      </c>
      <c r="AH539" s="235"/>
      <c r="AI539" s="208">
        <f t="shared" si="62"/>
        <v>3016943.556009687</v>
      </c>
      <c r="AJ539" s="208">
        <f t="shared" si="63"/>
        <v>3031912.6832036041</v>
      </c>
      <c r="AK539" s="208">
        <f t="shared" si="64"/>
        <v>-14969.127193917364</v>
      </c>
      <c r="AL539" s="235"/>
      <c r="AM539" s="52">
        <f t="shared" si="58"/>
        <v>0</v>
      </c>
      <c r="AN539" s="52">
        <f t="shared" si="59"/>
        <v>1</v>
      </c>
      <c r="AO539" s="52">
        <f t="shared" si="60"/>
        <v>0</v>
      </c>
      <c r="AP539" s="235"/>
      <c r="AQ539" s="28"/>
      <c r="AR539" s="28"/>
      <c r="AS539" s="28"/>
      <c r="AT539" s="28"/>
      <c r="AU539" s="235"/>
      <c r="AV539" s="360">
        <f t="shared" si="65"/>
        <v>3031912.6832036041</v>
      </c>
      <c r="AW539" s="235"/>
      <c r="AX539" s="355"/>
      <c r="AY539" s="344"/>
      <c r="AZ539" s="14">
        <f t="shared" si="67"/>
        <v>9868.4576954954246</v>
      </c>
      <c r="BA539" s="14">
        <f t="shared" si="66"/>
        <v>-5.3691257878125676E-3</v>
      </c>
      <c r="BB539" s="14">
        <f t="shared" si="61"/>
        <v>-1838000.8376588859</v>
      </c>
      <c r="BC539" s="344"/>
      <c r="BD539" s="344"/>
      <c r="BE539" s="344"/>
      <c r="BF539" s="344"/>
      <c r="BG539" s="344"/>
      <c r="BH539" s="344"/>
      <c r="BI539" s="344"/>
      <c r="BJ539" s="344"/>
      <c r="BK539" s="344"/>
      <c r="BL539" s="344"/>
      <c r="BM539" s="344"/>
      <c r="BN539" s="344"/>
      <c r="BO539" s="344"/>
      <c r="BP539" s="14"/>
      <c r="BQ539" s="14"/>
      <c r="BR539" s="14"/>
      <c r="BS539" s="14"/>
      <c r="BT539" s="14"/>
      <c r="BU539" s="14"/>
      <c r="BV539" s="14"/>
      <c r="BW539" s="14"/>
      <c r="BX539" s="14"/>
      <c r="BY539" s="14"/>
      <c r="BZ539" s="14"/>
      <c r="CA539" s="14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</row>
    <row r="540" spans="1:101" ht="14.25" customHeight="1" x14ac:dyDescent="0.2">
      <c r="A540" s="328"/>
      <c r="B540" s="52">
        <v>0.19486812385573082</v>
      </c>
      <c r="C540" s="330">
        <v>7.2420442575792845E-2</v>
      </c>
      <c r="D540" s="330">
        <v>1.202804117274256E-2</v>
      </c>
      <c r="E540" s="330">
        <v>1.9612801623203335E-2</v>
      </c>
      <c r="F540" s="331">
        <v>0.80548773388268469</v>
      </c>
      <c r="G540" s="94">
        <v>0.39036899181835366</v>
      </c>
      <c r="H540" s="330">
        <v>0.67519438944314303</v>
      </c>
      <c r="I540" s="330">
        <v>6.9401191211572706E-3</v>
      </c>
      <c r="J540" s="330">
        <v>0.99999999999999978</v>
      </c>
      <c r="K540" s="330">
        <v>0.72913753588164332</v>
      </c>
      <c r="L540" s="332">
        <v>10067.118284326618</v>
      </c>
      <c r="M540" s="330">
        <v>0</v>
      </c>
      <c r="N540" s="330">
        <v>16157.840866242435</v>
      </c>
      <c r="O540" s="330">
        <v>1749.6009847859646</v>
      </c>
      <c r="P540" s="330">
        <v>38464.265361082886</v>
      </c>
      <c r="Q540" s="333">
        <v>80949.701841559334</v>
      </c>
      <c r="R540" s="330">
        <v>26240.01262866025</v>
      </c>
      <c r="S540" s="330">
        <v>9106.5122939373396</v>
      </c>
      <c r="T540" s="332">
        <v>0.9635737367123659</v>
      </c>
      <c r="U540" s="330">
        <v>0.79785821268932444</v>
      </c>
      <c r="V540" s="330">
        <v>0.88590229508082552</v>
      </c>
      <c r="W540" s="330">
        <v>0.96767342382238053</v>
      </c>
      <c r="X540" s="330">
        <v>0.95143067189394193</v>
      </c>
      <c r="Y540" s="330">
        <v>0</v>
      </c>
      <c r="Z540" s="331">
        <v>0</v>
      </c>
      <c r="AA540" s="235"/>
      <c r="AB540" s="335">
        <v>89686.173168453097</v>
      </c>
      <c r="AC540" s="336">
        <v>5.0745059749370895</v>
      </c>
      <c r="AD540" s="337">
        <v>79177.94305187423</v>
      </c>
      <c r="AE540" s="336">
        <v>4.3846837751244765</v>
      </c>
      <c r="AF540" s="337">
        <v>10508.230116578867</v>
      </c>
      <c r="AG540" s="338">
        <v>0.68982219981261306</v>
      </c>
      <c r="AH540" s="235"/>
      <c r="AI540" s="208">
        <f t="shared" si="62"/>
        <v>4731094.5030217813</v>
      </c>
      <c r="AJ540" s="208">
        <f t="shared" si="63"/>
        <v>4086271.6433163784</v>
      </c>
      <c r="AK540" s="208">
        <f t="shared" si="64"/>
        <v>644822.85970540356</v>
      </c>
      <c r="AL540" s="235"/>
      <c r="AM540" s="52">
        <f t="shared" si="58"/>
        <v>1</v>
      </c>
      <c r="AN540" s="52">
        <f t="shared" si="59"/>
        <v>0</v>
      </c>
      <c r="AO540" s="52">
        <f t="shared" si="60"/>
        <v>1</v>
      </c>
      <c r="AP540" s="235"/>
      <c r="AQ540" s="28"/>
      <c r="AR540" s="28"/>
      <c r="AS540" s="28"/>
      <c r="AT540" s="28"/>
      <c r="AU540" s="235"/>
      <c r="AV540" s="360">
        <f t="shared" si="65"/>
        <v>4731094.5030217813</v>
      </c>
      <c r="AW540" s="235"/>
      <c r="AX540" s="355"/>
      <c r="AY540" s="344"/>
      <c r="AZ540" s="14">
        <f t="shared" si="67"/>
        <v>10508.230116578867</v>
      </c>
      <c r="BA540" s="14">
        <f t="shared" si="66"/>
        <v>0.68982219981261306</v>
      </c>
      <c r="BB540" s="14">
        <f t="shared" si="61"/>
        <v>15233.244333733212</v>
      </c>
      <c r="BC540" s="344"/>
      <c r="BD540" s="344"/>
      <c r="BE540" s="344"/>
      <c r="BF540" s="344"/>
      <c r="BG540" s="344"/>
      <c r="BH540" s="344"/>
      <c r="BI540" s="344"/>
      <c r="BJ540" s="344"/>
      <c r="BK540" s="344"/>
      <c r="BL540" s="344"/>
      <c r="BM540" s="344"/>
      <c r="BN540" s="344"/>
      <c r="BO540" s="344"/>
      <c r="BP540" s="14"/>
      <c r="BQ540" s="14"/>
      <c r="BR540" s="14"/>
      <c r="BS540" s="14"/>
      <c r="BT540" s="14"/>
      <c r="BU540" s="14"/>
      <c r="BV540" s="14"/>
      <c r="BW540" s="14"/>
      <c r="BX540" s="14"/>
      <c r="BY540" s="14"/>
      <c r="BZ540" s="14"/>
      <c r="CA540" s="14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</row>
    <row r="541" spans="1:101" ht="14.25" customHeight="1" x14ac:dyDescent="0.2">
      <c r="A541" s="328"/>
      <c r="B541" s="52">
        <v>0.17401827291705874</v>
      </c>
      <c r="C541" s="330">
        <v>0.20628842178772677</v>
      </c>
      <c r="D541" s="330">
        <v>1.1188722023166644E-2</v>
      </c>
      <c r="E541" s="330">
        <v>1.1033459910720958E-2</v>
      </c>
      <c r="F541" s="331">
        <v>0.79124210822900287</v>
      </c>
      <c r="G541" s="94">
        <v>0.44697945404008366</v>
      </c>
      <c r="H541" s="330">
        <v>0.31281990778748159</v>
      </c>
      <c r="I541" s="330">
        <v>2.3123334864049272E-2</v>
      </c>
      <c r="J541" s="330">
        <v>0.99999999982118726</v>
      </c>
      <c r="K541" s="330">
        <v>0.74327774182941297</v>
      </c>
      <c r="L541" s="332">
        <v>16490.652503441182</v>
      </c>
      <c r="M541" s="330">
        <v>0</v>
      </c>
      <c r="N541" s="330">
        <v>13320.501188958313</v>
      </c>
      <c r="O541" s="330">
        <v>1222.721679275721</v>
      </c>
      <c r="P541" s="330">
        <v>47190.128432989637</v>
      </c>
      <c r="Q541" s="333">
        <v>104478.16984346516</v>
      </c>
      <c r="R541" s="330">
        <v>23465.354971369499</v>
      </c>
      <c r="S541" s="330">
        <v>9677.6262019571896</v>
      </c>
      <c r="T541" s="332">
        <v>0.49956342119944913</v>
      </c>
      <c r="U541" s="330">
        <v>0.78741141974882811</v>
      </c>
      <c r="V541" s="330">
        <v>0.88169485178279527</v>
      </c>
      <c r="W541" s="330">
        <v>0.99958613135748697</v>
      </c>
      <c r="X541" s="330">
        <v>0.99995222635994363</v>
      </c>
      <c r="Y541" s="330">
        <v>0</v>
      </c>
      <c r="Z541" s="331">
        <v>0</v>
      </c>
      <c r="AA541" s="235"/>
      <c r="AB541" s="335">
        <v>99923.253975454456</v>
      </c>
      <c r="AC541" s="336">
        <v>4.9480992094439422</v>
      </c>
      <c r="AD541" s="337">
        <v>82698.491363729525</v>
      </c>
      <c r="AE541" s="336">
        <v>4.4935097131989554</v>
      </c>
      <c r="AF541" s="337">
        <v>17224.762611724931</v>
      </c>
      <c r="AG541" s="338">
        <v>0.45458949624498679</v>
      </c>
      <c r="AH541" s="235"/>
      <c r="AI541" s="208">
        <f t="shared" si="62"/>
        <v>4600770.9949962907</v>
      </c>
      <c r="AJ541" s="208">
        <f t="shared" si="63"/>
        <v>4186135.7361752782</v>
      </c>
      <c r="AK541" s="208">
        <f t="shared" si="64"/>
        <v>414635.25882101257</v>
      </c>
      <c r="AL541" s="235"/>
      <c r="AM541" s="52">
        <f t="shared" si="58"/>
        <v>1</v>
      </c>
      <c r="AN541" s="52">
        <f t="shared" si="59"/>
        <v>0</v>
      </c>
      <c r="AO541" s="52">
        <f t="shared" si="60"/>
        <v>1</v>
      </c>
      <c r="AP541" s="235"/>
      <c r="AQ541" s="28"/>
      <c r="AR541" s="28"/>
      <c r="AS541" s="28"/>
      <c r="AT541" s="28"/>
      <c r="AU541" s="235"/>
      <c r="AV541" s="360">
        <f t="shared" si="65"/>
        <v>4600770.9949962907</v>
      </c>
      <c r="AW541" s="235"/>
      <c r="AX541" s="355"/>
      <c r="AY541" s="344"/>
      <c r="AZ541" s="14">
        <f t="shared" si="67"/>
        <v>17224.762611724931</v>
      </c>
      <c r="BA541" s="14">
        <f t="shared" si="66"/>
        <v>0.45458949624498679</v>
      </c>
      <c r="BB541" s="14">
        <f t="shared" si="61"/>
        <v>37890.806439667896</v>
      </c>
      <c r="BC541" s="344"/>
      <c r="BD541" s="344"/>
      <c r="BE541" s="344"/>
      <c r="BF541" s="344"/>
      <c r="BG541" s="344"/>
      <c r="BH541" s="344"/>
      <c r="BI541" s="344"/>
      <c r="BJ541" s="344"/>
      <c r="BK541" s="344"/>
      <c r="BL541" s="344"/>
      <c r="BM541" s="344"/>
      <c r="BN541" s="344"/>
      <c r="BO541" s="344"/>
      <c r="BP541" s="14"/>
      <c r="BQ541" s="14"/>
      <c r="BR541" s="14"/>
      <c r="BS541" s="14"/>
      <c r="BT541" s="14"/>
      <c r="BU541" s="14"/>
      <c r="BV541" s="14"/>
      <c r="BW541" s="14"/>
      <c r="BX541" s="14"/>
      <c r="BY541" s="14"/>
      <c r="BZ541" s="14"/>
      <c r="CA541" s="14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</row>
    <row r="542" spans="1:101" ht="14.25" customHeight="1" x14ac:dyDescent="0.2">
      <c r="A542" s="328"/>
      <c r="B542" s="52">
        <v>0.16530157737523443</v>
      </c>
      <c r="C542" s="330">
        <v>0.66307316724365117</v>
      </c>
      <c r="D542" s="330">
        <v>2.2105045979598947E-2</v>
      </c>
      <c r="E542" s="330">
        <v>8.0887300947782813E-3</v>
      </c>
      <c r="F542" s="331">
        <v>0.78931349433498099</v>
      </c>
      <c r="G542" s="94">
        <v>0.4151010930984782</v>
      </c>
      <c r="H542" s="330">
        <v>0.52636610809620188</v>
      </c>
      <c r="I542" s="330">
        <v>2.4765012703030442E-2</v>
      </c>
      <c r="J542" s="330">
        <v>0.99999999999995359</v>
      </c>
      <c r="K542" s="330">
        <v>0.8135502479477752</v>
      </c>
      <c r="L542" s="332">
        <v>10588.356385726192</v>
      </c>
      <c r="M542" s="330">
        <v>0</v>
      </c>
      <c r="N542" s="330">
        <v>23429.516120061762</v>
      </c>
      <c r="O542" s="330">
        <v>1431.5932178413821</v>
      </c>
      <c r="P542" s="330">
        <v>39676.546480277546</v>
      </c>
      <c r="Q542" s="333">
        <v>86894.979599183484</v>
      </c>
      <c r="R542" s="330">
        <v>24357.140650801415</v>
      </c>
      <c r="S542" s="330">
        <v>12233.138597172174</v>
      </c>
      <c r="T542" s="332">
        <v>0.25921345735722645</v>
      </c>
      <c r="U542" s="330">
        <v>0.94033473786263633</v>
      </c>
      <c r="V542" s="330">
        <v>0.990861080865865</v>
      </c>
      <c r="W542" s="330">
        <v>0.97497862771464305</v>
      </c>
      <c r="X542" s="330">
        <v>9.712289643990539E-2</v>
      </c>
      <c r="Y542" s="330">
        <v>0</v>
      </c>
      <c r="Z542" s="331">
        <v>0</v>
      </c>
      <c r="AA542" s="235"/>
      <c r="AB542" s="335">
        <v>117432.51748136319</v>
      </c>
      <c r="AC542" s="336">
        <v>0.5466921741696732</v>
      </c>
      <c r="AD542" s="337">
        <v>114292.55404409578</v>
      </c>
      <c r="AE542" s="336">
        <v>0.92551699922873809</v>
      </c>
      <c r="AF542" s="337">
        <v>3139.9634372674045</v>
      </c>
      <c r="AG542" s="338">
        <v>-0.3788248250590649</v>
      </c>
      <c r="AH542" s="235"/>
      <c r="AI542" s="208">
        <f t="shared" si="62"/>
        <v>401925.04797982634</v>
      </c>
      <c r="AJ542" s="208">
        <f t="shared" si="63"/>
        <v>764948.5952232054</v>
      </c>
      <c r="AK542" s="208">
        <f t="shared" si="64"/>
        <v>-363023.54724337906</v>
      </c>
      <c r="AL542" s="235"/>
      <c r="AM542" s="52">
        <f t="shared" si="58"/>
        <v>0</v>
      </c>
      <c r="AN542" s="52">
        <f t="shared" si="59"/>
        <v>1</v>
      </c>
      <c r="AO542" s="52">
        <f t="shared" si="60"/>
        <v>0</v>
      </c>
      <c r="AP542" s="235"/>
      <c r="AQ542" s="28"/>
      <c r="AR542" s="28"/>
      <c r="AS542" s="28"/>
      <c r="AT542" s="28"/>
      <c r="AU542" s="235"/>
      <c r="AV542" s="360">
        <f t="shared" si="65"/>
        <v>764948.5952232054</v>
      </c>
      <c r="AW542" s="235"/>
      <c r="AX542" s="355"/>
      <c r="AY542" s="344"/>
      <c r="AZ542" s="14">
        <f t="shared" si="67"/>
        <v>3139.9634372674045</v>
      </c>
      <c r="BA542" s="14">
        <f t="shared" si="66"/>
        <v>-0.3788248250590649</v>
      </c>
      <c r="BB542" s="14">
        <f t="shared" si="61"/>
        <v>-8288.6950103595609</v>
      </c>
      <c r="BC542" s="344"/>
      <c r="BD542" s="344"/>
      <c r="BE542" s="344"/>
      <c r="BF542" s="344"/>
      <c r="BG542" s="344"/>
      <c r="BH542" s="344"/>
      <c r="BI542" s="344"/>
      <c r="BJ542" s="344"/>
      <c r="BK542" s="344"/>
      <c r="BL542" s="344"/>
      <c r="BM542" s="344"/>
      <c r="BN542" s="344"/>
      <c r="BO542" s="344"/>
      <c r="BP542" s="14"/>
      <c r="BQ542" s="14"/>
      <c r="BR542" s="14"/>
      <c r="BS542" s="14"/>
      <c r="BT542" s="14"/>
      <c r="BU542" s="14"/>
      <c r="BV542" s="14"/>
      <c r="BW542" s="14"/>
      <c r="BX542" s="14"/>
      <c r="BY542" s="14"/>
      <c r="BZ542" s="14"/>
      <c r="CA542" s="14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</row>
    <row r="543" spans="1:101" ht="14.25" customHeight="1" x14ac:dyDescent="0.2">
      <c r="A543" s="328"/>
      <c r="B543" s="52">
        <v>0.20214643129455701</v>
      </c>
      <c r="C543" s="330">
        <v>0.29424043091209817</v>
      </c>
      <c r="D543" s="330">
        <v>5.3013537485342398E-3</v>
      </c>
      <c r="E543" s="330">
        <v>2.4896584027061297E-2</v>
      </c>
      <c r="F543" s="331">
        <v>0.77697161005527426</v>
      </c>
      <c r="G543" s="94">
        <v>0.38397927577113156</v>
      </c>
      <c r="H543" s="330">
        <v>0.93381928696819294</v>
      </c>
      <c r="I543" s="330">
        <v>3.7622781908453473E-2</v>
      </c>
      <c r="J543" s="330">
        <v>1</v>
      </c>
      <c r="K543" s="330">
        <v>0.72891756613187175</v>
      </c>
      <c r="L543" s="332">
        <v>9228.8846454714349</v>
      </c>
      <c r="M543" s="330">
        <v>0</v>
      </c>
      <c r="N543" s="330">
        <v>24464.241856843524</v>
      </c>
      <c r="O543" s="330">
        <v>1009.8705454483328</v>
      </c>
      <c r="P543" s="330">
        <v>41960.733948310641</v>
      </c>
      <c r="Q543" s="333">
        <v>67816.544728703389</v>
      </c>
      <c r="R543" s="330">
        <v>27162.980605587418</v>
      </c>
      <c r="S543" s="330">
        <v>12327.339132683219</v>
      </c>
      <c r="T543" s="332">
        <v>0.79822445822552901</v>
      </c>
      <c r="U543" s="330">
        <v>0.45262498145185859</v>
      </c>
      <c r="V543" s="330">
        <v>0.99526559499809142</v>
      </c>
      <c r="W543" s="330">
        <v>0.99934401791289218</v>
      </c>
      <c r="X543" s="330">
        <v>0.70213051501204504</v>
      </c>
      <c r="Y543" s="330">
        <v>0</v>
      </c>
      <c r="Z543" s="331">
        <v>0</v>
      </c>
      <c r="AA543" s="235"/>
      <c r="AB543" s="335">
        <v>113906.77187516875</v>
      </c>
      <c r="AC543" s="336">
        <v>3.2957317846135794</v>
      </c>
      <c r="AD543" s="337">
        <v>108242.554707574</v>
      </c>
      <c r="AE543" s="336">
        <v>3.1604860722227284</v>
      </c>
      <c r="AF543" s="337">
        <v>5664.2171675947466</v>
      </c>
      <c r="AG543" s="338">
        <v>0.13524571239085104</v>
      </c>
      <c r="AH543" s="235"/>
      <c r="AI543" s="208">
        <f t="shared" si="62"/>
        <v>3017038.4235077319</v>
      </c>
      <c r="AJ543" s="208">
        <f t="shared" si="63"/>
        <v>2894219.2139040176</v>
      </c>
      <c r="AK543" s="208">
        <f t="shared" si="64"/>
        <v>122819.20960371374</v>
      </c>
      <c r="AL543" s="235"/>
      <c r="AM543" s="52">
        <f t="shared" si="58"/>
        <v>1</v>
      </c>
      <c r="AN543" s="52">
        <f t="shared" si="59"/>
        <v>0</v>
      </c>
      <c r="AO543" s="52">
        <f t="shared" si="60"/>
        <v>1</v>
      </c>
      <c r="AP543" s="235"/>
      <c r="AQ543" s="28"/>
      <c r="AR543" s="28"/>
      <c r="AS543" s="28"/>
      <c r="AT543" s="28"/>
      <c r="AU543" s="235"/>
      <c r="AV543" s="360">
        <f t="shared" si="65"/>
        <v>3017038.4235077319</v>
      </c>
      <c r="AW543" s="235"/>
      <c r="AX543" s="355"/>
      <c r="AY543" s="344"/>
      <c r="AZ543" s="14">
        <f t="shared" si="67"/>
        <v>5664.2171675947466</v>
      </c>
      <c r="BA543" s="14">
        <f t="shared" si="66"/>
        <v>0.13524571239085104</v>
      </c>
      <c r="BB543" s="14">
        <f t="shared" si="61"/>
        <v>41880.937054962145</v>
      </c>
      <c r="BC543" s="344"/>
      <c r="BD543" s="344"/>
      <c r="BE543" s="344"/>
      <c r="BF543" s="344"/>
      <c r="BG543" s="344"/>
      <c r="BH543" s="344"/>
      <c r="BI543" s="344"/>
      <c r="BJ543" s="344"/>
      <c r="BK543" s="344"/>
      <c r="BL543" s="344"/>
      <c r="BM543" s="344"/>
      <c r="BN543" s="344"/>
      <c r="BO543" s="344"/>
      <c r="BP543" s="14"/>
      <c r="BQ543" s="14"/>
      <c r="BR543" s="14"/>
      <c r="BS543" s="14"/>
      <c r="BT543" s="14"/>
      <c r="BU543" s="14"/>
      <c r="BV543" s="14"/>
      <c r="BW543" s="14"/>
      <c r="BX543" s="14"/>
      <c r="BY543" s="14"/>
      <c r="BZ543" s="14"/>
      <c r="CA543" s="14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</row>
    <row r="544" spans="1:101" ht="14.25" customHeight="1" x14ac:dyDescent="0.2">
      <c r="A544" s="328"/>
      <c r="B544" s="52">
        <v>0.14881728874331004</v>
      </c>
      <c r="C544" s="330">
        <v>0.12072226006767907</v>
      </c>
      <c r="D544" s="330">
        <v>1.2397699487344328E-2</v>
      </c>
      <c r="E544" s="330">
        <v>9.3616724938197556E-3</v>
      </c>
      <c r="F544" s="331">
        <v>0.77922871405806893</v>
      </c>
      <c r="G544" s="94">
        <v>0.45160424544899291</v>
      </c>
      <c r="H544" s="330">
        <v>0.56074645555948299</v>
      </c>
      <c r="I544" s="330">
        <v>4.8740203714197064E-3</v>
      </c>
      <c r="J544" s="330">
        <v>1</v>
      </c>
      <c r="K544" s="330">
        <v>0.76448880570179134</v>
      </c>
      <c r="L544" s="332">
        <v>17702.552008962128</v>
      </c>
      <c r="M544" s="330">
        <v>0</v>
      </c>
      <c r="N544" s="330">
        <v>20602.317237876214</v>
      </c>
      <c r="O544" s="330">
        <v>1070.3062087266603</v>
      </c>
      <c r="P544" s="330">
        <v>59462.364803442571</v>
      </c>
      <c r="Q544" s="333">
        <v>95296.326386564775</v>
      </c>
      <c r="R544" s="330">
        <v>24871.143319970452</v>
      </c>
      <c r="S544" s="330">
        <v>6478.4510578293921</v>
      </c>
      <c r="T544" s="332">
        <v>0.80372686238944557</v>
      </c>
      <c r="U544" s="330">
        <v>0.98329292101182342</v>
      </c>
      <c r="V544" s="330">
        <v>0.95376044655080494</v>
      </c>
      <c r="W544" s="330">
        <v>0.88872374169911361</v>
      </c>
      <c r="X544" s="330">
        <v>0.86090071131032586</v>
      </c>
      <c r="Y544" s="330">
        <v>0</v>
      </c>
      <c r="Z544" s="331">
        <v>0</v>
      </c>
      <c r="AA544" s="235"/>
      <c r="AB544" s="335">
        <v>72659.208926688501</v>
      </c>
      <c r="AC544" s="336">
        <v>4.3141403483833596</v>
      </c>
      <c r="AD544" s="337">
        <v>60292.118550716368</v>
      </c>
      <c r="AE544" s="336">
        <v>4.3621805976759234</v>
      </c>
      <c r="AF544" s="337">
        <v>12367.090375972133</v>
      </c>
      <c r="AG544" s="338">
        <v>-4.8040249292563786E-2</v>
      </c>
      <c r="AH544" s="235"/>
      <c r="AI544" s="208">
        <f t="shared" si="62"/>
        <v>4025774.1220375034</v>
      </c>
      <c r="AJ544" s="208">
        <f t="shared" si="63"/>
        <v>4083779.4492414109</v>
      </c>
      <c r="AK544" s="208">
        <f t="shared" si="64"/>
        <v>-58005.327203907727</v>
      </c>
      <c r="AL544" s="235"/>
      <c r="AM544" s="52">
        <f t="shared" si="58"/>
        <v>0</v>
      </c>
      <c r="AN544" s="52">
        <f t="shared" si="59"/>
        <v>1</v>
      </c>
      <c r="AO544" s="52">
        <f t="shared" si="60"/>
        <v>0</v>
      </c>
      <c r="AP544" s="235"/>
      <c r="AQ544" s="28"/>
      <c r="AR544" s="28"/>
      <c r="AS544" s="28"/>
      <c r="AT544" s="28"/>
      <c r="AU544" s="235"/>
      <c r="AV544" s="360">
        <f t="shared" si="65"/>
        <v>4083779.4492414109</v>
      </c>
      <c r="AW544" s="235"/>
      <c r="AX544" s="355"/>
      <c r="AY544" s="344"/>
      <c r="AZ544" s="14">
        <f t="shared" si="67"/>
        <v>12367.090375972133</v>
      </c>
      <c r="BA544" s="14">
        <f t="shared" si="66"/>
        <v>-4.8040249292563786E-2</v>
      </c>
      <c r="BB544" s="14">
        <f t="shared" si="61"/>
        <v>-257431.85262542864</v>
      </c>
      <c r="BC544" s="344"/>
      <c r="BD544" s="344"/>
      <c r="BE544" s="344"/>
      <c r="BF544" s="344"/>
      <c r="BG544" s="344"/>
      <c r="BH544" s="344"/>
      <c r="BI544" s="344"/>
      <c r="BJ544" s="344"/>
      <c r="BK544" s="344"/>
      <c r="BL544" s="344"/>
      <c r="BM544" s="344"/>
      <c r="BN544" s="344"/>
      <c r="BO544" s="344"/>
      <c r="BP544" s="14"/>
      <c r="BQ544" s="14"/>
      <c r="BR544" s="14"/>
      <c r="BS544" s="14"/>
      <c r="BT544" s="14"/>
      <c r="BU544" s="14"/>
      <c r="BV544" s="14"/>
      <c r="BW544" s="14"/>
      <c r="BX544" s="14"/>
      <c r="BY544" s="14"/>
      <c r="BZ544" s="14"/>
      <c r="CA544" s="14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</row>
    <row r="545" spans="1:101" ht="14.25" customHeight="1" x14ac:dyDescent="0.2">
      <c r="A545" s="328"/>
      <c r="B545" s="52">
        <v>0.1851897142032416</v>
      </c>
      <c r="C545" s="330">
        <v>0.50168731412207523</v>
      </c>
      <c r="D545" s="330">
        <v>9.6985542038521763E-3</v>
      </c>
      <c r="E545" s="330">
        <v>2.1300478026569758E-2</v>
      </c>
      <c r="F545" s="331">
        <v>0.80572361220442712</v>
      </c>
      <c r="G545" s="94">
        <v>0.3670487556599295</v>
      </c>
      <c r="H545" s="330">
        <v>0.85930660732936892</v>
      </c>
      <c r="I545" s="330">
        <v>2.8262335447591935E-2</v>
      </c>
      <c r="J545" s="330">
        <v>0.9997466595261546</v>
      </c>
      <c r="K545" s="330">
        <v>0.74595461299658938</v>
      </c>
      <c r="L545" s="332">
        <v>15876.128806431607</v>
      </c>
      <c r="M545" s="330">
        <v>0</v>
      </c>
      <c r="N545" s="330">
        <v>16761.682487069673</v>
      </c>
      <c r="O545" s="330">
        <v>1325.2817281628215</v>
      </c>
      <c r="P545" s="330">
        <v>39219.429830942303</v>
      </c>
      <c r="Q545" s="333">
        <v>99345.878108274337</v>
      </c>
      <c r="R545" s="330">
        <v>26386.413729435317</v>
      </c>
      <c r="S545" s="330">
        <v>8980.4490548948761</v>
      </c>
      <c r="T545" s="332">
        <v>0.98207826284206878</v>
      </c>
      <c r="U545" s="330">
        <v>0.86969260532149995</v>
      </c>
      <c r="V545" s="330">
        <v>0.58844985352848511</v>
      </c>
      <c r="W545" s="330">
        <v>0.50687334848309573</v>
      </c>
      <c r="X545" s="330">
        <v>0.61954862037846403</v>
      </c>
      <c r="Y545" s="330">
        <v>0</v>
      </c>
      <c r="Z545" s="331">
        <v>0</v>
      </c>
      <c r="AA545" s="235"/>
      <c r="AB545" s="335">
        <v>96402.235092517411</v>
      </c>
      <c r="AC545" s="336">
        <v>3.2427170029873835</v>
      </c>
      <c r="AD545" s="337">
        <v>82210.784088543704</v>
      </c>
      <c r="AE545" s="336">
        <v>2.9455487663177191</v>
      </c>
      <c r="AF545" s="337">
        <v>14191.451003973707</v>
      </c>
      <c r="AG545" s="338">
        <v>0.29716823666966441</v>
      </c>
      <c r="AH545" s="235"/>
      <c r="AI545" s="208">
        <f t="shared" si="62"/>
        <v>2984178.9177454971</v>
      </c>
      <c r="AJ545" s="208">
        <f t="shared" si="63"/>
        <v>2716060.5439132894</v>
      </c>
      <c r="AK545" s="208">
        <f t="shared" si="64"/>
        <v>268118.37383220746</v>
      </c>
      <c r="AL545" s="235"/>
      <c r="AM545" s="52">
        <f t="shared" si="58"/>
        <v>1</v>
      </c>
      <c r="AN545" s="52">
        <f t="shared" si="59"/>
        <v>0</v>
      </c>
      <c r="AO545" s="52">
        <f t="shared" si="60"/>
        <v>1</v>
      </c>
      <c r="AP545" s="235"/>
      <c r="AQ545" s="28"/>
      <c r="AR545" s="28"/>
      <c r="AS545" s="28"/>
      <c r="AT545" s="28"/>
      <c r="AU545" s="235"/>
      <c r="AV545" s="360">
        <f t="shared" si="65"/>
        <v>2984178.9177454971</v>
      </c>
      <c r="AW545" s="235"/>
      <c r="AX545" s="355"/>
      <c r="AY545" s="344"/>
      <c r="AZ545" s="14">
        <f t="shared" si="67"/>
        <v>14191.451003973707</v>
      </c>
      <c r="BA545" s="14">
        <f t="shared" si="66"/>
        <v>0.29716823666966441</v>
      </c>
      <c r="BB545" s="14">
        <f t="shared" si="61"/>
        <v>47755.611982679984</v>
      </c>
      <c r="BC545" s="344"/>
      <c r="BD545" s="344"/>
      <c r="BE545" s="344"/>
      <c r="BF545" s="344"/>
      <c r="BG545" s="344"/>
      <c r="BH545" s="344"/>
      <c r="BI545" s="344"/>
      <c r="BJ545" s="344"/>
      <c r="BK545" s="344"/>
      <c r="BL545" s="344"/>
      <c r="BM545" s="344"/>
      <c r="BN545" s="344"/>
      <c r="BO545" s="344"/>
      <c r="BP545" s="14"/>
      <c r="BQ545" s="14"/>
      <c r="BR545" s="14"/>
      <c r="BS545" s="14"/>
      <c r="BT545" s="14"/>
      <c r="BU545" s="14"/>
      <c r="BV545" s="14"/>
      <c r="BW545" s="14"/>
      <c r="BX545" s="14"/>
      <c r="BY545" s="14"/>
      <c r="BZ545" s="14"/>
      <c r="CA545" s="14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</row>
    <row r="546" spans="1:101" ht="14.25" customHeight="1" x14ac:dyDescent="0.2">
      <c r="A546" s="328"/>
      <c r="B546" s="52">
        <v>0.14753016565721414</v>
      </c>
      <c r="C546" s="330">
        <v>0.71306016517070214</v>
      </c>
      <c r="D546" s="330">
        <v>2.1405263039580347E-2</v>
      </c>
      <c r="E546" s="330">
        <v>1.1387546926939413E-2</v>
      </c>
      <c r="F546" s="331">
        <v>0.71736408798589024</v>
      </c>
      <c r="G546" s="94">
        <v>0.46374807599632695</v>
      </c>
      <c r="H546" s="330">
        <v>0.59980632635167375</v>
      </c>
      <c r="I546" s="330">
        <v>1.6570108825023855E-2</v>
      </c>
      <c r="J546" s="330">
        <v>0.53318919988418845</v>
      </c>
      <c r="K546" s="330">
        <v>0.79445290612355723</v>
      </c>
      <c r="L546" s="332">
        <v>12489.297756412876</v>
      </c>
      <c r="M546" s="330">
        <v>0</v>
      </c>
      <c r="N546" s="330">
        <v>17518.937419234924</v>
      </c>
      <c r="O546" s="330">
        <v>993.01147860978142</v>
      </c>
      <c r="P546" s="330">
        <v>34177.884220188287</v>
      </c>
      <c r="Q546" s="333">
        <v>76655.876466130867</v>
      </c>
      <c r="R546" s="330">
        <v>22049.659831337343</v>
      </c>
      <c r="S546" s="330">
        <v>9914.5423622771141</v>
      </c>
      <c r="T546" s="332">
        <v>0.8885107427410639</v>
      </c>
      <c r="U546" s="330">
        <v>0.985741501391877</v>
      </c>
      <c r="V546" s="330">
        <v>0.99843523799401757</v>
      </c>
      <c r="W546" s="330">
        <v>0.16499814343668021</v>
      </c>
      <c r="X546" s="330">
        <v>0.79102097808047755</v>
      </c>
      <c r="Y546" s="330">
        <v>0</v>
      </c>
      <c r="Z546" s="331">
        <v>0</v>
      </c>
      <c r="AA546" s="235"/>
      <c r="AB546" s="335">
        <v>91523.436187399173</v>
      </c>
      <c r="AC546" s="336">
        <v>3.7540922585207328</v>
      </c>
      <c r="AD546" s="337">
        <v>91939.885891275262</v>
      </c>
      <c r="AE546" s="336">
        <v>3.9806468538356494</v>
      </c>
      <c r="AF546" s="337">
        <v>-416.44970387608919</v>
      </c>
      <c r="AG546" s="338">
        <v>-0.22655459531491662</v>
      </c>
      <c r="AH546" s="235"/>
      <c r="AI546" s="208">
        <f t="shared" si="62"/>
        <v>3474864.209407297</v>
      </c>
      <c r="AJ546" s="208">
        <f t="shared" si="63"/>
        <v>3689674.6252525914</v>
      </c>
      <c r="AK546" s="208">
        <f t="shared" si="64"/>
        <v>-214810.41584529472</v>
      </c>
      <c r="AL546" s="235"/>
      <c r="AM546" s="52">
        <f t="shared" si="58"/>
        <v>0</v>
      </c>
      <c r="AN546" s="52">
        <f t="shared" si="59"/>
        <v>1</v>
      </c>
      <c r="AO546" s="52">
        <f t="shared" si="60"/>
        <v>0</v>
      </c>
      <c r="AP546" s="235"/>
      <c r="AQ546" s="28"/>
      <c r="AR546" s="28"/>
      <c r="AS546" s="28"/>
      <c r="AT546" s="28"/>
      <c r="AU546" s="235"/>
      <c r="AV546" s="360">
        <f t="shared" si="65"/>
        <v>3689674.6252525914</v>
      </c>
      <c r="AW546" s="235"/>
      <c r="AX546" s="355"/>
      <c r="AY546" s="344"/>
      <c r="AZ546" s="14">
        <f t="shared" si="67"/>
        <v>-416.44970387608919</v>
      </c>
      <c r="BA546" s="14">
        <f t="shared" si="66"/>
        <v>-0.22655459531491662</v>
      </c>
      <c r="BB546" s="14">
        <f t="shared" si="61"/>
        <v>1838.1869645910892</v>
      </c>
      <c r="BC546" s="344"/>
      <c r="BD546" s="344"/>
      <c r="BE546" s="344"/>
      <c r="BF546" s="344"/>
      <c r="BG546" s="344"/>
      <c r="BH546" s="344"/>
      <c r="BI546" s="344"/>
      <c r="BJ546" s="344"/>
      <c r="BK546" s="344"/>
      <c r="BL546" s="344"/>
      <c r="BM546" s="344"/>
      <c r="BN546" s="344"/>
      <c r="BO546" s="344"/>
      <c r="BP546" s="14"/>
      <c r="BQ546" s="14"/>
      <c r="BR546" s="14"/>
      <c r="BS546" s="14"/>
      <c r="BT546" s="14"/>
      <c r="BU546" s="14"/>
      <c r="BV546" s="14"/>
      <c r="BW546" s="14"/>
      <c r="BX546" s="14"/>
      <c r="BY546" s="14"/>
      <c r="BZ546" s="14"/>
      <c r="CA546" s="14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</row>
    <row r="547" spans="1:101" ht="14.25" customHeight="1" x14ac:dyDescent="0.2">
      <c r="A547" s="328"/>
      <c r="B547" s="52">
        <v>0.16300876471541159</v>
      </c>
      <c r="C547" s="330">
        <v>7.8237446690322343E-2</v>
      </c>
      <c r="D547" s="330">
        <v>1.9975745598516892E-2</v>
      </c>
      <c r="E547" s="330">
        <v>2.0980056075449616E-2</v>
      </c>
      <c r="F547" s="331">
        <v>0.77729606812453422</v>
      </c>
      <c r="G547" s="94">
        <v>0.41160935609154203</v>
      </c>
      <c r="H547" s="330">
        <v>0.57238946516699052</v>
      </c>
      <c r="I547" s="330">
        <v>3.3417316496859195E-2</v>
      </c>
      <c r="J547" s="330">
        <v>0.99999996082003562</v>
      </c>
      <c r="K547" s="330">
        <v>0.76156945080445093</v>
      </c>
      <c r="L547" s="332">
        <v>9060.3285374633051</v>
      </c>
      <c r="M547" s="330">
        <v>0</v>
      </c>
      <c r="N547" s="330">
        <v>20349.174226183834</v>
      </c>
      <c r="O547" s="330">
        <v>1581.6898435736057</v>
      </c>
      <c r="P547" s="330">
        <v>55278.163184003432</v>
      </c>
      <c r="Q547" s="333">
        <v>84047.176227334348</v>
      </c>
      <c r="R547" s="330">
        <v>23465.658866273039</v>
      </c>
      <c r="S547" s="330">
        <v>8912.5750163491812</v>
      </c>
      <c r="T547" s="332">
        <v>0.81729819037852136</v>
      </c>
      <c r="U547" s="330">
        <v>0.31610355514489724</v>
      </c>
      <c r="V547" s="330">
        <v>0.98413507287691493</v>
      </c>
      <c r="W547" s="330">
        <v>0.99994583424767614</v>
      </c>
      <c r="X547" s="330">
        <v>0.82467499060754068</v>
      </c>
      <c r="Y547" s="330">
        <v>0</v>
      </c>
      <c r="Z547" s="331">
        <v>0</v>
      </c>
      <c r="AA547" s="235"/>
      <c r="AB547" s="335">
        <v>84239.12032232921</v>
      </c>
      <c r="AC547" s="336">
        <v>4.3345681993024892</v>
      </c>
      <c r="AD547" s="337">
        <v>81055.089032038144</v>
      </c>
      <c r="AE547" s="336">
        <v>3.8617079823199965</v>
      </c>
      <c r="AF547" s="337">
        <v>3184.0312902910664</v>
      </c>
      <c r="AG547" s="338">
        <v>0.4728602169824927</v>
      </c>
      <c r="AH547" s="235"/>
      <c r="AI547" s="208">
        <f t="shared" si="62"/>
        <v>4033600.6690150355</v>
      </c>
      <c r="AJ547" s="208">
        <f t="shared" si="63"/>
        <v>3587567.4941719584</v>
      </c>
      <c r="AK547" s="208">
        <f t="shared" si="64"/>
        <v>446033.17484307702</v>
      </c>
      <c r="AL547" s="235"/>
      <c r="AM547" s="52">
        <f t="shared" si="58"/>
        <v>1</v>
      </c>
      <c r="AN547" s="52">
        <f t="shared" si="59"/>
        <v>0</v>
      </c>
      <c r="AO547" s="52">
        <f t="shared" si="60"/>
        <v>1</v>
      </c>
      <c r="AP547" s="235"/>
      <c r="AQ547" s="28"/>
      <c r="AR547" s="28"/>
      <c r="AS547" s="28"/>
      <c r="AT547" s="28"/>
      <c r="AU547" s="235"/>
      <c r="AV547" s="360">
        <f t="shared" si="65"/>
        <v>4033600.6690150355</v>
      </c>
      <c r="AW547" s="235"/>
      <c r="AX547" s="355"/>
      <c r="AY547" s="344"/>
      <c r="AZ547" s="14">
        <f t="shared" si="67"/>
        <v>3184.0312902910664</v>
      </c>
      <c r="BA547" s="14">
        <f t="shared" si="66"/>
        <v>0.4728602169824927</v>
      </c>
      <c r="BB547" s="14">
        <f t="shared" si="61"/>
        <v>6733.5571400140707</v>
      </c>
      <c r="BC547" s="344"/>
      <c r="BD547" s="344"/>
      <c r="BE547" s="344"/>
      <c r="BF547" s="344"/>
      <c r="BG547" s="344"/>
      <c r="BH547" s="344"/>
      <c r="BI547" s="344"/>
      <c r="BJ547" s="344"/>
      <c r="BK547" s="344"/>
      <c r="BL547" s="344"/>
      <c r="BM547" s="344"/>
      <c r="BN547" s="344"/>
      <c r="BO547" s="344"/>
      <c r="BP547" s="14"/>
      <c r="BQ547" s="14"/>
      <c r="BR547" s="14"/>
      <c r="BS547" s="14"/>
      <c r="BT547" s="14"/>
      <c r="BU547" s="14"/>
      <c r="BV547" s="14"/>
      <c r="BW547" s="14"/>
      <c r="BX547" s="14"/>
      <c r="BY547" s="14"/>
      <c r="BZ547" s="14"/>
      <c r="CA547" s="14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</row>
    <row r="548" spans="1:101" ht="14.25" customHeight="1" x14ac:dyDescent="0.2">
      <c r="A548" s="328"/>
      <c r="B548" s="52">
        <v>0.16740729818908051</v>
      </c>
      <c r="C548" s="330">
        <v>0.27454435806677646</v>
      </c>
      <c r="D548" s="330">
        <v>7.658607891284472E-3</v>
      </c>
      <c r="E548" s="330">
        <v>1.6093424327475403E-2</v>
      </c>
      <c r="F548" s="331">
        <v>0.78689285359024186</v>
      </c>
      <c r="G548" s="94">
        <v>0.43595391040675391</v>
      </c>
      <c r="H548" s="330">
        <v>0.30696049545856013</v>
      </c>
      <c r="I548" s="330">
        <v>7.4478217383092777E-3</v>
      </c>
      <c r="J548" s="330">
        <v>0.99999999999995803</v>
      </c>
      <c r="K548" s="330">
        <v>0.72324851767770582</v>
      </c>
      <c r="L548" s="332">
        <v>12260.44728826997</v>
      </c>
      <c r="M548" s="330">
        <v>0</v>
      </c>
      <c r="N548" s="330">
        <v>22654.281817120231</v>
      </c>
      <c r="O548" s="330">
        <v>1251.4936947557162</v>
      </c>
      <c r="P548" s="330">
        <v>54086.115570336864</v>
      </c>
      <c r="Q548" s="333">
        <v>78991.47182974132</v>
      </c>
      <c r="R548" s="330">
        <v>27001.825350941403</v>
      </c>
      <c r="S548" s="330">
        <v>6981.4307316828481</v>
      </c>
      <c r="T548" s="332">
        <v>0.76939467805511297</v>
      </c>
      <c r="U548" s="330">
        <v>0.75086984229520026</v>
      </c>
      <c r="V548" s="330">
        <v>0.92159671878746319</v>
      </c>
      <c r="W548" s="330">
        <v>0.9927999873232185</v>
      </c>
      <c r="X548" s="330">
        <v>0.56614747201506399</v>
      </c>
      <c r="Y548" s="330">
        <v>0</v>
      </c>
      <c r="Z548" s="331">
        <v>0</v>
      </c>
      <c r="AA548" s="235"/>
      <c r="AB548" s="335">
        <v>72767.338358887588</v>
      </c>
      <c r="AC548" s="336">
        <v>2.6933247264229001</v>
      </c>
      <c r="AD548" s="337">
        <v>58847.106943350846</v>
      </c>
      <c r="AE548" s="336">
        <v>2.4965611566486965</v>
      </c>
      <c r="AF548" s="337">
        <v>13920.231415536742</v>
      </c>
      <c r="AG548" s="338">
        <v>0.19676356977420362</v>
      </c>
      <c r="AH548" s="235"/>
      <c r="AI548" s="208">
        <f t="shared" si="62"/>
        <v>2485891.1517428677</v>
      </c>
      <c r="AJ548" s="208">
        <f t="shared" si="63"/>
        <v>2312885.9918729109</v>
      </c>
      <c r="AK548" s="208">
        <f t="shared" si="64"/>
        <v>173005.1598699567</v>
      </c>
      <c r="AL548" s="235"/>
      <c r="AM548" s="52">
        <f t="shared" si="58"/>
        <v>1</v>
      </c>
      <c r="AN548" s="52">
        <f t="shared" si="59"/>
        <v>0</v>
      </c>
      <c r="AO548" s="52">
        <f t="shared" si="60"/>
        <v>1</v>
      </c>
      <c r="AP548" s="235"/>
      <c r="AQ548" s="28"/>
      <c r="AR548" s="28"/>
      <c r="AS548" s="28"/>
      <c r="AT548" s="28"/>
      <c r="AU548" s="235"/>
      <c r="AV548" s="360">
        <f t="shared" si="65"/>
        <v>2485891.1517428677</v>
      </c>
      <c r="AW548" s="235"/>
      <c r="AX548" s="355"/>
      <c r="AY548" s="344"/>
      <c r="AZ548" s="14">
        <f t="shared" si="67"/>
        <v>13920.231415536742</v>
      </c>
      <c r="BA548" s="14">
        <f t="shared" si="66"/>
        <v>0.19676356977420362</v>
      </c>
      <c r="BB548" s="14">
        <f t="shared" si="61"/>
        <v>70745.979204945965</v>
      </c>
      <c r="BC548" s="344"/>
      <c r="BD548" s="344"/>
      <c r="BE548" s="344"/>
      <c r="BF548" s="344"/>
      <c r="BG548" s="344"/>
      <c r="BH548" s="344"/>
      <c r="BI548" s="344"/>
      <c r="BJ548" s="344"/>
      <c r="BK548" s="344"/>
      <c r="BL548" s="344"/>
      <c r="BM548" s="344"/>
      <c r="BN548" s="344"/>
      <c r="BO548" s="344"/>
      <c r="BP548" s="14"/>
      <c r="BQ548" s="14"/>
      <c r="BR548" s="14"/>
      <c r="BS548" s="14"/>
      <c r="BT548" s="14"/>
      <c r="BU548" s="14"/>
      <c r="BV548" s="14"/>
      <c r="BW548" s="14"/>
      <c r="BX548" s="14"/>
      <c r="BY548" s="14"/>
      <c r="BZ548" s="14"/>
      <c r="CA548" s="14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</row>
    <row r="549" spans="1:101" ht="14.25" customHeight="1" x14ac:dyDescent="0.2">
      <c r="A549" s="328"/>
      <c r="B549" s="52">
        <v>0.14327679708891553</v>
      </c>
      <c r="C549" s="330">
        <v>0.15520995043911365</v>
      </c>
      <c r="D549" s="330">
        <v>5.0355534645302874E-3</v>
      </c>
      <c r="E549" s="330">
        <v>1.5359136169804555E-2</v>
      </c>
      <c r="F549" s="331">
        <v>0.74745979022494136</v>
      </c>
      <c r="G549" s="94">
        <v>0.42226620038746754</v>
      </c>
      <c r="H549" s="330">
        <v>0.85475994634665364</v>
      </c>
      <c r="I549" s="330">
        <v>3.0752593736569134E-2</v>
      </c>
      <c r="J549" s="330">
        <v>0.9367944975614515</v>
      </c>
      <c r="K549" s="330">
        <v>0.71189451000563353</v>
      </c>
      <c r="L549" s="332">
        <v>11233.801899791179</v>
      </c>
      <c r="M549" s="330">
        <v>0</v>
      </c>
      <c r="N549" s="330">
        <v>23151.976908941084</v>
      </c>
      <c r="O549" s="330">
        <v>1410.9628867068711</v>
      </c>
      <c r="P549" s="330">
        <v>48141.431528745015</v>
      </c>
      <c r="Q549" s="333">
        <v>65071.409608171714</v>
      </c>
      <c r="R549" s="330">
        <v>22184.749680864526</v>
      </c>
      <c r="S549" s="330">
        <v>8094.850431118547</v>
      </c>
      <c r="T549" s="332">
        <v>0.99990373660695386</v>
      </c>
      <c r="U549" s="330">
        <v>0.99996653094398558</v>
      </c>
      <c r="V549" s="330">
        <v>0.92796767950920533</v>
      </c>
      <c r="W549" s="330">
        <v>0.61878275466521926</v>
      </c>
      <c r="X549" s="330">
        <v>0.99996498492107611</v>
      </c>
      <c r="Y549" s="330">
        <v>0</v>
      </c>
      <c r="Z549" s="331">
        <v>0</v>
      </c>
      <c r="AA549" s="235"/>
      <c r="AB549" s="335">
        <v>76907.163737679861</v>
      </c>
      <c r="AC549" s="336">
        <v>4.6875677503411923</v>
      </c>
      <c r="AD549" s="337">
        <v>71954.486487180577</v>
      </c>
      <c r="AE549" s="336">
        <v>4.4932134849318679</v>
      </c>
      <c r="AF549" s="337">
        <v>4952.6772504992841</v>
      </c>
      <c r="AG549" s="338">
        <v>0.19435426540932443</v>
      </c>
      <c r="AH549" s="235"/>
      <c r="AI549" s="208">
        <f t="shared" si="62"/>
        <v>4376282.1990864528</v>
      </c>
      <c r="AJ549" s="208">
        <f t="shared" si="63"/>
        <v>4196598.3241980933</v>
      </c>
      <c r="AK549" s="208">
        <f t="shared" si="64"/>
        <v>179683.87488835893</v>
      </c>
      <c r="AL549" s="235"/>
      <c r="AM549" s="52">
        <f t="shared" si="58"/>
        <v>1</v>
      </c>
      <c r="AN549" s="52">
        <f t="shared" si="59"/>
        <v>0</v>
      </c>
      <c r="AO549" s="52">
        <f t="shared" si="60"/>
        <v>1</v>
      </c>
      <c r="AP549" s="235"/>
      <c r="AQ549" s="28"/>
      <c r="AR549" s="28"/>
      <c r="AS549" s="28"/>
      <c r="AT549" s="28"/>
      <c r="AU549" s="235"/>
      <c r="AV549" s="360">
        <f t="shared" si="65"/>
        <v>4376282.1990864528</v>
      </c>
      <c r="AW549" s="235"/>
      <c r="AX549" s="355"/>
      <c r="AY549" s="344"/>
      <c r="AZ549" s="14">
        <f t="shared" si="67"/>
        <v>4952.6772504992841</v>
      </c>
      <c r="BA549" s="14">
        <f t="shared" si="66"/>
        <v>0.19435426540932443</v>
      </c>
      <c r="BB549" s="14">
        <f t="shared" si="61"/>
        <v>25482.729900826103</v>
      </c>
      <c r="BC549" s="344"/>
      <c r="BD549" s="344"/>
      <c r="BE549" s="344"/>
      <c r="BF549" s="344"/>
      <c r="BG549" s="344"/>
      <c r="BH549" s="344"/>
      <c r="BI549" s="344"/>
      <c r="BJ549" s="344"/>
      <c r="BK549" s="344"/>
      <c r="BL549" s="344"/>
      <c r="BM549" s="344"/>
      <c r="BN549" s="344"/>
      <c r="BO549" s="344"/>
      <c r="BP549" s="14"/>
      <c r="BQ549" s="14"/>
      <c r="BR549" s="14"/>
      <c r="BS549" s="14"/>
      <c r="BT549" s="14"/>
      <c r="BU549" s="14"/>
      <c r="BV549" s="14"/>
      <c r="BW549" s="14"/>
      <c r="BX549" s="14"/>
      <c r="BY549" s="14"/>
      <c r="BZ549" s="14"/>
      <c r="CA549" s="14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</row>
    <row r="550" spans="1:101" ht="14.25" customHeight="1" x14ac:dyDescent="0.2">
      <c r="A550" s="328"/>
      <c r="B550" s="52">
        <v>0.18779693163635369</v>
      </c>
      <c r="C550" s="330">
        <v>0.204867818168781</v>
      </c>
      <c r="D550" s="330">
        <v>1.9910033220904344E-2</v>
      </c>
      <c r="E550" s="330">
        <v>1.0441874289726514E-2</v>
      </c>
      <c r="F550" s="331">
        <v>0.77419141880583675</v>
      </c>
      <c r="G550" s="94">
        <v>0.44307523182594111</v>
      </c>
      <c r="H550" s="330">
        <v>0.16114590911802046</v>
      </c>
      <c r="I550" s="330">
        <v>1.8366233457711822E-2</v>
      </c>
      <c r="J550" s="330">
        <v>0.99999994046856056</v>
      </c>
      <c r="K550" s="330">
        <v>0.79217262903188801</v>
      </c>
      <c r="L550" s="332">
        <v>15712.108115404162</v>
      </c>
      <c r="M550" s="330">
        <v>0</v>
      </c>
      <c r="N550" s="330">
        <v>21313.626403998565</v>
      </c>
      <c r="O550" s="330">
        <v>933.58374920143604</v>
      </c>
      <c r="P550" s="330">
        <v>54308.015457793073</v>
      </c>
      <c r="Q550" s="333">
        <v>99502.257687523816</v>
      </c>
      <c r="R550" s="330">
        <v>19693.55859055138</v>
      </c>
      <c r="S550" s="330">
        <v>6849.7362165976783</v>
      </c>
      <c r="T550" s="332">
        <v>0.77444589823546284</v>
      </c>
      <c r="U550" s="330">
        <v>0.51149142542207982</v>
      </c>
      <c r="V550" s="330">
        <v>0.99980525489573369</v>
      </c>
      <c r="W550" s="330">
        <v>0.33890573057044859</v>
      </c>
      <c r="X550" s="330">
        <v>0.99850947426474645</v>
      </c>
      <c r="Y550" s="330">
        <v>0</v>
      </c>
      <c r="Z550" s="331">
        <v>0</v>
      </c>
      <c r="AA550" s="235"/>
      <c r="AB550" s="335">
        <v>73927.903605791464</v>
      </c>
      <c r="AC550" s="336">
        <v>4.6709598759729491</v>
      </c>
      <c r="AD550" s="337">
        <v>61481.385554715067</v>
      </c>
      <c r="AE550" s="336">
        <v>4.919307572720526</v>
      </c>
      <c r="AF550" s="337">
        <v>12446.518051076397</v>
      </c>
      <c r="AG550" s="338">
        <v>-0.24834769674757684</v>
      </c>
      <c r="AH550" s="235"/>
      <c r="AI550" s="208">
        <f t="shared" si="62"/>
        <v>4363483.9785685102</v>
      </c>
      <c r="AJ550" s="208">
        <f t="shared" si="63"/>
        <v>4611860.8085297849</v>
      </c>
      <c r="AK550" s="208">
        <f t="shared" si="64"/>
        <v>-248376.8299612744</v>
      </c>
      <c r="AL550" s="235"/>
      <c r="AM550" s="52">
        <f t="shared" si="58"/>
        <v>0</v>
      </c>
      <c r="AN550" s="52">
        <f t="shared" si="59"/>
        <v>1</v>
      </c>
      <c r="AO550" s="52">
        <f t="shared" si="60"/>
        <v>0</v>
      </c>
      <c r="AP550" s="235"/>
      <c r="AQ550" s="28"/>
      <c r="AR550" s="28"/>
      <c r="AS550" s="28"/>
      <c r="AT550" s="28"/>
      <c r="AU550" s="235"/>
      <c r="AV550" s="360">
        <f t="shared" si="65"/>
        <v>4611860.8085297849</v>
      </c>
      <c r="AW550" s="235"/>
      <c r="AX550" s="355"/>
      <c r="AY550" s="344"/>
      <c r="AZ550" s="14">
        <f t="shared" si="67"/>
        <v>12446.518051076397</v>
      </c>
      <c r="BA550" s="14">
        <f t="shared" si="66"/>
        <v>-0.24834769674757684</v>
      </c>
      <c r="BB550" s="14">
        <f t="shared" si="61"/>
        <v>-50117.308169470023</v>
      </c>
      <c r="BC550" s="344"/>
      <c r="BD550" s="344"/>
      <c r="BE550" s="344"/>
      <c r="BF550" s="344"/>
      <c r="BG550" s="344"/>
      <c r="BH550" s="344"/>
      <c r="BI550" s="344"/>
      <c r="BJ550" s="344"/>
      <c r="BK550" s="344"/>
      <c r="BL550" s="344"/>
      <c r="BM550" s="344"/>
      <c r="BN550" s="344"/>
      <c r="BO550" s="344"/>
      <c r="BP550" s="14"/>
      <c r="BQ550" s="14"/>
      <c r="BR550" s="14"/>
      <c r="BS550" s="14"/>
      <c r="BT550" s="14"/>
      <c r="BU550" s="14"/>
      <c r="BV550" s="14"/>
      <c r="BW550" s="14"/>
      <c r="BX550" s="14"/>
      <c r="BY550" s="14"/>
      <c r="BZ550" s="14"/>
      <c r="CA550" s="14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</row>
    <row r="551" spans="1:101" ht="14.25" customHeight="1" x14ac:dyDescent="0.2">
      <c r="A551" s="328"/>
      <c r="B551" s="52">
        <v>0.17579951538380245</v>
      </c>
      <c r="C551" s="330">
        <v>0.19430854260091485</v>
      </c>
      <c r="D551" s="330">
        <v>1.5839445211542125E-2</v>
      </c>
      <c r="E551" s="330">
        <v>2.4827341184115781E-2</v>
      </c>
      <c r="F551" s="331">
        <v>0.75654183812686537</v>
      </c>
      <c r="G551" s="94">
        <v>0.37135205380904784</v>
      </c>
      <c r="H551" s="330">
        <v>0.36101489393323538</v>
      </c>
      <c r="I551" s="330">
        <v>2.1934062529204157E-2</v>
      </c>
      <c r="J551" s="330">
        <v>0.99934080654996893</v>
      </c>
      <c r="K551" s="330">
        <v>0.73106547036509761</v>
      </c>
      <c r="L551" s="332">
        <v>10850.260518936035</v>
      </c>
      <c r="M551" s="330">
        <v>0</v>
      </c>
      <c r="N551" s="330">
        <v>24006.480731026801</v>
      </c>
      <c r="O551" s="330">
        <v>1209.0702652825023</v>
      </c>
      <c r="P551" s="330">
        <v>50272.838313578461</v>
      </c>
      <c r="Q551" s="333">
        <v>126928.32186913397</v>
      </c>
      <c r="R551" s="330">
        <v>27319.421778633616</v>
      </c>
      <c r="S551" s="330">
        <v>13049.966189636325</v>
      </c>
      <c r="T551" s="332">
        <v>0.98699091464627453</v>
      </c>
      <c r="U551" s="330">
        <v>0.81266006734950824</v>
      </c>
      <c r="V551" s="330">
        <v>0.65046211573246215</v>
      </c>
      <c r="W551" s="330">
        <v>0.99626541995512197</v>
      </c>
      <c r="X551" s="330">
        <v>0.95774047610614643</v>
      </c>
      <c r="Y551" s="330">
        <v>0</v>
      </c>
      <c r="Z551" s="331">
        <v>0</v>
      </c>
      <c r="AA551" s="235"/>
      <c r="AB551" s="335">
        <v>118302.39108714642</v>
      </c>
      <c r="AC551" s="336">
        <v>4.5467400281293795</v>
      </c>
      <c r="AD551" s="337">
        <v>108092.94547825199</v>
      </c>
      <c r="AE551" s="336">
        <v>4.3534782124529832</v>
      </c>
      <c r="AF551" s="337">
        <v>10209.445608894428</v>
      </c>
      <c r="AG551" s="338">
        <v>0.19326181567639633</v>
      </c>
      <c r="AH551" s="235"/>
      <c r="AI551" s="208">
        <f t="shared" si="62"/>
        <v>4201100.6356357643</v>
      </c>
      <c r="AJ551" s="208">
        <f t="shared" si="63"/>
        <v>4027711.356352082</v>
      </c>
      <c r="AK551" s="208">
        <f t="shared" si="64"/>
        <v>173389.27928368209</v>
      </c>
      <c r="AL551" s="235"/>
      <c r="AM551" s="52">
        <f t="shared" si="58"/>
        <v>1</v>
      </c>
      <c r="AN551" s="52">
        <f t="shared" si="59"/>
        <v>0</v>
      </c>
      <c r="AO551" s="52">
        <f t="shared" si="60"/>
        <v>1</v>
      </c>
      <c r="AP551" s="235"/>
      <c r="AQ551" s="28"/>
      <c r="AR551" s="28"/>
      <c r="AS551" s="28"/>
      <c r="AT551" s="28"/>
      <c r="AU551" s="235"/>
      <c r="AV551" s="360">
        <f t="shared" si="65"/>
        <v>4201100.6356357643</v>
      </c>
      <c r="AW551" s="235"/>
      <c r="AX551" s="355"/>
      <c r="AY551" s="344"/>
      <c r="AZ551" s="14">
        <f t="shared" si="67"/>
        <v>10209.445608894428</v>
      </c>
      <c r="BA551" s="14">
        <f t="shared" si="66"/>
        <v>0.19326181567639633</v>
      </c>
      <c r="BB551" s="14">
        <f t="shared" si="61"/>
        <v>52827.019000946595</v>
      </c>
      <c r="BC551" s="344"/>
      <c r="BD551" s="344"/>
      <c r="BE551" s="344"/>
      <c r="BF551" s="344"/>
      <c r="BG551" s="344"/>
      <c r="BH551" s="344"/>
      <c r="BI551" s="344"/>
      <c r="BJ551" s="344"/>
      <c r="BK551" s="344"/>
      <c r="BL551" s="344"/>
      <c r="BM551" s="344"/>
      <c r="BN551" s="344"/>
      <c r="BO551" s="344"/>
      <c r="BP551" s="14"/>
      <c r="BQ551" s="14"/>
      <c r="BR551" s="14"/>
      <c r="BS551" s="14"/>
      <c r="BT551" s="14"/>
      <c r="BU551" s="14"/>
      <c r="BV551" s="14"/>
      <c r="BW551" s="14"/>
      <c r="BX551" s="14"/>
      <c r="BY551" s="14"/>
      <c r="BZ551" s="14"/>
      <c r="CA551" s="14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</row>
    <row r="552" spans="1:101" ht="14.25" customHeight="1" x14ac:dyDescent="0.2">
      <c r="A552" s="328"/>
      <c r="B552" s="52">
        <v>0.13588273124631439</v>
      </c>
      <c r="C552" s="330">
        <v>0.57825837564677096</v>
      </c>
      <c r="D552" s="330">
        <v>2.0574045966847865E-2</v>
      </c>
      <c r="E552" s="330">
        <v>1.4779888188922619E-2</v>
      </c>
      <c r="F552" s="331">
        <v>0.7445421230194782</v>
      </c>
      <c r="G552" s="94">
        <v>0.34539218305396852</v>
      </c>
      <c r="H552" s="330">
        <v>0.97387896148401643</v>
      </c>
      <c r="I552" s="330">
        <v>1.8065048100138759E-2</v>
      </c>
      <c r="J552" s="330">
        <v>0.99999877501168211</v>
      </c>
      <c r="K552" s="330">
        <v>0.74002444745678753</v>
      </c>
      <c r="L552" s="332">
        <v>9283.0988723762057</v>
      </c>
      <c r="M552" s="330">
        <v>0</v>
      </c>
      <c r="N552" s="330">
        <v>15640.326207300581</v>
      </c>
      <c r="O552" s="330">
        <v>870.95720785936851</v>
      </c>
      <c r="P552" s="330">
        <v>26798.274787042621</v>
      </c>
      <c r="Q552" s="333">
        <v>101671.93234748348</v>
      </c>
      <c r="R552" s="330">
        <v>34407.003349344457</v>
      </c>
      <c r="S552" s="330">
        <v>7658.5788122764598</v>
      </c>
      <c r="T552" s="332">
        <v>0.12493194059004151</v>
      </c>
      <c r="U552" s="330">
        <v>0.96953659932584646</v>
      </c>
      <c r="V552" s="330">
        <v>0.81277756909101273</v>
      </c>
      <c r="W552" s="330">
        <v>0.90702473310056764</v>
      </c>
      <c r="X552" s="330">
        <v>0.99712267423797307</v>
      </c>
      <c r="Y552" s="330">
        <v>0</v>
      </c>
      <c r="Z552" s="331">
        <v>0</v>
      </c>
      <c r="AA552" s="235"/>
      <c r="AB552" s="335">
        <v>73581.90629294519</v>
      </c>
      <c r="AC552" s="336">
        <v>4.540687746729815</v>
      </c>
      <c r="AD552" s="337">
        <v>73508.194495877906</v>
      </c>
      <c r="AE552" s="336">
        <v>4.7900853337805325</v>
      </c>
      <c r="AF552" s="337">
        <v>73.711797067284351</v>
      </c>
      <c r="AG552" s="338">
        <v>-0.24939758705071746</v>
      </c>
      <c r="AH552" s="235"/>
      <c r="AI552" s="208">
        <f t="shared" si="62"/>
        <v>4240071.4531003796</v>
      </c>
      <c r="AJ552" s="208">
        <f t="shared" si="63"/>
        <v>4477072.8725956278</v>
      </c>
      <c r="AK552" s="208">
        <f t="shared" si="64"/>
        <v>-237001.41949524888</v>
      </c>
      <c r="AL552" s="235"/>
      <c r="AM552" s="52">
        <f t="shared" si="58"/>
        <v>0</v>
      </c>
      <c r="AN552" s="52">
        <f t="shared" si="59"/>
        <v>1</v>
      </c>
      <c r="AO552" s="52">
        <f t="shared" si="60"/>
        <v>0</v>
      </c>
      <c r="AP552" s="235"/>
      <c r="AQ552" s="28"/>
      <c r="AR552" s="28"/>
      <c r="AS552" s="28"/>
      <c r="AT552" s="28"/>
      <c r="AU552" s="235"/>
      <c r="AV552" s="360">
        <f t="shared" si="65"/>
        <v>4477072.8725956278</v>
      </c>
      <c r="AW552" s="235"/>
      <c r="AX552" s="355"/>
      <c r="AY552" s="344"/>
      <c r="AZ552" s="14">
        <f t="shared" si="67"/>
        <v>73.711797067284351</v>
      </c>
      <c r="BA552" s="14">
        <f t="shared" si="66"/>
        <v>-0.24939758705071746</v>
      </c>
      <c r="BB552" s="14">
        <f t="shared" si="61"/>
        <v>-295.55938346867134</v>
      </c>
      <c r="BC552" s="344"/>
      <c r="BD552" s="344"/>
      <c r="BE552" s="344"/>
      <c r="BF552" s="344"/>
      <c r="BG552" s="344"/>
      <c r="BH552" s="344"/>
      <c r="BI552" s="344"/>
      <c r="BJ552" s="344"/>
      <c r="BK552" s="344"/>
      <c r="BL552" s="344"/>
      <c r="BM552" s="344"/>
      <c r="BN552" s="344"/>
      <c r="BO552" s="344"/>
      <c r="BP552" s="14"/>
      <c r="BQ552" s="14"/>
      <c r="BR552" s="14"/>
      <c r="BS552" s="14"/>
      <c r="BT552" s="14"/>
      <c r="BU552" s="14"/>
      <c r="BV552" s="14"/>
      <c r="BW552" s="14"/>
      <c r="BX552" s="14"/>
      <c r="BY552" s="14"/>
      <c r="BZ552" s="14"/>
      <c r="CA552" s="14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</row>
    <row r="553" spans="1:101" ht="14.25" customHeight="1" x14ac:dyDescent="0.2">
      <c r="A553" s="328"/>
      <c r="B553" s="52">
        <v>0.20116136170132781</v>
      </c>
      <c r="C553" s="330">
        <v>0.3463098367648062</v>
      </c>
      <c r="D553" s="330">
        <v>1.3622192309649173E-2</v>
      </c>
      <c r="E553" s="330">
        <v>1.8963871100770802E-2</v>
      </c>
      <c r="F553" s="331">
        <v>0.79086641919121647</v>
      </c>
      <c r="G553" s="94">
        <v>0.42925715020941391</v>
      </c>
      <c r="H553" s="330">
        <v>0.38616549673470812</v>
      </c>
      <c r="I553" s="330">
        <v>2.2635475729391952E-2</v>
      </c>
      <c r="J553" s="330">
        <v>1</v>
      </c>
      <c r="K553" s="330">
        <v>0.76218091838449575</v>
      </c>
      <c r="L553" s="332">
        <v>15260.51520276993</v>
      </c>
      <c r="M553" s="330">
        <v>0</v>
      </c>
      <c r="N553" s="330">
        <v>23947.170628139753</v>
      </c>
      <c r="O553" s="330">
        <v>992.76002719986718</v>
      </c>
      <c r="P553" s="330">
        <v>46861.125613383672</v>
      </c>
      <c r="Q553" s="333">
        <v>79004.730691402146</v>
      </c>
      <c r="R553" s="330">
        <v>22556.212654136594</v>
      </c>
      <c r="S553" s="330">
        <v>8023.4694560065163</v>
      </c>
      <c r="T553" s="332">
        <v>0.99835430133921643</v>
      </c>
      <c r="U553" s="330">
        <v>0.63723866445179633</v>
      </c>
      <c r="V553" s="330">
        <v>0.82819549629667111</v>
      </c>
      <c r="W553" s="330">
        <v>0.97498967313137186</v>
      </c>
      <c r="X553" s="330">
        <v>0.9996773374793626</v>
      </c>
      <c r="Y553" s="330">
        <v>0</v>
      </c>
      <c r="Z553" s="331">
        <v>0</v>
      </c>
      <c r="AA553" s="235"/>
      <c r="AB553" s="335">
        <v>85346.70093860192</v>
      </c>
      <c r="AC553" s="336">
        <v>5.0888670874973521</v>
      </c>
      <c r="AD553" s="337">
        <v>71237.156022704119</v>
      </c>
      <c r="AE553" s="336">
        <v>4.6458650805084343</v>
      </c>
      <c r="AF553" s="337">
        <v>14109.544915897801</v>
      </c>
      <c r="AG553" s="338">
        <v>0.44300200698891778</v>
      </c>
      <c r="AH553" s="235"/>
      <c r="AI553" s="208">
        <f t="shared" si="62"/>
        <v>4749077.0321838828</v>
      </c>
      <c r="AJ553" s="208">
        <f t="shared" si="63"/>
        <v>4342334.670460308</v>
      </c>
      <c r="AK553" s="208">
        <f t="shared" si="64"/>
        <v>406742.36172357411</v>
      </c>
      <c r="AL553" s="235"/>
      <c r="AM553" s="52">
        <f t="shared" si="58"/>
        <v>1</v>
      </c>
      <c r="AN553" s="52">
        <f t="shared" si="59"/>
        <v>0</v>
      </c>
      <c r="AO553" s="52">
        <f t="shared" si="60"/>
        <v>1</v>
      </c>
      <c r="AP553" s="235"/>
      <c r="AQ553" s="28"/>
      <c r="AR553" s="28"/>
      <c r="AS553" s="28"/>
      <c r="AT553" s="28"/>
      <c r="AU553" s="235"/>
      <c r="AV553" s="360">
        <f t="shared" si="65"/>
        <v>4749077.0321838828</v>
      </c>
      <c r="AW553" s="235"/>
      <c r="AX553" s="355"/>
      <c r="AY553" s="344"/>
      <c r="AZ553" s="14">
        <f t="shared" si="67"/>
        <v>14109.544915897801</v>
      </c>
      <c r="BA553" s="14">
        <f t="shared" si="66"/>
        <v>0.44300200698891778</v>
      </c>
      <c r="BB553" s="14">
        <f t="shared" si="61"/>
        <v>31849.84422937562</v>
      </c>
      <c r="BC553" s="344"/>
      <c r="BD553" s="344"/>
      <c r="BE553" s="344"/>
      <c r="BF553" s="344"/>
      <c r="BG553" s="344"/>
      <c r="BH553" s="344"/>
      <c r="BI553" s="344"/>
      <c r="BJ553" s="344"/>
      <c r="BK553" s="344"/>
      <c r="BL553" s="344"/>
      <c r="BM553" s="344"/>
      <c r="BN553" s="344"/>
      <c r="BO553" s="344"/>
      <c r="BP553" s="14"/>
      <c r="BQ553" s="14"/>
      <c r="BR553" s="14"/>
      <c r="BS553" s="14"/>
      <c r="BT553" s="14"/>
      <c r="BU553" s="14"/>
      <c r="BV553" s="14"/>
      <c r="BW553" s="14"/>
      <c r="BX553" s="14"/>
      <c r="BY553" s="14"/>
      <c r="BZ553" s="14"/>
      <c r="CA553" s="14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</row>
    <row r="554" spans="1:101" ht="14.25" customHeight="1" x14ac:dyDescent="0.2">
      <c r="A554" s="328"/>
      <c r="B554" s="52">
        <v>0.1744200844729098</v>
      </c>
      <c r="C554" s="330">
        <v>1.7791862341276766E-2</v>
      </c>
      <c r="D554" s="330">
        <v>3.2485259677214384E-2</v>
      </c>
      <c r="E554" s="330">
        <v>4.532926489275493E-3</v>
      </c>
      <c r="F554" s="331">
        <v>0.79970838422493173</v>
      </c>
      <c r="G554" s="94">
        <v>0.35129760153954132</v>
      </c>
      <c r="H554" s="330">
        <v>4.1260778477842782E-3</v>
      </c>
      <c r="I554" s="330">
        <v>1.1542969910402797E-2</v>
      </c>
      <c r="J554" s="330">
        <v>0.89375562950792953</v>
      </c>
      <c r="K554" s="330">
        <v>0.7591674818796873</v>
      </c>
      <c r="L554" s="332">
        <v>9946.9089468082057</v>
      </c>
      <c r="M554" s="330">
        <v>0</v>
      </c>
      <c r="N554" s="330">
        <v>16767.509063999154</v>
      </c>
      <c r="O554" s="330">
        <v>1258.2696841909096</v>
      </c>
      <c r="P554" s="330">
        <v>40091.823101706541</v>
      </c>
      <c r="Q554" s="333">
        <v>108671.99637305342</v>
      </c>
      <c r="R554" s="330">
        <v>19877.057710085213</v>
      </c>
      <c r="S554" s="330">
        <v>11676.714602403643</v>
      </c>
      <c r="T554" s="332">
        <v>0.78160578769311162</v>
      </c>
      <c r="U554" s="330">
        <v>0.58398060563521081</v>
      </c>
      <c r="V554" s="330">
        <v>0.94200768894275211</v>
      </c>
      <c r="W554" s="330">
        <v>0.2924153359743677</v>
      </c>
      <c r="X554" s="330">
        <v>0.97030499361118783</v>
      </c>
      <c r="Y554" s="330">
        <v>0</v>
      </c>
      <c r="Z554" s="331">
        <v>0</v>
      </c>
      <c r="AA554" s="235"/>
      <c r="AB554" s="335">
        <v>111053.14373809085</v>
      </c>
      <c r="AC554" s="336">
        <v>4.931703761209242</v>
      </c>
      <c r="AD554" s="337">
        <v>96246.556004887869</v>
      </c>
      <c r="AE554" s="336">
        <v>4.5412334566851191</v>
      </c>
      <c r="AF554" s="337">
        <v>14806.587733202978</v>
      </c>
      <c r="AG554" s="338">
        <v>0.3904703045241229</v>
      </c>
      <c r="AH554" s="235"/>
      <c r="AI554" s="208">
        <f t="shared" si="62"/>
        <v>4574065.4294106886</v>
      </c>
      <c r="AJ554" s="208">
        <f t="shared" si="63"/>
        <v>4217925.2278459761</v>
      </c>
      <c r="AK554" s="208">
        <f t="shared" si="64"/>
        <v>356140.20156471379</v>
      </c>
      <c r="AL554" s="235"/>
      <c r="AM554" s="52">
        <f t="shared" si="58"/>
        <v>1</v>
      </c>
      <c r="AN554" s="52">
        <f t="shared" si="59"/>
        <v>0</v>
      </c>
      <c r="AO554" s="52">
        <f t="shared" si="60"/>
        <v>1</v>
      </c>
      <c r="AP554" s="235"/>
      <c r="AQ554" s="28"/>
      <c r="AR554" s="28"/>
      <c r="AS554" s="28"/>
      <c r="AT554" s="28"/>
      <c r="AU554" s="235"/>
      <c r="AV554" s="360">
        <f t="shared" si="65"/>
        <v>4574065.4294106886</v>
      </c>
      <c r="AW554" s="235"/>
      <c r="AX554" s="355"/>
      <c r="AY554" s="344"/>
      <c r="AZ554" s="14">
        <f t="shared" si="67"/>
        <v>14806.587733202978</v>
      </c>
      <c r="BA554" s="14">
        <f t="shared" si="66"/>
        <v>0.3904703045241229</v>
      </c>
      <c r="BB554" s="14">
        <f t="shared" si="61"/>
        <v>37919.881644388246</v>
      </c>
      <c r="BC554" s="344"/>
      <c r="BD554" s="344"/>
      <c r="BE554" s="344"/>
      <c r="BF554" s="344"/>
      <c r="BG554" s="344"/>
      <c r="BH554" s="344"/>
      <c r="BI554" s="344"/>
      <c r="BJ554" s="344"/>
      <c r="BK554" s="344"/>
      <c r="BL554" s="344"/>
      <c r="BM554" s="344"/>
      <c r="BN554" s="344"/>
      <c r="BO554" s="344"/>
      <c r="BP554" s="14"/>
      <c r="BQ554" s="14"/>
      <c r="BR554" s="14"/>
      <c r="BS554" s="14"/>
      <c r="BT554" s="14"/>
      <c r="BU554" s="14"/>
      <c r="BV554" s="14"/>
      <c r="BW554" s="14"/>
      <c r="BX554" s="14"/>
      <c r="BY554" s="14"/>
      <c r="BZ554" s="14"/>
      <c r="CA554" s="14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</row>
    <row r="555" spans="1:101" ht="14.25" customHeight="1" x14ac:dyDescent="0.2">
      <c r="A555" s="328"/>
      <c r="B555" s="52">
        <v>0.16057693280083507</v>
      </c>
      <c r="C555" s="330">
        <v>0.43269064333147089</v>
      </c>
      <c r="D555" s="330">
        <v>1.3477654933504765E-2</v>
      </c>
      <c r="E555" s="330">
        <v>6.8251500733482054E-3</v>
      </c>
      <c r="F555" s="331">
        <v>0.79317361010935916</v>
      </c>
      <c r="G555" s="94">
        <v>0.41910175164026831</v>
      </c>
      <c r="H555" s="330">
        <v>0.244401471090127</v>
      </c>
      <c r="I555" s="330">
        <v>1.8072152779594064E-2</v>
      </c>
      <c r="J555" s="330">
        <v>0.99999994599406272</v>
      </c>
      <c r="K555" s="330">
        <v>0.79588285417935767</v>
      </c>
      <c r="L555" s="332">
        <v>14207.734220216336</v>
      </c>
      <c r="M555" s="330">
        <v>0</v>
      </c>
      <c r="N555" s="330">
        <v>22200.971015420819</v>
      </c>
      <c r="O555" s="330">
        <v>926.84627949956325</v>
      </c>
      <c r="P555" s="330">
        <v>56957.51101451194</v>
      </c>
      <c r="Q555" s="333">
        <v>93319.923754679883</v>
      </c>
      <c r="R555" s="330">
        <v>17214.355189923259</v>
      </c>
      <c r="S555" s="330">
        <v>9484.802181625957</v>
      </c>
      <c r="T555" s="332">
        <v>0.51724229431668722</v>
      </c>
      <c r="U555" s="330">
        <v>0.9988821429807403</v>
      </c>
      <c r="V555" s="330">
        <v>0.90068470119703536</v>
      </c>
      <c r="W555" s="330">
        <v>0.9997792767438678</v>
      </c>
      <c r="X555" s="330">
        <v>0.66403940258490102</v>
      </c>
      <c r="Y555" s="330">
        <v>0</v>
      </c>
      <c r="Z555" s="331">
        <v>0</v>
      </c>
      <c r="AA555" s="235"/>
      <c r="AB555" s="335">
        <v>96487.822429184875</v>
      </c>
      <c r="AC555" s="336">
        <v>3.1840717086021284</v>
      </c>
      <c r="AD555" s="337">
        <v>84490.433529253263</v>
      </c>
      <c r="AE555" s="336">
        <v>3.3841738741193463</v>
      </c>
      <c r="AF555" s="337">
        <v>11997.388899931611</v>
      </c>
      <c r="AG555" s="338">
        <v>-0.20010216551721793</v>
      </c>
      <c r="AH555" s="235"/>
      <c r="AI555" s="208">
        <f t="shared" si="62"/>
        <v>2928380.3007428371</v>
      </c>
      <c r="AJ555" s="208">
        <f t="shared" si="63"/>
        <v>3130474.7468841258</v>
      </c>
      <c r="AK555" s="208">
        <f t="shared" si="64"/>
        <v>-202094.44614128867</v>
      </c>
      <c r="AL555" s="235"/>
      <c r="AM555" s="52">
        <f t="shared" si="58"/>
        <v>0</v>
      </c>
      <c r="AN555" s="52">
        <f t="shared" si="59"/>
        <v>1</v>
      </c>
      <c r="AO555" s="52">
        <f t="shared" si="60"/>
        <v>0</v>
      </c>
      <c r="AP555" s="235"/>
      <c r="AQ555" s="28"/>
      <c r="AR555" s="28"/>
      <c r="AS555" s="28"/>
      <c r="AT555" s="28"/>
      <c r="AU555" s="235"/>
      <c r="AV555" s="360">
        <f t="shared" si="65"/>
        <v>3130474.7468841258</v>
      </c>
      <c r="AW555" s="235"/>
      <c r="AX555" s="355"/>
      <c r="AY555" s="344"/>
      <c r="AZ555" s="14">
        <f t="shared" si="67"/>
        <v>11997.388899931611</v>
      </c>
      <c r="BA555" s="14">
        <f t="shared" si="66"/>
        <v>-0.20010216551721793</v>
      </c>
      <c r="BB555" s="14">
        <f t="shared" si="61"/>
        <v>-59956.317158892954</v>
      </c>
      <c r="BC555" s="344"/>
      <c r="BD555" s="344"/>
      <c r="BE555" s="344"/>
      <c r="BF555" s="344"/>
      <c r="BG555" s="344"/>
      <c r="BH555" s="344"/>
      <c r="BI555" s="344"/>
      <c r="BJ555" s="344"/>
      <c r="BK555" s="344"/>
      <c r="BL555" s="344"/>
      <c r="BM555" s="344"/>
      <c r="BN555" s="344"/>
      <c r="BO555" s="344"/>
      <c r="BP555" s="14"/>
      <c r="BQ555" s="14"/>
      <c r="BR555" s="14"/>
      <c r="BS555" s="14"/>
      <c r="BT555" s="14"/>
      <c r="BU555" s="14"/>
      <c r="BV555" s="14"/>
      <c r="BW555" s="14"/>
      <c r="BX555" s="14"/>
      <c r="BY555" s="14"/>
      <c r="BZ555" s="14"/>
      <c r="CA555" s="14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</row>
    <row r="556" spans="1:101" ht="14.25" customHeight="1" x14ac:dyDescent="0.2">
      <c r="A556" s="328"/>
      <c r="B556" s="52">
        <v>0.23434277140679138</v>
      </c>
      <c r="C556" s="330">
        <v>0.63186193622441078</v>
      </c>
      <c r="D556" s="330">
        <v>3.2350094690828057E-2</v>
      </c>
      <c r="E556" s="330">
        <v>1.8323575970153216E-2</v>
      </c>
      <c r="F556" s="331">
        <v>0.76691387260867638</v>
      </c>
      <c r="G556" s="94">
        <v>0.38296415702601128</v>
      </c>
      <c r="H556" s="330">
        <v>0.18195119657161388</v>
      </c>
      <c r="I556" s="330">
        <v>7.7477729640220289E-3</v>
      </c>
      <c r="J556" s="330">
        <v>0.99999329667052783</v>
      </c>
      <c r="K556" s="330">
        <v>0.78376987949889299</v>
      </c>
      <c r="L556" s="332">
        <v>14777.700821411143</v>
      </c>
      <c r="M556" s="330">
        <v>0</v>
      </c>
      <c r="N556" s="330">
        <v>17139.014873758275</v>
      </c>
      <c r="O556" s="330">
        <v>1141.1701732823647</v>
      </c>
      <c r="P556" s="330">
        <v>30787.17446957382</v>
      </c>
      <c r="Q556" s="333">
        <v>119804.68966508537</v>
      </c>
      <c r="R556" s="330">
        <v>18460.141406753512</v>
      </c>
      <c r="S556" s="330">
        <v>9135.7104347869681</v>
      </c>
      <c r="T556" s="332">
        <v>0.90767803671719804</v>
      </c>
      <c r="U556" s="330">
        <v>0.60153158823560349</v>
      </c>
      <c r="V556" s="330">
        <v>0.99692253488748239</v>
      </c>
      <c r="W556" s="330">
        <v>0.23462398999735271</v>
      </c>
      <c r="X556" s="330">
        <v>0.95907024406574615</v>
      </c>
      <c r="Y556" s="330">
        <v>0</v>
      </c>
      <c r="Z556" s="331">
        <v>0</v>
      </c>
      <c r="AA556" s="235"/>
      <c r="AB556" s="335">
        <v>93879.717716432104</v>
      </c>
      <c r="AC556" s="336">
        <v>4.5071907432874188</v>
      </c>
      <c r="AD556" s="337">
        <v>79084.442242014935</v>
      </c>
      <c r="AE556" s="336">
        <v>4.6699896441258559</v>
      </c>
      <c r="AF556" s="337">
        <v>14795.275474417169</v>
      </c>
      <c r="AG556" s="338">
        <v>-0.16279890083843718</v>
      </c>
      <c r="AH556" s="235"/>
      <c r="AI556" s="208">
        <f t="shared" si="62"/>
        <v>4187951.4884066153</v>
      </c>
      <c r="AJ556" s="208">
        <f t="shared" si="63"/>
        <v>4357405.7196775479</v>
      </c>
      <c r="AK556" s="208">
        <f t="shared" si="64"/>
        <v>-169454.23127093248</v>
      </c>
      <c r="AL556" s="235"/>
      <c r="AM556" s="52">
        <f t="shared" si="58"/>
        <v>0</v>
      </c>
      <c r="AN556" s="52">
        <f t="shared" si="59"/>
        <v>1</v>
      </c>
      <c r="AO556" s="52">
        <f t="shared" si="60"/>
        <v>0</v>
      </c>
      <c r="AP556" s="235"/>
      <c r="AQ556" s="28"/>
      <c r="AR556" s="28"/>
      <c r="AS556" s="28"/>
      <c r="AT556" s="28"/>
      <c r="AU556" s="235"/>
      <c r="AV556" s="360">
        <f t="shared" si="65"/>
        <v>4357405.7196775479</v>
      </c>
      <c r="AW556" s="235"/>
      <c r="AX556" s="355"/>
      <c r="AY556" s="344"/>
      <c r="AZ556" s="14">
        <f t="shared" si="67"/>
        <v>14795.275474417169</v>
      </c>
      <c r="BA556" s="14">
        <f t="shared" si="66"/>
        <v>-0.16279890083843718</v>
      </c>
      <c r="BB556" s="14">
        <f t="shared" si="61"/>
        <v>-90880.684072308999</v>
      </c>
      <c r="BC556" s="344"/>
      <c r="BD556" s="344"/>
      <c r="BE556" s="344"/>
      <c r="BF556" s="344"/>
      <c r="BG556" s="344"/>
      <c r="BH556" s="344"/>
      <c r="BI556" s="344"/>
      <c r="BJ556" s="344"/>
      <c r="BK556" s="344"/>
      <c r="BL556" s="344"/>
      <c r="BM556" s="344"/>
      <c r="BN556" s="344"/>
      <c r="BO556" s="344"/>
      <c r="BP556" s="14"/>
      <c r="BQ556" s="14"/>
      <c r="BR556" s="14"/>
      <c r="BS556" s="14"/>
      <c r="BT556" s="14"/>
      <c r="BU556" s="14"/>
      <c r="BV556" s="14"/>
      <c r="BW556" s="14"/>
      <c r="BX556" s="14"/>
      <c r="BY556" s="14"/>
      <c r="BZ556" s="14"/>
      <c r="CA556" s="14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</row>
    <row r="557" spans="1:101" ht="14.25" customHeight="1" x14ac:dyDescent="0.2">
      <c r="A557" s="328"/>
      <c r="B557" s="52">
        <v>0.15758945059327553</v>
      </c>
      <c r="C557" s="330">
        <v>0.67745324744533064</v>
      </c>
      <c r="D557" s="330">
        <v>9.0328817316247881E-3</v>
      </c>
      <c r="E557" s="330">
        <v>7.2874605392056748E-3</v>
      </c>
      <c r="F557" s="331">
        <v>0.82955059573101053</v>
      </c>
      <c r="G557" s="94">
        <v>0.39090696561898852</v>
      </c>
      <c r="H557" s="330">
        <v>0.68730192533158896</v>
      </c>
      <c r="I557" s="330">
        <v>1.5220808958370306E-2</v>
      </c>
      <c r="J557" s="330">
        <v>1</v>
      </c>
      <c r="K557" s="330">
        <v>0.77091546993897631</v>
      </c>
      <c r="L557" s="332">
        <v>13919.833493417878</v>
      </c>
      <c r="M557" s="330">
        <v>0</v>
      </c>
      <c r="N557" s="330">
        <v>11119.09607926705</v>
      </c>
      <c r="O557" s="330">
        <v>1467.5466623688465</v>
      </c>
      <c r="P557" s="330">
        <v>55310.527392077493</v>
      </c>
      <c r="Q557" s="333">
        <v>85133.070210462291</v>
      </c>
      <c r="R557" s="330">
        <v>15676.272504911147</v>
      </c>
      <c r="S557" s="330">
        <v>14459.569543955293</v>
      </c>
      <c r="T557" s="332">
        <v>0.97693408068625409</v>
      </c>
      <c r="U557" s="330">
        <v>0.68124166783380591</v>
      </c>
      <c r="V557" s="330">
        <v>0.82688413888171208</v>
      </c>
      <c r="W557" s="330">
        <v>0.99098429373746622</v>
      </c>
      <c r="X557" s="330">
        <v>0.99983904285793435</v>
      </c>
      <c r="Y557" s="330">
        <v>0</v>
      </c>
      <c r="Z557" s="331">
        <v>0</v>
      </c>
      <c r="AA557" s="235"/>
      <c r="AB557" s="335">
        <v>144667.09292116188</v>
      </c>
      <c r="AC557" s="336">
        <v>5.1103243820798436</v>
      </c>
      <c r="AD557" s="337">
        <v>125308.47398157383</v>
      </c>
      <c r="AE557" s="336">
        <v>4.8724247208353688</v>
      </c>
      <c r="AF557" s="337">
        <v>19358.61893958805</v>
      </c>
      <c r="AG557" s="338">
        <v>0.23789966124447481</v>
      </c>
      <c r="AH557" s="235"/>
      <c r="AI557" s="208">
        <f t="shared" si="62"/>
        <v>4710141.0700546894</v>
      </c>
      <c r="AJ557" s="208">
        <f t="shared" si="63"/>
        <v>4503495.0108120264</v>
      </c>
      <c r="AK557" s="208">
        <f t="shared" si="64"/>
        <v>206646.05924266303</v>
      </c>
      <c r="AL557" s="235"/>
      <c r="AM557" s="52">
        <f t="shared" si="58"/>
        <v>1</v>
      </c>
      <c r="AN557" s="52">
        <f t="shared" si="59"/>
        <v>0</v>
      </c>
      <c r="AO557" s="52">
        <f t="shared" si="60"/>
        <v>1</v>
      </c>
      <c r="AP557" s="235"/>
      <c r="AQ557" s="28"/>
      <c r="AR557" s="28"/>
      <c r="AS557" s="28"/>
      <c r="AT557" s="28"/>
      <c r="AU557" s="235"/>
      <c r="AV557" s="360">
        <f t="shared" si="65"/>
        <v>4710141.0700546894</v>
      </c>
      <c r="AW557" s="235"/>
      <c r="AX557" s="355"/>
      <c r="AY557" s="344"/>
      <c r="AZ557" s="14">
        <f t="shared" si="67"/>
        <v>19358.61893958805</v>
      </c>
      <c r="BA557" s="14">
        <f t="shared" si="66"/>
        <v>0.23789966124447481</v>
      </c>
      <c r="BB557" s="14">
        <f t="shared" si="61"/>
        <v>81373.041215449193</v>
      </c>
      <c r="BC557" s="344"/>
      <c r="BD557" s="344"/>
      <c r="BE557" s="344"/>
      <c r="BF557" s="344"/>
      <c r="BG557" s="344"/>
      <c r="BH557" s="344"/>
      <c r="BI557" s="344"/>
      <c r="BJ557" s="344"/>
      <c r="BK557" s="344"/>
      <c r="BL557" s="344"/>
      <c r="BM557" s="344"/>
      <c r="BN557" s="344"/>
      <c r="BO557" s="344"/>
      <c r="BP557" s="14"/>
      <c r="BQ557" s="14"/>
      <c r="BR557" s="14"/>
      <c r="BS557" s="14"/>
      <c r="BT557" s="14"/>
      <c r="BU557" s="14"/>
      <c r="BV557" s="14"/>
      <c r="BW557" s="14"/>
      <c r="BX557" s="14"/>
      <c r="BY557" s="14"/>
      <c r="BZ557" s="14"/>
      <c r="CA557" s="14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</row>
    <row r="558" spans="1:101" ht="14.25" customHeight="1" x14ac:dyDescent="0.2">
      <c r="A558" s="328"/>
      <c r="B558" s="52">
        <v>0.12120241763872901</v>
      </c>
      <c r="C558" s="330">
        <v>0.36402923987181002</v>
      </c>
      <c r="D558" s="330">
        <v>2.1554093919459616E-2</v>
      </c>
      <c r="E558" s="330">
        <v>1.7680147741167773E-2</v>
      </c>
      <c r="F558" s="331">
        <v>0.81066939349957268</v>
      </c>
      <c r="G558" s="94">
        <v>0.34828699443819794</v>
      </c>
      <c r="H558" s="330">
        <v>0.6955736979631959</v>
      </c>
      <c r="I558" s="330">
        <v>1.0151361859392936E-2</v>
      </c>
      <c r="J558" s="330">
        <v>0.99999999966775821</v>
      </c>
      <c r="K558" s="330">
        <v>0.73727299789564116</v>
      </c>
      <c r="L558" s="332">
        <v>11650.252465364194</v>
      </c>
      <c r="M558" s="330">
        <v>0</v>
      </c>
      <c r="N558" s="330">
        <v>14531.414517491312</v>
      </c>
      <c r="O558" s="330">
        <v>1291.3933245564003</v>
      </c>
      <c r="P558" s="330">
        <v>38332.879481827586</v>
      </c>
      <c r="Q558" s="333">
        <v>80294.080484120728</v>
      </c>
      <c r="R558" s="330">
        <v>19477.787013940753</v>
      </c>
      <c r="S558" s="330">
        <v>7322.1162602980039</v>
      </c>
      <c r="T558" s="332">
        <v>0.98605784948583719</v>
      </c>
      <c r="U558" s="330">
        <v>0.44292348619291588</v>
      </c>
      <c r="V558" s="330">
        <v>0.99438987135496359</v>
      </c>
      <c r="W558" s="330">
        <v>0.59103026023788285</v>
      </c>
      <c r="X558" s="330">
        <v>0.38778413937479039</v>
      </c>
      <c r="Y558" s="330">
        <v>0</v>
      </c>
      <c r="Z558" s="331">
        <v>0</v>
      </c>
      <c r="AA558" s="235"/>
      <c r="AB558" s="335">
        <v>76576.968306522613</v>
      </c>
      <c r="AC558" s="336">
        <v>1.9300794115659556</v>
      </c>
      <c r="AD558" s="337">
        <v>63547.875074976466</v>
      </c>
      <c r="AE558" s="336">
        <v>1.7965923017896119</v>
      </c>
      <c r="AF558" s="337">
        <v>13029.093231546147</v>
      </c>
      <c r="AG558" s="338">
        <v>0.1334871097763437</v>
      </c>
      <c r="AH558" s="235"/>
      <c r="AI558" s="208">
        <f t="shared" si="62"/>
        <v>1756998.4726811352</v>
      </c>
      <c r="AJ558" s="208">
        <f t="shared" si="63"/>
        <v>1643214.8116251549</v>
      </c>
      <c r="AK558" s="208">
        <f t="shared" si="64"/>
        <v>113783.66105598037</v>
      </c>
      <c r="AL558" s="235"/>
      <c r="AM558" s="52">
        <f t="shared" si="58"/>
        <v>1</v>
      </c>
      <c r="AN558" s="52">
        <f t="shared" si="59"/>
        <v>0</v>
      </c>
      <c r="AO558" s="52">
        <f t="shared" si="60"/>
        <v>1</v>
      </c>
      <c r="AP558" s="235"/>
      <c r="AQ558" s="28"/>
      <c r="AR558" s="28"/>
      <c r="AS558" s="28"/>
      <c r="AT558" s="28"/>
      <c r="AU558" s="235"/>
      <c r="AV558" s="360">
        <f t="shared" si="65"/>
        <v>1756998.4726811352</v>
      </c>
      <c r="AW558" s="235"/>
      <c r="AX558" s="355"/>
      <c r="AY558" s="344"/>
      <c r="AZ558" s="14">
        <f t="shared" si="67"/>
        <v>13029.093231546147</v>
      </c>
      <c r="BA558" s="14">
        <f t="shared" si="66"/>
        <v>0.1334871097763437</v>
      </c>
      <c r="BB558" s="14">
        <f t="shared" si="61"/>
        <v>97605.628388960249</v>
      </c>
      <c r="BC558" s="344"/>
      <c r="BD558" s="344"/>
      <c r="BE558" s="344"/>
      <c r="BF558" s="344"/>
      <c r="BG558" s="344"/>
      <c r="BH558" s="344"/>
      <c r="BI558" s="344"/>
      <c r="BJ558" s="344"/>
      <c r="BK558" s="344"/>
      <c r="BL558" s="344"/>
      <c r="BM558" s="344"/>
      <c r="BN558" s="344"/>
      <c r="BO558" s="344"/>
      <c r="BP558" s="14"/>
      <c r="BQ558" s="14"/>
      <c r="BR558" s="14"/>
      <c r="BS558" s="14"/>
      <c r="BT558" s="14"/>
      <c r="BU558" s="14"/>
      <c r="BV558" s="14"/>
      <c r="BW558" s="14"/>
      <c r="BX558" s="14"/>
      <c r="BY558" s="14"/>
      <c r="BZ558" s="14"/>
      <c r="CA558" s="14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</row>
    <row r="559" spans="1:101" ht="14.25" customHeight="1" x14ac:dyDescent="0.2">
      <c r="A559" s="328"/>
      <c r="B559" s="52">
        <v>0.1712895891249504</v>
      </c>
      <c r="C559" s="330">
        <v>9.8292781262121955E-3</v>
      </c>
      <c r="D559" s="330">
        <v>1.5577220560088478E-2</v>
      </c>
      <c r="E559" s="330">
        <v>5.1709904429859763E-3</v>
      </c>
      <c r="F559" s="331">
        <v>0.77089049256489839</v>
      </c>
      <c r="G559" s="94">
        <v>0.36003566178728769</v>
      </c>
      <c r="H559" s="330">
        <v>4.1523618779696979E-2</v>
      </c>
      <c r="I559" s="330">
        <v>7.9984750786824231E-3</v>
      </c>
      <c r="J559" s="330">
        <v>0.99995229261523211</v>
      </c>
      <c r="K559" s="330">
        <v>0.76430317724453567</v>
      </c>
      <c r="L559" s="332">
        <v>15873.665777048183</v>
      </c>
      <c r="M559" s="330">
        <v>0</v>
      </c>
      <c r="N559" s="330">
        <v>15452.685591468988</v>
      </c>
      <c r="O559" s="330">
        <v>1340.1233016458536</v>
      </c>
      <c r="P559" s="330">
        <v>48181.121565633308</v>
      </c>
      <c r="Q559" s="333">
        <v>134812.9728837274</v>
      </c>
      <c r="R559" s="330">
        <v>25712.138664086146</v>
      </c>
      <c r="S559" s="330">
        <v>8056.8486216541214</v>
      </c>
      <c r="T559" s="332">
        <v>0.76075241055087695</v>
      </c>
      <c r="U559" s="330">
        <v>0.83103372288765454</v>
      </c>
      <c r="V559" s="330">
        <v>0.98375815660261212</v>
      </c>
      <c r="W559" s="330">
        <v>0.83032130935039938</v>
      </c>
      <c r="X559" s="330">
        <v>0.85671236208703783</v>
      </c>
      <c r="Y559" s="330">
        <v>0</v>
      </c>
      <c r="Z559" s="331">
        <v>0</v>
      </c>
      <c r="AA559" s="235"/>
      <c r="AB559" s="335">
        <v>83158.212775130436</v>
      </c>
      <c r="AC559" s="336">
        <v>4.3158090011607806</v>
      </c>
      <c r="AD559" s="337">
        <v>67517.587874400371</v>
      </c>
      <c r="AE559" s="336">
        <v>4.0988093439390001</v>
      </c>
      <c r="AF559" s="337">
        <v>15640.624900730065</v>
      </c>
      <c r="AG559" s="338">
        <v>0.2169996572217805</v>
      </c>
      <c r="AH559" s="235"/>
      <c r="AI559" s="208">
        <f t="shared" si="62"/>
        <v>4016860.3383276113</v>
      </c>
      <c r="AJ559" s="208">
        <f t="shared" si="63"/>
        <v>3826351.2888676496</v>
      </c>
      <c r="AK559" s="208">
        <f t="shared" si="64"/>
        <v>190509.04945996142</v>
      </c>
      <c r="AL559" s="235"/>
      <c r="AM559" s="52">
        <f t="shared" si="58"/>
        <v>1</v>
      </c>
      <c r="AN559" s="52">
        <f t="shared" si="59"/>
        <v>0</v>
      </c>
      <c r="AO559" s="52">
        <f t="shared" si="60"/>
        <v>1</v>
      </c>
      <c r="AP559" s="235"/>
      <c r="AQ559" s="28"/>
      <c r="AR559" s="28"/>
      <c r="AS559" s="28"/>
      <c r="AT559" s="28"/>
      <c r="AU559" s="235"/>
      <c r="AV559" s="360">
        <f t="shared" si="65"/>
        <v>4016860.3383276113</v>
      </c>
      <c r="AW559" s="235"/>
      <c r="AX559" s="355"/>
      <c r="AY559" s="344"/>
      <c r="AZ559" s="14">
        <f t="shared" si="67"/>
        <v>15640.624900730065</v>
      </c>
      <c r="BA559" s="14">
        <f t="shared" si="66"/>
        <v>0.2169996572217805</v>
      </c>
      <c r="BB559" s="14">
        <f t="shared" si="61"/>
        <v>72076.726299824761</v>
      </c>
      <c r="BC559" s="344"/>
      <c r="BD559" s="344"/>
      <c r="BE559" s="344"/>
      <c r="BF559" s="344"/>
      <c r="BG559" s="344"/>
      <c r="BH559" s="344"/>
      <c r="BI559" s="344"/>
      <c r="BJ559" s="344"/>
      <c r="BK559" s="344"/>
      <c r="BL559" s="344"/>
      <c r="BM559" s="344"/>
      <c r="BN559" s="344"/>
      <c r="BO559" s="344"/>
      <c r="BP559" s="14"/>
      <c r="BQ559" s="14"/>
      <c r="BR559" s="14"/>
      <c r="BS559" s="14"/>
      <c r="BT559" s="14"/>
      <c r="BU559" s="14"/>
      <c r="BV559" s="14"/>
      <c r="BW559" s="14"/>
      <c r="BX559" s="14"/>
      <c r="BY559" s="14"/>
      <c r="BZ559" s="14"/>
      <c r="CA559" s="14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</row>
    <row r="560" spans="1:101" ht="14.25" customHeight="1" x14ac:dyDescent="0.2">
      <c r="A560" s="328"/>
      <c r="B560" s="52">
        <v>0.14922554817881992</v>
      </c>
      <c r="C560" s="330">
        <v>0.52711390776264588</v>
      </c>
      <c r="D560" s="330">
        <v>1.2886020605570288E-2</v>
      </c>
      <c r="E560" s="330">
        <v>1.4209984207069577E-2</v>
      </c>
      <c r="F560" s="331">
        <v>0.7771258508980573</v>
      </c>
      <c r="G560" s="94">
        <v>0.33442411700683367</v>
      </c>
      <c r="H560" s="330">
        <v>0.74571309679879261</v>
      </c>
      <c r="I560" s="330">
        <v>9.3209160911366142E-3</v>
      </c>
      <c r="J560" s="330">
        <v>0.98009135967670191</v>
      </c>
      <c r="K560" s="330">
        <v>0.71782904842506301</v>
      </c>
      <c r="L560" s="332">
        <v>9526.9480625243868</v>
      </c>
      <c r="M560" s="330">
        <v>0</v>
      </c>
      <c r="N560" s="330">
        <v>19364.753577409221</v>
      </c>
      <c r="O560" s="330">
        <v>1381.3129294888413</v>
      </c>
      <c r="P560" s="330">
        <v>52802.625521374299</v>
      </c>
      <c r="Q560" s="333">
        <v>100231.43851999925</v>
      </c>
      <c r="R560" s="330">
        <v>23601.004233029173</v>
      </c>
      <c r="S560" s="330">
        <v>10787.470631012509</v>
      </c>
      <c r="T560" s="332">
        <v>0.48032400627162469</v>
      </c>
      <c r="U560" s="330">
        <v>0.99989400951198826</v>
      </c>
      <c r="V560" s="330">
        <v>0.9712989375132528</v>
      </c>
      <c r="W560" s="330">
        <v>0.26202233073716635</v>
      </c>
      <c r="X560" s="330">
        <v>0.8893689871860061</v>
      </c>
      <c r="Y560" s="330">
        <v>0</v>
      </c>
      <c r="Z560" s="331">
        <v>0</v>
      </c>
      <c r="AA560" s="235"/>
      <c r="AB560" s="335">
        <v>101746.50995630832</v>
      </c>
      <c r="AC560" s="336">
        <v>4.3695837391139607</v>
      </c>
      <c r="AD560" s="337">
        <v>89962.429246449916</v>
      </c>
      <c r="AE560" s="336">
        <v>3.879793148693488</v>
      </c>
      <c r="AF560" s="337">
        <v>11784.080709858405</v>
      </c>
      <c r="AG560" s="338">
        <v>0.48979059042047268</v>
      </c>
      <c r="AH560" s="235"/>
      <c r="AI560" s="208">
        <f t="shared" si="62"/>
        <v>4049358.0422019544</v>
      </c>
      <c r="AJ560" s="208">
        <f t="shared" si="63"/>
        <v>3595841.0620123637</v>
      </c>
      <c r="AK560" s="208">
        <f t="shared" si="64"/>
        <v>453516.98018959066</v>
      </c>
      <c r="AL560" s="235"/>
      <c r="AM560" s="52">
        <f t="shared" si="58"/>
        <v>1</v>
      </c>
      <c r="AN560" s="52">
        <f t="shared" si="59"/>
        <v>0</v>
      </c>
      <c r="AO560" s="52">
        <f t="shared" si="60"/>
        <v>1</v>
      </c>
      <c r="AP560" s="235"/>
      <c r="AQ560" s="28"/>
      <c r="AR560" s="28"/>
      <c r="AS560" s="28"/>
      <c r="AT560" s="28"/>
      <c r="AU560" s="235"/>
      <c r="AV560" s="360">
        <f t="shared" si="65"/>
        <v>4049358.0422019544</v>
      </c>
      <c r="AW560" s="235"/>
      <c r="AX560" s="355"/>
      <c r="AY560" s="344"/>
      <c r="AZ560" s="14">
        <f t="shared" si="67"/>
        <v>11784.080709858405</v>
      </c>
      <c r="BA560" s="14">
        <f t="shared" si="66"/>
        <v>0.48979059042047268</v>
      </c>
      <c r="BB560" s="14">
        <f t="shared" si="61"/>
        <v>24059.426498459419</v>
      </c>
      <c r="BC560" s="344"/>
      <c r="BD560" s="344"/>
      <c r="BE560" s="344"/>
      <c r="BF560" s="344"/>
      <c r="BG560" s="344"/>
      <c r="BH560" s="344"/>
      <c r="BI560" s="344"/>
      <c r="BJ560" s="344"/>
      <c r="BK560" s="344"/>
      <c r="BL560" s="344"/>
      <c r="BM560" s="344"/>
      <c r="BN560" s="344"/>
      <c r="BO560" s="344"/>
      <c r="BP560" s="14"/>
      <c r="BQ560" s="14"/>
      <c r="BR560" s="14"/>
      <c r="BS560" s="14"/>
      <c r="BT560" s="14"/>
      <c r="BU560" s="14"/>
      <c r="BV560" s="14"/>
      <c r="BW560" s="14"/>
      <c r="BX560" s="14"/>
      <c r="BY560" s="14"/>
      <c r="BZ560" s="14"/>
      <c r="CA560" s="14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</row>
    <row r="561" spans="1:101" ht="14.25" customHeight="1" x14ac:dyDescent="0.2">
      <c r="A561" s="328"/>
      <c r="B561" s="52">
        <v>0.16702514233788734</v>
      </c>
      <c r="C561" s="330">
        <v>0.69793504538104645</v>
      </c>
      <c r="D561" s="330">
        <v>3.4189969244496021E-2</v>
      </c>
      <c r="E561" s="330">
        <v>1.3454314337847417E-2</v>
      </c>
      <c r="F561" s="331">
        <v>0.81382169051442332</v>
      </c>
      <c r="G561" s="94">
        <v>0.41025179306428761</v>
      </c>
      <c r="H561" s="330">
        <v>0.55491603120510513</v>
      </c>
      <c r="I561" s="330">
        <v>2.4300727904302821E-2</v>
      </c>
      <c r="J561" s="330">
        <v>0.99999994813659188</v>
      </c>
      <c r="K561" s="330">
        <v>0.69269637272173112</v>
      </c>
      <c r="L561" s="332">
        <v>10366.742398654478</v>
      </c>
      <c r="M561" s="330">
        <v>0</v>
      </c>
      <c r="N561" s="330">
        <v>11003.453309982284</v>
      </c>
      <c r="O561" s="330">
        <v>1157.6213601786089</v>
      </c>
      <c r="P561" s="330">
        <v>55311.273145671526</v>
      </c>
      <c r="Q561" s="333">
        <v>113829.45773019313</v>
      </c>
      <c r="R561" s="330">
        <v>25097.28746231888</v>
      </c>
      <c r="S561" s="330">
        <v>7874.5324564412149</v>
      </c>
      <c r="T561" s="332">
        <v>0.89238546530557494</v>
      </c>
      <c r="U561" s="330">
        <v>0.95789653494932225</v>
      </c>
      <c r="V561" s="330">
        <v>0.32581814251445318</v>
      </c>
      <c r="W561" s="330">
        <v>0.95969269497781629</v>
      </c>
      <c r="X561" s="330">
        <v>0.79565670854369275</v>
      </c>
      <c r="Y561" s="330">
        <v>0</v>
      </c>
      <c r="Z561" s="331">
        <v>0</v>
      </c>
      <c r="AA561" s="235"/>
      <c r="AB561" s="335">
        <v>82911.604077950382</v>
      </c>
      <c r="AC561" s="336">
        <v>3.9196335267727775</v>
      </c>
      <c r="AD561" s="337">
        <v>66555.381999978534</v>
      </c>
      <c r="AE561" s="336">
        <v>3.3538976389264317</v>
      </c>
      <c r="AF561" s="337">
        <v>16356.222077971848</v>
      </c>
      <c r="AG561" s="338">
        <v>0.56573588784634588</v>
      </c>
      <c r="AH561" s="235"/>
      <c r="AI561" s="208">
        <f t="shared" si="62"/>
        <v>3640740.2463561879</v>
      </c>
      <c r="AJ561" s="208">
        <f t="shared" si="63"/>
        <v>3119647.3749801316</v>
      </c>
      <c r="AK561" s="208">
        <f t="shared" si="64"/>
        <v>521092.87137605675</v>
      </c>
      <c r="AL561" s="235"/>
      <c r="AM561" s="52">
        <f t="shared" si="58"/>
        <v>1</v>
      </c>
      <c r="AN561" s="52">
        <f t="shared" si="59"/>
        <v>0</v>
      </c>
      <c r="AO561" s="52">
        <f t="shared" si="60"/>
        <v>1</v>
      </c>
      <c r="AP561" s="235"/>
      <c r="AQ561" s="28"/>
      <c r="AR561" s="28"/>
      <c r="AS561" s="28"/>
      <c r="AT561" s="28"/>
      <c r="AU561" s="235"/>
      <c r="AV561" s="360">
        <f t="shared" si="65"/>
        <v>3640740.2463561879</v>
      </c>
      <c r="AW561" s="235"/>
      <c r="AX561" s="355"/>
      <c r="AY561" s="344"/>
      <c r="AZ561" s="14">
        <f t="shared" si="67"/>
        <v>16356.222077971848</v>
      </c>
      <c r="BA561" s="14">
        <f t="shared" si="66"/>
        <v>0.56573588784634588</v>
      </c>
      <c r="BB561" s="14">
        <f t="shared" si="61"/>
        <v>28911.409775040127</v>
      </c>
      <c r="BC561" s="344"/>
      <c r="BD561" s="344"/>
      <c r="BE561" s="344"/>
      <c r="BF561" s="344"/>
      <c r="BG561" s="344"/>
      <c r="BH561" s="344"/>
      <c r="BI561" s="344"/>
      <c r="BJ561" s="344"/>
      <c r="BK561" s="344"/>
      <c r="BL561" s="344"/>
      <c r="BM561" s="344"/>
      <c r="BN561" s="344"/>
      <c r="BO561" s="344"/>
      <c r="BP561" s="14"/>
      <c r="BQ561" s="14"/>
      <c r="BR561" s="14"/>
      <c r="BS561" s="14"/>
      <c r="BT561" s="14"/>
      <c r="BU561" s="14"/>
      <c r="BV561" s="14"/>
      <c r="BW561" s="14"/>
      <c r="BX561" s="14"/>
      <c r="BY561" s="14"/>
      <c r="BZ561" s="14"/>
      <c r="CA561" s="14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</row>
    <row r="562" spans="1:101" ht="14.25" customHeight="1" x14ac:dyDescent="0.2">
      <c r="A562" s="328"/>
      <c r="B562" s="52">
        <v>0.15198173089748454</v>
      </c>
      <c r="C562" s="330">
        <v>0.67765091352884677</v>
      </c>
      <c r="D562" s="330">
        <v>1.3573323560973394E-2</v>
      </c>
      <c r="E562" s="330">
        <v>7.3379371148861033E-3</v>
      </c>
      <c r="F562" s="331">
        <v>0.81367990599782736</v>
      </c>
      <c r="G562" s="94">
        <v>0.3843651980405885</v>
      </c>
      <c r="H562" s="330">
        <v>0.74583682018124708</v>
      </c>
      <c r="I562" s="330">
        <v>2.5486348693233185E-2</v>
      </c>
      <c r="J562" s="330">
        <v>0.9969522485186747</v>
      </c>
      <c r="K562" s="330">
        <v>0.76238724414097303</v>
      </c>
      <c r="L562" s="332">
        <v>11658.61153480951</v>
      </c>
      <c r="M562" s="330">
        <v>0</v>
      </c>
      <c r="N562" s="330">
        <v>17677.190315297394</v>
      </c>
      <c r="O562" s="330">
        <v>1585.9392291439228</v>
      </c>
      <c r="P562" s="330">
        <v>47701.019962223174</v>
      </c>
      <c r="Q562" s="333">
        <v>108642.37785990974</v>
      </c>
      <c r="R562" s="330">
        <v>19527.768215769316</v>
      </c>
      <c r="S562" s="330">
        <v>9697.2932787894861</v>
      </c>
      <c r="T562" s="332">
        <v>0.9999988704846059</v>
      </c>
      <c r="U562" s="330">
        <v>0.89934848057603833</v>
      </c>
      <c r="V562" s="330">
        <v>0.98881977769970408</v>
      </c>
      <c r="W562" s="330">
        <v>0.91557030397242334</v>
      </c>
      <c r="X562" s="330">
        <v>0.38622076256763588</v>
      </c>
      <c r="Y562" s="330">
        <v>0</v>
      </c>
      <c r="Z562" s="331">
        <v>0</v>
      </c>
      <c r="AA562" s="235"/>
      <c r="AB562" s="335">
        <v>98810.630645947487</v>
      </c>
      <c r="AC562" s="336">
        <v>2.0638161120629914</v>
      </c>
      <c r="AD562" s="337">
        <v>87234.386818571205</v>
      </c>
      <c r="AE562" s="336">
        <v>2.0836187159477628</v>
      </c>
      <c r="AF562" s="337">
        <v>11576.243827376282</v>
      </c>
      <c r="AG562" s="338">
        <v>-1.9802603884771397E-2</v>
      </c>
      <c r="AH562" s="235"/>
      <c r="AI562" s="208">
        <f t="shared" si="62"/>
        <v>1861814.6758138943</v>
      </c>
      <c r="AJ562" s="208">
        <f t="shared" si="63"/>
        <v>1892203.3933318034</v>
      </c>
      <c r="AK562" s="208">
        <f t="shared" si="64"/>
        <v>-30388.71751790911</v>
      </c>
      <c r="AL562" s="235"/>
      <c r="AM562" s="52">
        <f t="shared" si="58"/>
        <v>0</v>
      </c>
      <c r="AN562" s="52">
        <f t="shared" si="59"/>
        <v>1</v>
      </c>
      <c r="AO562" s="52">
        <f t="shared" si="60"/>
        <v>0</v>
      </c>
      <c r="AP562" s="235"/>
      <c r="AQ562" s="28"/>
      <c r="AR562" s="28"/>
      <c r="AS562" s="28"/>
      <c r="AT562" s="28"/>
      <c r="AU562" s="235"/>
      <c r="AV562" s="360">
        <f t="shared" si="65"/>
        <v>1892203.3933318034</v>
      </c>
      <c r="AW562" s="235"/>
      <c r="AX562" s="355"/>
      <c r="AY562" s="344"/>
      <c r="AZ562" s="14">
        <f t="shared" si="67"/>
        <v>11576.243827376282</v>
      </c>
      <c r="BA562" s="14">
        <f t="shared" si="66"/>
        <v>-1.9802603884771397E-2</v>
      </c>
      <c r="BB562" s="14">
        <f t="shared" si="61"/>
        <v>-584581.90118515922</v>
      </c>
      <c r="BC562" s="344"/>
      <c r="BD562" s="344"/>
      <c r="BE562" s="344"/>
      <c r="BF562" s="344"/>
      <c r="BG562" s="344"/>
      <c r="BH562" s="344"/>
      <c r="BI562" s="344"/>
      <c r="BJ562" s="344"/>
      <c r="BK562" s="344"/>
      <c r="BL562" s="344"/>
      <c r="BM562" s="344"/>
      <c r="BN562" s="344"/>
      <c r="BO562" s="344"/>
      <c r="BP562" s="14"/>
      <c r="BQ562" s="14"/>
      <c r="BR562" s="14"/>
      <c r="BS562" s="14"/>
      <c r="BT562" s="14"/>
      <c r="BU562" s="14"/>
      <c r="BV562" s="14"/>
      <c r="BW562" s="14"/>
      <c r="BX562" s="14"/>
      <c r="BY562" s="14"/>
      <c r="BZ562" s="14"/>
      <c r="CA562" s="14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</row>
    <row r="563" spans="1:101" ht="14.25" customHeight="1" x14ac:dyDescent="0.2">
      <c r="A563" s="328"/>
      <c r="B563" s="52">
        <v>0.15110322443553978</v>
      </c>
      <c r="C563" s="330">
        <v>0.64384619615019956</v>
      </c>
      <c r="D563" s="330">
        <v>6.84153591417577E-3</v>
      </c>
      <c r="E563" s="330">
        <v>2.8255266840540694E-2</v>
      </c>
      <c r="F563" s="331">
        <v>0.8054010489520036</v>
      </c>
      <c r="G563" s="94">
        <v>0.35566566248231263</v>
      </c>
      <c r="H563" s="330">
        <v>0.2974138599935417</v>
      </c>
      <c r="I563" s="330">
        <v>1.7206787180867655E-2</v>
      </c>
      <c r="J563" s="330">
        <v>0.9999999998746254</v>
      </c>
      <c r="K563" s="330">
        <v>0.77910068689510192</v>
      </c>
      <c r="L563" s="332">
        <v>8804.7328932034252</v>
      </c>
      <c r="M563" s="330">
        <v>0</v>
      </c>
      <c r="N563" s="330">
        <v>18720.397231332357</v>
      </c>
      <c r="O563" s="330">
        <v>1654.4837763180121</v>
      </c>
      <c r="P563" s="330">
        <v>46186.516726025089</v>
      </c>
      <c r="Q563" s="333">
        <v>85755.634935422902</v>
      </c>
      <c r="R563" s="330">
        <v>22960.264609727477</v>
      </c>
      <c r="S563" s="330">
        <v>8956.8205418153284</v>
      </c>
      <c r="T563" s="332">
        <v>0.36805081133422562</v>
      </c>
      <c r="U563" s="330">
        <v>0.82506996375857611</v>
      </c>
      <c r="V563" s="330">
        <v>0.93314482407372645</v>
      </c>
      <c r="W563" s="330">
        <v>0.9461397193000991</v>
      </c>
      <c r="X563" s="330">
        <v>0.16983938325522951</v>
      </c>
      <c r="Y563" s="330">
        <v>0</v>
      </c>
      <c r="Z563" s="331">
        <v>0</v>
      </c>
      <c r="AA563" s="235"/>
      <c r="AB563" s="335">
        <v>88792.326262568313</v>
      </c>
      <c r="AC563" s="336">
        <v>1.0207237235097786</v>
      </c>
      <c r="AD563" s="337">
        <v>78873.266195611577</v>
      </c>
      <c r="AE563" s="336">
        <v>0.83448817554228172</v>
      </c>
      <c r="AF563" s="337">
        <v>9919.0600669567357</v>
      </c>
      <c r="AG563" s="338">
        <v>0.18623554796749686</v>
      </c>
      <c r="AH563" s="235"/>
      <c r="AI563" s="208">
        <f t="shared" si="62"/>
        <v>880895.21107172128</v>
      </c>
      <c r="AJ563" s="208">
        <f t="shared" si="63"/>
        <v>713890.50056955602</v>
      </c>
      <c r="AK563" s="208">
        <f t="shared" si="64"/>
        <v>167004.71050216528</v>
      </c>
      <c r="AL563" s="235"/>
      <c r="AM563" s="52">
        <f t="shared" si="58"/>
        <v>1</v>
      </c>
      <c r="AN563" s="52">
        <f t="shared" si="59"/>
        <v>0</v>
      </c>
      <c r="AO563" s="52">
        <f t="shared" si="60"/>
        <v>1</v>
      </c>
      <c r="AP563" s="235"/>
      <c r="AQ563" s="28"/>
      <c r="AR563" s="28"/>
      <c r="AS563" s="28"/>
      <c r="AT563" s="28"/>
      <c r="AU563" s="235"/>
      <c r="AV563" s="360">
        <f t="shared" si="65"/>
        <v>880895.21107172128</v>
      </c>
      <c r="AW563" s="235"/>
      <c r="AX563" s="355"/>
      <c r="AY563" s="344"/>
      <c r="AZ563" s="14">
        <f t="shared" si="67"/>
        <v>9919.0600669567357</v>
      </c>
      <c r="BA563" s="14">
        <f t="shared" si="66"/>
        <v>0.18623554796749686</v>
      </c>
      <c r="BB563" s="14">
        <f t="shared" si="61"/>
        <v>53260.831109901104</v>
      </c>
      <c r="BC563" s="344"/>
      <c r="BD563" s="344"/>
      <c r="BE563" s="344"/>
      <c r="BF563" s="344"/>
      <c r="BG563" s="344"/>
      <c r="BH563" s="344"/>
      <c r="BI563" s="344"/>
      <c r="BJ563" s="344"/>
      <c r="BK563" s="344"/>
      <c r="BL563" s="344"/>
      <c r="BM563" s="344"/>
      <c r="BN563" s="344"/>
      <c r="BO563" s="344"/>
      <c r="BP563" s="14"/>
      <c r="BQ563" s="14"/>
      <c r="BR563" s="14"/>
      <c r="BS563" s="14"/>
      <c r="BT563" s="14"/>
      <c r="BU563" s="14"/>
      <c r="BV563" s="14"/>
      <c r="BW563" s="14"/>
      <c r="BX563" s="14"/>
      <c r="BY563" s="14"/>
      <c r="BZ563" s="14"/>
      <c r="CA563" s="14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</row>
    <row r="564" spans="1:101" ht="14.25" customHeight="1" x14ac:dyDescent="0.2">
      <c r="A564" s="328"/>
      <c r="B564" s="52">
        <v>0.13298503291560373</v>
      </c>
      <c r="C564" s="330">
        <v>5.4481702216923139E-2</v>
      </c>
      <c r="D564" s="330">
        <v>1.4280587405356187E-2</v>
      </c>
      <c r="E564" s="330">
        <v>1.5680769088281643E-2</v>
      </c>
      <c r="F564" s="331">
        <v>0.76665584626847705</v>
      </c>
      <c r="G564" s="94">
        <v>0.39683684051894086</v>
      </c>
      <c r="H564" s="330">
        <v>0.35139293722648662</v>
      </c>
      <c r="I564" s="330">
        <v>9.0380141964350857E-3</v>
      </c>
      <c r="J564" s="330">
        <v>0.9660545595266431</v>
      </c>
      <c r="K564" s="330">
        <v>0.7479941365608217</v>
      </c>
      <c r="L564" s="332">
        <v>15772.300334643049</v>
      </c>
      <c r="M564" s="330">
        <v>0</v>
      </c>
      <c r="N564" s="330">
        <v>18469.425894922202</v>
      </c>
      <c r="O564" s="330">
        <v>1164.1327892290892</v>
      </c>
      <c r="P564" s="330">
        <v>32205.546442145482</v>
      </c>
      <c r="Q564" s="333">
        <v>110216.78825292017</v>
      </c>
      <c r="R564" s="330">
        <v>29662.338334598593</v>
      </c>
      <c r="S564" s="330">
        <v>10267.29847565735</v>
      </c>
      <c r="T564" s="332">
        <v>0.28577367667399434</v>
      </c>
      <c r="U564" s="330">
        <v>0.49707374268554327</v>
      </c>
      <c r="V564" s="330">
        <v>0.97110780415253806</v>
      </c>
      <c r="W564" s="330">
        <v>0.99999975410612518</v>
      </c>
      <c r="X564" s="330">
        <v>0.97653416209768706</v>
      </c>
      <c r="Y564" s="330">
        <v>0</v>
      </c>
      <c r="Z564" s="331">
        <v>0</v>
      </c>
      <c r="AA564" s="235"/>
      <c r="AB564" s="335">
        <v>100823.56549350727</v>
      </c>
      <c r="AC564" s="336">
        <v>4.6240423121054413</v>
      </c>
      <c r="AD564" s="337">
        <v>87552.113389301579</v>
      </c>
      <c r="AE564" s="336">
        <v>4.6077834432034779</v>
      </c>
      <c r="AF564" s="337">
        <v>13271.452104205688</v>
      </c>
      <c r="AG564" s="338">
        <v>1.6258868901963375E-2</v>
      </c>
      <c r="AH564" s="235"/>
      <c r="AI564" s="208">
        <f t="shared" si="62"/>
        <v>4292016.6310066618</v>
      </c>
      <c r="AJ564" s="208">
        <f t="shared" si="63"/>
        <v>4289842.1576540023</v>
      </c>
      <c r="AK564" s="208">
        <f t="shared" si="64"/>
        <v>2174.4733526595192</v>
      </c>
      <c r="AL564" s="235"/>
      <c r="AM564" s="52">
        <f t="shared" si="58"/>
        <v>1</v>
      </c>
      <c r="AN564" s="52">
        <f t="shared" si="59"/>
        <v>0</v>
      </c>
      <c r="AO564" s="52">
        <f t="shared" si="60"/>
        <v>1</v>
      </c>
      <c r="AP564" s="235"/>
      <c r="AQ564" s="28"/>
      <c r="AR564" s="28"/>
      <c r="AS564" s="28"/>
      <c r="AT564" s="28"/>
      <c r="AU564" s="235"/>
      <c r="AV564" s="360">
        <f t="shared" si="65"/>
        <v>4292016.6310066618</v>
      </c>
      <c r="AW564" s="235"/>
      <c r="AX564" s="355"/>
      <c r="AY564" s="344"/>
      <c r="AZ564" s="14">
        <f t="shared" si="67"/>
        <v>13271.452104205688</v>
      </c>
      <c r="BA564" s="14">
        <f t="shared" si="66"/>
        <v>1.6258868901963375E-2</v>
      </c>
      <c r="BB564" s="14">
        <f t="shared" si="61"/>
        <v>816259.24805895111</v>
      </c>
      <c r="BC564" s="344"/>
      <c r="BD564" s="344"/>
      <c r="BE564" s="344"/>
      <c r="BF564" s="344"/>
      <c r="BG564" s="344"/>
      <c r="BH564" s="344"/>
      <c r="BI564" s="344"/>
      <c r="BJ564" s="344"/>
      <c r="BK564" s="344"/>
      <c r="BL564" s="344"/>
      <c r="BM564" s="344"/>
      <c r="BN564" s="344"/>
      <c r="BO564" s="344"/>
      <c r="BP564" s="14"/>
      <c r="BQ564" s="14"/>
      <c r="BR564" s="14"/>
      <c r="BS564" s="14"/>
      <c r="BT564" s="14"/>
      <c r="BU564" s="14"/>
      <c r="BV564" s="14"/>
      <c r="BW564" s="14"/>
      <c r="BX564" s="14"/>
      <c r="BY564" s="14"/>
      <c r="BZ564" s="14"/>
      <c r="CA564" s="14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</row>
    <row r="565" spans="1:101" ht="14.25" customHeight="1" x14ac:dyDescent="0.2">
      <c r="A565" s="328"/>
      <c r="B565" s="52">
        <v>0.13916182784004885</v>
      </c>
      <c r="C565" s="330">
        <v>0.43621849159422488</v>
      </c>
      <c r="D565" s="330">
        <v>8.3092088839111251E-3</v>
      </c>
      <c r="E565" s="330">
        <v>1.4380306955761705E-2</v>
      </c>
      <c r="F565" s="331">
        <v>0.78189083387845348</v>
      </c>
      <c r="G565" s="94">
        <v>0.4108710005821764</v>
      </c>
      <c r="H565" s="330">
        <v>0.77171790498132431</v>
      </c>
      <c r="I565" s="330">
        <v>1.687277660839237E-2</v>
      </c>
      <c r="J565" s="330">
        <v>0.99999999999979516</v>
      </c>
      <c r="K565" s="330">
        <v>0.80366581529435643</v>
      </c>
      <c r="L565" s="332">
        <v>12114.600881154687</v>
      </c>
      <c r="M565" s="330">
        <v>0</v>
      </c>
      <c r="N565" s="330">
        <v>13478.496702661761</v>
      </c>
      <c r="O565" s="330">
        <v>1553.3325670414379</v>
      </c>
      <c r="P565" s="330">
        <v>56448.905684087098</v>
      </c>
      <c r="Q565" s="333">
        <v>112883.52361835197</v>
      </c>
      <c r="R565" s="330">
        <v>28247.827857602373</v>
      </c>
      <c r="S565" s="330">
        <v>8596.1911305765861</v>
      </c>
      <c r="T565" s="332">
        <v>0.33167255622658853</v>
      </c>
      <c r="U565" s="330">
        <v>0.82273230196146807</v>
      </c>
      <c r="V565" s="330">
        <v>0.1916660708674997</v>
      </c>
      <c r="W565" s="330">
        <v>0.72374362481731946</v>
      </c>
      <c r="X565" s="330">
        <v>0.99632852479216072</v>
      </c>
      <c r="Y565" s="330">
        <v>0</v>
      </c>
      <c r="Z565" s="331">
        <v>0</v>
      </c>
      <c r="AA565" s="235"/>
      <c r="AB565" s="335">
        <v>86304.884471317826</v>
      </c>
      <c r="AC565" s="336">
        <v>4.7397393467065028</v>
      </c>
      <c r="AD565" s="337">
        <v>84932.919615434032</v>
      </c>
      <c r="AE565" s="336">
        <v>5.0341718645453559</v>
      </c>
      <c r="AF565" s="337">
        <v>1371.9648558837944</v>
      </c>
      <c r="AG565" s="338">
        <v>-0.29443251783885316</v>
      </c>
      <c r="AH565" s="235"/>
      <c r="AI565" s="208">
        <f t="shared" si="62"/>
        <v>4416447.4948998597</v>
      </c>
      <c r="AJ565" s="208">
        <f t="shared" si="63"/>
        <v>4697530.3517026538</v>
      </c>
      <c r="AK565" s="208">
        <f t="shared" si="64"/>
        <v>-281082.85680279427</v>
      </c>
      <c r="AL565" s="235"/>
      <c r="AM565" s="52">
        <f t="shared" si="58"/>
        <v>0</v>
      </c>
      <c r="AN565" s="52">
        <f t="shared" si="59"/>
        <v>1</v>
      </c>
      <c r="AO565" s="52">
        <f t="shared" si="60"/>
        <v>0</v>
      </c>
      <c r="AP565" s="235"/>
      <c r="AQ565" s="28"/>
      <c r="AR565" s="28"/>
      <c r="AS565" s="28"/>
      <c r="AT565" s="28"/>
      <c r="AU565" s="235"/>
      <c r="AV565" s="360">
        <f t="shared" si="65"/>
        <v>4697530.3517026538</v>
      </c>
      <c r="AW565" s="235"/>
      <c r="AX565" s="355"/>
      <c r="AY565" s="344"/>
      <c r="AZ565" s="14">
        <f t="shared" si="67"/>
        <v>1371.9648558837944</v>
      </c>
      <c r="BA565" s="14">
        <f t="shared" si="66"/>
        <v>-0.29443251783885316</v>
      </c>
      <c r="BB565" s="14">
        <f t="shared" si="61"/>
        <v>-4659.692027069812</v>
      </c>
      <c r="BC565" s="344"/>
      <c r="BD565" s="344"/>
      <c r="BE565" s="344"/>
      <c r="BF565" s="344"/>
      <c r="BG565" s="344"/>
      <c r="BH565" s="344"/>
      <c r="BI565" s="344"/>
      <c r="BJ565" s="344"/>
      <c r="BK565" s="344"/>
      <c r="BL565" s="344"/>
      <c r="BM565" s="344"/>
      <c r="BN565" s="344"/>
      <c r="BO565" s="344"/>
      <c r="BP565" s="14"/>
      <c r="BQ565" s="14"/>
      <c r="BR565" s="14"/>
      <c r="BS565" s="14"/>
      <c r="BT565" s="14"/>
      <c r="BU565" s="14"/>
      <c r="BV565" s="14"/>
      <c r="BW565" s="14"/>
      <c r="BX565" s="14"/>
      <c r="BY565" s="14"/>
      <c r="BZ565" s="14"/>
      <c r="CA565" s="14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</row>
    <row r="566" spans="1:101" ht="14.25" customHeight="1" x14ac:dyDescent="0.2">
      <c r="A566" s="328"/>
      <c r="B566" s="52">
        <v>0.18190291265874214</v>
      </c>
      <c r="C566" s="330">
        <v>0.74268106961807101</v>
      </c>
      <c r="D566" s="330">
        <v>1.9932210269250183E-2</v>
      </c>
      <c r="E566" s="330">
        <v>2.4139014085407418E-2</v>
      </c>
      <c r="F566" s="331">
        <v>0.82716499988562364</v>
      </c>
      <c r="G566" s="94">
        <v>0.44222958755468633</v>
      </c>
      <c r="H566" s="330">
        <v>0.83246472159924478</v>
      </c>
      <c r="I566" s="330">
        <v>1.5557387346179615E-2</v>
      </c>
      <c r="J566" s="330">
        <v>0.70603844850576236</v>
      </c>
      <c r="K566" s="330">
        <v>0.73198128448626743</v>
      </c>
      <c r="L566" s="332">
        <v>12791.786308847553</v>
      </c>
      <c r="M566" s="330">
        <v>0</v>
      </c>
      <c r="N566" s="330">
        <v>20502.61228209913</v>
      </c>
      <c r="O566" s="330">
        <v>1578.2791680687474</v>
      </c>
      <c r="P566" s="330">
        <v>26732.70045008227</v>
      </c>
      <c r="Q566" s="333">
        <v>118446.2218274792</v>
      </c>
      <c r="R566" s="330">
        <v>20234.22610430187</v>
      </c>
      <c r="S566" s="330">
        <v>8322.5623711844019</v>
      </c>
      <c r="T566" s="332">
        <v>0.62848788018703905</v>
      </c>
      <c r="U566" s="330">
        <v>0.67105589204152472</v>
      </c>
      <c r="V566" s="330">
        <v>0.99267482865808598</v>
      </c>
      <c r="W566" s="330">
        <v>0.99999375650540112</v>
      </c>
      <c r="X566" s="330">
        <v>0.99997335181364266</v>
      </c>
      <c r="Y566" s="330">
        <v>0</v>
      </c>
      <c r="Z566" s="331">
        <v>0</v>
      </c>
      <c r="AA566" s="235"/>
      <c r="AB566" s="335">
        <v>90121.24349428546</v>
      </c>
      <c r="AC566" s="336">
        <v>5.0167793658593443</v>
      </c>
      <c r="AD566" s="337">
        <v>74553.080290808299</v>
      </c>
      <c r="AE566" s="336">
        <v>4.693715748558275</v>
      </c>
      <c r="AF566" s="337">
        <v>15568.163203477161</v>
      </c>
      <c r="AG566" s="338">
        <v>0.32306361730106925</v>
      </c>
      <c r="AH566" s="235"/>
      <c r="AI566" s="208">
        <f t="shared" si="62"/>
        <v>4675819.1540720919</v>
      </c>
      <c r="AJ566" s="208">
        <f t="shared" si="63"/>
        <v>4384476.8808395527</v>
      </c>
      <c r="AK566" s="208">
        <f t="shared" si="64"/>
        <v>291342.2732325386</v>
      </c>
      <c r="AL566" s="235"/>
      <c r="AM566" s="52">
        <f t="shared" si="58"/>
        <v>1</v>
      </c>
      <c r="AN566" s="52">
        <f t="shared" si="59"/>
        <v>0</v>
      </c>
      <c r="AO566" s="52">
        <f t="shared" si="60"/>
        <v>1</v>
      </c>
      <c r="AP566" s="235"/>
      <c r="AQ566" s="28"/>
      <c r="AR566" s="28"/>
      <c r="AS566" s="28"/>
      <c r="AT566" s="28"/>
      <c r="AU566" s="235"/>
      <c r="AV566" s="360">
        <f t="shared" si="65"/>
        <v>4675819.1540720919</v>
      </c>
      <c r="AW566" s="235"/>
      <c r="AX566" s="355"/>
      <c r="AY566" s="344"/>
      <c r="AZ566" s="14">
        <f t="shared" si="67"/>
        <v>15568.163203477161</v>
      </c>
      <c r="BA566" s="14">
        <f t="shared" si="66"/>
        <v>0.32306361730106925</v>
      </c>
      <c r="BB566" s="14">
        <f t="shared" si="61"/>
        <v>48189.15646873627</v>
      </c>
      <c r="BC566" s="344"/>
      <c r="BD566" s="344"/>
      <c r="BE566" s="344"/>
      <c r="BF566" s="344"/>
      <c r="BG566" s="344"/>
      <c r="BH566" s="344"/>
      <c r="BI566" s="344"/>
      <c r="BJ566" s="344"/>
      <c r="BK566" s="344"/>
      <c r="BL566" s="344"/>
      <c r="BM566" s="344"/>
      <c r="BN566" s="344"/>
      <c r="BO566" s="344"/>
      <c r="BP566" s="14"/>
      <c r="BQ566" s="14"/>
      <c r="BR566" s="14"/>
      <c r="BS566" s="14"/>
      <c r="BT566" s="14"/>
      <c r="BU566" s="14"/>
      <c r="BV566" s="14"/>
      <c r="BW566" s="14"/>
      <c r="BX566" s="14"/>
      <c r="BY566" s="14"/>
      <c r="BZ566" s="14"/>
      <c r="CA566" s="14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</row>
    <row r="567" spans="1:101" ht="14.25" customHeight="1" x14ac:dyDescent="0.2">
      <c r="A567" s="328"/>
      <c r="B567" s="52">
        <v>0.16927794595242907</v>
      </c>
      <c r="C567" s="330">
        <v>0.23031189925921339</v>
      </c>
      <c r="D567" s="330">
        <v>6.5225007796988893E-3</v>
      </c>
      <c r="E567" s="330">
        <v>1.6648290100809482E-2</v>
      </c>
      <c r="F567" s="331">
        <v>0.79377596787463223</v>
      </c>
      <c r="G567" s="94">
        <v>0.40289137375901796</v>
      </c>
      <c r="H567" s="330">
        <v>0.32266878721005948</v>
      </c>
      <c r="I567" s="330">
        <v>1.1730904209579446E-2</v>
      </c>
      <c r="J567" s="330">
        <v>1</v>
      </c>
      <c r="K567" s="330">
        <v>0.73431643025049365</v>
      </c>
      <c r="L567" s="332">
        <v>15352.557778509057</v>
      </c>
      <c r="M567" s="330">
        <v>0</v>
      </c>
      <c r="N567" s="330">
        <v>14870.712994689589</v>
      </c>
      <c r="O567" s="330">
        <v>1373.7079182898342</v>
      </c>
      <c r="P567" s="330">
        <v>41545.109521095779</v>
      </c>
      <c r="Q567" s="333">
        <v>88984.309115472715</v>
      </c>
      <c r="R567" s="330">
        <v>37640.622550014974</v>
      </c>
      <c r="S567" s="330">
        <v>8177.1948895434152</v>
      </c>
      <c r="T567" s="332">
        <v>0.88286327817369936</v>
      </c>
      <c r="U567" s="330">
        <v>0.92610371100783651</v>
      </c>
      <c r="V567" s="330">
        <v>0.8594321255664692</v>
      </c>
      <c r="W567" s="330">
        <v>0.16939262693261137</v>
      </c>
      <c r="X567" s="330">
        <v>0.44796043548967607</v>
      </c>
      <c r="Y567" s="330">
        <v>0</v>
      </c>
      <c r="Z567" s="331">
        <v>0</v>
      </c>
      <c r="AA567" s="235"/>
      <c r="AB567" s="335">
        <v>86806.795093438763</v>
      </c>
      <c r="AC567" s="336">
        <v>2.2364386609651494</v>
      </c>
      <c r="AD567" s="337">
        <v>70554.797597238939</v>
      </c>
      <c r="AE567" s="336">
        <v>2.1779292759360045</v>
      </c>
      <c r="AF567" s="337">
        <v>16251.997496199823</v>
      </c>
      <c r="AG567" s="338">
        <v>5.8509385029144934E-2</v>
      </c>
      <c r="AH567" s="235"/>
      <c r="AI567" s="208">
        <f t="shared" si="62"/>
        <v>2037809.9328234533</v>
      </c>
      <c r="AJ567" s="208">
        <f t="shared" si="63"/>
        <v>1998478.0145419652</v>
      </c>
      <c r="AK567" s="208">
        <f t="shared" si="64"/>
        <v>39331.918281487866</v>
      </c>
      <c r="AL567" s="235"/>
      <c r="AM567" s="52">
        <f t="shared" si="58"/>
        <v>1</v>
      </c>
      <c r="AN567" s="52">
        <f t="shared" si="59"/>
        <v>0</v>
      </c>
      <c r="AO567" s="52">
        <f t="shared" si="60"/>
        <v>1</v>
      </c>
      <c r="AP567" s="235"/>
      <c r="AQ567" s="28"/>
      <c r="AR567" s="28"/>
      <c r="AS567" s="28"/>
      <c r="AT567" s="28"/>
      <c r="AU567" s="235"/>
      <c r="AV567" s="360">
        <f t="shared" si="65"/>
        <v>2037809.9328234533</v>
      </c>
      <c r="AW567" s="235"/>
      <c r="AX567" s="355"/>
      <c r="AY567" s="344"/>
      <c r="AZ567" s="14">
        <f t="shared" si="67"/>
        <v>16251.997496199823</v>
      </c>
      <c r="BA567" s="14">
        <f t="shared" si="66"/>
        <v>5.8509385029144934E-2</v>
      </c>
      <c r="BB567" s="14">
        <f t="shared" si="61"/>
        <v>277767.3613917547</v>
      </c>
      <c r="BC567" s="344"/>
      <c r="BD567" s="344"/>
      <c r="BE567" s="344"/>
      <c r="BF567" s="344"/>
      <c r="BG567" s="344"/>
      <c r="BH567" s="344"/>
      <c r="BI567" s="344"/>
      <c r="BJ567" s="344"/>
      <c r="BK567" s="344"/>
      <c r="BL567" s="344"/>
      <c r="BM567" s="344"/>
      <c r="BN567" s="344"/>
      <c r="BO567" s="344"/>
      <c r="BP567" s="14"/>
      <c r="BQ567" s="14"/>
      <c r="BR567" s="14"/>
      <c r="BS567" s="14"/>
      <c r="BT567" s="14"/>
      <c r="BU567" s="14"/>
      <c r="BV567" s="14"/>
      <c r="BW567" s="14"/>
      <c r="BX567" s="14"/>
      <c r="BY567" s="14"/>
      <c r="BZ567" s="14"/>
      <c r="CA567" s="14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</row>
    <row r="568" spans="1:101" ht="14.25" customHeight="1" x14ac:dyDescent="0.2">
      <c r="A568" s="328"/>
      <c r="B568" s="52">
        <v>0.16362321624589682</v>
      </c>
      <c r="C568" s="330">
        <v>0.89773334650865921</v>
      </c>
      <c r="D568" s="330">
        <v>1.3285586009886285E-2</v>
      </c>
      <c r="E568" s="330">
        <v>1.1995350199395712E-2</v>
      </c>
      <c r="F568" s="331">
        <v>0.80917449915760276</v>
      </c>
      <c r="G568" s="94">
        <v>0.39769226485049741</v>
      </c>
      <c r="H568" s="330">
        <v>0.90696460088166631</v>
      </c>
      <c r="I568" s="330">
        <v>8.1010970375803171E-3</v>
      </c>
      <c r="J568" s="330">
        <v>3.7607197371292132E-3</v>
      </c>
      <c r="K568" s="330">
        <v>0.71632645937926143</v>
      </c>
      <c r="L568" s="332">
        <v>14680.298675972788</v>
      </c>
      <c r="M568" s="330">
        <v>0</v>
      </c>
      <c r="N568" s="330">
        <v>17741.433039280586</v>
      </c>
      <c r="O568" s="330">
        <v>1034.8576154225814</v>
      </c>
      <c r="P568" s="330">
        <v>38164.834620029113</v>
      </c>
      <c r="Q568" s="333">
        <v>89121.204238793885</v>
      </c>
      <c r="R568" s="330">
        <v>17822.163602250159</v>
      </c>
      <c r="S568" s="330">
        <v>11031.733368066545</v>
      </c>
      <c r="T568" s="332">
        <v>0.99998082171303126</v>
      </c>
      <c r="U568" s="330">
        <v>0.99914916576483803</v>
      </c>
      <c r="V568" s="330">
        <v>0.99588740989482627</v>
      </c>
      <c r="W568" s="330">
        <v>0.99941863785416807</v>
      </c>
      <c r="X568" s="330">
        <v>0.17084687482622543</v>
      </c>
      <c r="Y568" s="330">
        <v>0</v>
      </c>
      <c r="Z568" s="331">
        <v>0</v>
      </c>
      <c r="AA568" s="235"/>
      <c r="AB568" s="335">
        <v>113456.09586545698</v>
      </c>
      <c r="AC568" s="336">
        <v>1.4862515573931305</v>
      </c>
      <c r="AD568" s="337">
        <v>91928.804454738463</v>
      </c>
      <c r="AE568" s="336">
        <v>0.91200739336013437</v>
      </c>
      <c r="AF568" s="337">
        <v>21527.291410718521</v>
      </c>
      <c r="AG568" s="338">
        <v>0.57424416403299616</v>
      </c>
      <c r="AH568" s="235"/>
      <c r="AI568" s="208">
        <f t="shared" si="62"/>
        <v>1298482.883658017</v>
      </c>
      <c r="AJ568" s="208">
        <f t="shared" si="63"/>
        <v>774478.21923738916</v>
      </c>
      <c r="AK568" s="208">
        <f t="shared" si="64"/>
        <v>524004.66442062781</v>
      </c>
      <c r="AL568" s="235"/>
      <c r="AM568" s="52">
        <f t="shared" si="58"/>
        <v>1</v>
      </c>
      <c r="AN568" s="52">
        <f t="shared" si="59"/>
        <v>0</v>
      </c>
      <c r="AO568" s="52">
        <f t="shared" si="60"/>
        <v>1</v>
      </c>
      <c r="AP568" s="235"/>
      <c r="AQ568" s="28"/>
      <c r="AR568" s="28"/>
      <c r="AS568" s="28"/>
      <c r="AT568" s="28"/>
      <c r="AU568" s="235"/>
      <c r="AV568" s="360">
        <f t="shared" si="65"/>
        <v>1298482.883658017</v>
      </c>
      <c r="AW568" s="235"/>
      <c r="AX568" s="355"/>
      <c r="AY568" s="344"/>
      <c r="AZ568" s="14">
        <f t="shared" si="67"/>
        <v>21527.291410718521</v>
      </c>
      <c r="BA568" s="14">
        <f t="shared" si="66"/>
        <v>0.57424416403299616</v>
      </c>
      <c r="BB568" s="14">
        <f t="shared" si="61"/>
        <v>37488.045606818843</v>
      </c>
      <c r="BC568" s="344"/>
      <c r="BD568" s="344"/>
      <c r="BE568" s="344"/>
      <c r="BF568" s="344"/>
      <c r="BG568" s="344"/>
      <c r="BH568" s="344"/>
      <c r="BI568" s="344"/>
      <c r="BJ568" s="344"/>
      <c r="BK568" s="344"/>
      <c r="BL568" s="344"/>
      <c r="BM568" s="344"/>
      <c r="BN568" s="344"/>
      <c r="BO568" s="344"/>
      <c r="BP568" s="14"/>
      <c r="BQ568" s="14"/>
      <c r="BR568" s="14"/>
      <c r="BS568" s="14"/>
      <c r="BT568" s="14"/>
      <c r="BU568" s="14"/>
      <c r="BV568" s="14"/>
      <c r="BW568" s="14"/>
      <c r="BX568" s="14"/>
      <c r="BY568" s="14"/>
      <c r="BZ568" s="14"/>
      <c r="CA568" s="14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</row>
    <row r="569" spans="1:101" ht="14.25" customHeight="1" x14ac:dyDescent="0.2">
      <c r="A569" s="328"/>
      <c r="B569" s="52">
        <v>0.16785045734170734</v>
      </c>
      <c r="C569" s="330">
        <v>0.31544579605979528</v>
      </c>
      <c r="D569" s="330">
        <v>8.8926139429789802E-3</v>
      </c>
      <c r="E569" s="330">
        <v>3.4026023339481237E-2</v>
      </c>
      <c r="F569" s="331">
        <v>0.80164895347429133</v>
      </c>
      <c r="G569" s="94">
        <v>0.36253300863232291</v>
      </c>
      <c r="H569" s="330">
        <v>0.90083722903536156</v>
      </c>
      <c r="I569" s="330">
        <v>7.3809482310227903E-3</v>
      </c>
      <c r="J569" s="330">
        <v>0.99999999999999267</v>
      </c>
      <c r="K569" s="330">
        <v>0.72790584556112969</v>
      </c>
      <c r="L569" s="332">
        <v>13615.641298424194</v>
      </c>
      <c r="M569" s="330">
        <v>0</v>
      </c>
      <c r="N569" s="330">
        <v>17643.478782051661</v>
      </c>
      <c r="O569" s="330">
        <v>1517.7477790827525</v>
      </c>
      <c r="P569" s="330">
        <v>40127.543581941674</v>
      </c>
      <c r="Q569" s="333">
        <v>105487.80007398871</v>
      </c>
      <c r="R569" s="330">
        <v>21617.482266028459</v>
      </c>
      <c r="S569" s="330">
        <v>7001.5905035556052</v>
      </c>
      <c r="T569" s="332">
        <v>0.7038612592829504</v>
      </c>
      <c r="U569" s="330">
        <v>0.70453156077054502</v>
      </c>
      <c r="V569" s="330">
        <v>0.67579055994151438</v>
      </c>
      <c r="W569" s="330">
        <v>0.99632226675769364</v>
      </c>
      <c r="X569" s="330">
        <v>0.63415597555706604</v>
      </c>
      <c r="Y569" s="330">
        <v>0</v>
      </c>
      <c r="Z569" s="331">
        <v>0</v>
      </c>
      <c r="AA569" s="235"/>
      <c r="AB569" s="335">
        <v>75407.825483063411</v>
      </c>
      <c r="AC569" s="336">
        <v>3.1549611477291419</v>
      </c>
      <c r="AD569" s="337">
        <v>62704.83879895461</v>
      </c>
      <c r="AE569" s="336">
        <v>2.8574183945810523</v>
      </c>
      <c r="AF569" s="337">
        <v>12702.986684108801</v>
      </c>
      <c r="AG569" s="338">
        <v>0.29754275314808964</v>
      </c>
      <c r="AH569" s="235"/>
      <c r="AI569" s="208">
        <f t="shared" si="62"/>
        <v>2921805.2648596214</v>
      </c>
      <c r="AJ569" s="208">
        <f t="shared" si="63"/>
        <v>2651842.6360530453</v>
      </c>
      <c r="AK569" s="208">
        <f t="shared" si="64"/>
        <v>269962.62880657637</v>
      </c>
      <c r="AL569" s="235"/>
      <c r="AM569" s="52">
        <f t="shared" si="58"/>
        <v>1</v>
      </c>
      <c r="AN569" s="52">
        <f t="shared" si="59"/>
        <v>0</v>
      </c>
      <c r="AO569" s="52">
        <f t="shared" si="60"/>
        <v>1</v>
      </c>
      <c r="AP569" s="235"/>
      <c r="AQ569" s="28"/>
      <c r="AR569" s="28"/>
      <c r="AS569" s="28"/>
      <c r="AT569" s="28"/>
      <c r="AU569" s="235"/>
      <c r="AV569" s="360">
        <f t="shared" si="65"/>
        <v>2921805.2648596214</v>
      </c>
      <c r="AW569" s="235"/>
      <c r="AX569" s="355"/>
      <c r="AY569" s="344"/>
      <c r="AZ569" s="14">
        <f t="shared" si="67"/>
        <v>12702.986684108801</v>
      </c>
      <c r="BA569" s="14">
        <f t="shared" si="66"/>
        <v>0.29754275314808964</v>
      </c>
      <c r="BB569" s="14">
        <f t="shared" si="61"/>
        <v>42692.97957926205</v>
      </c>
      <c r="BC569" s="344"/>
      <c r="BD569" s="344"/>
      <c r="BE569" s="344"/>
      <c r="BF569" s="344"/>
      <c r="BG569" s="344"/>
      <c r="BH569" s="344"/>
      <c r="BI569" s="344"/>
      <c r="BJ569" s="344"/>
      <c r="BK569" s="344"/>
      <c r="BL569" s="344"/>
      <c r="BM569" s="344"/>
      <c r="BN569" s="344"/>
      <c r="BO569" s="344"/>
      <c r="BP569" s="14"/>
      <c r="BQ569" s="14"/>
      <c r="BR569" s="14"/>
      <c r="BS569" s="14"/>
      <c r="BT569" s="14"/>
      <c r="BU569" s="14"/>
      <c r="BV569" s="14"/>
      <c r="BW569" s="14"/>
      <c r="BX569" s="14"/>
      <c r="BY569" s="14"/>
      <c r="BZ569" s="14"/>
      <c r="CA569" s="14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</row>
    <row r="570" spans="1:101" ht="14.25" customHeight="1" x14ac:dyDescent="0.2">
      <c r="A570" s="328"/>
      <c r="B570" s="52">
        <v>0.15177420330258401</v>
      </c>
      <c r="C570" s="330">
        <v>1.6302902756780285E-2</v>
      </c>
      <c r="D570" s="330">
        <v>1.004917879139647E-2</v>
      </c>
      <c r="E570" s="330">
        <v>2.4887657210719172E-2</v>
      </c>
      <c r="F570" s="331">
        <v>0.7550001550692631</v>
      </c>
      <c r="G570" s="94">
        <v>0.45413533123645189</v>
      </c>
      <c r="H570" s="330">
        <v>0.64730149500799472</v>
      </c>
      <c r="I570" s="330">
        <v>1.9056886075004442E-2</v>
      </c>
      <c r="J570" s="330">
        <v>0.99999999511939475</v>
      </c>
      <c r="K570" s="330">
        <v>0.71607695222488799</v>
      </c>
      <c r="L570" s="332">
        <v>12936.008908180771</v>
      </c>
      <c r="M570" s="330">
        <v>0</v>
      </c>
      <c r="N570" s="330">
        <v>13129.186642176715</v>
      </c>
      <c r="O570" s="330">
        <v>1559.3951805164322</v>
      </c>
      <c r="P570" s="330">
        <v>36240.412048956532</v>
      </c>
      <c r="Q570" s="333">
        <v>76600.006889711309</v>
      </c>
      <c r="R570" s="330">
        <v>24344.561080403346</v>
      </c>
      <c r="S570" s="330">
        <v>13918.808388739644</v>
      </c>
      <c r="T570" s="332">
        <v>0.83031421617116541</v>
      </c>
      <c r="U570" s="330">
        <v>0.94233530550869693</v>
      </c>
      <c r="V570" s="330">
        <v>0.98763226946499816</v>
      </c>
      <c r="W570" s="330">
        <v>0.96654398443512413</v>
      </c>
      <c r="X570" s="330">
        <v>0.13818403191137263</v>
      </c>
      <c r="Y570" s="330">
        <v>0</v>
      </c>
      <c r="Z570" s="331">
        <v>0</v>
      </c>
      <c r="AA570" s="235"/>
      <c r="AB570" s="335">
        <v>126122.94371087002</v>
      </c>
      <c r="AC570" s="336">
        <v>1.0455550040549872</v>
      </c>
      <c r="AD570" s="337">
        <v>115779.3279237817</v>
      </c>
      <c r="AE570" s="336">
        <v>0.89670486222304158</v>
      </c>
      <c r="AF570" s="337">
        <v>10343.615787088318</v>
      </c>
      <c r="AG570" s="338">
        <v>0.14885014183194567</v>
      </c>
      <c r="AH570" s="235"/>
      <c r="AI570" s="208">
        <f t="shared" si="62"/>
        <v>867154.31014136784</v>
      </c>
      <c r="AJ570" s="208">
        <f t="shared" si="63"/>
        <v>736090.2911881078</v>
      </c>
      <c r="AK570" s="208">
        <f t="shared" si="64"/>
        <v>131064.01895326006</v>
      </c>
      <c r="AL570" s="235"/>
      <c r="AM570" s="52">
        <f t="shared" si="58"/>
        <v>1</v>
      </c>
      <c r="AN570" s="52">
        <f t="shared" si="59"/>
        <v>0</v>
      </c>
      <c r="AO570" s="52">
        <f t="shared" si="60"/>
        <v>1</v>
      </c>
      <c r="AP570" s="235"/>
      <c r="AQ570" s="28"/>
      <c r="AR570" s="28"/>
      <c r="AS570" s="28"/>
      <c r="AT570" s="28"/>
      <c r="AU570" s="235"/>
      <c r="AV570" s="360">
        <f t="shared" si="65"/>
        <v>867154.31014136784</v>
      </c>
      <c r="AW570" s="235"/>
      <c r="AX570" s="355"/>
      <c r="AY570" s="344"/>
      <c r="AZ570" s="14">
        <f t="shared" si="67"/>
        <v>10343.615787088318</v>
      </c>
      <c r="BA570" s="14">
        <f t="shared" si="66"/>
        <v>0.14885014183194567</v>
      </c>
      <c r="BB570" s="14">
        <f t="shared" si="61"/>
        <v>69490.130541940875</v>
      </c>
      <c r="BC570" s="344"/>
      <c r="BD570" s="344"/>
      <c r="BE570" s="344"/>
      <c r="BF570" s="344"/>
      <c r="BG570" s="344"/>
      <c r="BH570" s="344"/>
      <c r="BI570" s="344"/>
      <c r="BJ570" s="344"/>
      <c r="BK570" s="344"/>
      <c r="BL570" s="344"/>
      <c r="BM570" s="344"/>
      <c r="BN570" s="344"/>
      <c r="BO570" s="344"/>
      <c r="BP570" s="14"/>
      <c r="BQ570" s="14"/>
      <c r="BR570" s="14"/>
      <c r="BS570" s="14"/>
      <c r="BT570" s="14"/>
      <c r="BU570" s="14"/>
      <c r="BV570" s="14"/>
      <c r="BW570" s="14"/>
      <c r="BX570" s="14"/>
      <c r="BY570" s="14"/>
      <c r="BZ570" s="14"/>
      <c r="CA570" s="14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</row>
    <row r="571" spans="1:101" ht="14.25" customHeight="1" x14ac:dyDescent="0.2">
      <c r="A571" s="328"/>
      <c r="B571" s="52">
        <v>0.1550817313223434</v>
      </c>
      <c r="C571" s="330">
        <v>0.43687976917415428</v>
      </c>
      <c r="D571" s="330">
        <v>1.3616544861553805E-2</v>
      </c>
      <c r="E571" s="330">
        <v>2.2162905879172357E-2</v>
      </c>
      <c r="F571" s="331">
        <v>0.80349759252104824</v>
      </c>
      <c r="G571" s="94">
        <v>0.39703678799779324</v>
      </c>
      <c r="H571" s="330">
        <v>0.60440095211477685</v>
      </c>
      <c r="I571" s="330">
        <v>1.0986160679144812E-2</v>
      </c>
      <c r="J571" s="330">
        <v>1</v>
      </c>
      <c r="K571" s="330">
        <v>0.76578242061301949</v>
      </c>
      <c r="L571" s="332">
        <v>10067.443887156991</v>
      </c>
      <c r="M571" s="330">
        <v>0</v>
      </c>
      <c r="N571" s="330">
        <v>13612.899493131188</v>
      </c>
      <c r="O571" s="330">
        <v>1104.9720109054665</v>
      </c>
      <c r="P571" s="330">
        <v>39154.980361493253</v>
      </c>
      <c r="Q571" s="333">
        <v>86489.341740427335</v>
      </c>
      <c r="R571" s="330">
        <v>23917.89864286732</v>
      </c>
      <c r="S571" s="330">
        <v>8792.1734389477551</v>
      </c>
      <c r="T571" s="332">
        <v>0.23141293092078824</v>
      </c>
      <c r="U571" s="330">
        <v>1.4537801390654935E-2</v>
      </c>
      <c r="V571" s="330">
        <v>0.57127615148353128</v>
      </c>
      <c r="W571" s="330">
        <v>0.34262640905889696</v>
      </c>
      <c r="X571" s="330">
        <v>0.72794250194139587</v>
      </c>
      <c r="Y571" s="330">
        <v>0</v>
      </c>
      <c r="Z571" s="331">
        <v>0</v>
      </c>
      <c r="AA571" s="235"/>
      <c r="AB571" s="335">
        <v>87855.077264746913</v>
      </c>
      <c r="AC571" s="336">
        <v>3.5658489650381529</v>
      </c>
      <c r="AD571" s="337">
        <v>79020.448657100846</v>
      </c>
      <c r="AE571" s="336">
        <v>3.3677671545582157</v>
      </c>
      <c r="AF571" s="337">
        <v>8834.6286076460674</v>
      </c>
      <c r="AG571" s="338">
        <v>0.19808181047993711</v>
      </c>
      <c r="AH571" s="235"/>
      <c r="AI571" s="208">
        <f t="shared" si="62"/>
        <v>3299701.439521498</v>
      </c>
      <c r="AJ571" s="208">
        <f t="shared" si="63"/>
        <v>3120358.3481732039</v>
      </c>
      <c r="AK571" s="208">
        <f t="shared" si="64"/>
        <v>179343.0913482942</v>
      </c>
      <c r="AL571" s="235"/>
      <c r="AM571" s="52">
        <f t="shared" si="58"/>
        <v>1</v>
      </c>
      <c r="AN571" s="52">
        <f t="shared" si="59"/>
        <v>0</v>
      </c>
      <c r="AO571" s="52">
        <f t="shared" si="60"/>
        <v>1</v>
      </c>
      <c r="AP571" s="235"/>
      <c r="AQ571" s="28"/>
      <c r="AR571" s="28"/>
      <c r="AS571" s="28"/>
      <c r="AT571" s="28"/>
      <c r="AU571" s="235"/>
      <c r="AV571" s="360">
        <f t="shared" si="65"/>
        <v>3299701.439521498</v>
      </c>
      <c r="AW571" s="235"/>
      <c r="AX571" s="355"/>
      <c r="AY571" s="344"/>
      <c r="AZ571" s="14">
        <f t="shared" si="67"/>
        <v>8834.6286076460674</v>
      </c>
      <c r="BA571" s="14">
        <f t="shared" si="66"/>
        <v>0.19808181047993711</v>
      </c>
      <c r="BB571" s="14">
        <f t="shared" si="61"/>
        <v>44600.908009879538</v>
      </c>
      <c r="BC571" s="344"/>
      <c r="BD571" s="344"/>
      <c r="BE571" s="344"/>
      <c r="BF571" s="344"/>
      <c r="BG571" s="344"/>
      <c r="BH571" s="344"/>
      <c r="BI571" s="344"/>
      <c r="BJ571" s="344"/>
      <c r="BK571" s="344"/>
      <c r="BL571" s="344"/>
      <c r="BM571" s="344"/>
      <c r="BN571" s="344"/>
      <c r="BO571" s="344"/>
      <c r="BP571" s="14"/>
      <c r="BQ571" s="14"/>
      <c r="BR571" s="14"/>
      <c r="BS571" s="14"/>
      <c r="BT571" s="14"/>
      <c r="BU571" s="14"/>
      <c r="BV571" s="14"/>
      <c r="BW571" s="14"/>
      <c r="BX571" s="14"/>
      <c r="BY571" s="14"/>
      <c r="BZ571" s="14"/>
      <c r="CA571" s="14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</row>
    <row r="572" spans="1:101" ht="14.25" customHeight="1" x14ac:dyDescent="0.2">
      <c r="A572" s="328"/>
      <c r="B572" s="52">
        <v>0.14240454098415881</v>
      </c>
      <c r="C572" s="330">
        <v>0.21700933674497147</v>
      </c>
      <c r="D572" s="330">
        <v>7.9118339405594654E-3</v>
      </c>
      <c r="E572" s="330">
        <v>3.0374959774923882E-2</v>
      </c>
      <c r="F572" s="331">
        <v>0.77319197228151326</v>
      </c>
      <c r="G572" s="94">
        <v>0.36991743669438731</v>
      </c>
      <c r="H572" s="330">
        <v>7.1424618074761423E-4</v>
      </c>
      <c r="I572" s="330">
        <v>1.9874026838224368E-2</v>
      </c>
      <c r="J572" s="330">
        <v>0.58804764062369086</v>
      </c>
      <c r="K572" s="330">
        <v>0.76829090944130007</v>
      </c>
      <c r="L572" s="332">
        <v>15177.224746090826</v>
      </c>
      <c r="M572" s="330">
        <v>0</v>
      </c>
      <c r="N572" s="330">
        <v>21445.545606558375</v>
      </c>
      <c r="O572" s="330">
        <v>1477.3846537324334</v>
      </c>
      <c r="P572" s="330">
        <v>44041.926272373559</v>
      </c>
      <c r="Q572" s="333">
        <v>94457.627607809714</v>
      </c>
      <c r="R572" s="330">
        <v>26345.725840385494</v>
      </c>
      <c r="S572" s="330">
        <v>9080.1292204539859</v>
      </c>
      <c r="T572" s="332">
        <v>0.34153409392440293</v>
      </c>
      <c r="U572" s="330">
        <v>0.10277012765219627</v>
      </c>
      <c r="V572" s="330">
        <v>0.95694934631805184</v>
      </c>
      <c r="W572" s="330">
        <v>0.27910646246000254</v>
      </c>
      <c r="X572" s="330">
        <v>0.93964621133402537</v>
      </c>
      <c r="Y572" s="330">
        <v>0</v>
      </c>
      <c r="Z572" s="331">
        <v>0</v>
      </c>
      <c r="AA572" s="235"/>
      <c r="AB572" s="335">
        <v>91651.01400696575</v>
      </c>
      <c r="AC572" s="336">
        <v>4.3923914369458803</v>
      </c>
      <c r="AD572" s="337">
        <v>76435.916494364661</v>
      </c>
      <c r="AE572" s="336">
        <v>4.3724870781144078</v>
      </c>
      <c r="AF572" s="337">
        <v>15215.097512601089</v>
      </c>
      <c r="AG572" s="338">
        <v>1.9904358831472457E-2</v>
      </c>
      <c r="AH572" s="235"/>
      <c r="AI572" s="208">
        <f t="shared" si="62"/>
        <v>4081120.8510916205</v>
      </c>
      <c r="AJ572" s="208">
        <f t="shared" si="63"/>
        <v>4077426.8077143226</v>
      </c>
      <c r="AK572" s="208">
        <f t="shared" si="64"/>
        <v>3694.0433772977449</v>
      </c>
      <c r="AL572" s="235"/>
      <c r="AM572" s="52">
        <f t="shared" si="58"/>
        <v>1</v>
      </c>
      <c r="AN572" s="52">
        <f t="shared" si="59"/>
        <v>0</v>
      </c>
      <c r="AO572" s="52">
        <f t="shared" si="60"/>
        <v>1</v>
      </c>
      <c r="AP572" s="235"/>
      <c r="AQ572" s="28"/>
      <c r="AR572" s="28"/>
      <c r="AS572" s="28"/>
      <c r="AT572" s="28"/>
      <c r="AU572" s="235"/>
      <c r="AV572" s="360">
        <f t="shared" si="65"/>
        <v>4081120.8510916205</v>
      </c>
      <c r="AW572" s="235"/>
      <c r="AX572" s="355"/>
      <c r="AY572" s="344"/>
      <c r="AZ572" s="14">
        <f t="shared" si="67"/>
        <v>15215.097512601089</v>
      </c>
      <c r="BA572" s="14">
        <f t="shared" si="66"/>
        <v>1.9904358831472457E-2</v>
      </c>
      <c r="BB572" s="14">
        <f t="shared" si="61"/>
        <v>764410.33049219439</v>
      </c>
      <c r="BC572" s="344"/>
      <c r="BD572" s="344"/>
      <c r="BE572" s="344"/>
      <c r="BF572" s="344"/>
      <c r="BG572" s="344"/>
      <c r="BH572" s="344"/>
      <c r="BI572" s="344"/>
      <c r="BJ572" s="344"/>
      <c r="BK572" s="344"/>
      <c r="BL572" s="344"/>
      <c r="BM572" s="344"/>
      <c r="BN572" s="344"/>
      <c r="BO572" s="344"/>
      <c r="BP572" s="14"/>
      <c r="BQ572" s="14"/>
      <c r="BR572" s="14"/>
      <c r="BS572" s="14"/>
      <c r="BT572" s="14"/>
      <c r="BU572" s="14"/>
      <c r="BV572" s="14"/>
      <c r="BW572" s="14"/>
      <c r="BX572" s="14"/>
      <c r="BY572" s="14"/>
      <c r="BZ572" s="14"/>
      <c r="CA572" s="14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</row>
    <row r="573" spans="1:101" ht="14.25" customHeight="1" x14ac:dyDescent="0.2">
      <c r="A573" s="328"/>
      <c r="B573" s="52">
        <v>0.15820127366769857</v>
      </c>
      <c r="C573" s="330">
        <v>0.21418929710195325</v>
      </c>
      <c r="D573" s="330">
        <v>7.4997152193233578E-3</v>
      </c>
      <c r="E573" s="330">
        <v>7.3500931385656514E-3</v>
      </c>
      <c r="F573" s="331">
        <v>0.79916914860116339</v>
      </c>
      <c r="G573" s="94">
        <v>0.43016828265306206</v>
      </c>
      <c r="H573" s="330">
        <v>0.31043474648076819</v>
      </c>
      <c r="I573" s="330">
        <v>3.6080783036991027E-2</v>
      </c>
      <c r="J573" s="330">
        <v>1</v>
      </c>
      <c r="K573" s="330">
        <v>0.79841752616453787</v>
      </c>
      <c r="L573" s="332">
        <v>8372.2287239181333</v>
      </c>
      <c r="M573" s="330">
        <v>0</v>
      </c>
      <c r="N573" s="330">
        <v>19097.755591499335</v>
      </c>
      <c r="O573" s="330">
        <v>1208.9604924973935</v>
      </c>
      <c r="P573" s="330">
        <v>35285.715790841394</v>
      </c>
      <c r="Q573" s="333">
        <v>83477.170888569686</v>
      </c>
      <c r="R573" s="330">
        <v>24312.497637004875</v>
      </c>
      <c r="S573" s="330">
        <v>7720.294962640106</v>
      </c>
      <c r="T573" s="332">
        <v>0.92934503737924667</v>
      </c>
      <c r="U573" s="330">
        <v>0.99844589389459026</v>
      </c>
      <c r="V573" s="330">
        <v>0.98695159145544187</v>
      </c>
      <c r="W573" s="330">
        <v>0.91948867754701458</v>
      </c>
      <c r="X573" s="330">
        <v>0.99970781089313976</v>
      </c>
      <c r="Y573" s="330">
        <v>0</v>
      </c>
      <c r="Z573" s="331">
        <v>0</v>
      </c>
      <c r="AA573" s="235"/>
      <c r="AB573" s="335">
        <v>75696.616222330558</v>
      </c>
      <c r="AC573" s="336">
        <v>4.8808435917010664</v>
      </c>
      <c r="AD573" s="337">
        <v>72017.629314195787</v>
      </c>
      <c r="AE573" s="336">
        <v>4.9989116182012596</v>
      </c>
      <c r="AF573" s="337">
        <v>3678.9869081347715</v>
      </c>
      <c r="AG573" s="338">
        <v>-0.11806802650019321</v>
      </c>
      <c r="AH573" s="235"/>
      <c r="AI573" s="208">
        <f t="shared" si="62"/>
        <v>4561104.7958936831</v>
      </c>
      <c r="AJ573" s="208">
        <f t="shared" si="63"/>
        <v>4676948.4079770008</v>
      </c>
      <c r="AK573" s="208">
        <f t="shared" si="64"/>
        <v>-115843.61208331832</v>
      </c>
      <c r="AL573" s="235"/>
      <c r="AM573" s="52">
        <f t="shared" si="58"/>
        <v>0</v>
      </c>
      <c r="AN573" s="52">
        <f t="shared" si="59"/>
        <v>1</v>
      </c>
      <c r="AO573" s="52">
        <f t="shared" si="60"/>
        <v>0</v>
      </c>
      <c r="AP573" s="235"/>
      <c r="AQ573" s="28"/>
      <c r="AR573" s="28"/>
      <c r="AS573" s="28"/>
      <c r="AT573" s="28"/>
      <c r="AU573" s="235"/>
      <c r="AV573" s="360">
        <f t="shared" si="65"/>
        <v>4676948.4079770008</v>
      </c>
      <c r="AW573" s="235"/>
      <c r="AX573" s="355"/>
      <c r="AY573" s="344"/>
      <c r="AZ573" s="14">
        <f t="shared" si="67"/>
        <v>3678.9869081347715</v>
      </c>
      <c r="BA573" s="14">
        <f t="shared" si="66"/>
        <v>-0.11806802650019321</v>
      </c>
      <c r="BB573" s="14">
        <f t="shared" si="61"/>
        <v>-31159.89160815482</v>
      </c>
      <c r="BC573" s="344"/>
      <c r="BD573" s="344"/>
      <c r="BE573" s="344"/>
      <c r="BF573" s="344"/>
      <c r="BG573" s="344"/>
      <c r="BH573" s="344"/>
      <c r="BI573" s="344"/>
      <c r="BJ573" s="344"/>
      <c r="BK573" s="344"/>
      <c r="BL573" s="344"/>
      <c r="BM573" s="344"/>
      <c r="BN573" s="344"/>
      <c r="BO573" s="344"/>
      <c r="BP573" s="14"/>
      <c r="BQ573" s="14"/>
      <c r="BR573" s="14"/>
      <c r="BS573" s="14"/>
      <c r="BT573" s="14"/>
      <c r="BU573" s="14"/>
      <c r="BV573" s="14"/>
      <c r="BW573" s="14"/>
      <c r="BX573" s="14"/>
      <c r="BY573" s="14"/>
      <c r="BZ573" s="14"/>
      <c r="CA573" s="14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</row>
    <row r="574" spans="1:101" ht="14.25" customHeight="1" x14ac:dyDescent="0.2">
      <c r="A574" s="328"/>
      <c r="B574" s="52">
        <v>0.18109173527344946</v>
      </c>
      <c r="C574" s="330">
        <v>7.2243118357862263E-2</v>
      </c>
      <c r="D574" s="330">
        <v>1.7225449763361822E-2</v>
      </c>
      <c r="E574" s="330">
        <v>1.6827731239540844E-2</v>
      </c>
      <c r="F574" s="331">
        <v>0.79854287892346854</v>
      </c>
      <c r="G574" s="94">
        <v>0.39105582417795381</v>
      </c>
      <c r="H574" s="330">
        <v>0.98119266771551916</v>
      </c>
      <c r="I574" s="330">
        <v>2.3343658909751541E-2</v>
      </c>
      <c r="J574" s="330">
        <v>0.99999999999998079</v>
      </c>
      <c r="K574" s="330">
        <v>0.81283399510253718</v>
      </c>
      <c r="L574" s="332">
        <v>10975.297253100891</v>
      </c>
      <c r="M574" s="330">
        <v>0</v>
      </c>
      <c r="N574" s="330">
        <v>15232.695885659225</v>
      </c>
      <c r="O574" s="330">
        <v>1132.0955662956512</v>
      </c>
      <c r="P574" s="330">
        <v>47339.787847009058</v>
      </c>
      <c r="Q574" s="333">
        <v>77816.931212217838</v>
      </c>
      <c r="R574" s="330">
        <v>24197.517873905788</v>
      </c>
      <c r="S574" s="330">
        <v>9896.8252753472389</v>
      </c>
      <c r="T574" s="332">
        <v>0.96694798838683294</v>
      </c>
      <c r="U574" s="330">
        <v>0.97222743219884977</v>
      </c>
      <c r="V574" s="330">
        <v>0.87775570974524442</v>
      </c>
      <c r="W574" s="330">
        <v>0.72898630910092266</v>
      </c>
      <c r="X574" s="330">
        <v>0.99963886654075285</v>
      </c>
      <c r="Y574" s="330">
        <v>0</v>
      </c>
      <c r="Z574" s="331">
        <v>0</v>
      </c>
      <c r="AA574" s="235"/>
      <c r="AB574" s="335">
        <v>96552.246276697057</v>
      </c>
      <c r="AC574" s="336">
        <v>4.9361779049166197</v>
      </c>
      <c r="AD574" s="337">
        <v>97135.249861423043</v>
      </c>
      <c r="AE574" s="336">
        <v>5.121247505596072</v>
      </c>
      <c r="AF574" s="337">
        <v>-583.003584725986</v>
      </c>
      <c r="AG574" s="338">
        <v>-0.18506960067945233</v>
      </c>
      <c r="AH574" s="235"/>
      <c r="AI574" s="208">
        <f t="shared" si="62"/>
        <v>4592816.7633940913</v>
      </c>
      <c r="AJ574" s="208">
        <f t="shared" si="63"/>
        <v>4768049.8804548457</v>
      </c>
      <c r="AK574" s="208">
        <f t="shared" si="64"/>
        <v>-175233.11706075372</v>
      </c>
      <c r="AL574" s="235"/>
      <c r="AM574" s="52">
        <f t="shared" si="58"/>
        <v>0</v>
      </c>
      <c r="AN574" s="52">
        <f t="shared" si="59"/>
        <v>1</v>
      </c>
      <c r="AO574" s="52">
        <f t="shared" si="60"/>
        <v>0</v>
      </c>
      <c r="AP574" s="235"/>
      <c r="AQ574" s="28"/>
      <c r="AR574" s="28"/>
      <c r="AS574" s="28"/>
      <c r="AT574" s="28"/>
      <c r="AU574" s="235"/>
      <c r="AV574" s="360">
        <f t="shared" si="65"/>
        <v>4768049.8804548457</v>
      </c>
      <c r="AW574" s="235"/>
      <c r="AX574" s="355"/>
      <c r="AY574" s="344"/>
      <c r="AZ574" s="14">
        <f t="shared" si="67"/>
        <v>-583.003584725986</v>
      </c>
      <c r="BA574" s="14">
        <f t="shared" si="66"/>
        <v>-0.18506960067945233</v>
      </c>
      <c r="BB574" s="14">
        <f t="shared" si="61"/>
        <v>3150.1855657848996</v>
      </c>
      <c r="BC574" s="344"/>
      <c r="BD574" s="344"/>
      <c r="BE574" s="344"/>
      <c r="BF574" s="344"/>
      <c r="BG574" s="344"/>
      <c r="BH574" s="344"/>
      <c r="BI574" s="344"/>
      <c r="BJ574" s="344"/>
      <c r="BK574" s="344"/>
      <c r="BL574" s="344"/>
      <c r="BM574" s="344"/>
      <c r="BN574" s="344"/>
      <c r="BO574" s="344"/>
      <c r="BP574" s="14"/>
      <c r="BQ574" s="14"/>
      <c r="BR574" s="14"/>
      <c r="BS574" s="14"/>
      <c r="BT574" s="14"/>
      <c r="BU574" s="14"/>
      <c r="BV574" s="14"/>
      <c r="BW574" s="14"/>
      <c r="BX574" s="14"/>
      <c r="BY574" s="14"/>
      <c r="BZ574" s="14"/>
      <c r="CA574" s="14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</row>
    <row r="575" spans="1:101" ht="14.25" customHeight="1" x14ac:dyDescent="0.2">
      <c r="A575" s="328"/>
      <c r="B575" s="52">
        <v>0.1347425179750481</v>
      </c>
      <c r="C575" s="330">
        <v>0.41268146977062703</v>
      </c>
      <c r="D575" s="330">
        <v>2.1528952110456134E-2</v>
      </c>
      <c r="E575" s="330">
        <v>1.4712053221780153E-2</v>
      </c>
      <c r="F575" s="331">
        <v>0.7642642658894484</v>
      </c>
      <c r="G575" s="94">
        <v>0.38769879769198495</v>
      </c>
      <c r="H575" s="330">
        <v>0.55663927706323202</v>
      </c>
      <c r="I575" s="330">
        <v>5.0271255282845415E-3</v>
      </c>
      <c r="J575" s="330">
        <v>0.99142436338859308</v>
      </c>
      <c r="K575" s="330">
        <v>0.72732945625770318</v>
      </c>
      <c r="L575" s="332">
        <v>21695.852385175433</v>
      </c>
      <c r="M575" s="330">
        <v>0</v>
      </c>
      <c r="N575" s="330">
        <v>15491.920218472627</v>
      </c>
      <c r="O575" s="330">
        <v>1319.6067099361724</v>
      </c>
      <c r="P575" s="330">
        <v>39656.424390386062</v>
      </c>
      <c r="Q575" s="333">
        <v>117636.17673303995</v>
      </c>
      <c r="R575" s="330">
        <v>23974.736476469359</v>
      </c>
      <c r="S575" s="330">
        <v>6834.3708811487522</v>
      </c>
      <c r="T575" s="332">
        <v>0.99486261093686934</v>
      </c>
      <c r="U575" s="330">
        <v>0.8889854211460253</v>
      </c>
      <c r="V575" s="330">
        <v>0.83853240818482577</v>
      </c>
      <c r="W575" s="330">
        <v>0.99694255585879388</v>
      </c>
      <c r="X575" s="330">
        <v>0.88439645997808858</v>
      </c>
      <c r="Y575" s="330">
        <v>0</v>
      </c>
      <c r="Z575" s="331">
        <v>0</v>
      </c>
      <c r="AA575" s="235"/>
      <c r="AB575" s="335">
        <v>79602.462269008902</v>
      </c>
      <c r="AC575" s="336">
        <v>4.5326468746185498</v>
      </c>
      <c r="AD575" s="337">
        <v>59357.895007619336</v>
      </c>
      <c r="AE575" s="336">
        <v>3.9743509901513021</v>
      </c>
      <c r="AF575" s="337">
        <v>20244.567261389566</v>
      </c>
      <c r="AG575" s="338">
        <v>0.55829588446724765</v>
      </c>
      <c r="AH575" s="235"/>
      <c r="AI575" s="208">
        <f t="shared" si="62"/>
        <v>4226412.0686186133</v>
      </c>
      <c r="AJ575" s="208">
        <f t="shared" si="63"/>
        <v>3716275.5456361179</v>
      </c>
      <c r="AK575" s="208">
        <f t="shared" si="64"/>
        <v>510136.52298249572</v>
      </c>
      <c r="AL575" s="235"/>
      <c r="AM575" s="52">
        <f t="shared" si="58"/>
        <v>1</v>
      </c>
      <c r="AN575" s="52">
        <f t="shared" si="59"/>
        <v>0</v>
      </c>
      <c r="AO575" s="52">
        <f t="shared" si="60"/>
        <v>1</v>
      </c>
      <c r="AP575" s="235"/>
      <c r="AQ575" s="28"/>
      <c r="AR575" s="28"/>
      <c r="AS575" s="28"/>
      <c r="AT575" s="28"/>
      <c r="AU575" s="235"/>
      <c r="AV575" s="360">
        <f t="shared" si="65"/>
        <v>4226412.0686186133</v>
      </c>
      <c r="AW575" s="235"/>
      <c r="AX575" s="355"/>
      <c r="AY575" s="344"/>
      <c r="AZ575" s="14">
        <f t="shared" si="67"/>
        <v>20244.567261389566</v>
      </c>
      <c r="BA575" s="14">
        <f t="shared" si="66"/>
        <v>0.55829588446724765</v>
      </c>
      <c r="BB575" s="14">
        <f t="shared" si="61"/>
        <v>36261.358581763307</v>
      </c>
      <c r="BC575" s="344"/>
      <c r="BD575" s="344"/>
      <c r="BE575" s="344"/>
      <c r="BF575" s="344"/>
      <c r="BG575" s="344"/>
      <c r="BH575" s="344"/>
      <c r="BI575" s="344"/>
      <c r="BJ575" s="344"/>
      <c r="BK575" s="344"/>
      <c r="BL575" s="344"/>
      <c r="BM575" s="344"/>
      <c r="BN575" s="344"/>
      <c r="BO575" s="344"/>
      <c r="BP575" s="14"/>
      <c r="BQ575" s="14"/>
      <c r="BR575" s="14"/>
      <c r="BS575" s="14"/>
      <c r="BT575" s="14"/>
      <c r="BU575" s="14"/>
      <c r="BV575" s="14"/>
      <c r="BW575" s="14"/>
      <c r="BX575" s="14"/>
      <c r="BY575" s="14"/>
      <c r="BZ575" s="14"/>
      <c r="CA575" s="14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</row>
    <row r="576" spans="1:101" ht="14.25" customHeight="1" x14ac:dyDescent="0.2">
      <c r="A576" s="328"/>
      <c r="B576" s="52">
        <v>0.12752165620408859</v>
      </c>
      <c r="C576" s="330">
        <v>1.264618598513838E-2</v>
      </c>
      <c r="D576" s="330">
        <v>1.2477943920444792E-2</v>
      </c>
      <c r="E576" s="330">
        <v>1.1775374115899639E-2</v>
      </c>
      <c r="F576" s="331">
        <v>0.74680214470587991</v>
      </c>
      <c r="G576" s="94">
        <v>0.43212596980045626</v>
      </c>
      <c r="H576" s="330">
        <v>0.99569126106032857</v>
      </c>
      <c r="I576" s="330">
        <v>2.5196261506991946E-2</v>
      </c>
      <c r="J576" s="330">
        <v>1</v>
      </c>
      <c r="K576" s="330">
        <v>0.79541308934309551</v>
      </c>
      <c r="L576" s="332">
        <v>11898.7715090607</v>
      </c>
      <c r="M576" s="330">
        <v>0</v>
      </c>
      <c r="N576" s="330">
        <v>22545.026806692014</v>
      </c>
      <c r="O576" s="330">
        <v>972.84198319062978</v>
      </c>
      <c r="P576" s="330">
        <v>43433.248535110717</v>
      </c>
      <c r="Q576" s="333">
        <v>115632.28702745074</v>
      </c>
      <c r="R576" s="330">
        <v>20445.041030637331</v>
      </c>
      <c r="S576" s="330">
        <v>8093.6213452851853</v>
      </c>
      <c r="T576" s="332">
        <v>0.9286722745376198</v>
      </c>
      <c r="U576" s="330">
        <v>0.61324398063653629</v>
      </c>
      <c r="V576" s="330">
        <v>0.85383665777008011</v>
      </c>
      <c r="W576" s="330">
        <v>0.95160253387039651</v>
      </c>
      <c r="X576" s="330">
        <v>0.13579851815954883</v>
      </c>
      <c r="Y576" s="330">
        <v>0</v>
      </c>
      <c r="Z576" s="331">
        <v>0</v>
      </c>
      <c r="AA576" s="235"/>
      <c r="AB576" s="335">
        <v>77104.175827337996</v>
      </c>
      <c r="AC576" s="336">
        <v>0.78543658778577996</v>
      </c>
      <c r="AD576" s="337">
        <v>80060.918365276782</v>
      </c>
      <c r="AE576" s="336">
        <v>0.7900998186200312</v>
      </c>
      <c r="AF576" s="337">
        <v>-2956.742537938786</v>
      </c>
      <c r="AG576" s="338">
        <v>-4.6632308342512419E-3</v>
      </c>
      <c r="AH576" s="235"/>
      <c r="AI576" s="208">
        <f t="shared" si="62"/>
        <v>669060.58256915293</v>
      </c>
      <c r="AJ576" s="208">
        <f t="shared" si="63"/>
        <v>670533.90932375286</v>
      </c>
      <c r="AK576" s="208">
        <f t="shared" si="64"/>
        <v>-1473.3267545998942</v>
      </c>
      <c r="AL576" s="235"/>
      <c r="AM576" s="52">
        <f t="shared" si="58"/>
        <v>0</v>
      </c>
      <c r="AN576" s="52">
        <f t="shared" si="59"/>
        <v>1</v>
      </c>
      <c r="AO576" s="52">
        <f t="shared" si="60"/>
        <v>0</v>
      </c>
      <c r="AP576" s="235"/>
      <c r="AQ576" s="28"/>
      <c r="AR576" s="28"/>
      <c r="AS576" s="28"/>
      <c r="AT576" s="28"/>
      <c r="AU576" s="235"/>
      <c r="AV576" s="360">
        <f t="shared" si="65"/>
        <v>670533.90932375286</v>
      </c>
      <c r="AW576" s="235"/>
      <c r="AX576" s="355"/>
      <c r="AY576" s="344"/>
      <c r="AZ576" s="14">
        <f t="shared" si="67"/>
        <v>-2956.742537938786</v>
      </c>
      <c r="BA576" s="14">
        <f t="shared" si="66"/>
        <v>-4.6632308342512419E-3</v>
      </c>
      <c r="BB576" s="14">
        <f t="shared" si="61"/>
        <v>634054.50920885825</v>
      </c>
      <c r="BC576" s="344"/>
      <c r="BD576" s="344"/>
      <c r="BE576" s="344"/>
      <c r="BF576" s="344"/>
      <c r="BG576" s="344"/>
      <c r="BH576" s="344"/>
      <c r="BI576" s="344"/>
      <c r="BJ576" s="344"/>
      <c r="BK576" s="344"/>
      <c r="BL576" s="344"/>
      <c r="BM576" s="344"/>
      <c r="BN576" s="344"/>
      <c r="BO576" s="344"/>
      <c r="BP576" s="14"/>
      <c r="BQ576" s="14"/>
      <c r="BR576" s="14"/>
      <c r="BS576" s="14"/>
      <c r="BT576" s="14"/>
      <c r="BU576" s="14"/>
      <c r="BV576" s="14"/>
      <c r="BW576" s="14"/>
      <c r="BX576" s="14"/>
      <c r="BY576" s="14"/>
      <c r="BZ576" s="14"/>
      <c r="CA576" s="14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</row>
    <row r="577" spans="1:101" ht="14.25" customHeight="1" x14ac:dyDescent="0.2">
      <c r="A577" s="328"/>
      <c r="B577" s="52">
        <v>0.14779213442382852</v>
      </c>
      <c r="C577" s="330">
        <v>0.79043737718155438</v>
      </c>
      <c r="D577" s="330">
        <v>1.450807359863282E-2</v>
      </c>
      <c r="E577" s="330">
        <v>1.2631818073292139E-2</v>
      </c>
      <c r="F577" s="331">
        <v>0.78559111183662267</v>
      </c>
      <c r="G577" s="94">
        <v>0.36494583921443396</v>
      </c>
      <c r="H577" s="330">
        <v>0.51579329785170636</v>
      </c>
      <c r="I577" s="330">
        <v>1.0490353749016856E-2</v>
      </c>
      <c r="J577" s="330">
        <v>0.94791982989917378</v>
      </c>
      <c r="K577" s="330">
        <v>0.7848588914850021</v>
      </c>
      <c r="L577" s="332">
        <v>14662.224415818555</v>
      </c>
      <c r="M577" s="330">
        <v>0</v>
      </c>
      <c r="N577" s="330">
        <v>18209.191641774905</v>
      </c>
      <c r="O577" s="330">
        <v>1445.5484201648023</v>
      </c>
      <c r="P577" s="330">
        <v>56074.827049071413</v>
      </c>
      <c r="Q577" s="333">
        <v>115620.29174143032</v>
      </c>
      <c r="R577" s="330">
        <v>29087.215622270975</v>
      </c>
      <c r="S577" s="330">
        <v>6984.9527147022918</v>
      </c>
      <c r="T577" s="332">
        <v>0.43735238238416341</v>
      </c>
      <c r="U577" s="330">
        <v>0.97363490036914735</v>
      </c>
      <c r="V577" s="330">
        <v>0.24872882648119166</v>
      </c>
      <c r="W577" s="330">
        <v>0.34311702292882601</v>
      </c>
      <c r="X577" s="330">
        <v>0.96653901784758423</v>
      </c>
      <c r="Y577" s="330">
        <v>0</v>
      </c>
      <c r="Z577" s="331">
        <v>0</v>
      </c>
      <c r="AA577" s="235"/>
      <c r="AB577" s="335">
        <v>77409.433969399222</v>
      </c>
      <c r="AC577" s="336">
        <v>4.6488544491359001</v>
      </c>
      <c r="AD577" s="337">
        <v>65576.410590552288</v>
      </c>
      <c r="AE577" s="336">
        <v>4.7200172563984593</v>
      </c>
      <c r="AF577" s="337">
        <v>11833.023378846934</v>
      </c>
      <c r="AG577" s="338">
        <v>-7.1162807262559191E-2</v>
      </c>
      <c r="AH577" s="235"/>
      <c r="AI577" s="208">
        <f t="shared" si="62"/>
        <v>4339002.2927097064</v>
      </c>
      <c r="AJ577" s="208">
        <f t="shared" si="63"/>
        <v>4418439.9829879832</v>
      </c>
      <c r="AK577" s="208">
        <f t="shared" si="64"/>
        <v>-79437.690278278169</v>
      </c>
      <c r="AL577" s="235"/>
      <c r="AM577" s="52">
        <f t="shared" si="58"/>
        <v>0</v>
      </c>
      <c r="AN577" s="52">
        <f t="shared" si="59"/>
        <v>1</v>
      </c>
      <c r="AO577" s="52">
        <f t="shared" si="60"/>
        <v>0</v>
      </c>
      <c r="AP577" s="235"/>
      <c r="AQ577" s="28"/>
      <c r="AR577" s="28"/>
      <c r="AS577" s="28"/>
      <c r="AT577" s="28"/>
      <c r="AU577" s="235"/>
      <c r="AV577" s="360">
        <f t="shared" si="65"/>
        <v>4418439.9829879832</v>
      </c>
      <c r="AW577" s="235"/>
      <c r="AX577" s="355"/>
      <c r="AY577" s="344"/>
      <c r="AZ577" s="14">
        <f t="shared" si="67"/>
        <v>11833.023378846934</v>
      </c>
      <c r="BA577" s="14">
        <f t="shared" si="66"/>
        <v>-7.1162807262559191E-2</v>
      </c>
      <c r="BB577" s="14">
        <f t="shared" si="61"/>
        <v>-166281.00877454603</v>
      </c>
      <c r="BC577" s="344"/>
      <c r="BD577" s="344"/>
      <c r="BE577" s="344"/>
      <c r="BF577" s="344"/>
      <c r="BG577" s="344"/>
      <c r="BH577" s="344"/>
      <c r="BI577" s="344"/>
      <c r="BJ577" s="344"/>
      <c r="BK577" s="344"/>
      <c r="BL577" s="344"/>
      <c r="BM577" s="344"/>
      <c r="BN577" s="344"/>
      <c r="BO577" s="344"/>
      <c r="BP577" s="14"/>
      <c r="BQ577" s="14"/>
      <c r="BR577" s="14"/>
      <c r="BS577" s="14"/>
      <c r="BT577" s="14"/>
      <c r="BU577" s="14"/>
      <c r="BV577" s="14"/>
      <c r="BW577" s="14"/>
      <c r="BX577" s="14"/>
      <c r="BY577" s="14"/>
      <c r="BZ577" s="14"/>
      <c r="CA577" s="14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</row>
    <row r="578" spans="1:101" ht="14.25" customHeight="1" x14ac:dyDescent="0.2">
      <c r="A578" s="328"/>
      <c r="B578" s="52">
        <v>0.12675001428296789</v>
      </c>
      <c r="C578" s="330">
        <v>0.32696537696576211</v>
      </c>
      <c r="D578" s="330">
        <v>5.5547461545980394E-3</v>
      </c>
      <c r="E578" s="330">
        <v>5.4178906386857925E-3</v>
      </c>
      <c r="F578" s="331">
        <v>0.79885445936007671</v>
      </c>
      <c r="G578" s="94">
        <v>0.41439819548303536</v>
      </c>
      <c r="H578" s="330">
        <v>0.51538630198376323</v>
      </c>
      <c r="I578" s="330">
        <v>1.5878586978153988E-2</v>
      </c>
      <c r="J578" s="330">
        <v>0.9788657782164436</v>
      </c>
      <c r="K578" s="330">
        <v>0.72909446334968497</v>
      </c>
      <c r="L578" s="332">
        <v>13651.90122045307</v>
      </c>
      <c r="M578" s="330">
        <v>0</v>
      </c>
      <c r="N578" s="330">
        <v>11643.908431101647</v>
      </c>
      <c r="O578" s="330">
        <v>1201.3918254923678</v>
      </c>
      <c r="P578" s="330">
        <v>35781.125917258818</v>
      </c>
      <c r="Q578" s="333">
        <v>101194.57278191485</v>
      </c>
      <c r="R578" s="330">
        <v>21006.869647217987</v>
      </c>
      <c r="S578" s="330">
        <v>7853.6825829907184</v>
      </c>
      <c r="T578" s="332">
        <v>0.52642731799181397</v>
      </c>
      <c r="U578" s="330">
        <v>0.90670435378048153</v>
      </c>
      <c r="V578" s="330">
        <v>0.14663525584503859</v>
      </c>
      <c r="W578" s="330">
        <v>0.96921922626299573</v>
      </c>
      <c r="X578" s="330">
        <v>0.84442323711741951</v>
      </c>
      <c r="Y578" s="330">
        <v>0</v>
      </c>
      <c r="Z578" s="331">
        <v>0</v>
      </c>
      <c r="AA578" s="235"/>
      <c r="AB578" s="335">
        <v>82073.392428317631</v>
      </c>
      <c r="AC578" s="336">
        <v>4.1226076071566826</v>
      </c>
      <c r="AD578" s="337">
        <v>67377.536817843546</v>
      </c>
      <c r="AE578" s="336">
        <v>3.899000875368102</v>
      </c>
      <c r="AF578" s="337">
        <v>14695.855610474086</v>
      </c>
      <c r="AG578" s="338">
        <v>0.22360673178858059</v>
      </c>
      <c r="AH578" s="235"/>
      <c r="AI578" s="208">
        <f t="shared" si="62"/>
        <v>3834403.8343705311</v>
      </c>
      <c r="AJ578" s="208">
        <f t="shared" si="63"/>
        <v>3636673.2947818534</v>
      </c>
      <c r="AK578" s="208">
        <f t="shared" si="64"/>
        <v>197730.53958867746</v>
      </c>
      <c r="AL578" s="235"/>
      <c r="AM578" s="52">
        <f t="shared" si="58"/>
        <v>1</v>
      </c>
      <c r="AN578" s="52">
        <f t="shared" si="59"/>
        <v>0</v>
      </c>
      <c r="AO578" s="52">
        <f t="shared" si="60"/>
        <v>1</v>
      </c>
      <c r="AP578" s="235"/>
      <c r="AQ578" s="28"/>
      <c r="AR578" s="28"/>
      <c r="AS578" s="28"/>
      <c r="AT578" s="28"/>
      <c r="AU578" s="235"/>
      <c r="AV578" s="360">
        <f t="shared" si="65"/>
        <v>3834403.8343705311</v>
      </c>
      <c r="AW578" s="235"/>
      <c r="AX578" s="355"/>
      <c r="AY578" s="344"/>
      <c r="AZ578" s="14">
        <f t="shared" si="67"/>
        <v>14695.855610474086</v>
      </c>
      <c r="BA578" s="14">
        <f t="shared" si="66"/>
        <v>0.22360673178858059</v>
      </c>
      <c r="BB578" s="14">
        <f t="shared" si="61"/>
        <v>65721.883652272896</v>
      </c>
      <c r="BC578" s="344"/>
      <c r="BD578" s="344"/>
      <c r="BE578" s="344"/>
      <c r="BF578" s="344"/>
      <c r="BG578" s="344"/>
      <c r="BH578" s="344"/>
      <c r="BI578" s="344"/>
      <c r="BJ578" s="344"/>
      <c r="BK578" s="344"/>
      <c r="BL578" s="344"/>
      <c r="BM578" s="344"/>
      <c r="BN578" s="344"/>
      <c r="BO578" s="344"/>
      <c r="BP578" s="14"/>
      <c r="BQ578" s="14"/>
      <c r="BR578" s="14"/>
      <c r="BS578" s="14"/>
      <c r="BT578" s="14"/>
      <c r="BU578" s="14"/>
      <c r="BV578" s="14"/>
      <c r="BW578" s="14"/>
      <c r="BX578" s="14"/>
      <c r="BY578" s="14"/>
      <c r="BZ578" s="14"/>
      <c r="CA578" s="14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</row>
    <row r="579" spans="1:101" ht="14.25" customHeight="1" x14ac:dyDescent="0.2">
      <c r="A579" s="328"/>
      <c r="B579" s="52">
        <v>0.12135729426434269</v>
      </c>
      <c r="C579" s="330">
        <v>0.48104246028480258</v>
      </c>
      <c r="D579" s="330">
        <v>1.4868779515939901E-2</v>
      </c>
      <c r="E579" s="330">
        <v>1.6989918257420911E-2</v>
      </c>
      <c r="F579" s="331">
        <v>0.78743431845476664</v>
      </c>
      <c r="G579" s="94">
        <v>0.42826838455095029</v>
      </c>
      <c r="H579" s="330">
        <v>0.38146736223465988</v>
      </c>
      <c r="I579" s="330">
        <v>3.0489161967865774E-2</v>
      </c>
      <c r="J579" s="330">
        <v>1</v>
      </c>
      <c r="K579" s="330">
        <v>0.76139590469265539</v>
      </c>
      <c r="L579" s="332">
        <v>13745.763622945809</v>
      </c>
      <c r="M579" s="330">
        <v>0</v>
      </c>
      <c r="N579" s="330">
        <v>15589.718633410859</v>
      </c>
      <c r="O579" s="330">
        <v>1168.2204069570221</v>
      </c>
      <c r="P579" s="330">
        <v>47725.100799897249</v>
      </c>
      <c r="Q579" s="333">
        <v>93043.688569562641</v>
      </c>
      <c r="R579" s="330">
        <v>19657.432532267489</v>
      </c>
      <c r="S579" s="330">
        <v>10424.106656020744</v>
      </c>
      <c r="T579" s="332">
        <v>0.15981859569754525</v>
      </c>
      <c r="U579" s="330">
        <v>0.9570933286967821</v>
      </c>
      <c r="V579" s="330">
        <v>0.2639379775413454</v>
      </c>
      <c r="W579" s="330">
        <v>0.9999999999957101</v>
      </c>
      <c r="X579" s="330">
        <v>0.99540757200481433</v>
      </c>
      <c r="Y579" s="330">
        <v>0</v>
      </c>
      <c r="Z579" s="331">
        <v>0</v>
      </c>
      <c r="AA579" s="235"/>
      <c r="AB579" s="335">
        <v>103290.08820576299</v>
      </c>
      <c r="AC579" s="336">
        <v>4.755928417659451</v>
      </c>
      <c r="AD579" s="337">
        <v>90951.381819150585</v>
      </c>
      <c r="AE579" s="336">
        <v>4.6047929752678671</v>
      </c>
      <c r="AF579" s="337">
        <v>12338.706386612408</v>
      </c>
      <c r="AG579" s="338">
        <v>0.15113544239158383</v>
      </c>
      <c r="AH579" s="235"/>
      <c r="AI579" s="208">
        <f t="shared" si="62"/>
        <v>4414841.9085707152</v>
      </c>
      <c r="AJ579" s="208">
        <f t="shared" si="63"/>
        <v>4283601.9446853232</v>
      </c>
      <c r="AK579" s="208">
        <f t="shared" si="64"/>
        <v>131239.96388539224</v>
      </c>
      <c r="AL579" s="235"/>
      <c r="AM579" s="52">
        <f t="shared" si="58"/>
        <v>1</v>
      </c>
      <c r="AN579" s="52">
        <f t="shared" si="59"/>
        <v>0</v>
      </c>
      <c r="AO579" s="52">
        <f t="shared" si="60"/>
        <v>1</v>
      </c>
      <c r="AP579" s="235"/>
      <c r="AQ579" s="28"/>
      <c r="AR579" s="28"/>
      <c r="AS579" s="28"/>
      <c r="AT579" s="28"/>
      <c r="AU579" s="235"/>
      <c r="AV579" s="360">
        <f t="shared" si="65"/>
        <v>4414841.9085707152</v>
      </c>
      <c r="AW579" s="235"/>
      <c r="AX579" s="355"/>
      <c r="AY579" s="344"/>
      <c r="AZ579" s="14">
        <f t="shared" si="67"/>
        <v>12338.706386612408</v>
      </c>
      <c r="BA579" s="14">
        <f t="shared" si="66"/>
        <v>0.15113544239158383</v>
      </c>
      <c r="BB579" s="14">
        <f t="shared" si="61"/>
        <v>81640.058687514742</v>
      </c>
      <c r="BC579" s="344"/>
      <c r="BD579" s="344"/>
      <c r="BE579" s="344"/>
      <c r="BF579" s="344"/>
      <c r="BG579" s="344"/>
      <c r="BH579" s="344"/>
      <c r="BI579" s="344"/>
      <c r="BJ579" s="344"/>
      <c r="BK579" s="344"/>
      <c r="BL579" s="344"/>
      <c r="BM579" s="344"/>
      <c r="BN579" s="344"/>
      <c r="BO579" s="344"/>
      <c r="BP579" s="14"/>
      <c r="BQ579" s="14"/>
      <c r="BR579" s="14"/>
      <c r="BS579" s="14"/>
      <c r="BT579" s="14"/>
      <c r="BU579" s="14"/>
      <c r="BV579" s="14"/>
      <c r="BW579" s="14"/>
      <c r="BX579" s="14"/>
      <c r="BY579" s="14"/>
      <c r="BZ579" s="14"/>
      <c r="CA579" s="14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</row>
    <row r="580" spans="1:101" ht="14.25" customHeight="1" x14ac:dyDescent="0.2">
      <c r="A580" s="328"/>
      <c r="B580" s="52">
        <v>0.15908624965071891</v>
      </c>
      <c r="C580" s="330">
        <v>0.4023235973293019</v>
      </c>
      <c r="D580" s="330">
        <v>1.4406997488561113E-2</v>
      </c>
      <c r="E580" s="330">
        <v>1.2814210397875277E-2</v>
      </c>
      <c r="F580" s="331">
        <v>0.8031934786046192</v>
      </c>
      <c r="G580" s="94">
        <v>0.40498798754826759</v>
      </c>
      <c r="H580" s="330">
        <v>1.1995790445890143E-2</v>
      </c>
      <c r="I580" s="330">
        <v>2.6129717449930312E-2</v>
      </c>
      <c r="J580" s="330">
        <v>0.99999999999538125</v>
      </c>
      <c r="K580" s="330">
        <v>0.80207656624253854</v>
      </c>
      <c r="L580" s="332">
        <v>9739.4830310304824</v>
      </c>
      <c r="M580" s="330">
        <v>0</v>
      </c>
      <c r="N580" s="330">
        <v>15301.296640174518</v>
      </c>
      <c r="O580" s="330">
        <v>1395.768389802719</v>
      </c>
      <c r="P580" s="330">
        <v>37389.832334021026</v>
      </c>
      <c r="Q580" s="333">
        <v>97412.376675723368</v>
      </c>
      <c r="R580" s="330">
        <v>27532.933602859051</v>
      </c>
      <c r="S580" s="330">
        <v>10384.9045108586</v>
      </c>
      <c r="T580" s="332">
        <v>0.92234634611634037</v>
      </c>
      <c r="U580" s="330">
        <v>0.78851724932554657</v>
      </c>
      <c r="V580" s="330">
        <v>0.60431741198155886</v>
      </c>
      <c r="W580" s="330">
        <v>0.7642680665239544</v>
      </c>
      <c r="X580" s="330">
        <v>0.34830022074163119</v>
      </c>
      <c r="Y580" s="330">
        <v>0</v>
      </c>
      <c r="Z580" s="331">
        <v>0</v>
      </c>
      <c r="AA580" s="235"/>
      <c r="AB580" s="335">
        <v>101458.70486537486</v>
      </c>
      <c r="AC580" s="336">
        <v>1.8237015216557377</v>
      </c>
      <c r="AD580" s="337">
        <v>91786.850936945717</v>
      </c>
      <c r="AE580" s="336">
        <v>1.7680829761922827</v>
      </c>
      <c r="AF580" s="337">
        <v>9671.8539284291473</v>
      </c>
      <c r="AG580" s="338">
        <v>5.5618545463455016E-2</v>
      </c>
      <c r="AH580" s="235"/>
      <c r="AI580" s="208">
        <f t="shared" si="62"/>
        <v>1631057.740707576</v>
      </c>
      <c r="AJ580" s="208">
        <f t="shared" si="63"/>
        <v>1587891.9764457229</v>
      </c>
      <c r="AK580" s="208">
        <f t="shared" si="64"/>
        <v>43165.764261853117</v>
      </c>
      <c r="AL580" s="235"/>
      <c r="AM580" s="52">
        <f t="shared" si="58"/>
        <v>1</v>
      </c>
      <c r="AN580" s="52">
        <f t="shared" si="59"/>
        <v>0</v>
      </c>
      <c r="AO580" s="52">
        <f t="shared" si="60"/>
        <v>1</v>
      </c>
      <c r="AP580" s="235"/>
      <c r="AQ580" s="28"/>
      <c r="AR580" s="28"/>
      <c r="AS580" s="28"/>
      <c r="AT580" s="28"/>
      <c r="AU580" s="235"/>
      <c r="AV580" s="360">
        <f t="shared" si="65"/>
        <v>1631057.740707576</v>
      </c>
      <c r="AW580" s="235"/>
      <c r="AX580" s="355"/>
      <c r="AY580" s="344"/>
      <c r="AZ580" s="14">
        <f t="shared" si="67"/>
        <v>9671.8539284291473</v>
      </c>
      <c r="BA580" s="14">
        <f t="shared" si="66"/>
        <v>5.5618545463455016E-2</v>
      </c>
      <c r="BB580" s="14">
        <f t="shared" si="61"/>
        <v>173896.2040059854</v>
      </c>
      <c r="BC580" s="344"/>
      <c r="BD580" s="344"/>
      <c r="BE580" s="344"/>
      <c r="BF580" s="344"/>
      <c r="BG580" s="344"/>
      <c r="BH580" s="344"/>
      <c r="BI580" s="344"/>
      <c r="BJ580" s="344"/>
      <c r="BK580" s="344"/>
      <c r="BL580" s="344"/>
      <c r="BM580" s="344"/>
      <c r="BN580" s="344"/>
      <c r="BO580" s="344"/>
      <c r="BP580" s="14"/>
      <c r="BQ580" s="14"/>
      <c r="BR580" s="14"/>
      <c r="BS580" s="14"/>
      <c r="BT580" s="14"/>
      <c r="BU580" s="14"/>
      <c r="BV580" s="14"/>
      <c r="BW580" s="14"/>
      <c r="BX580" s="14"/>
      <c r="BY580" s="14"/>
      <c r="BZ580" s="14"/>
      <c r="CA580" s="14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</row>
    <row r="581" spans="1:101" ht="14.25" customHeight="1" x14ac:dyDescent="0.2">
      <c r="A581" s="328"/>
      <c r="B581" s="52">
        <v>0.16169069031633088</v>
      </c>
      <c r="C581" s="330">
        <v>0.28726492821484323</v>
      </c>
      <c r="D581" s="330">
        <v>3.0689156620615443E-2</v>
      </c>
      <c r="E581" s="330">
        <v>8.5714463089466304E-3</v>
      </c>
      <c r="F581" s="331">
        <v>0.79229996777261613</v>
      </c>
      <c r="G581" s="94">
        <v>0.44623880555016171</v>
      </c>
      <c r="H581" s="330">
        <v>0.24608036122318414</v>
      </c>
      <c r="I581" s="330">
        <v>4.1716487009734626E-2</v>
      </c>
      <c r="J581" s="330">
        <v>0.99999508603803455</v>
      </c>
      <c r="K581" s="330">
        <v>0.71956586598346073</v>
      </c>
      <c r="L581" s="332">
        <v>15564.478329373849</v>
      </c>
      <c r="M581" s="330">
        <v>0</v>
      </c>
      <c r="N581" s="330">
        <v>15590.321557243049</v>
      </c>
      <c r="O581" s="330">
        <v>1428.9588845631545</v>
      </c>
      <c r="P581" s="330">
        <v>30902.761451660535</v>
      </c>
      <c r="Q581" s="333">
        <v>92328.932807627716</v>
      </c>
      <c r="R581" s="330">
        <v>22801.651722538965</v>
      </c>
      <c r="S581" s="330">
        <v>9521.3778195607083</v>
      </c>
      <c r="T581" s="332">
        <v>0.92898307134341995</v>
      </c>
      <c r="U581" s="330">
        <v>0.99606186509542294</v>
      </c>
      <c r="V581" s="330">
        <v>0.67018969994364996</v>
      </c>
      <c r="W581" s="330">
        <v>0.86267237330150293</v>
      </c>
      <c r="X581" s="330">
        <v>0.92573996376690348</v>
      </c>
      <c r="Y581" s="330">
        <v>0</v>
      </c>
      <c r="Z581" s="331">
        <v>0</v>
      </c>
      <c r="AA581" s="235"/>
      <c r="AB581" s="335">
        <v>98268.87446657753</v>
      </c>
      <c r="AC581" s="336">
        <v>4.6719645658561326</v>
      </c>
      <c r="AD581" s="337">
        <v>79265.679827424421</v>
      </c>
      <c r="AE581" s="336">
        <v>4.2867586743470572</v>
      </c>
      <c r="AF581" s="337">
        <v>19003.194639153109</v>
      </c>
      <c r="AG581" s="338">
        <v>0.38520589150907547</v>
      </c>
      <c r="AH581" s="235"/>
      <c r="AI581" s="208">
        <f t="shared" si="62"/>
        <v>4340097.4630967481</v>
      </c>
      <c r="AJ581" s="208">
        <f t="shared" si="63"/>
        <v>3993155.06080228</v>
      </c>
      <c r="AK581" s="208">
        <f t="shared" si="64"/>
        <v>346942.4022944686</v>
      </c>
      <c r="AL581" s="235"/>
      <c r="AM581" s="52">
        <f t="shared" si="58"/>
        <v>1</v>
      </c>
      <c r="AN581" s="52">
        <f t="shared" si="59"/>
        <v>0</v>
      </c>
      <c r="AO581" s="52">
        <f t="shared" si="60"/>
        <v>1</v>
      </c>
      <c r="AP581" s="235"/>
      <c r="AQ581" s="28"/>
      <c r="AR581" s="28"/>
      <c r="AS581" s="28"/>
      <c r="AT581" s="28"/>
      <c r="AU581" s="235"/>
      <c r="AV581" s="360">
        <f t="shared" si="65"/>
        <v>4340097.4630967481</v>
      </c>
      <c r="AW581" s="235"/>
      <c r="AX581" s="355"/>
      <c r="AY581" s="344"/>
      <c r="AZ581" s="14">
        <f t="shared" si="67"/>
        <v>19003.194639153109</v>
      </c>
      <c r="BA581" s="14">
        <f t="shared" si="66"/>
        <v>0.38520589150907547</v>
      </c>
      <c r="BB581" s="14">
        <f t="shared" si="61"/>
        <v>49332.564890704409</v>
      </c>
      <c r="BC581" s="344"/>
      <c r="BD581" s="344"/>
      <c r="BE581" s="344"/>
      <c r="BF581" s="344"/>
      <c r="BG581" s="344"/>
      <c r="BH581" s="344"/>
      <c r="BI581" s="344"/>
      <c r="BJ581" s="344"/>
      <c r="BK581" s="344"/>
      <c r="BL581" s="344"/>
      <c r="BM581" s="344"/>
      <c r="BN581" s="344"/>
      <c r="BO581" s="344"/>
      <c r="BP581" s="14"/>
      <c r="BQ581" s="14"/>
      <c r="BR581" s="14"/>
      <c r="BS581" s="14"/>
      <c r="BT581" s="14"/>
      <c r="BU581" s="14"/>
      <c r="BV581" s="14"/>
      <c r="BW581" s="14"/>
      <c r="BX581" s="14"/>
      <c r="BY581" s="14"/>
      <c r="BZ581" s="14"/>
      <c r="CA581" s="14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</row>
    <row r="582" spans="1:101" ht="14.25" customHeight="1" x14ac:dyDescent="0.2">
      <c r="A582" s="328"/>
      <c r="B582" s="52">
        <v>0.14547701267940968</v>
      </c>
      <c r="C582" s="330">
        <v>0.31810217275421127</v>
      </c>
      <c r="D582" s="330">
        <v>1.2411161255551209E-2</v>
      </c>
      <c r="E582" s="330">
        <v>2.1858734204210695E-2</v>
      </c>
      <c r="F582" s="331">
        <v>0.79267843922725101</v>
      </c>
      <c r="G582" s="94">
        <v>0.43470820348260986</v>
      </c>
      <c r="H582" s="330">
        <v>0.94685758661298736</v>
      </c>
      <c r="I582" s="330">
        <v>8.2781020380347445E-3</v>
      </c>
      <c r="J582" s="330">
        <v>0.99401572969461838</v>
      </c>
      <c r="K582" s="330">
        <v>0.69915814226195205</v>
      </c>
      <c r="L582" s="332">
        <v>14133.435551895771</v>
      </c>
      <c r="M582" s="330">
        <v>0</v>
      </c>
      <c r="N582" s="330">
        <v>20470.077920975833</v>
      </c>
      <c r="O582" s="330">
        <v>685.38389970935248</v>
      </c>
      <c r="P582" s="330">
        <v>46795.653931947956</v>
      </c>
      <c r="Q582" s="333">
        <v>81058.456475359824</v>
      </c>
      <c r="R582" s="330">
        <v>24357.181533498475</v>
      </c>
      <c r="S582" s="330">
        <v>7858.7623970012401</v>
      </c>
      <c r="T582" s="332">
        <v>0.77836979495484515</v>
      </c>
      <c r="U582" s="330">
        <v>0.89751331600873785</v>
      </c>
      <c r="V582" s="330">
        <v>0.78329945548709135</v>
      </c>
      <c r="W582" s="330">
        <v>0.47459494532434315</v>
      </c>
      <c r="X582" s="330">
        <v>0.99881871536829836</v>
      </c>
      <c r="Y582" s="330">
        <v>0</v>
      </c>
      <c r="Z582" s="331">
        <v>0</v>
      </c>
      <c r="AA582" s="235"/>
      <c r="AB582" s="335">
        <v>82359.21801191011</v>
      </c>
      <c r="AC582" s="336">
        <v>5.0483407722754201</v>
      </c>
      <c r="AD582" s="337">
        <v>69763.656842130586</v>
      </c>
      <c r="AE582" s="336">
        <v>4.5351526404294589</v>
      </c>
      <c r="AF582" s="337">
        <v>12595.561169779525</v>
      </c>
      <c r="AG582" s="338">
        <v>0.51318813184596124</v>
      </c>
      <c r="AH582" s="235"/>
      <c r="AI582" s="208">
        <f t="shared" si="62"/>
        <v>4713564.5156497387</v>
      </c>
      <c r="AJ582" s="208">
        <f t="shared" si="63"/>
        <v>4238631.3515658556</v>
      </c>
      <c r="AK582" s="208">
        <f t="shared" si="64"/>
        <v>474933.16408388369</v>
      </c>
      <c r="AL582" s="235"/>
      <c r="AM582" s="52">
        <f t="shared" si="58"/>
        <v>1</v>
      </c>
      <c r="AN582" s="52">
        <f t="shared" si="59"/>
        <v>0</v>
      </c>
      <c r="AO582" s="52">
        <f t="shared" si="60"/>
        <v>1</v>
      </c>
      <c r="AP582" s="235"/>
      <c r="AQ582" s="28"/>
      <c r="AR582" s="28"/>
      <c r="AS582" s="28"/>
      <c r="AT582" s="28"/>
      <c r="AU582" s="235"/>
      <c r="AV582" s="360">
        <f t="shared" si="65"/>
        <v>4713564.5156497387</v>
      </c>
      <c r="AW582" s="235"/>
      <c r="AX582" s="355"/>
      <c r="AY582" s="344"/>
      <c r="AZ582" s="14">
        <f t="shared" si="67"/>
        <v>12595.561169779525</v>
      </c>
      <c r="BA582" s="14">
        <f t="shared" si="66"/>
        <v>0.51318813184596124</v>
      </c>
      <c r="BB582" s="14">
        <f t="shared" si="61"/>
        <v>24543.749919688737</v>
      </c>
      <c r="BC582" s="344"/>
      <c r="BD582" s="344"/>
      <c r="BE582" s="344"/>
      <c r="BF582" s="344"/>
      <c r="BG582" s="344"/>
      <c r="BH582" s="344"/>
      <c r="BI582" s="344"/>
      <c r="BJ582" s="344"/>
      <c r="BK582" s="344"/>
      <c r="BL582" s="344"/>
      <c r="BM582" s="344"/>
      <c r="BN582" s="344"/>
      <c r="BO582" s="344"/>
      <c r="BP582" s="14"/>
      <c r="BQ582" s="14"/>
      <c r="BR582" s="14"/>
      <c r="BS582" s="14"/>
      <c r="BT582" s="14"/>
      <c r="BU582" s="14"/>
      <c r="BV582" s="14"/>
      <c r="BW582" s="14"/>
      <c r="BX582" s="14"/>
      <c r="BY582" s="14"/>
      <c r="BZ582" s="14"/>
      <c r="CA582" s="14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</row>
    <row r="583" spans="1:101" ht="14.25" customHeight="1" x14ac:dyDescent="0.2">
      <c r="A583" s="328"/>
      <c r="B583" s="52">
        <v>0.13189635713071343</v>
      </c>
      <c r="C583" s="330">
        <v>0.658071455264163</v>
      </c>
      <c r="D583" s="330">
        <v>2.1436553555752691E-2</v>
      </c>
      <c r="E583" s="330">
        <v>2.3179653283570634E-2</v>
      </c>
      <c r="F583" s="331">
        <v>0.79455319114097478</v>
      </c>
      <c r="G583" s="94">
        <v>0.43973978152467874</v>
      </c>
      <c r="H583" s="330">
        <v>5.5999349311516905E-3</v>
      </c>
      <c r="I583" s="330">
        <v>3.3316597910905021E-2</v>
      </c>
      <c r="J583" s="330">
        <v>0.99999388998038286</v>
      </c>
      <c r="K583" s="330">
        <v>0.74154036500689324</v>
      </c>
      <c r="L583" s="332">
        <v>16440.251644998189</v>
      </c>
      <c r="M583" s="330">
        <v>0</v>
      </c>
      <c r="N583" s="330">
        <v>20625.814849187904</v>
      </c>
      <c r="O583" s="330">
        <v>995.70081562985047</v>
      </c>
      <c r="P583" s="330">
        <v>36190.744934781724</v>
      </c>
      <c r="Q583" s="333">
        <v>108950.1765752528</v>
      </c>
      <c r="R583" s="330">
        <v>25749.379870545985</v>
      </c>
      <c r="S583" s="330">
        <v>6177.1481873978491</v>
      </c>
      <c r="T583" s="332">
        <v>0.28374284776106595</v>
      </c>
      <c r="U583" s="330">
        <v>0.98716688892739923</v>
      </c>
      <c r="V583" s="330">
        <v>0.27298979870014856</v>
      </c>
      <c r="W583" s="330">
        <v>0.32825808219705666</v>
      </c>
      <c r="X583" s="330">
        <v>0.56710292779886118</v>
      </c>
      <c r="Y583" s="330">
        <v>0</v>
      </c>
      <c r="Z583" s="331">
        <v>0</v>
      </c>
      <c r="AA583" s="235"/>
      <c r="AB583" s="335">
        <v>71787.989861228722</v>
      </c>
      <c r="AC583" s="336">
        <v>2.763520844285333</v>
      </c>
      <c r="AD583" s="337">
        <v>52331.510163729101</v>
      </c>
      <c r="AE583" s="336">
        <v>2.9057318727271566</v>
      </c>
      <c r="AF583" s="337">
        <v>19456.479697499621</v>
      </c>
      <c r="AG583" s="338">
        <v>-0.14221102844182365</v>
      </c>
      <c r="AH583" s="235"/>
      <c r="AI583" s="208">
        <f t="shared" si="62"/>
        <v>2553556.8122098376</v>
      </c>
      <c r="AJ583" s="208">
        <f t="shared" si="63"/>
        <v>2708113.7689270698</v>
      </c>
      <c r="AK583" s="208">
        <f t="shared" si="64"/>
        <v>-154556.9567172321</v>
      </c>
      <c r="AL583" s="235"/>
      <c r="AM583" s="52">
        <f t="shared" si="58"/>
        <v>0</v>
      </c>
      <c r="AN583" s="52">
        <f t="shared" si="59"/>
        <v>1</v>
      </c>
      <c r="AO583" s="52">
        <f t="shared" si="60"/>
        <v>0</v>
      </c>
      <c r="AP583" s="235"/>
      <c r="AQ583" s="28"/>
      <c r="AR583" s="28"/>
      <c r="AS583" s="28"/>
      <c r="AT583" s="28"/>
      <c r="AU583" s="235"/>
      <c r="AV583" s="360">
        <f t="shared" si="65"/>
        <v>2708113.7689270698</v>
      </c>
      <c r="AW583" s="235"/>
      <c r="AX583" s="355"/>
      <c r="AY583" s="344"/>
      <c r="AZ583" s="14">
        <f t="shared" si="67"/>
        <v>19456.479697499621</v>
      </c>
      <c r="BA583" s="14">
        <f t="shared" si="66"/>
        <v>-0.14221102844182365</v>
      </c>
      <c r="BB583" s="14">
        <f t="shared" si="61"/>
        <v>-136814.1410035507</v>
      </c>
      <c r="BC583" s="344"/>
      <c r="BD583" s="344"/>
      <c r="BE583" s="344"/>
      <c r="BF583" s="344"/>
      <c r="BG583" s="344"/>
      <c r="BH583" s="344"/>
      <c r="BI583" s="344"/>
      <c r="BJ583" s="344"/>
      <c r="BK583" s="344"/>
      <c r="BL583" s="344"/>
      <c r="BM583" s="344"/>
      <c r="BN583" s="344"/>
      <c r="BO583" s="344"/>
      <c r="BP583" s="14"/>
      <c r="BQ583" s="14"/>
      <c r="BR583" s="14"/>
      <c r="BS583" s="14"/>
      <c r="BT583" s="14"/>
      <c r="BU583" s="14"/>
      <c r="BV583" s="14"/>
      <c r="BW583" s="14"/>
      <c r="BX583" s="14"/>
      <c r="BY583" s="14"/>
      <c r="BZ583" s="14"/>
      <c r="CA583" s="14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</row>
    <row r="584" spans="1:101" ht="14.25" customHeight="1" x14ac:dyDescent="0.2">
      <c r="A584" s="328"/>
      <c r="B584" s="52">
        <v>0.12691931937398865</v>
      </c>
      <c r="C584" s="330">
        <v>0.27847506227852448</v>
      </c>
      <c r="D584" s="330">
        <v>1.5580265822265571E-2</v>
      </c>
      <c r="E584" s="330">
        <v>6.5325071635119834E-3</v>
      </c>
      <c r="F584" s="331">
        <v>0.80738735806780515</v>
      </c>
      <c r="G584" s="94">
        <v>0.34683751991357392</v>
      </c>
      <c r="H584" s="330">
        <v>0.16574351292889503</v>
      </c>
      <c r="I584" s="330">
        <v>3.4294029536573012E-2</v>
      </c>
      <c r="J584" s="330">
        <v>1</v>
      </c>
      <c r="K584" s="330">
        <v>0.73983382294872568</v>
      </c>
      <c r="L584" s="332">
        <v>11810.977754506121</v>
      </c>
      <c r="M584" s="330">
        <v>0</v>
      </c>
      <c r="N584" s="330">
        <v>22145.091031603402</v>
      </c>
      <c r="O584" s="330">
        <v>1273.8074009159577</v>
      </c>
      <c r="P584" s="330">
        <v>31787.024125847594</v>
      </c>
      <c r="Q584" s="333">
        <v>114258.26467023796</v>
      </c>
      <c r="R584" s="330">
        <v>26538.149388344831</v>
      </c>
      <c r="S584" s="330">
        <v>10020.146789202936</v>
      </c>
      <c r="T584" s="332">
        <v>0.90730705113655385</v>
      </c>
      <c r="U584" s="330">
        <v>0.93503174498607511</v>
      </c>
      <c r="V584" s="330">
        <v>0.90677733529385796</v>
      </c>
      <c r="W584" s="330">
        <v>0.99996323354072891</v>
      </c>
      <c r="X584" s="330">
        <v>0.99998359012006688</v>
      </c>
      <c r="Y584" s="330">
        <v>0</v>
      </c>
      <c r="Z584" s="331">
        <v>0</v>
      </c>
      <c r="AA584" s="235"/>
      <c r="AB584" s="335">
        <v>99954.406160759405</v>
      </c>
      <c r="AC584" s="336">
        <v>4.9842537092643688</v>
      </c>
      <c r="AD584" s="337">
        <v>83556.726213337373</v>
      </c>
      <c r="AE584" s="336">
        <v>4.6320229799730788</v>
      </c>
      <c r="AF584" s="337">
        <v>16397.679947422032</v>
      </c>
      <c r="AG584" s="338">
        <v>0.35223072929129007</v>
      </c>
      <c r="AH584" s="235"/>
      <c r="AI584" s="208">
        <f t="shared" si="62"/>
        <v>4635086.617640391</v>
      </c>
      <c r="AJ584" s="208">
        <f t="shared" si="63"/>
        <v>4316865.1047610883</v>
      </c>
      <c r="AK584" s="208">
        <f t="shared" si="64"/>
        <v>318221.51287930354</v>
      </c>
      <c r="AL584" s="235"/>
      <c r="AM584" s="52">
        <f t="shared" si="58"/>
        <v>1</v>
      </c>
      <c r="AN584" s="52">
        <f t="shared" si="59"/>
        <v>0</v>
      </c>
      <c r="AO584" s="52">
        <f t="shared" si="60"/>
        <v>1</v>
      </c>
      <c r="AP584" s="235"/>
      <c r="AQ584" s="28"/>
      <c r="AR584" s="28"/>
      <c r="AS584" s="28"/>
      <c r="AT584" s="28"/>
      <c r="AU584" s="235"/>
      <c r="AV584" s="360">
        <f t="shared" si="65"/>
        <v>4635086.617640391</v>
      </c>
      <c r="AW584" s="235"/>
      <c r="AX584" s="355"/>
      <c r="AY584" s="344"/>
      <c r="AZ584" s="14">
        <f t="shared" si="67"/>
        <v>16397.679947422032</v>
      </c>
      <c r="BA584" s="14">
        <f t="shared" si="66"/>
        <v>0.35223072929129007</v>
      </c>
      <c r="BB584" s="14">
        <f t="shared" si="61"/>
        <v>46553.802901908006</v>
      </c>
      <c r="BC584" s="344"/>
      <c r="BD584" s="344"/>
      <c r="BE584" s="344"/>
      <c r="BF584" s="344"/>
      <c r="BG584" s="344"/>
      <c r="BH584" s="344"/>
      <c r="BI584" s="344"/>
      <c r="BJ584" s="344"/>
      <c r="BK584" s="344"/>
      <c r="BL584" s="344"/>
      <c r="BM584" s="344"/>
      <c r="BN584" s="344"/>
      <c r="BO584" s="344"/>
      <c r="BP584" s="14"/>
      <c r="BQ584" s="14"/>
      <c r="BR584" s="14"/>
      <c r="BS584" s="14"/>
      <c r="BT584" s="14"/>
      <c r="BU584" s="14"/>
      <c r="BV584" s="14"/>
      <c r="BW584" s="14"/>
      <c r="BX584" s="14"/>
      <c r="BY584" s="14"/>
      <c r="BZ584" s="14"/>
      <c r="CA584" s="14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</row>
    <row r="585" spans="1:101" ht="14.25" customHeight="1" x14ac:dyDescent="0.2">
      <c r="A585" s="328"/>
      <c r="B585" s="52">
        <v>0.15974693784422977</v>
      </c>
      <c r="C585" s="330">
        <v>0.48008497836513842</v>
      </c>
      <c r="D585" s="330">
        <v>8.6124396265303011E-3</v>
      </c>
      <c r="E585" s="330">
        <v>9.2531949470293449E-3</v>
      </c>
      <c r="F585" s="331">
        <v>0.76777599431708154</v>
      </c>
      <c r="G585" s="94">
        <v>0.43197842249028251</v>
      </c>
      <c r="H585" s="330">
        <v>3.4346979779704884E-2</v>
      </c>
      <c r="I585" s="330">
        <v>2.4677039189837657E-2</v>
      </c>
      <c r="J585" s="330">
        <v>0.99999999991699307</v>
      </c>
      <c r="K585" s="330">
        <v>0.65654028895234051</v>
      </c>
      <c r="L585" s="332">
        <v>9733.3192836016133</v>
      </c>
      <c r="M585" s="330">
        <v>0</v>
      </c>
      <c r="N585" s="330">
        <v>14594.455538065322</v>
      </c>
      <c r="O585" s="330">
        <v>922.87988256972415</v>
      </c>
      <c r="P585" s="330">
        <v>55564.578961293715</v>
      </c>
      <c r="Q585" s="333">
        <v>117098.44676974234</v>
      </c>
      <c r="R585" s="330">
        <v>21508.778569132421</v>
      </c>
      <c r="S585" s="330">
        <v>8246.8376688774842</v>
      </c>
      <c r="T585" s="332">
        <v>0.30156558087926066</v>
      </c>
      <c r="U585" s="330">
        <v>0.97000013090675574</v>
      </c>
      <c r="V585" s="330">
        <v>0.9938297536207148</v>
      </c>
      <c r="W585" s="330">
        <v>0.40742761355291784</v>
      </c>
      <c r="X585" s="330">
        <v>0.92427372080402037</v>
      </c>
      <c r="Y585" s="330">
        <v>0</v>
      </c>
      <c r="Z585" s="331">
        <v>0</v>
      </c>
      <c r="AA585" s="235"/>
      <c r="AB585" s="335">
        <v>79639.493019879781</v>
      </c>
      <c r="AC585" s="336">
        <v>4.4497575664300486</v>
      </c>
      <c r="AD585" s="337">
        <v>60919.124977118205</v>
      </c>
      <c r="AE585" s="336">
        <v>3.7422880761219628</v>
      </c>
      <c r="AF585" s="337">
        <v>18720.368042761576</v>
      </c>
      <c r="AG585" s="338">
        <v>0.70746949030808581</v>
      </c>
      <c r="AH585" s="235"/>
      <c r="AI585" s="208">
        <f t="shared" si="62"/>
        <v>4147630.1950886659</v>
      </c>
      <c r="AJ585" s="208">
        <f t="shared" si="63"/>
        <v>3494254.5473387465</v>
      </c>
      <c r="AK585" s="208">
        <f t="shared" si="64"/>
        <v>653375.64774991991</v>
      </c>
      <c r="AL585" s="235"/>
      <c r="AM585" s="52">
        <f t="shared" si="58"/>
        <v>1</v>
      </c>
      <c r="AN585" s="52">
        <f t="shared" si="59"/>
        <v>0</v>
      </c>
      <c r="AO585" s="52">
        <f t="shared" si="60"/>
        <v>1</v>
      </c>
      <c r="AP585" s="235"/>
      <c r="AQ585" s="28"/>
      <c r="AR585" s="28"/>
      <c r="AS585" s="28"/>
      <c r="AT585" s="28"/>
      <c r="AU585" s="235"/>
      <c r="AV585" s="360">
        <f t="shared" si="65"/>
        <v>4147630.1950886659</v>
      </c>
      <c r="AW585" s="235"/>
      <c r="AX585" s="355"/>
      <c r="AY585" s="344"/>
      <c r="AZ585" s="14">
        <f t="shared" si="67"/>
        <v>18720.368042761576</v>
      </c>
      <c r="BA585" s="14">
        <f t="shared" si="66"/>
        <v>0.70746949030808581</v>
      </c>
      <c r="BB585" s="14">
        <f t="shared" si="61"/>
        <v>26461.025244508157</v>
      </c>
      <c r="BC585" s="344"/>
      <c r="BD585" s="344"/>
      <c r="BE585" s="344"/>
      <c r="BF585" s="344"/>
      <c r="BG585" s="344"/>
      <c r="BH585" s="344"/>
      <c r="BI585" s="344"/>
      <c r="BJ585" s="344"/>
      <c r="BK585" s="344"/>
      <c r="BL585" s="344"/>
      <c r="BM585" s="344"/>
      <c r="BN585" s="344"/>
      <c r="BO585" s="344"/>
      <c r="BP585" s="14"/>
      <c r="BQ585" s="14"/>
      <c r="BR585" s="14"/>
      <c r="BS585" s="14"/>
      <c r="BT585" s="14"/>
      <c r="BU585" s="14"/>
      <c r="BV585" s="14"/>
      <c r="BW585" s="14"/>
      <c r="BX585" s="14"/>
      <c r="BY585" s="14"/>
      <c r="BZ585" s="14"/>
      <c r="CA585" s="14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</row>
    <row r="586" spans="1:101" ht="14.25" customHeight="1" x14ac:dyDescent="0.2">
      <c r="A586" s="328"/>
      <c r="B586" s="52">
        <v>0.17212708238723662</v>
      </c>
      <c r="C586" s="330">
        <v>0.14280989125423077</v>
      </c>
      <c r="D586" s="330">
        <v>1.7405099046459149E-2</v>
      </c>
      <c r="E586" s="330">
        <v>1.7544359305336266E-2</v>
      </c>
      <c r="F586" s="331">
        <v>0.76881814865810394</v>
      </c>
      <c r="G586" s="94">
        <v>0.48753607539149879</v>
      </c>
      <c r="H586" s="330">
        <v>0.78786652290102277</v>
      </c>
      <c r="I586" s="330">
        <v>1.9841555318321102E-2</v>
      </c>
      <c r="J586" s="330">
        <v>0.9374207419187659</v>
      </c>
      <c r="K586" s="330">
        <v>0.75777050465360096</v>
      </c>
      <c r="L586" s="332">
        <v>10043.147275897285</v>
      </c>
      <c r="M586" s="330">
        <v>0</v>
      </c>
      <c r="N586" s="330">
        <v>22289.362931760275</v>
      </c>
      <c r="O586" s="330">
        <v>1598.1137808415069</v>
      </c>
      <c r="P586" s="330">
        <v>32465.969288536195</v>
      </c>
      <c r="Q586" s="333">
        <v>95753.948397070912</v>
      </c>
      <c r="R586" s="330">
        <v>20986.381098742346</v>
      </c>
      <c r="S586" s="330">
        <v>8153.9870547921373</v>
      </c>
      <c r="T586" s="332">
        <v>0.72670755017125221</v>
      </c>
      <c r="U586" s="330">
        <v>0.98699456675426411</v>
      </c>
      <c r="V586" s="330">
        <v>0.81719149539751001</v>
      </c>
      <c r="W586" s="330">
        <v>0.93537320844385308</v>
      </c>
      <c r="X586" s="330">
        <v>0.99987990218805189</v>
      </c>
      <c r="Y586" s="330">
        <v>0</v>
      </c>
      <c r="Z586" s="331">
        <v>0</v>
      </c>
      <c r="AA586" s="235"/>
      <c r="AB586" s="335">
        <v>78397.22014490224</v>
      </c>
      <c r="AC586" s="336">
        <v>4.840021295592301</v>
      </c>
      <c r="AD586" s="337">
        <v>76438.812438272507</v>
      </c>
      <c r="AE586" s="336">
        <v>4.6161048646034182</v>
      </c>
      <c r="AF586" s="337">
        <v>1958.4077066297323</v>
      </c>
      <c r="AG586" s="338">
        <v>0.22391643098888281</v>
      </c>
      <c r="AH586" s="235"/>
      <c r="AI586" s="208">
        <f t="shared" si="62"/>
        <v>4519623.0106677832</v>
      </c>
      <c r="AJ586" s="208">
        <f t="shared" si="63"/>
        <v>4308860.8089349745</v>
      </c>
      <c r="AK586" s="208">
        <f t="shared" si="64"/>
        <v>210762.20173280896</v>
      </c>
      <c r="AL586" s="235"/>
      <c r="AM586" s="52">
        <f t="shared" si="58"/>
        <v>1</v>
      </c>
      <c r="AN586" s="52">
        <f t="shared" si="59"/>
        <v>0</v>
      </c>
      <c r="AO586" s="52">
        <f t="shared" si="60"/>
        <v>1</v>
      </c>
      <c r="AP586" s="235"/>
      <c r="AQ586" s="28"/>
      <c r="AR586" s="28"/>
      <c r="AS586" s="28"/>
      <c r="AT586" s="28"/>
      <c r="AU586" s="235"/>
      <c r="AV586" s="360">
        <f t="shared" si="65"/>
        <v>4519623.0106677832</v>
      </c>
      <c r="AW586" s="235"/>
      <c r="AX586" s="355"/>
      <c r="AY586" s="344"/>
      <c r="AZ586" s="14">
        <f t="shared" si="67"/>
        <v>1958.4077066297323</v>
      </c>
      <c r="BA586" s="14">
        <f t="shared" si="66"/>
        <v>0.22391643098888281</v>
      </c>
      <c r="BB586" s="14">
        <f t="shared" si="61"/>
        <v>8746.1545272975745</v>
      </c>
      <c r="BC586" s="344"/>
      <c r="BD586" s="344"/>
      <c r="BE586" s="344"/>
      <c r="BF586" s="344"/>
      <c r="BG586" s="344"/>
      <c r="BH586" s="344"/>
      <c r="BI586" s="344"/>
      <c r="BJ586" s="344"/>
      <c r="BK586" s="344"/>
      <c r="BL586" s="344"/>
      <c r="BM586" s="344"/>
      <c r="BN586" s="344"/>
      <c r="BO586" s="344"/>
      <c r="BP586" s="14"/>
      <c r="BQ586" s="14"/>
      <c r="BR586" s="14"/>
      <c r="BS586" s="14"/>
      <c r="BT586" s="14"/>
      <c r="BU586" s="14"/>
      <c r="BV586" s="14"/>
      <c r="BW586" s="14"/>
      <c r="BX586" s="14"/>
      <c r="BY586" s="14"/>
      <c r="BZ586" s="14"/>
      <c r="CA586" s="14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</row>
    <row r="587" spans="1:101" ht="14.25" customHeight="1" x14ac:dyDescent="0.2">
      <c r="A587" s="328"/>
      <c r="B587" s="52">
        <v>0.16663303880187352</v>
      </c>
      <c r="C587" s="330">
        <v>0.68544870830676263</v>
      </c>
      <c r="D587" s="330">
        <v>1.7584561627347228E-2</v>
      </c>
      <c r="E587" s="330">
        <v>2.1298259192538693E-2</v>
      </c>
      <c r="F587" s="331">
        <v>0.83345554221594309</v>
      </c>
      <c r="G587" s="94">
        <v>0.42645610632340059</v>
      </c>
      <c r="H587" s="330">
        <v>0.85057492708549409</v>
      </c>
      <c r="I587" s="330">
        <v>1.4499599018712105E-2</v>
      </c>
      <c r="J587" s="330">
        <v>0.99672573247613494</v>
      </c>
      <c r="K587" s="330">
        <v>0.67424906806935692</v>
      </c>
      <c r="L587" s="332">
        <v>8678.6645724073278</v>
      </c>
      <c r="M587" s="330">
        <v>0</v>
      </c>
      <c r="N587" s="330">
        <v>16616.357470623527</v>
      </c>
      <c r="O587" s="330">
        <v>1268.8028156566991</v>
      </c>
      <c r="P587" s="330">
        <v>33095.152956001482</v>
      </c>
      <c r="Q587" s="333">
        <v>104949.35891674041</v>
      </c>
      <c r="R587" s="330">
        <v>30413.635657413914</v>
      </c>
      <c r="S587" s="330">
        <v>8235.1311375707392</v>
      </c>
      <c r="T587" s="332">
        <v>0.9877115041909077</v>
      </c>
      <c r="U587" s="330">
        <v>0.13357227484393272</v>
      </c>
      <c r="V587" s="330">
        <v>0.22921084439019834</v>
      </c>
      <c r="W587" s="330">
        <v>0.73604150774005928</v>
      </c>
      <c r="X587" s="330">
        <v>0.98976741422937864</v>
      </c>
      <c r="Y587" s="330">
        <v>0</v>
      </c>
      <c r="Z587" s="331">
        <v>0</v>
      </c>
      <c r="AA587" s="235"/>
      <c r="AB587" s="335">
        <v>86329.554916870402</v>
      </c>
      <c r="AC587" s="336">
        <v>5.1157789336263884</v>
      </c>
      <c r="AD587" s="337">
        <v>72082.868597101769</v>
      </c>
      <c r="AE587" s="336">
        <v>4.0358024702998163</v>
      </c>
      <c r="AF587" s="337">
        <v>14246.686319768633</v>
      </c>
      <c r="AG587" s="338">
        <v>1.079976463326572</v>
      </c>
      <c r="AH587" s="235"/>
      <c r="AI587" s="208">
        <f t="shared" si="62"/>
        <v>4773660.4320281986</v>
      </c>
      <c r="AJ587" s="208">
        <f t="shared" si="63"/>
        <v>3761929.4781877236</v>
      </c>
      <c r="AK587" s="208">
        <f t="shared" si="64"/>
        <v>1011730.9538404748</v>
      </c>
      <c r="AL587" s="235"/>
      <c r="AM587" s="52">
        <f t="shared" si="58"/>
        <v>1</v>
      </c>
      <c r="AN587" s="52">
        <f t="shared" si="59"/>
        <v>0</v>
      </c>
      <c r="AO587" s="52">
        <f t="shared" si="60"/>
        <v>1</v>
      </c>
      <c r="AP587" s="235"/>
      <c r="AQ587" s="28"/>
      <c r="AR587" s="28"/>
      <c r="AS587" s="28"/>
      <c r="AT587" s="28"/>
      <c r="AU587" s="235"/>
      <c r="AV587" s="360">
        <f t="shared" si="65"/>
        <v>4773660.4320281986</v>
      </c>
      <c r="AW587" s="235"/>
      <c r="AX587" s="355"/>
      <c r="AY587" s="344"/>
      <c r="AZ587" s="14">
        <f t="shared" si="67"/>
        <v>14246.686319768633</v>
      </c>
      <c r="BA587" s="14">
        <f t="shared" si="66"/>
        <v>1.079976463326572</v>
      </c>
      <c r="BB587" s="14">
        <f t="shared" si="61"/>
        <v>13191.663710786448</v>
      </c>
      <c r="BC587" s="344"/>
      <c r="BD587" s="344"/>
      <c r="BE587" s="344"/>
      <c r="BF587" s="344"/>
      <c r="BG587" s="344"/>
      <c r="BH587" s="344"/>
      <c r="BI587" s="344"/>
      <c r="BJ587" s="344"/>
      <c r="BK587" s="344"/>
      <c r="BL587" s="344"/>
      <c r="BM587" s="344"/>
      <c r="BN587" s="344"/>
      <c r="BO587" s="344"/>
      <c r="BP587" s="14"/>
      <c r="BQ587" s="14"/>
      <c r="BR587" s="14"/>
      <c r="BS587" s="14"/>
      <c r="BT587" s="14"/>
      <c r="BU587" s="14"/>
      <c r="BV587" s="14"/>
      <c r="BW587" s="14"/>
      <c r="BX587" s="14"/>
      <c r="BY587" s="14"/>
      <c r="BZ587" s="14"/>
      <c r="CA587" s="14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</row>
    <row r="588" spans="1:101" ht="14.25" customHeight="1" x14ac:dyDescent="0.2">
      <c r="A588" s="328"/>
      <c r="B588" s="52">
        <v>0.16959369098255961</v>
      </c>
      <c r="C588" s="330">
        <v>5.7382519560354424E-3</v>
      </c>
      <c r="D588" s="330">
        <v>1.8441114097385913E-2</v>
      </c>
      <c r="E588" s="330">
        <v>2.8491703362423904E-2</v>
      </c>
      <c r="F588" s="331">
        <v>0.77016158681162383</v>
      </c>
      <c r="G588" s="94">
        <v>0.42450165119417449</v>
      </c>
      <c r="H588" s="330">
        <v>0.62908869273474433</v>
      </c>
      <c r="I588" s="330">
        <v>1.4982494855822223E-2</v>
      </c>
      <c r="J588" s="330">
        <v>0.99997755399639121</v>
      </c>
      <c r="K588" s="330">
        <v>0.72742291249835223</v>
      </c>
      <c r="L588" s="332">
        <v>12496.603262820418</v>
      </c>
      <c r="M588" s="330">
        <v>0</v>
      </c>
      <c r="N588" s="330">
        <v>21501.573629478815</v>
      </c>
      <c r="O588" s="330">
        <v>1065.9104618038118</v>
      </c>
      <c r="P588" s="330">
        <v>42841.223840399769</v>
      </c>
      <c r="Q588" s="333">
        <v>103304.64236874724</v>
      </c>
      <c r="R588" s="330">
        <v>27798.299952522379</v>
      </c>
      <c r="S588" s="330">
        <v>6703.2155703857243</v>
      </c>
      <c r="T588" s="332">
        <v>0.14114360192782655</v>
      </c>
      <c r="U588" s="330">
        <v>0.59201327085128586</v>
      </c>
      <c r="V588" s="330">
        <v>0.96892205242584972</v>
      </c>
      <c r="W588" s="330">
        <v>0.76170993666621445</v>
      </c>
      <c r="X588" s="330">
        <v>0.52769140057538022</v>
      </c>
      <c r="Y588" s="330">
        <v>0</v>
      </c>
      <c r="Z588" s="331">
        <v>0</v>
      </c>
      <c r="AA588" s="235"/>
      <c r="AB588" s="335">
        <v>68433.861916063295</v>
      </c>
      <c r="AC588" s="336">
        <v>2.456771803160172</v>
      </c>
      <c r="AD588" s="337">
        <v>61158.292935621866</v>
      </c>
      <c r="AE588" s="336">
        <v>2.5214118459148787</v>
      </c>
      <c r="AF588" s="337">
        <v>7275.5689804414287</v>
      </c>
      <c r="AG588" s="338">
        <v>-6.4640042754706695E-2</v>
      </c>
      <c r="AH588" s="235"/>
      <c r="AI588" s="208">
        <f t="shared" si="62"/>
        <v>2265499.3510861001</v>
      </c>
      <c r="AJ588" s="208">
        <f t="shared" si="63"/>
        <v>2334182.960683513</v>
      </c>
      <c r="AK588" s="208">
        <f t="shared" si="64"/>
        <v>-68683.609597412782</v>
      </c>
      <c r="AL588" s="235"/>
      <c r="AM588" s="52">
        <f t="shared" si="58"/>
        <v>0</v>
      </c>
      <c r="AN588" s="52">
        <f t="shared" si="59"/>
        <v>1</v>
      </c>
      <c r="AO588" s="52">
        <f t="shared" si="60"/>
        <v>0</v>
      </c>
      <c r="AP588" s="235"/>
      <c r="AQ588" s="28"/>
      <c r="AR588" s="28"/>
      <c r="AS588" s="28"/>
      <c r="AT588" s="28"/>
      <c r="AU588" s="235"/>
      <c r="AV588" s="360">
        <f t="shared" si="65"/>
        <v>2334182.960683513</v>
      </c>
      <c r="AW588" s="235"/>
      <c r="AX588" s="355"/>
      <c r="AY588" s="344"/>
      <c r="AZ588" s="14">
        <f t="shared" si="67"/>
        <v>7275.5689804414287</v>
      </c>
      <c r="BA588" s="14">
        <f t="shared" si="66"/>
        <v>-6.4640042754706695E-2</v>
      </c>
      <c r="BB588" s="14">
        <f t="shared" si="61"/>
        <v>-112555.13874040045</v>
      </c>
      <c r="BC588" s="344"/>
      <c r="BD588" s="344"/>
      <c r="BE588" s="344"/>
      <c r="BF588" s="344"/>
      <c r="BG588" s="344"/>
      <c r="BH588" s="344"/>
      <c r="BI588" s="344"/>
      <c r="BJ588" s="344"/>
      <c r="BK588" s="344"/>
      <c r="BL588" s="344"/>
      <c r="BM588" s="344"/>
      <c r="BN588" s="344"/>
      <c r="BO588" s="344"/>
      <c r="BP588" s="14"/>
      <c r="BQ588" s="14"/>
      <c r="BR588" s="14"/>
      <c r="BS588" s="14"/>
      <c r="BT588" s="14"/>
      <c r="BU588" s="14"/>
      <c r="BV588" s="14"/>
      <c r="BW588" s="14"/>
      <c r="BX588" s="14"/>
      <c r="BY588" s="14"/>
      <c r="BZ588" s="14"/>
      <c r="CA588" s="14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</row>
    <row r="589" spans="1:101" ht="14.25" customHeight="1" x14ac:dyDescent="0.2">
      <c r="A589" s="328"/>
      <c r="B589" s="52">
        <v>0.18283855556020467</v>
      </c>
      <c r="C589" s="330">
        <v>0.4602106929875377</v>
      </c>
      <c r="D589" s="330">
        <v>2.3323843210535045E-2</v>
      </c>
      <c r="E589" s="330">
        <v>1.6381926251292089E-2</v>
      </c>
      <c r="F589" s="331">
        <v>0.78389268557264247</v>
      </c>
      <c r="G589" s="94">
        <v>0.37204668905419852</v>
      </c>
      <c r="H589" s="330">
        <v>0.69594396169408546</v>
      </c>
      <c r="I589" s="330">
        <v>3.1181147274065513E-2</v>
      </c>
      <c r="J589" s="330">
        <v>0.99999999708384446</v>
      </c>
      <c r="K589" s="330">
        <v>0.76167062757568638</v>
      </c>
      <c r="L589" s="332">
        <v>14358.244072889345</v>
      </c>
      <c r="M589" s="330">
        <v>0</v>
      </c>
      <c r="N589" s="330">
        <v>18410.0937915822</v>
      </c>
      <c r="O589" s="330">
        <v>938.58661569175422</v>
      </c>
      <c r="P589" s="330">
        <v>29982.177207014989</v>
      </c>
      <c r="Q589" s="333">
        <v>104678.94261395963</v>
      </c>
      <c r="R589" s="330">
        <v>21200.499824249193</v>
      </c>
      <c r="S589" s="330">
        <v>11666.193607115338</v>
      </c>
      <c r="T589" s="332">
        <v>0.1463169718050879</v>
      </c>
      <c r="U589" s="330">
        <v>0.53840434907525059</v>
      </c>
      <c r="V589" s="330">
        <v>0.42717265233165602</v>
      </c>
      <c r="W589" s="330">
        <v>0.98449560322203955</v>
      </c>
      <c r="X589" s="330">
        <v>0.97253385156938932</v>
      </c>
      <c r="Y589" s="330">
        <v>0</v>
      </c>
      <c r="Z589" s="331">
        <v>0</v>
      </c>
      <c r="AA589" s="235"/>
      <c r="AB589" s="335">
        <v>114901.11848666194</v>
      </c>
      <c r="AC589" s="336">
        <v>4.6416758963200095</v>
      </c>
      <c r="AD589" s="337">
        <v>102911.82944120772</v>
      </c>
      <c r="AE589" s="336">
        <v>4.619235948407745</v>
      </c>
      <c r="AF589" s="337">
        <v>11989.289045454221</v>
      </c>
      <c r="AG589" s="338">
        <v>2.2439947912264557E-2</v>
      </c>
      <c r="AH589" s="235"/>
      <c r="AI589" s="208">
        <f t="shared" si="62"/>
        <v>4294690.9830173468</v>
      </c>
      <c r="AJ589" s="208">
        <f t="shared" si="63"/>
        <v>4285362.3215461504</v>
      </c>
      <c r="AK589" s="208">
        <f t="shared" si="64"/>
        <v>9328.6614711971088</v>
      </c>
      <c r="AL589" s="235"/>
      <c r="AM589" s="52">
        <f t="shared" si="58"/>
        <v>1</v>
      </c>
      <c r="AN589" s="52">
        <f t="shared" si="59"/>
        <v>0</v>
      </c>
      <c r="AO589" s="52">
        <f t="shared" si="60"/>
        <v>1</v>
      </c>
      <c r="AP589" s="235"/>
      <c r="AQ589" s="28"/>
      <c r="AR589" s="28"/>
      <c r="AS589" s="28"/>
      <c r="AT589" s="28"/>
      <c r="AU589" s="235"/>
      <c r="AV589" s="360">
        <f t="shared" si="65"/>
        <v>4294690.9830173468</v>
      </c>
      <c r="AW589" s="235"/>
      <c r="AX589" s="355"/>
      <c r="AY589" s="344"/>
      <c r="AZ589" s="14">
        <f t="shared" si="67"/>
        <v>11989.289045454221</v>
      </c>
      <c r="BA589" s="14">
        <f t="shared" si="66"/>
        <v>2.2439947912264557E-2</v>
      </c>
      <c r="BB589" s="14">
        <f t="shared" si="61"/>
        <v>534283.28320234083</v>
      </c>
      <c r="BC589" s="344"/>
      <c r="BD589" s="344"/>
      <c r="BE589" s="344"/>
      <c r="BF589" s="344"/>
      <c r="BG589" s="344"/>
      <c r="BH589" s="344"/>
      <c r="BI589" s="344"/>
      <c r="BJ589" s="344"/>
      <c r="BK589" s="344"/>
      <c r="BL589" s="344"/>
      <c r="BM589" s="344"/>
      <c r="BN589" s="344"/>
      <c r="BO589" s="344"/>
      <c r="BP589" s="14"/>
      <c r="BQ589" s="14"/>
      <c r="BR589" s="14"/>
      <c r="BS589" s="14"/>
      <c r="BT589" s="14"/>
      <c r="BU589" s="14"/>
      <c r="BV589" s="14"/>
      <c r="BW589" s="14"/>
      <c r="BX589" s="14"/>
      <c r="BY589" s="14"/>
      <c r="BZ589" s="14"/>
      <c r="CA589" s="14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</row>
    <row r="590" spans="1:101" ht="14.25" customHeight="1" x14ac:dyDescent="0.2">
      <c r="A590" s="328"/>
      <c r="B590" s="52">
        <v>0.16769839256062247</v>
      </c>
      <c r="C590" s="330">
        <v>0.18231184545412144</v>
      </c>
      <c r="D590" s="330">
        <v>1.5752885693984808E-2</v>
      </c>
      <c r="E590" s="330">
        <v>1.3643478369623537E-2</v>
      </c>
      <c r="F590" s="331">
        <v>0.79969893659242997</v>
      </c>
      <c r="G590" s="94">
        <v>0.33710056755408219</v>
      </c>
      <c r="H590" s="330">
        <v>0.81131759328702124</v>
      </c>
      <c r="I590" s="330">
        <v>1.6435602096646962E-2</v>
      </c>
      <c r="J590" s="330">
        <v>0.94284717112705274</v>
      </c>
      <c r="K590" s="330">
        <v>0.78868758068466782</v>
      </c>
      <c r="L590" s="332">
        <v>14296.509308460543</v>
      </c>
      <c r="M590" s="330">
        <v>0</v>
      </c>
      <c r="N590" s="330">
        <v>15912.122143583096</v>
      </c>
      <c r="O590" s="330">
        <v>763.82477921797738</v>
      </c>
      <c r="P590" s="330">
        <v>57272.21428605853</v>
      </c>
      <c r="Q590" s="333">
        <v>106058.45245576059</v>
      </c>
      <c r="R590" s="330">
        <v>21516.904467508404</v>
      </c>
      <c r="S590" s="330">
        <v>9217.483551835252</v>
      </c>
      <c r="T590" s="332">
        <v>0.94053946660079113</v>
      </c>
      <c r="U590" s="330">
        <v>0.38971559953327506</v>
      </c>
      <c r="V590" s="330">
        <v>0.92733958391030546</v>
      </c>
      <c r="W590" s="330">
        <v>0.9239373953299147</v>
      </c>
      <c r="X590" s="330">
        <v>0.99459470730263988</v>
      </c>
      <c r="Y590" s="330">
        <v>0</v>
      </c>
      <c r="Z590" s="331">
        <v>0</v>
      </c>
      <c r="AA590" s="235"/>
      <c r="AB590" s="335">
        <v>94467.440947611263</v>
      </c>
      <c r="AC590" s="336">
        <v>4.9842562524011926</v>
      </c>
      <c r="AD590" s="337">
        <v>85050.18172681742</v>
      </c>
      <c r="AE590" s="336">
        <v>4.9010587368052629</v>
      </c>
      <c r="AF590" s="337">
        <v>9417.2592207938433</v>
      </c>
      <c r="AG590" s="338">
        <v>8.3197515595929694E-2</v>
      </c>
      <c r="AH590" s="235"/>
      <c r="AI590" s="208">
        <f t="shared" ref="AI590:AI653" si="68">AC590*cRatio-AB590</f>
        <v>4640575.9988335222</v>
      </c>
      <c r="AJ590" s="208">
        <f t="shared" ref="AJ590:AJ653" si="69">AE590*cRatio-AD590</f>
        <v>4570955.6182381827</v>
      </c>
      <c r="AK590" s="208">
        <f t="shared" ref="AK590:AK653" si="70">AG590*cRatio-AF590</f>
        <v>69620.38059533936</v>
      </c>
      <c r="AL590" s="235"/>
      <c r="AM590" s="52">
        <f t="shared" si="58"/>
        <v>1</v>
      </c>
      <c r="AN590" s="52">
        <f t="shared" si="59"/>
        <v>0</v>
      </c>
      <c r="AO590" s="52">
        <f t="shared" si="60"/>
        <v>1</v>
      </c>
      <c r="AP590" s="235"/>
      <c r="AQ590" s="28"/>
      <c r="AR590" s="28"/>
      <c r="AS590" s="28"/>
      <c r="AT590" s="28"/>
      <c r="AU590" s="235"/>
      <c r="AV590" s="360">
        <f t="shared" si="65"/>
        <v>4640575.9988335222</v>
      </c>
      <c r="AW590" s="235"/>
      <c r="AX590" s="355"/>
      <c r="AY590" s="344"/>
      <c r="AZ590" s="14">
        <f t="shared" si="67"/>
        <v>9417.2592207938433</v>
      </c>
      <c r="BA590" s="14">
        <f t="shared" si="66"/>
        <v>8.3197515595929694E-2</v>
      </c>
      <c r="BB590" s="14">
        <f t="shared" si="61"/>
        <v>113191.5917601579</v>
      </c>
      <c r="BC590" s="344"/>
      <c r="BD590" s="344"/>
      <c r="BE590" s="344"/>
      <c r="BF590" s="344"/>
      <c r="BG590" s="344"/>
      <c r="BH590" s="344"/>
      <c r="BI590" s="344"/>
      <c r="BJ590" s="344"/>
      <c r="BK590" s="344"/>
      <c r="BL590" s="344"/>
      <c r="BM590" s="344"/>
      <c r="BN590" s="344"/>
      <c r="BO590" s="344"/>
      <c r="BP590" s="14"/>
      <c r="BQ590" s="14"/>
      <c r="BR590" s="14"/>
      <c r="BS590" s="14"/>
      <c r="BT590" s="14"/>
      <c r="BU590" s="14"/>
      <c r="BV590" s="14"/>
      <c r="BW590" s="14"/>
      <c r="BX590" s="14"/>
      <c r="BY590" s="14"/>
      <c r="BZ590" s="14"/>
      <c r="CA590" s="14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</row>
    <row r="591" spans="1:101" ht="14.25" customHeight="1" x14ac:dyDescent="0.2">
      <c r="A591" s="328"/>
      <c r="B591" s="52">
        <v>0.12825147106420448</v>
      </c>
      <c r="C591" s="330">
        <v>0.21610858215638207</v>
      </c>
      <c r="D591" s="330">
        <v>1.6786266098905545E-2</v>
      </c>
      <c r="E591" s="330">
        <v>2.6254318283224443E-2</v>
      </c>
      <c r="F591" s="331">
        <v>0.77322622774091232</v>
      </c>
      <c r="G591" s="94">
        <v>0.33958722307086392</v>
      </c>
      <c r="H591" s="330">
        <v>0.12101525395618927</v>
      </c>
      <c r="I591" s="330">
        <v>1.7198477407482926E-2</v>
      </c>
      <c r="J591" s="330">
        <v>0.99865769159338591</v>
      </c>
      <c r="K591" s="330">
        <v>0.77703029755444719</v>
      </c>
      <c r="L591" s="332">
        <v>10644.499532033924</v>
      </c>
      <c r="M591" s="330">
        <v>0</v>
      </c>
      <c r="N591" s="330">
        <v>18374.082296236968</v>
      </c>
      <c r="O591" s="330">
        <v>931.55397890946176</v>
      </c>
      <c r="P591" s="330">
        <v>35699.310109161423</v>
      </c>
      <c r="Q591" s="333">
        <v>123618.3172934928</v>
      </c>
      <c r="R591" s="330">
        <v>25065.878960843602</v>
      </c>
      <c r="S591" s="330">
        <v>7556.3247302051595</v>
      </c>
      <c r="T591" s="332">
        <v>0.99899490758091192</v>
      </c>
      <c r="U591" s="330">
        <v>0.97103002036121822</v>
      </c>
      <c r="V591" s="330">
        <v>0.99999999967188957</v>
      </c>
      <c r="W591" s="330">
        <v>0.98206635707171097</v>
      </c>
      <c r="X591" s="330">
        <v>0.99663877944606472</v>
      </c>
      <c r="Y591" s="330">
        <v>0</v>
      </c>
      <c r="Z591" s="331">
        <v>0</v>
      </c>
      <c r="AA591" s="235"/>
      <c r="AB591" s="335">
        <v>74427.779449873182</v>
      </c>
      <c r="AC591" s="336">
        <v>5.0506734346760593</v>
      </c>
      <c r="AD591" s="337">
        <v>65406.068898747995</v>
      </c>
      <c r="AE591" s="336">
        <v>4.754518532611149</v>
      </c>
      <c r="AF591" s="337">
        <v>9021.7105511251866</v>
      </c>
      <c r="AG591" s="338">
        <v>0.29615490206491035</v>
      </c>
      <c r="AH591" s="235"/>
      <c r="AI591" s="208">
        <f t="shared" si="68"/>
        <v>4723711.9834923828</v>
      </c>
      <c r="AJ591" s="208">
        <f t="shared" si="69"/>
        <v>4451386.5370818442</v>
      </c>
      <c r="AK591" s="208">
        <f t="shared" si="70"/>
        <v>272325.44641053968</v>
      </c>
      <c r="AL591" s="235"/>
      <c r="AM591" s="52">
        <f t="shared" si="58"/>
        <v>1</v>
      </c>
      <c r="AN591" s="52">
        <f t="shared" si="59"/>
        <v>0</v>
      </c>
      <c r="AO591" s="52">
        <f t="shared" si="60"/>
        <v>1</v>
      </c>
      <c r="AP591" s="235"/>
      <c r="AQ591" s="28"/>
      <c r="AR591" s="28"/>
      <c r="AS591" s="28"/>
      <c r="AT591" s="28"/>
      <c r="AU591" s="235"/>
      <c r="AV591" s="360">
        <f t="shared" ref="AV591:AV654" si="71">MAX(AI591:AJ591)</f>
        <v>4723711.9834923828</v>
      </c>
      <c r="AW591" s="235"/>
      <c r="AX591" s="355"/>
      <c r="AY591" s="344"/>
      <c r="AZ591" s="14">
        <f t="shared" si="67"/>
        <v>9021.7105511251866</v>
      </c>
      <c r="BA591" s="14">
        <f t="shared" ref="BA591:BA654" si="72">AG591</f>
        <v>0.29615490206491035</v>
      </c>
      <c r="BB591" s="14">
        <f t="shared" si="61"/>
        <v>30462.810131529866</v>
      </c>
      <c r="BC591" s="344"/>
      <c r="BD591" s="344"/>
      <c r="BE591" s="344"/>
      <c r="BF591" s="344"/>
      <c r="BG591" s="344"/>
      <c r="BH591" s="344"/>
      <c r="BI591" s="344"/>
      <c r="BJ591" s="344"/>
      <c r="BK591" s="344"/>
      <c r="BL591" s="344"/>
      <c r="BM591" s="344"/>
      <c r="BN591" s="344"/>
      <c r="BO591" s="344"/>
      <c r="BP591" s="14"/>
      <c r="BQ591" s="14"/>
      <c r="BR591" s="14"/>
      <c r="BS591" s="14"/>
      <c r="BT591" s="14"/>
      <c r="BU591" s="14"/>
      <c r="BV591" s="14"/>
      <c r="BW591" s="14"/>
      <c r="BX591" s="14"/>
      <c r="BY591" s="14"/>
      <c r="BZ591" s="14"/>
      <c r="CA591" s="14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</row>
    <row r="592" spans="1:101" ht="14.25" customHeight="1" x14ac:dyDescent="0.2">
      <c r="A592" s="328"/>
      <c r="B592" s="52">
        <v>0.14586971454763917</v>
      </c>
      <c r="C592" s="330">
        <v>0.11147129358433813</v>
      </c>
      <c r="D592" s="330">
        <v>6.8359253836176312E-3</v>
      </c>
      <c r="E592" s="330">
        <v>1.4206168740758524E-2</v>
      </c>
      <c r="F592" s="331">
        <v>0.80416429049932081</v>
      </c>
      <c r="G592" s="94">
        <v>0.37053555172520902</v>
      </c>
      <c r="H592" s="330">
        <v>0.8789765472339286</v>
      </c>
      <c r="I592" s="330">
        <v>8.6553161284626222E-3</v>
      </c>
      <c r="J592" s="330">
        <v>0.9990567808439671</v>
      </c>
      <c r="K592" s="330">
        <v>0.77414655202773908</v>
      </c>
      <c r="L592" s="332">
        <v>13865.833525744263</v>
      </c>
      <c r="M592" s="330">
        <v>0</v>
      </c>
      <c r="N592" s="330">
        <v>16765.021838012879</v>
      </c>
      <c r="O592" s="330">
        <v>959.89130683617952</v>
      </c>
      <c r="P592" s="330">
        <v>44150.632136269829</v>
      </c>
      <c r="Q592" s="333">
        <v>91697.628925867088</v>
      </c>
      <c r="R592" s="330">
        <v>19602.432438423057</v>
      </c>
      <c r="S592" s="330">
        <v>8541.9008457212476</v>
      </c>
      <c r="T592" s="332">
        <v>0.99951688742637712</v>
      </c>
      <c r="U592" s="330">
        <v>0.76074798505084595</v>
      </c>
      <c r="V592" s="330">
        <v>0.99696201768908421</v>
      </c>
      <c r="W592" s="330">
        <v>0.99995303895661736</v>
      </c>
      <c r="X592" s="330">
        <v>0.11978928409509317</v>
      </c>
      <c r="Y592" s="330">
        <v>0</v>
      </c>
      <c r="Z592" s="331">
        <v>0</v>
      </c>
      <c r="AA592" s="235"/>
      <c r="AB592" s="335">
        <v>88130.704319731318</v>
      </c>
      <c r="AC592" s="336">
        <v>1.1910749380399017</v>
      </c>
      <c r="AD592" s="337">
        <v>78143.273391412105</v>
      </c>
      <c r="AE592" s="336">
        <v>0.88874128727707502</v>
      </c>
      <c r="AF592" s="337">
        <v>9987.4309283192124</v>
      </c>
      <c r="AG592" s="338">
        <v>0.3023336507628267</v>
      </c>
      <c r="AH592" s="235"/>
      <c r="AI592" s="208">
        <f t="shared" si="68"/>
        <v>1043390.4868181753</v>
      </c>
      <c r="AJ592" s="208">
        <f t="shared" si="69"/>
        <v>766160.94952180912</v>
      </c>
      <c r="AK592" s="208">
        <f t="shared" si="70"/>
        <v>277229.53729636612</v>
      </c>
      <c r="AL592" s="235"/>
      <c r="AM592" s="52">
        <f t="shared" si="58"/>
        <v>1</v>
      </c>
      <c r="AN592" s="52">
        <f t="shared" si="59"/>
        <v>0</v>
      </c>
      <c r="AO592" s="52">
        <f t="shared" si="60"/>
        <v>1</v>
      </c>
      <c r="AP592" s="235"/>
      <c r="AQ592" s="28"/>
      <c r="AR592" s="28"/>
      <c r="AS592" s="28"/>
      <c r="AT592" s="28"/>
      <c r="AU592" s="235"/>
      <c r="AV592" s="360">
        <f t="shared" si="71"/>
        <v>1043390.4868181753</v>
      </c>
      <c r="AW592" s="235"/>
      <c r="AX592" s="355"/>
      <c r="AY592" s="344"/>
      <c r="AZ592" s="14">
        <f t="shared" ref="AZ592:AZ655" si="73">AF592</f>
        <v>9987.4309283192124</v>
      </c>
      <c r="BA592" s="14">
        <f t="shared" si="72"/>
        <v>0.3023336507628267</v>
      </c>
      <c r="BB592" s="14">
        <f t="shared" si="61"/>
        <v>33034.466732762427</v>
      </c>
      <c r="BC592" s="344"/>
      <c r="BD592" s="344"/>
      <c r="BE592" s="344"/>
      <c r="BF592" s="344"/>
      <c r="BG592" s="344"/>
      <c r="BH592" s="344"/>
      <c r="BI592" s="344"/>
      <c r="BJ592" s="344"/>
      <c r="BK592" s="344"/>
      <c r="BL592" s="344"/>
      <c r="BM592" s="344"/>
      <c r="BN592" s="344"/>
      <c r="BO592" s="344"/>
      <c r="BP592" s="14"/>
      <c r="BQ592" s="14"/>
      <c r="BR592" s="14"/>
      <c r="BS592" s="14"/>
      <c r="BT592" s="14"/>
      <c r="BU592" s="14"/>
      <c r="BV592" s="14"/>
      <c r="BW592" s="14"/>
      <c r="BX592" s="14"/>
      <c r="BY592" s="14"/>
      <c r="BZ592" s="14"/>
      <c r="CA592" s="14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</row>
    <row r="593" spans="1:101" ht="14.25" customHeight="1" x14ac:dyDescent="0.2">
      <c r="A593" s="328"/>
      <c r="B593" s="52">
        <v>0.12837159886078642</v>
      </c>
      <c r="C593" s="330">
        <v>5.8892225148575811E-2</v>
      </c>
      <c r="D593" s="330">
        <v>1.1529471309329296E-2</v>
      </c>
      <c r="E593" s="330">
        <v>1.7966180562612566E-2</v>
      </c>
      <c r="F593" s="331">
        <v>0.78798806080479877</v>
      </c>
      <c r="G593" s="94">
        <v>0.33043977338856562</v>
      </c>
      <c r="H593" s="330">
        <v>0.29561625776528133</v>
      </c>
      <c r="I593" s="330">
        <v>1.7223667456833347E-2</v>
      </c>
      <c r="J593" s="330">
        <v>0.12108011235044436</v>
      </c>
      <c r="K593" s="330">
        <v>0.72231705044251693</v>
      </c>
      <c r="L593" s="332">
        <v>12504.441419990091</v>
      </c>
      <c r="M593" s="330">
        <v>0</v>
      </c>
      <c r="N593" s="330">
        <v>19335.502362815954</v>
      </c>
      <c r="O593" s="330">
        <v>1643.5740405317879</v>
      </c>
      <c r="P593" s="330">
        <v>56271.606843737958</v>
      </c>
      <c r="Q593" s="333">
        <v>82629.521869313234</v>
      </c>
      <c r="R593" s="330">
        <v>20292.542238095226</v>
      </c>
      <c r="S593" s="330">
        <v>7248.2869310503775</v>
      </c>
      <c r="T593" s="332">
        <v>0.98055154256465782</v>
      </c>
      <c r="U593" s="330">
        <v>0.84847487901997798</v>
      </c>
      <c r="V593" s="330">
        <v>0.99993905738581146</v>
      </c>
      <c r="W593" s="330">
        <v>0.26915264655009219</v>
      </c>
      <c r="X593" s="330">
        <v>6.6583634213175077E-2</v>
      </c>
      <c r="Y593" s="330">
        <v>0</v>
      </c>
      <c r="Z593" s="331">
        <v>0</v>
      </c>
      <c r="AA593" s="235"/>
      <c r="AB593" s="335">
        <v>74285.259441564544</v>
      </c>
      <c r="AC593" s="336">
        <v>0.46485557757369683</v>
      </c>
      <c r="AD593" s="337">
        <v>59204.402999950369</v>
      </c>
      <c r="AE593" s="336">
        <v>0.62165673222281581</v>
      </c>
      <c r="AF593" s="337">
        <v>15080.856441614174</v>
      </c>
      <c r="AG593" s="338">
        <v>-0.15680115464911898</v>
      </c>
      <c r="AH593" s="235"/>
      <c r="AI593" s="208">
        <f t="shared" si="68"/>
        <v>367327.53925344744</v>
      </c>
      <c r="AJ593" s="208">
        <f t="shared" si="69"/>
        <v>531369.49261172465</v>
      </c>
      <c r="AK593" s="208">
        <f t="shared" si="70"/>
        <v>-164041.95335827721</v>
      </c>
      <c r="AL593" s="235"/>
      <c r="AM593" s="52">
        <f t="shared" si="58"/>
        <v>0</v>
      </c>
      <c r="AN593" s="52">
        <f t="shared" si="59"/>
        <v>1</v>
      </c>
      <c r="AO593" s="52">
        <f t="shared" si="60"/>
        <v>0</v>
      </c>
      <c r="AP593" s="235"/>
      <c r="AQ593" s="28"/>
      <c r="AR593" s="28"/>
      <c r="AS593" s="28"/>
      <c r="AT593" s="28"/>
      <c r="AU593" s="235"/>
      <c r="AV593" s="360">
        <f t="shared" si="71"/>
        <v>531369.49261172465</v>
      </c>
      <c r="AW593" s="235"/>
      <c r="AX593" s="355"/>
      <c r="AY593" s="344"/>
      <c r="AZ593" s="14">
        <f t="shared" si="73"/>
        <v>15080.856441614174</v>
      </c>
      <c r="BA593" s="14">
        <f t="shared" si="72"/>
        <v>-0.15680115464911898</v>
      </c>
      <c r="BB593" s="14">
        <f t="shared" si="61"/>
        <v>-96178.223147407858</v>
      </c>
      <c r="BC593" s="344"/>
      <c r="BD593" s="344"/>
      <c r="BE593" s="344"/>
      <c r="BF593" s="344"/>
      <c r="BG593" s="344"/>
      <c r="BH593" s="344"/>
      <c r="BI593" s="344"/>
      <c r="BJ593" s="344"/>
      <c r="BK593" s="344"/>
      <c r="BL593" s="344"/>
      <c r="BM593" s="344"/>
      <c r="BN593" s="344"/>
      <c r="BO593" s="344"/>
      <c r="BP593" s="14"/>
      <c r="BQ593" s="14"/>
      <c r="BR593" s="14"/>
      <c r="BS593" s="14"/>
      <c r="BT593" s="14"/>
      <c r="BU593" s="14"/>
      <c r="BV593" s="14"/>
      <c r="BW593" s="14"/>
      <c r="BX593" s="14"/>
      <c r="BY593" s="14"/>
      <c r="BZ593" s="14"/>
      <c r="CA593" s="14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</row>
    <row r="594" spans="1:101" ht="14.25" customHeight="1" x14ac:dyDescent="0.2">
      <c r="A594" s="328"/>
      <c r="B594" s="52">
        <v>0.17821049292198388</v>
      </c>
      <c r="C594" s="330">
        <v>0.63921153859569224</v>
      </c>
      <c r="D594" s="330">
        <v>8.6663718089735418E-3</v>
      </c>
      <c r="E594" s="330">
        <v>4.0740829938660369E-3</v>
      </c>
      <c r="F594" s="331">
        <v>0.79953816253851751</v>
      </c>
      <c r="G594" s="94">
        <v>0.38997433770228113</v>
      </c>
      <c r="H594" s="330">
        <v>8.1993679612007861E-2</v>
      </c>
      <c r="I594" s="330">
        <v>2.9234190185987829E-2</v>
      </c>
      <c r="J594" s="330">
        <v>1</v>
      </c>
      <c r="K594" s="330">
        <v>0.73243763878421686</v>
      </c>
      <c r="L594" s="332">
        <v>12760.523393863979</v>
      </c>
      <c r="M594" s="330">
        <v>0</v>
      </c>
      <c r="N594" s="330">
        <v>16480.420724883166</v>
      </c>
      <c r="O594" s="330">
        <v>776.79570735960203</v>
      </c>
      <c r="P594" s="330">
        <v>46049.133282142764</v>
      </c>
      <c r="Q594" s="333">
        <v>74105.799698222923</v>
      </c>
      <c r="R594" s="330">
        <v>27292.398667385722</v>
      </c>
      <c r="S594" s="330">
        <v>11247.20801170348</v>
      </c>
      <c r="T594" s="332">
        <v>0.54463785817851507</v>
      </c>
      <c r="U594" s="330">
        <v>0.99309012891684234</v>
      </c>
      <c r="V594" s="330">
        <v>0.95989945244244668</v>
      </c>
      <c r="W594" s="330">
        <v>0.86817781738389099</v>
      </c>
      <c r="X594" s="330">
        <v>0.16364519595684296</v>
      </c>
      <c r="Y594" s="330">
        <v>0</v>
      </c>
      <c r="Z594" s="331">
        <v>0</v>
      </c>
      <c r="AA594" s="235"/>
      <c r="AB594" s="335">
        <v>112624.16384803352</v>
      </c>
      <c r="AC594" s="336">
        <v>0.7913657836240604</v>
      </c>
      <c r="AD594" s="337">
        <v>91309.296516775939</v>
      </c>
      <c r="AE594" s="336">
        <v>0.86434871261251434</v>
      </c>
      <c r="AF594" s="337">
        <v>21314.867331257585</v>
      </c>
      <c r="AG594" s="338">
        <v>-7.2982928988453932E-2</v>
      </c>
      <c r="AH594" s="235"/>
      <c r="AI594" s="208">
        <f t="shared" si="68"/>
        <v>639173.33059482381</v>
      </c>
      <c r="AJ594" s="208">
        <f t="shared" si="69"/>
        <v>729821.9804651126</v>
      </c>
      <c r="AK594" s="208">
        <f t="shared" si="70"/>
        <v>-90648.64987028882</v>
      </c>
      <c r="AL594" s="235"/>
      <c r="AM594" s="52">
        <f t="shared" si="58"/>
        <v>0</v>
      </c>
      <c r="AN594" s="52">
        <f t="shared" si="59"/>
        <v>1</v>
      </c>
      <c r="AO594" s="52">
        <f t="shared" si="60"/>
        <v>0</v>
      </c>
      <c r="AP594" s="235"/>
      <c r="AQ594" s="28"/>
      <c r="AR594" s="28"/>
      <c r="AS594" s="28"/>
      <c r="AT594" s="28"/>
      <c r="AU594" s="235"/>
      <c r="AV594" s="360">
        <f t="shared" si="71"/>
        <v>729821.9804651126</v>
      </c>
      <c r="AW594" s="235"/>
      <c r="AX594" s="355"/>
      <c r="AY594" s="344"/>
      <c r="AZ594" s="14">
        <f t="shared" si="73"/>
        <v>21314.867331257585</v>
      </c>
      <c r="BA594" s="14">
        <f t="shared" si="72"/>
        <v>-7.2982928988453932E-2</v>
      </c>
      <c r="BB594" s="14">
        <f t="shared" si="61"/>
        <v>-292052.78037867794</v>
      </c>
      <c r="BC594" s="344"/>
      <c r="BD594" s="344"/>
      <c r="BE594" s="344"/>
      <c r="BF594" s="344"/>
      <c r="BG594" s="344"/>
      <c r="BH594" s="344"/>
      <c r="BI594" s="344"/>
      <c r="BJ594" s="344"/>
      <c r="BK594" s="344"/>
      <c r="BL594" s="344"/>
      <c r="BM594" s="344"/>
      <c r="BN594" s="344"/>
      <c r="BO594" s="344"/>
      <c r="BP594" s="14"/>
      <c r="BQ594" s="14"/>
      <c r="BR594" s="14"/>
      <c r="BS594" s="14"/>
      <c r="BT594" s="14"/>
      <c r="BU594" s="14"/>
      <c r="BV594" s="14"/>
      <c r="BW594" s="14"/>
      <c r="BX594" s="14"/>
      <c r="BY594" s="14"/>
      <c r="BZ594" s="14"/>
      <c r="CA594" s="14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</row>
    <row r="595" spans="1:101" ht="14.25" customHeight="1" x14ac:dyDescent="0.2">
      <c r="A595" s="328"/>
      <c r="B595" s="52">
        <v>0.17812801185700988</v>
      </c>
      <c r="C595" s="330">
        <v>0.69652954863879968</v>
      </c>
      <c r="D595" s="330">
        <v>2.3682093983506514E-2</v>
      </c>
      <c r="E595" s="330">
        <v>7.3525663414026549E-3</v>
      </c>
      <c r="F595" s="331">
        <v>0.77026301197443281</v>
      </c>
      <c r="G595" s="94">
        <v>0.32815587747904357</v>
      </c>
      <c r="H595" s="330">
        <v>7.1936374676300666E-2</v>
      </c>
      <c r="I595" s="330">
        <v>1.9150484855753214E-2</v>
      </c>
      <c r="J595" s="330">
        <v>0.99975487050639555</v>
      </c>
      <c r="K595" s="330">
        <v>0.7466485085421134</v>
      </c>
      <c r="L595" s="332">
        <v>16084.864930165126</v>
      </c>
      <c r="M595" s="330">
        <v>0</v>
      </c>
      <c r="N595" s="330">
        <v>15505.440340105604</v>
      </c>
      <c r="O595" s="330">
        <v>1370.7881895857649</v>
      </c>
      <c r="P595" s="330">
        <v>52345.775767473977</v>
      </c>
      <c r="Q595" s="333">
        <v>113901.60303723755</v>
      </c>
      <c r="R595" s="330">
        <v>19290.957063697901</v>
      </c>
      <c r="S595" s="330">
        <v>7553.9267620178825</v>
      </c>
      <c r="T595" s="332">
        <v>0.45981950766725405</v>
      </c>
      <c r="U595" s="330">
        <v>0.96483288384679566</v>
      </c>
      <c r="V595" s="330">
        <v>0.81934372536834443</v>
      </c>
      <c r="W595" s="330">
        <v>0.99014937360154009</v>
      </c>
      <c r="X595" s="330">
        <v>0.47220381272784767</v>
      </c>
      <c r="Y595" s="330">
        <v>0</v>
      </c>
      <c r="Z595" s="331">
        <v>0</v>
      </c>
      <c r="AA595" s="235"/>
      <c r="AB595" s="335">
        <v>81644.869835589023</v>
      </c>
      <c r="AC595" s="336">
        <v>2.337087340970796</v>
      </c>
      <c r="AD595" s="337">
        <v>62648.553574601799</v>
      </c>
      <c r="AE595" s="336">
        <v>2.3097737639485452</v>
      </c>
      <c r="AF595" s="337">
        <v>18996.316260987223</v>
      </c>
      <c r="AG595" s="338">
        <v>2.731357702225079E-2</v>
      </c>
      <c r="AH595" s="235"/>
      <c r="AI595" s="208">
        <f t="shared" si="68"/>
        <v>2138588.1040866673</v>
      </c>
      <c r="AJ595" s="208">
        <f t="shared" si="69"/>
        <v>2131636.5221765162</v>
      </c>
      <c r="AK595" s="208">
        <f t="shared" si="70"/>
        <v>6951.5819101510278</v>
      </c>
      <c r="AL595" s="235"/>
      <c r="AM595" s="52">
        <f t="shared" si="58"/>
        <v>1</v>
      </c>
      <c r="AN595" s="52">
        <f t="shared" si="59"/>
        <v>0</v>
      </c>
      <c r="AO595" s="52">
        <f t="shared" si="60"/>
        <v>1</v>
      </c>
      <c r="AP595" s="235"/>
      <c r="AQ595" s="28"/>
      <c r="AR595" s="28"/>
      <c r="AS595" s="28"/>
      <c r="AT595" s="28"/>
      <c r="AU595" s="235"/>
      <c r="AV595" s="360">
        <f t="shared" si="71"/>
        <v>2138588.1040866673</v>
      </c>
      <c r="AW595" s="235"/>
      <c r="AX595" s="355"/>
      <c r="AY595" s="344"/>
      <c r="AZ595" s="14">
        <f t="shared" si="73"/>
        <v>18996.316260987223</v>
      </c>
      <c r="BA595" s="14">
        <f t="shared" si="72"/>
        <v>2.731357702225079E-2</v>
      </c>
      <c r="BB595" s="14">
        <f t="shared" si="61"/>
        <v>695489.874706342</v>
      </c>
      <c r="BC595" s="344"/>
      <c r="BD595" s="344"/>
      <c r="BE595" s="344"/>
      <c r="BF595" s="344"/>
      <c r="BG595" s="344"/>
      <c r="BH595" s="344"/>
      <c r="BI595" s="344"/>
      <c r="BJ595" s="344"/>
      <c r="BK595" s="344"/>
      <c r="BL595" s="344"/>
      <c r="BM595" s="344"/>
      <c r="BN595" s="344"/>
      <c r="BO595" s="344"/>
      <c r="BP595" s="14"/>
      <c r="BQ595" s="14"/>
      <c r="BR595" s="14"/>
      <c r="BS595" s="14"/>
      <c r="BT595" s="14"/>
      <c r="BU595" s="14"/>
      <c r="BV595" s="14"/>
      <c r="BW595" s="14"/>
      <c r="BX595" s="14"/>
      <c r="BY595" s="14"/>
      <c r="BZ595" s="14"/>
      <c r="CA595" s="14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</row>
    <row r="596" spans="1:101" ht="14.25" customHeight="1" x14ac:dyDescent="0.2">
      <c r="A596" s="328"/>
      <c r="B596" s="52">
        <v>0.1607359519051601</v>
      </c>
      <c r="C596" s="330">
        <v>4.5848656601595102E-2</v>
      </c>
      <c r="D596" s="330">
        <v>2.2458403663679571E-2</v>
      </c>
      <c r="E596" s="330">
        <v>1.9718450498961593E-2</v>
      </c>
      <c r="F596" s="331">
        <v>0.77097408771161369</v>
      </c>
      <c r="G596" s="94">
        <v>0.40610685139597757</v>
      </c>
      <c r="H596" s="330">
        <v>0.65453818224069094</v>
      </c>
      <c r="I596" s="330">
        <v>1.0685997375199903E-2</v>
      </c>
      <c r="J596" s="330">
        <v>1</v>
      </c>
      <c r="K596" s="330">
        <v>0.77783782713573002</v>
      </c>
      <c r="L596" s="332">
        <v>8439.2986212590476</v>
      </c>
      <c r="M596" s="330">
        <v>0</v>
      </c>
      <c r="N596" s="330">
        <v>18845.020591438624</v>
      </c>
      <c r="O596" s="330">
        <v>994.59004733822837</v>
      </c>
      <c r="P596" s="330">
        <v>36072.53479178514</v>
      </c>
      <c r="Q596" s="333">
        <v>111629.44128216247</v>
      </c>
      <c r="R596" s="330">
        <v>29190.199698428169</v>
      </c>
      <c r="S596" s="330">
        <v>9544.1827026171395</v>
      </c>
      <c r="T596" s="332">
        <v>3.0642931984577491E-2</v>
      </c>
      <c r="U596" s="330">
        <v>0.98595745657962519</v>
      </c>
      <c r="V596" s="330">
        <v>0.99886955969397473</v>
      </c>
      <c r="W596" s="330">
        <v>0.98647447883058625</v>
      </c>
      <c r="X596" s="330">
        <v>0.99147712069943783</v>
      </c>
      <c r="Y596" s="330">
        <v>0</v>
      </c>
      <c r="Z596" s="331">
        <v>0</v>
      </c>
      <c r="AA596" s="235"/>
      <c r="AB596" s="335">
        <v>88184.967597277078</v>
      </c>
      <c r="AC596" s="336">
        <v>4.6304957178419262</v>
      </c>
      <c r="AD596" s="337">
        <v>88475.476163115149</v>
      </c>
      <c r="AE596" s="336">
        <v>4.8010331739227983</v>
      </c>
      <c r="AF596" s="337">
        <v>-290.50856583807035</v>
      </c>
      <c r="AG596" s="338">
        <v>-0.17053745608087212</v>
      </c>
      <c r="AH596" s="235"/>
      <c r="AI596" s="208">
        <f t="shared" si="68"/>
        <v>4310785.9643525528</v>
      </c>
      <c r="AJ596" s="208">
        <f t="shared" si="69"/>
        <v>4472506.0390635431</v>
      </c>
      <c r="AK596" s="208">
        <f t="shared" si="70"/>
        <v>-161720.07471099045</v>
      </c>
      <c r="AL596" s="235"/>
      <c r="AM596" s="52">
        <f t="shared" si="58"/>
        <v>0</v>
      </c>
      <c r="AN596" s="52">
        <f t="shared" si="59"/>
        <v>1</v>
      </c>
      <c r="AO596" s="52">
        <f t="shared" si="60"/>
        <v>0</v>
      </c>
      <c r="AP596" s="235"/>
      <c r="AQ596" s="28"/>
      <c r="AR596" s="28"/>
      <c r="AS596" s="28"/>
      <c r="AT596" s="28"/>
      <c r="AU596" s="235"/>
      <c r="AV596" s="360">
        <f t="shared" si="71"/>
        <v>4472506.0390635431</v>
      </c>
      <c r="AW596" s="235"/>
      <c r="AX596" s="355"/>
      <c r="AY596" s="344"/>
      <c r="AZ596" s="14">
        <f t="shared" si="73"/>
        <v>-290.50856583807035</v>
      </c>
      <c r="BA596" s="14">
        <f t="shared" si="72"/>
        <v>-0.17053745608087212</v>
      </c>
      <c r="BB596" s="14">
        <f t="shared" si="61"/>
        <v>1703.4883275161887</v>
      </c>
      <c r="BC596" s="344"/>
      <c r="BD596" s="344"/>
      <c r="BE596" s="344"/>
      <c r="BF596" s="344"/>
      <c r="BG596" s="344"/>
      <c r="BH596" s="344"/>
      <c r="BI596" s="344"/>
      <c r="BJ596" s="344"/>
      <c r="BK596" s="344"/>
      <c r="BL596" s="344"/>
      <c r="BM596" s="344"/>
      <c r="BN596" s="344"/>
      <c r="BO596" s="344"/>
      <c r="BP596" s="14"/>
      <c r="BQ596" s="14"/>
      <c r="BR596" s="14"/>
      <c r="BS596" s="14"/>
      <c r="BT596" s="14"/>
      <c r="BU596" s="14"/>
      <c r="BV596" s="14"/>
      <c r="BW596" s="14"/>
      <c r="BX596" s="14"/>
      <c r="BY596" s="14"/>
      <c r="BZ596" s="14"/>
      <c r="CA596" s="14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</row>
    <row r="597" spans="1:101" ht="14.25" customHeight="1" x14ac:dyDescent="0.2">
      <c r="A597" s="328"/>
      <c r="B597" s="52">
        <v>0.17790410893785213</v>
      </c>
      <c r="C597" s="330">
        <v>6.7300107008884474E-2</v>
      </c>
      <c r="D597" s="330">
        <v>8.1916790942400328E-3</v>
      </c>
      <c r="E597" s="330">
        <v>1.8161155362091952E-2</v>
      </c>
      <c r="F597" s="331">
        <v>0.80500104215456636</v>
      </c>
      <c r="G597" s="94">
        <v>0.3758009203616689</v>
      </c>
      <c r="H597" s="330">
        <v>0.5345653336196754</v>
      </c>
      <c r="I597" s="330">
        <v>1.3902527689300585E-2</v>
      </c>
      <c r="J597" s="330">
        <v>0.9999999997685638</v>
      </c>
      <c r="K597" s="330">
        <v>0.74204904797329363</v>
      </c>
      <c r="L597" s="332">
        <v>12743.858529875371</v>
      </c>
      <c r="M597" s="330">
        <v>0</v>
      </c>
      <c r="N597" s="330">
        <v>23553.366727350236</v>
      </c>
      <c r="O597" s="330">
        <v>864.87607544537718</v>
      </c>
      <c r="P597" s="330">
        <v>38390.697682349171</v>
      </c>
      <c r="Q597" s="333">
        <v>90820.035430369317</v>
      </c>
      <c r="R597" s="330">
        <v>25592.155440175491</v>
      </c>
      <c r="S597" s="330">
        <v>10720.63321575153</v>
      </c>
      <c r="T597" s="332">
        <v>0.9524310853898621</v>
      </c>
      <c r="U597" s="330">
        <v>0.99997315889236438</v>
      </c>
      <c r="V597" s="330">
        <v>0.9957864836949617</v>
      </c>
      <c r="W597" s="330">
        <v>0.12541124918505167</v>
      </c>
      <c r="X597" s="330">
        <v>0.89256595197054645</v>
      </c>
      <c r="Y597" s="330">
        <v>0</v>
      </c>
      <c r="Z597" s="331">
        <v>0</v>
      </c>
      <c r="AA597" s="235"/>
      <c r="AB597" s="335">
        <v>105949.95548110895</v>
      </c>
      <c r="AC597" s="336">
        <v>4.3498781918892124</v>
      </c>
      <c r="AD597" s="337">
        <v>91571.3582685031</v>
      </c>
      <c r="AE597" s="336">
        <v>4.2498956890355535</v>
      </c>
      <c r="AF597" s="337">
        <v>14378.597212605848</v>
      </c>
      <c r="AG597" s="338">
        <v>9.998250285365895E-2</v>
      </c>
      <c r="AH597" s="235"/>
      <c r="AI597" s="208">
        <f t="shared" si="68"/>
        <v>4026434.3268136429</v>
      </c>
      <c r="AJ597" s="208">
        <f t="shared" si="69"/>
        <v>3945829.5463152728</v>
      </c>
      <c r="AK597" s="208">
        <f t="shared" si="70"/>
        <v>80604.78049837015</v>
      </c>
      <c r="AL597" s="235"/>
      <c r="AM597" s="52">
        <f t="shared" si="58"/>
        <v>1</v>
      </c>
      <c r="AN597" s="52">
        <f t="shared" si="59"/>
        <v>0</v>
      </c>
      <c r="AO597" s="52">
        <f t="shared" si="60"/>
        <v>1</v>
      </c>
      <c r="AP597" s="235"/>
      <c r="AQ597" s="28"/>
      <c r="AR597" s="28"/>
      <c r="AS597" s="28"/>
      <c r="AT597" s="28"/>
      <c r="AU597" s="235"/>
      <c r="AV597" s="360">
        <f t="shared" si="71"/>
        <v>4026434.3268136429</v>
      </c>
      <c r="AW597" s="235"/>
      <c r="AX597" s="355"/>
      <c r="AY597" s="344"/>
      <c r="AZ597" s="14">
        <f t="shared" si="73"/>
        <v>14378.597212605848</v>
      </c>
      <c r="BA597" s="14">
        <f t="shared" si="72"/>
        <v>9.998250285365895E-2</v>
      </c>
      <c r="BB597" s="14">
        <f t="shared" si="61"/>
        <v>143811.13497079903</v>
      </c>
      <c r="BC597" s="344"/>
      <c r="BD597" s="344"/>
      <c r="BE597" s="344"/>
      <c r="BF597" s="344"/>
      <c r="BG597" s="344"/>
      <c r="BH597" s="344"/>
      <c r="BI597" s="344"/>
      <c r="BJ597" s="344"/>
      <c r="BK597" s="344"/>
      <c r="BL597" s="344"/>
      <c r="BM597" s="344"/>
      <c r="BN597" s="344"/>
      <c r="BO597" s="344"/>
      <c r="BP597" s="14"/>
      <c r="BQ597" s="14"/>
      <c r="BR597" s="14"/>
      <c r="BS597" s="14"/>
      <c r="BT597" s="14"/>
      <c r="BU597" s="14"/>
      <c r="BV597" s="14"/>
      <c r="BW597" s="14"/>
      <c r="BX597" s="14"/>
      <c r="BY597" s="14"/>
      <c r="BZ597" s="14"/>
      <c r="CA597" s="14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</row>
    <row r="598" spans="1:101" ht="14.25" customHeight="1" x14ac:dyDescent="0.2">
      <c r="A598" s="328"/>
      <c r="B598" s="52">
        <v>0.17364529647232541</v>
      </c>
      <c r="C598" s="330">
        <v>2.8435394282687043E-2</v>
      </c>
      <c r="D598" s="330">
        <v>9.0231655599902379E-3</v>
      </c>
      <c r="E598" s="330">
        <v>1.1378860849961873E-2</v>
      </c>
      <c r="F598" s="331">
        <v>0.77710273909263095</v>
      </c>
      <c r="G598" s="94">
        <v>0.40074343767665721</v>
      </c>
      <c r="H598" s="330">
        <v>0.99195893965102844</v>
      </c>
      <c r="I598" s="330">
        <v>1.3707452762152201E-2</v>
      </c>
      <c r="J598" s="330">
        <v>0.9999991807703833</v>
      </c>
      <c r="K598" s="330">
        <v>0.77061057102229036</v>
      </c>
      <c r="L598" s="332">
        <v>12869.174144280247</v>
      </c>
      <c r="M598" s="330">
        <v>0</v>
      </c>
      <c r="N598" s="330">
        <v>23758.5186655789</v>
      </c>
      <c r="O598" s="330">
        <v>1160.9766421036168</v>
      </c>
      <c r="P598" s="330">
        <v>38726.626166161695</v>
      </c>
      <c r="Q598" s="333">
        <v>107503.07451082264</v>
      </c>
      <c r="R598" s="330">
        <v>24720.895334185629</v>
      </c>
      <c r="S598" s="330">
        <v>9768.4736418766024</v>
      </c>
      <c r="T598" s="332">
        <v>0.50554629162894127</v>
      </c>
      <c r="U598" s="330">
        <v>0.756678119802491</v>
      </c>
      <c r="V598" s="330">
        <v>0.98830114885258358</v>
      </c>
      <c r="W598" s="330">
        <v>0.64840023216038467</v>
      </c>
      <c r="X598" s="330">
        <v>0.9999992787730172</v>
      </c>
      <c r="Y598" s="330">
        <v>0</v>
      </c>
      <c r="Z598" s="331">
        <v>0</v>
      </c>
      <c r="AA598" s="235"/>
      <c r="AB598" s="335">
        <v>94824.32059537046</v>
      </c>
      <c r="AC598" s="336">
        <v>4.7538115669294099</v>
      </c>
      <c r="AD598" s="337">
        <v>91876.633283259056</v>
      </c>
      <c r="AE598" s="336">
        <v>4.6691410403110352</v>
      </c>
      <c r="AF598" s="337">
        <v>2947.687312111404</v>
      </c>
      <c r="AG598" s="338">
        <v>8.4670526618374709E-2</v>
      </c>
      <c r="AH598" s="235"/>
      <c r="AI598" s="208">
        <f t="shared" si="68"/>
        <v>4421296.6679875692</v>
      </c>
      <c r="AJ598" s="208">
        <f t="shared" si="69"/>
        <v>4343807.3550122241</v>
      </c>
      <c r="AK598" s="208">
        <f t="shared" si="70"/>
        <v>77489.312975344568</v>
      </c>
      <c r="AL598" s="235"/>
      <c r="AM598" s="52">
        <f t="shared" si="58"/>
        <v>1</v>
      </c>
      <c r="AN598" s="52">
        <f t="shared" si="59"/>
        <v>0</v>
      </c>
      <c r="AO598" s="52">
        <f t="shared" si="60"/>
        <v>1</v>
      </c>
      <c r="AP598" s="235"/>
      <c r="AQ598" s="28"/>
      <c r="AR598" s="28"/>
      <c r="AS598" s="28"/>
      <c r="AT598" s="28"/>
      <c r="AU598" s="235"/>
      <c r="AV598" s="360">
        <f t="shared" si="71"/>
        <v>4421296.6679875692</v>
      </c>
      <c r="AW598" s="235"/>
      <c r="AX598" s="355"/>
      <c r="AY598" s="344"/>
      <c r="AZ598" s="14">
        <f t="shared" si="73"/>
        <v>2947.687312111404</v>
      </c>
      <c r="BA598" s="14">
        <f t="shared" si="72"/>
        <v>8.4670526618374709E-2</v>
      </c>
      <c r="BB598" s="14">
        <f t="shared" si="61"/>
        <v>34813.617321611346</v>
      </c>
      <c r="BC598" s="344"/>
      <c r="BD598" s="344"/>
      <c r="BE598" s="344"/>
      <c r="BF598" s="344"/>
      <c r="BG598" s="344"/>
      <c r="BH598" s="344"/>
      <c r="BI598" s="344"/>
      <c r="BJ598" s="344"/>
      <c r="BK598" s="344"/>
      <c r="BL598" s="344"/>
      <c r="BM598" s="344"/>
      <c r="BN598" s="344"/>
      <c r="BO598" s="344"/>
      <c r="BP598" s="14"/>
      <c r="BQ598" s="14"/>
      <c r="BR598" s="14"/>
      <c r="BS598" s="14"/>
      <c r="BT598" s="14"/>
      <c r="BU598" s="14"/>
      <c r="BV598" s="14"/>
      <c r="BW598" s="14"/>
      <c r="BX598" s="14"/>
      <c r="BY598" s="14"/>
      <c r="BZ598" s="14"/>
      <c r="CA598" s="14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</row>
    <row r="599" spans="1:101" ht="14.25" customHeight="1" x14ac:dyDescent="0.2">
      <c r="A599" s="328"/>
      <c r="B599" s="52">
        <v>0.15578781592235419</v>
      </c>
      <c r="C599" s="330">
        <v>0.27041315225553508</v>
      </c>
      <c r="D599" s="330">
        <v>1.450669403915672E-2</v>
      </c>
      <c r="E599" s="330">
        <v>9.1042313450817782E-3</v>
      </c>
      <c r="F599" s="331">
        <v>0.76810983111564601</v>
      </c>
      <c r="G599" s="94">
        <v>0.40515620430508814</v>
      </c>
      <c r="H599" s="330">
        <v>0.30007729543939732</v>
      </c>
      <c r="I599" s="330">
        <v>2.7701602757601806E-2</v>
      </c>
      <c r="J599" s="330">
        <v>7.2505799278400418E-3</v>
      </c>
      <c r="K599" s="330">
        <v>0.73531372338927536</v>
      </c>
      <c r="L599" s="332">
        <v>11562.90348549702</v>
      </c>
      <c r="M599" s="330">
        <v>0</v>
      </c>
      <c r="N599" s="330">
        <v>22535.127667973844</v>
      </c>
      <c r="O599" s="330">
        <v>1561.7566330937057</v>
      </c>
      <c r="P599" s="330">
        <v>36379.430135218667</v>
      </c>
      <c r="Q599" s="333">
        <v>83352.406007909856</v>
      </c>
      <c r="R599" s="330">
        <v>22849.449136441755</v>
      </c>
      <c r="S599" s="330">
        <v>12562.601871406006</v>
      </c>
      <c r="T599" s="332">
        <v>0.90172284463113661</v>
      </c>
      <c r="U599" s="330">
        <v>0.60534525190262578</v>
      </c>
      <c r="V599" s="330">
        <v>0.98581834336832119</v>
      </c>
      <c r="W599" s="330">
        <v>0.9514318552763682</v>
      </c>
      <c r="X599" s="330">
        <v>0.99998311051047262</v>
      </c>
      <c r="Y599" s="330">
        <v>0</v>
      </c>
      <c r="Z599" s="331">
        <v>0</v>
      </c>
      <c r="AA599" s="235"/>
      <c r="AB599" s="335">
        <v>116508.93786371964</v>
      </c>
      <c r="AC599" s="336">
        <v>5.135316209568705</v>
      </c>
      <c r="AD599" s="337">
        <v>103472.69092936353</v>
      </c>
      <c r="AE599" s="336">
        <v>4.5286824085575166</v>
      </c>
      <c r="AF599" s="337">
        <v>13036.24693435611</v>
      </c>
      <c r="AG599" s="338">
        <v>0.60663380101118847</v>
      </c>
      <c r="AH599" s="235"/>
      <c r="AI599" s="208">
        <f t="shared" si="68"/>
        <v>4762041.4612265499</v>
      </c>
      <c r="AJ599" s="208">
        <f t="shared" si="69"/>
        <v>4198775.5972002773</v>
      </c>
      <c r="AK599" s="208">
        <f t="shared" si="70"/>
        <v>563265.8640262729</v>
      </c>
      <c r="AL599" s="235"/>
      <c r="AM599" s="52">
        <f t="shared" si="58"/>
        <v>1</v>
      </c>
      <c r="AN599" s="52">
        <f t="shared" si="59"/>
        <v>0</v>
      </c>
      <c r="AO599" s="52">
        <f t="shared" si="60"/>
        <v>1</v>
      </c>
      <c r="AP599" s="235"/>
      <c r="AQ599" s="28"/>
      <c r="AR599" s="28"/>
      <c r="AS599" s="28"/>
      <c r="AT599" s="28"/>
      <c r="AU599" s="235"/>
      <c r="AV599" s="360">
        <f t="shared" si="71"/>
        <v>4762041.4612265499</v>
      </c>
      <c r="AW599" s="235"/>
      <c r="AX599" s="355"/>
      <c r="AY599" s="344"/>
      <c r="AZ599" s="14">
        <f t="shared" si="73"/>
        <v>13036.24693435611</v>
      </c>
      <c r="BA599" s="14">
        <f t="shared" si="72"/>
        <v>0.60663380101118847</v>
      </c>
      <c r="BB599" s="14">
        <f t="shared" si="61"/>
        <v>21489.483297215211</v>
      </c>
      <c r="BC599" s="344"/>
      <c r="BD599" s="344"/>
      <c r="BE599" s="344"/>
      <c r="BF599" s="344"/>
      <c r="BG599" s="344"/>
      <c r="BH599" s="344"/>
      <c r="BI599" s="344"/>
      <c r="BJ599" s="344"/>
      <c r="BK599" s="344"/>
      <c r="BL599" s="344"/>
      <c r="BM599" s="344"/>
      <c r="BN599" s="344"/>
      <c r="BO599" s="344"/>
      <c r="BP599" s="14"/>
      <c r="BQ599" s="14"/>
      <c r="BR599" s="14"/>
      <c r="BS599" s="14"/>
      <c r="BT599" s="14"/>
      <c r="BU599" s="14"/>
      <c r="BV599" s="14"/>
      <c r="BW599" s="14"/>
      <c r="BX599" s="14"/>
      <c r="BY599" s="14"/>
      <c r="BZ599" s="14"/>
      <c r="CA599" s="14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</row>
    <row r="600" spans="1:101" ht="14.25" customHeight="1" x14ac:dyDescent="0.2">
      <c r="A600" s="328"/>
      <c r="B600" s="52">
        <v>0.16849335952661959</v>
      </c>
      <c r="C600" s="330">
        <v>0.51619951877476511</v>
      </c>
      <c r="D600" s="330">
        <v>1.0458759702908056E-2</v>
      </c>
      <c r="E600" s="330">
        <v>9.5899394411526999E-3</v>
      </c>
      <c r="F600" s="331">
        <v>0.77790682671346889</v>
      </c>
      <c r="G600" s="94">
        <v>0.47288562351373564</v>
      </c>
      <c r="H600" s="330">
        <v>0.71703774415528898</v>
      </c>
      <c r="I600" s="330">
        <v>2.6331878510522877E-2</v>
      </c>
      <c r="J600" s="330">
        <v>0.99999997942044572</v>
      </c>
      <c r="K600" s="330">
        <v>0.7873790748738575</v>
      </c>
      <c r="L600" s="332">
        <v>9369.8686853744475</v>
      </c>
      <c r="M600" s="330">
        <v>0</v>
      </c>
      <c r="N600" s="330">
        <v>15715.023614137215</v>
      </c>
      <c r="O600" s="330">
        <v>631.65609119009082</v>
      </c>
      <c r="P600" s="330">
        <v>36142.622013468172</v>
      </c>
      <c r="Q600" s="333">
        <v>118320.49063992058</v>
      </c>
      <c r="R600" s="330">
        <v>21938.947075416738</v>
      </c>
      <c r="S600" s="330">
        <v>7341.7767974032859</v>
      </c>
      <c r="T600" s="332">
        <v>0.8065107999012906</v>
      </c>
      <c r="U600" s="330">
        <v>0.99519910826182811</v>
      </c>
      <c r="V600" s="330">
        <v>0.73263529250794401</v>
      </c>
      <c r="W600" s="330">
        <v>0.97951587435358656</v>
      </c>
      <c r="X600" s="330">
        <v>0.98999252563431517</v>
      </c>
      <c r="Y600" s="330">
        <v>0</v>
      </c>
      <c r="Z600" s="331">
        <v>0</v>
      </c>
      <c r="AA600" s="235"/>
      <c r="AB600" s="335">
        <v>72882.253408534219</v>
      </c>
      <c r="AC600" s="336">
        <v>4.6624045989844642</v>
      </c>
      <c r="AD600" s="337">
        <v>71836.564600488564</v>
      </c>
      <c r="AE600" s="336">
        <v>4.8595002541500358</v>
      </c>
      <c r="AF600" s="337">
        <v>1045.6888080456556</v>
      </c>
      <c r="AG600" s="338">
        <v>-0.19709565516557159</v>
      </c>
      <c r="AH600" s="235"/>
      <c r="AI600" s="208">
        <f t="shared" si="68"/>
        <v>4356402.1156267067</v>
      </c>
      <c r="AJ600" s="208">
        <f t="shared" si="69"/>
        <v>4544688.676842046</v>
      </c>
      <c r="AK600" s="208">
        <f t="shared" si="70"/>
        <v>-188286.56121533865</v>
      </c>
      <c r="AL600" s="235"/>
      <c r="AM600" s="52">
        <f t="shared" si="58"/>
        <v>0</v>
      </c>
      <c r="AN600" s="52">
        <f t="shared" si="59"/>
        <v>1</v>
      </c>
      <c r="AO600" s="52">
        <f t="shared" si="60"/>
        <v>0</v>
      </c>
      <c r="AP600" s="235"/>
      <c r="AQ600" s="28"/>
      <c r="AR600" s="28"/>
      <c r="AS600" s="28"/>
      <c r="AT600" s="28"/>
      <c r="AU600" s="235"/>
      <c r="AV600" s="360">
        <f t="shared" si="71"/>
        <v>4544688.676842046</v>
      </c>
      <c r="AW600" s="235"/>
      <c r="AX600" s="355"/>
      <c r="AY600" s="344"/>
      <c r="AZ600" s="14">
        <f t="shared" si="73"/>
        <v>1045.6888080456556</v>
      </c>
      <c r="BA600" s="14">
        <f t="shared" si="72"/>
        <v>-0.19709565516557159</v>
      </c>
      <c r="BB600" s="14">
        <f t="shared" si="61"/>
        <v>-5305.4888864354589</v>
      </c>
      <c r="BC600" s="344"/>
      <c r="BD600" s="344"/>
      <c r="BE600" s="344"/>
      <c r="BF600" s="344"/>
      <c r="BG600" s="344"/>
      <c r="BH600" s="344"/>
      <c r="BI600" s="344"/>
      <c r="BJ600" s="344"/>
      <c r="BK600" s="344"/>
      <c r="BL600" s="344"/>
      <c r="BM600" s="344"/>
      <c r="BN600" s="344"/>
      <c r="BO600" s="344"/>
      <c r="BP600" s="14"/>
      <c r="BQ600" s="14"/>
      <c r="BR600" s="14"/>
      <c r="BS600" s="14"/>
      <c r="BT600" s="14"/>
      <c r="BU600" s="14"/>
      <c r="BV600" s="14"/>
      <c r="BW600" s="14"/>
      <c r="BX600" s="14"/>
      <c r="BY600" s="14"/>
      <c r="BZ600" s="14"/>
      <c r="CA600" s="14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</row>
    <row r="601" spans="1:101" ht="14.25" customHeight="1" x14ac:dyDescent="0.2">
      <c r="A601" s="328"/>
      <c r="B601" s="52">
        <v>0.13131129769685113</v>
      </c>
      <c r="C601" s="330">
        <v>0.68783343704599287</v>
      </c>
      <c r="D601" s="330">
        <v>8.1820221455579361E-3</v>
      </c>
      <c r="E601" s="330">
        <v>1.9318275410743602E-2</v>
      </c>
      <c r="F601" s="331">
        <v>0.79539209405978828</v>
      </c>
      <c r="G601" s="94">
        <v>0.41977459456262911</v>
      </c>
      <c r="H601" s="330">
        <v>3.3676098565735495E-2</v>
      </c>
      <c r="I601" s="330">
        <v>3.0482722583979549E-2</v>
      </c>
      <c r="J601" s="330">
        <v>0.99734344036634159</v>
      </c>
      <c r="K601" s="330">
        <v>0.78091746290718755</v>
      </c>
      <c r="L601" s="332">
        <v>10645.577908037994</v>
      </c>
      <c r="M601" s="330">
        <v>0</v>
      </c>
      <c r="N601" s="330">
        <v>17654.714813945648</v>
      </c>
      <c r="O601" s="330">
        <v>1543.1930261833347</v>
      </c>
      <c r="P601" s="330">
        <v>43161.135458287099</v>
      </c>
      <c r="Q601" s="333">
        <v>88610.362849820958</v>
      </c>
      <c r="R601" s="330">
        <v>26307.731377249798</v>
      </c>
      <c r="S601" s="330">
        <v>10029.950892282663</v>
      </c>
      <c r="T601" s="332">
        <v>0.97915607063228061</v>
      </c>
      <c r="U601" s="330">
        <v>0.99952320235854142</v>
      </c>
      <c r="V601" s="330">
        <v>0.86985414851524423</v>
      </c>
      <c r="W601" s="330">
        <v>0.99999443972049318</v>
      </c>
      <c r="X601" s="330">
        <v>0.96206688021879905</v>
      </c>
      <c r="Y601" s="330">
        <v>0</v>
      </c>
      <c r="Z601" s="331">
        <v>0</v>
      </c>
      <c r="AA601" s="235"/>
      <c r="AB601" s="335">
        <v>98931.815404222958</v>
      </c>
      <c r="AC601" s="336">
        <v>5.0850069479934081</v>
      </c>
      <c r="AD601" s="337">
        <v>87202.923401572465</v>
      </c>
      <c r="AE601" s="336">
        <v>4.873084625500538</v>
      </c>
      <c r="AF601" s="337">
        <v>11728.892002650493</v>
      </c>
      <c r="AG601" s="338">
        <v>0.21192232249287013</v>
      </c>
      <c r="AH601" s="235"/>
      <c r="AI601" s="208">
        <f t="shared" si="68"/>
        <v>4731824.785189514</v>
      </c>
      <c r="AJ601" s="208">
        <f t="shared" si="69"/>
        <v>4542227.470823938</v>
      </c>
      <c r="AK601" s="208">
        <f t="shared" si="70"/>
        <v>189597.31436557614</v>
      </c>
      <c r="AL601" s="235"/>
      <c r="AM601" s="52">
        <f t="shared" si="58"/>
        <v>1</v>
      </c>
      <c r="AN601" s="52">
        <f t="shared" si="59"/>
        <v>0</v>
      </c>
      <c r="AO601" s="52">
        <f t="shared" si="60"/>
        <v>1</v>
      </c>
      <c r="AP601" s="235"/>
      <c r="AQ601" s="28"/>
      <c r="AR601" s="28"/>
      <c r="AS601" s="28"/>
      <c r="AT601" s="28"/>
      <c r="AU601" s="235"/>
      <c r="AV601" s="360">
        <f t="shared" si="71"/>
        <v>4731824.785189514</v>
      </c>
      <c r="AW601" s="235"/>
      <c r="AX601" s="355"/>
      <c r="AY601" s="344"/>
      <c r="AZ601" s="14">
        <f t="shared" si="73"/>
        <v>11728.892002650493</v>
      </c>
      <c r="BA601" s="14">
        <f t="shared" si="72"/>
        <v>0.21192232249287013</v>
      </c>
      <c r="BB601" s="14">
        <f t="shared" si="61"/>
        <v>55345.240957545175</v>
      </c>
      <c r="BC601" s="344"/>
      <c r="BD601" s="344"/>
      <c r="BE601" s="344"/>
      <c r="BF601" s="344"/>
      <c r="BG601" s="344"/>
      <c r="BH601" s="344"/>
      <c r="BI601" s="344"/>
      <c r="BJ601" s="344"/>
      <c r="BK601" s="344"/>
      <c r="BL601" s="344"/>
      <c r="BM601" s="344"/>
      <c r="BN601" s="344"/>
      <c r="BO601" s="344"/>
      <c r="BP601" s="14"/>
      <c r="BQ601" s="14"/>
      <c r="BR601" s="14"/>
      <c r="BS601" s="14"/>
      <c r="BT601" s="14"/>
      <c r="BU601" s="14"/>
      <c r="BV601" s="14"/>
      <c r="BW601" s="14"/>
      <c r="BX601" s="14"/>
      <c r="BY601" s="14"/>
      <c r="BZ601" s="14"/>
      <c r="CA601" s="14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</row>
    <row r="602" spans="1:101" ht="14.25" customHeight="1" x14ac:dyDescent="0.2">
      <c r="A602" s="328"/>
      <c r="B602" s="52">
        <v>0.14580373571646421</v>
      </c>
      <c r="C602" s="330">
        <v>6.4750773779036954E-3</v>
      </c>
      <c r="D602" s="330">
        <v>1.4028148495298929E-2</v>
      </c>
      <c r="E602" s="330">
        <v>2.5756457705439662E-2</v>
      </c>
      <c r="F602" s="331">
        <v>0.7562231124338189</v>
      </c>
      <c r="G602" s="94">
        <v>0.36501156037457638</v>
      </c>
      <c r="H602" s="330">
        <v>0.41935041572209752</v>
      </c>
      <c r="I602" s="330">
        <v>4.8898334927475482E-3</v>
      </c>
      <c r="J602" s="330">
        <v>0.99999998830792913</v>
      </c>
      <c r="K602" s="330">
        <v>0.76110212850098846</v>
      </c>
      <c r="L602" s="332">
        <v>14638.092235022375</v>
      </c>
      <c r="M602" s="330">
        <v>0</v>
      </c>
      <c r="N602" s="330">
        <v>16111.616608816325</v>
      </c>
      <c r="O602" s="330">
        <v>1164.6580186406909</v>
      </c>
      <c r="P602" s="330">
        <v>42610.769645949338</v>
      </c>
      <c r="Q602" s="333">
        <v>87979.873509411787</v>
      </c>
      <c r="R602" s="330">
        <v>20591.027595750627</v>
      </c>
      <c r="S602" s="330">
        <v>7501.5498583206345</v>
      </c>
      <c r="T602" s="332">
        <v>0.9067866317329436</v>
      </c>
      <c r="U602" s="330">
        <v>0.99997331582015803</v>
      </c>
      <c r="V602" s="330">
        <v>0.92768684089609066</v>
      </c>
      <c r="W602" s="330">
        <v>0.99997454499107097</v>
      </c>
      <c r="X602" s="330">
        <v>0.66230991734577416</v>
      </c>
      <c r="Y602" s="330">
        <v>0</v>
      </c>
      <c r="Z602" s="331">
        <v>0</v>
      </c>
      <c r="AA602" s="235"/>
      <c r="AB602" s="335">
        <v>75887.003053294698</v>
      </c>
      <c r="AC602" s="336">
        <v>3.2118395720746058</v>
      </c>
      <c r="AD602" s="337">
        <v>65092.983677122</v>
      </c>
      <c r="AE602" s="336">
        <v>3.4304904844263984</v>
      </c>
      <c r="AF602" s="337">
        <v>10794.019376172699</v>
      </c>
      <c r="AG602" s="338">
        <v>-0.21865091235179257</v>
      </c>
      <c r="AH602" s="235"/>
      <c r="AI602" s="208">
        <f t="shared" si="68"/>
        <v>2975360.5904175811</v>
      </c>
      <c r="AJ602" s="208">
        <f t="shared" si="69"/>
        <v>3193872.9765279568</v>
      </c>
      <c r="AK602" s="208">
        <f t="shared" si="70"/>
        <v>-218512.38611037564</v>
      </c>
      <c r="AL602" s="235"/>
      <c r="AM602" s="52">
        <f t="shared" si="58"/>
        <v>0</v>
      </c>
      <c r="AN602" s="52">
        <f t="shared" si="59"/>
        <v>1</v>
      </c>
      <c r="AO602" s="52">
        <f t="shared" si="60"/>
        <v>0</v>
      </c>
      <c r="AP602" s="235"/>
      <c r="AQ602" s="28"/>
      <c r="AR602" s="28"/>
      <c r="AS602" s="28"/>
      <c r="AT602" s="28"/>
      <c r="AU602" s="235"/>
      <c r="AV602" s="360">
        <f t="shared" si="71"/>
        <v>3193872.9765279568</v>
      </c>
      <c r="AW602" s="235"/>
      <c r="AX602" s="355"/>
      <c r="AY602" s="344"/>
      <c r="AZ602" s="14">
        <f t="shared" si="73"/>
        <v>10794.019376172699</v>
      </c>
      <c r="BA602" s="14">
        <f t="shared" si="72"/>
        <v>-0.21865091235179257</v>
      </c>
      <c r="BB602" s="14">
        <f t="shared" si="61"/>
        <v>-49366.450201707587</v>
      </c>
      <c r="BC602" s="344"/>
      <c r="BD602" s="344"/>
      <c r="BE602" s="344"/>
      <c r="BF602" s="344"/>
      <c r="BG602" s="344"/>
      <c r="BH602" s="344"/>
      <c r="BI602" s="344"/>
      <c r="BJ602" s="344"/>
      <c r="BK602" s="344"/>
      <c r="BL602" s="344"/>
      <c r="BM602" s="344"/>
      <c r="BN602" s="344"/>
      <c r="BO602" s="344"/>
      <c r="BP602" s="14"/>
      <c r="BQ602" s="14"/>
      <c r="BR602" s="14"/>
      <c r="BS602" s="14"/>
      <c r="BT602" s="14"/>
      <c r="BU602" s="14"/>
      <c r="BV602" s="14"/>
      <c r="BW602" s="14"/>
      <c r="BX602" s="14"/>
      <c r="BY602" s="14"/>
      <c r="BZ602" s="14"/>
      <c r="CA602" s="14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</row>
    <row r="603" spans="1:101" ht="14.25" customHeight="1" x14ac:dyDescent="0.2">
      <c r="A603" s="328"/>
      <c r="B603" s="52">
        <v>0.19245098528349369</v>
      </c>
      <c r="C603" s="330">
        <v>4.1195256320266807E-3</v>
      </c>
      <c r="D603" s="330">
        <v>1.173062178673244E-2</v>
      </c>
      <c r="E603" s="330">
        <v>1.9338935841377802E-2</v>
      </c>
      <c r="F603" s="331">
        <v>0.7664703374627917</v>
      </c>
      <c r="G603" s="94">
        <v>0.37208163812362877</v>
      </c>
      <c r="H603" s="330">
        <v>0.37735977044235619</v>
      </c>
      <c r="I603" s="330">
        <v>4.1257964733388275E-2</v>
      </c>
      <c r="J603" s="330">
        <v>1</v>
      </c>
      <c r="K603" s="330">
        <v>0.8196760555426329</v>
      </c>
      <c r="L603" s="332">
        <v>16800.989093963082</v>
      </c>
      <c r="M603" s="330">
        <v>0</v>
      </c>
      <c r="N603" s="330">
        <v>16995.01514393562</v>
      </c>
      <c r="O603" s="330">
        <v>1228.2173283169075</v>
      </c>
      <c r="P603" s="330">
        <v>38791.590274741196</v>
      </c>
      <c r="Q603" s="333">
        <v>99912.395047958635</v>
      </c>
      <c r="R603" s="330">
        <v>24781.775365490619</v>
      </c>
      <c r="S603" s="330">
        <v>9930.1272282920836</v>
      </c>
      <c r="T603" s="332">
        <v>0.81438067086444366</v>
      </c>
      <c r="U603" s="330">
        <v>0.9315031219953247</v>
      </c>
      <c r="V603" s="330">
        <v>0.99468357755247538</v>
      </c>
      <c r="W603" s="330">
        <v>0.37685745079494748</v>
      </c>
      <c r="X603" s="330">
        <v>0.9999460832128354</v>
      </c>
      <c r="Y603" s="330">
        <v>0</v>
      </c>
      <c r="Z603" s="331">
        <v>0</v>
      </c>
      <c r="AA603" s="235"/>
      <c r="AB603" s="335">
        <v>98961.991769751869</v>
      </c>
      <c r="AC603" s="336">
        <v>5.0721534288289423</v>
      </c>
      <c r="AD603" s="337">
        <v>93531.48943953983</v>
      </c>
      <c r="AE603" s="336">
        <v>4.9989360507236729</v>
      </c>
      <c r="AF603" s="337">
        <v>5430.5023302120389</v>
      </c>
      <c r="AG603" s="338">
        <v>7.3217378105269404E-2</v>
      </c>
      <c r="AH603" s="235"/>
      <c r="AI603" s="208">
        <f t="shared" si="68"/>
        <v>4719583.7656177441</v>
      </c>
      <c r="AJ603" s="208">
        <f t="shared" si="69"/>
        <v>4655457.7587479493</v>
      </c>
      <c r="AK603" s="208">
        <f t="shared" si="70"/>
        <v>64126.006869793899</v>
      </c>
      <c r="AL603" s="235"/>
      <c r="AM603" s="52">
        <f t="shared" si="58"/>
        <v>1</v>
      </c>
      <c r="AN603" s="52">
        <f t="shared" si="59"/>
        <v>0</v>
      </c>
      <c r="AO603" s="52">
        <f t="shared" si="60"/>
        <v>1</v>
      </c>
      <c r="AP603" s="235"/>
      <c r="AQ603" s="28"/>
      <c r="AR603" s="28"/>
      <c r="AS603" s="28"/>
      <c r="AT603" s="28"/>
      <c r="AU603" s="235"/>
      <c r="AV603" s="360">
        <f t="shared" si="71"/>
        <v>4719583.7656177441</v>
      </c>
      <c r="AW603" s="235"/>
      <c r="AX603" s="355"/>
      <c r="AY603" s="344"/>
      <c r="AZ603" s="14">
        <f t="shared" si="73"/>
        <v>5430.5023302120389</v>
      </c>
      <c r="BA603" s="14">
        <f t="shared" si="72"/>
        <v>7.3217378105269404E-2</v>
      </c>
      <c r="BB603" s="14">
        <f t="shared" si="61"/>
        <v>74169.582013770705</v>
      </c>
      <c r="BC603" s="344"/>
      <c r="BD603" s="344"/>
      <c r="BE603" s="344"/>
      <c r="BF603" s="344"/>
      <c r="BG603" s="344"/>
      <c r="BH603" s="344"/>
      <c r="BI603" s="344"/>
      <c r="BJ603" s="344"/>
      <c r="BK603" s="344"/>
      <c r="BL603" s="344"/>
      <c r="BM603" s="344"/>
      <c r="BN603" s="344"/>
      <c r="BO603" s="344"/>
      <c r="BP603" s="14"/>
      <c r="BQ603" s="14"/>
      <c r="BR603" s="14"/>
      <c r="BS603" s="14"/>
      <c r="BT603" s="14"/>
      <c r="BU603" s="14"/>
      <c r="BV603" s="14"/>
      <c r="BW603" s="14"/>
      <c r="BX603" s="14"/>
      <c r="BY603" s="14"/>
      <c r="BZ603" s="14"/>
      <c r="CA603" s="14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</row>
    <row r="604" spans="1:101" ht="14.25" customHeight="1" x14ac:dyDescent="0.2">
      <c r="A604" s="328"/>
      <c r="B604" s="52">
        <v>0.17683875878479727</v>
      </c>
      <c r="C604" s="330">
        <v>1.4216630916828957E-2</v>
      </c>
      <c r="D604" s="330">
        <v>5.8829870385777774E-3</v>
      </c>
      <c r="E604" s="330">
        <v>1.1430518927100505E-2</v>
      </c>
      <c r="F604" s="331">
        <v>0.7551677829544694</v>
      </c>
      <c r="G604" s="94">
        <v>0.42227449036301168</v>
      </c>
      <c r="H604" s="330">
        <v>0.20677575775765544</v>
      </c>
      <c r="I604" s="330">
        <v>1.0422700393152282E-2</v>
      </c>
      <c r="J604" s="330">
        <v>0.99998606326575556</v>
      </c>
      <c r="K604" s="330">
        <v>0.7068972893174067</v>
      </c>
      <c r="L604" s="332">
        <v>10190.250626455794</v>
      </c>
      <c r="M604" s="330">
        <v>0</v>
      </c>
      <c r="N604" s="330">
        <v>22114.812863376294</v>
      </c>
      <c r="O604" s="330">
        <v>1367.6969673320725</v>
      </c>
      <c r="P604" s="330">
        <v>46339.586182522558</v>
      </c>
      <c r="Q604" s="333">
        <v>93728.549550101976</v>
      </c>
      <c r="R604" s="330">
        <v>22177.183241388804</v>
      </c>
      <c r="S604" s="330">
        <v>10527.099983600816</v>
      </c>
      <c r="T604" s="332">
        <v>0.96046918806770165</v>
      </c>
      <c r="U604" s="330">
        <v>0.68906857326254956</v>
      </c>
      <c r="V604" s="330">
        <v>0.51241317478071058</v>
      </c>
      <c r="W604" s="330">
        <v>0.84436681588138851</v>
      </c>
      <c r="X604" s="330">
        <v>0.42518175433712024</v>
      </c>
      <c r="Y604" s="330">
        <v>0</v>
      </c>
      <c r="Z604" s="331">
        <v>0</v>
      </c>
      <c r="AA604" s="235"/>
      <c r="AB604" s="335">
        <v>95896.547016756289</v>
      </c>
      <c r="AC604" s="336">
        <v>2.0207208930650475</v>
      </c>
      <c r="AD604" s="337">
        <v>83066.275433106566</v>
      </c>
      <c r="AE604" s="336">
        <v>1.8573900996544102</v>
      </c>
      <c r="AF604" s="337">
        <v>12830.271583649723</v>
      </c>
      <c r="AG604" s="338">
        <v>0.16333079341063739</v>
      </c>
      <c r="AH604" s="235"/>
      <c r="AI604" s="208">
        <f t="shared" si="68"/>
        <v>1823788.3013950388</v>
      </c>
      <c r="AJ604" s="208">
        <f t="shared" si="69"/>
        <v>1681454.3192385831</v>
      </c>
      <c r="AK604" s="208">
        <f t="shared" si="70"/>
        <v>142333.98215645581</v>
      </c>
      <c r="AL604" s="235"/>
      <c r="AM604" s="52">
        <f t="shared" si="58"/>
        <v>1</v>
      </c>
      <c r="AN604" s="52">
        <f t="shared" si="59"/>
        <v>0</v>
      </c>
      <c r="AO604" s="52">
        <f t="shared" si="60"/>
        <v>1</v>
      </c>
      <c r="AP604" s="235"/>
      <c r="AQ604" s="28"/>
      <c r="AR604" s="28"/>
      <c r="AS604" s="28"/>
      <c r="AT604" s="28"/>
      <c r="AU604" s="235"/>
      <c r="AV604" s="360">
        <f t="shared" si="71"/>
        <v>1823788.3013950388</v>
      </c>
      <c r="AW604" s="235"/>
      <c r="AX604" s="355"/>
      <c r="AY604" s="344"/>
      <c r="AZ604" s="14">
        <f t="shared" si="73"/>
        <v>12830.271583649723</v>
      </c>
      <c r="BA604" s="14">
        <f t="shared" si="72"/>
        <v>0.16333079341063739</v>
      </c>
      <c r="BB604" s="14">
        <f t="shared" si="61"/>
        <v>78553.904721399056</v>
      </c>
      <c r="BC604" s="344"/>
      <c r="BD604" s="344"/>
      <c r="BE604" s="344"/>
      <c r="BF604" s="344"/>
      <c r="BG604" s="344"/>
      <c r="BH604" s="344"/>
      <c r="BI604" s="344"/>
      <c r="BJ604" s="344"/>
      <c r="BK604" s="344"/>
      <c r="BL604" s="344"/>
      <c r="BM604" s="344"/>
      <c r="BN604" s="344"/>
      <c r="BO604" s="344"/>
      <c r="BP604" s="14"/>
      <c r="BQ604" s="14"/>
      <c r="BR604" s="14"/>
      <c r="BS604" s="14"/>
      <c r="BT604" s="14"/>
      <c r="BU604" s="14"/>
      <c r="BV604" s="14"/>
      <c r="BW604" s="14"/>
      <c r="BX604" s="14"/>
      <c r="BY604" s="14"/>
      <c r="BZ604" s="14"/>
      <c r="CA604" s="14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</row>
    <row r="605" spans="1:101" ht="14.25" customHeight="1" x14ac:dyDescent="0.2">
      <c r="A605" s="328"/>
      <c r="B605" s="52">
        <v>0.16587885162590754</v>
      </c>
      <c r="C605" s="330">
        <v>0.53068835179860607</v>
      </c>
      <c r="D605" s="330">
        <v>1.6434009759383694E-2</v>
      </c>
      <c r="E605" s="330">
        <v>9.0880646855403379E-3</v>
      </c>
      <c r="F605" s="331">
        <v>0.75994574172735962</v>
      </c>
      <c r="G605" s="94">
        <v>0.37067799500403142</v>
      </c>
      <c r="H605" s="330">
        <v>0.80244007096983005</v>
      </c>
      <c r="I605" s="330">
        <v>7.659552378040402E-3</v>
      </c>
      <c r="J605" s="330">
        <v>0.693930519362986</v>
      </c>
      <c r="K605" s="330">
        <v>0.73657216689973859</v>
      </c>
      <c r="L605" s="332">
        <v>10837.470989478643</v>
      </c>
      <c r="M605" s="330">
        <v>0</v>
      </c>
      <c r="N605" s="330">
        <v>21388.742346528928</v>
      </c>
      <c r="O605" s="330">
        <v>1059.5755353422651</v>
      </c>
      <c r="P605" s="330">
        <v>38867.898500115247</v>
      </c>
      <c r="Q605" s="333">
        <v>63117.96628763785</v>
      </c>
      <c r="R605" s="330">
        <v>21406.459573007676</v>
      </c>
      <c r="S605" s="330">
        <v>9091.7948301743472</v>
      </c>
      <c r="T605" s="332">
        <v>0.64487023426513701</v>
      </c>
      <c r="U605" s="330">
        <v>0.90012723539711781</v>
      </c>
      <c r="V605" s="330">
        <v>0.99901725041780609</v>
      </c>
      <c r="W605" s="330">
        <v>0.99999785078528469</v>
      </c>
      <c r="X605" s="330">
        <v>0.42060155090255025</v>
      </c>
      <c r="Y605" s="330">
        <v>0</v>
      </c>
      <c r="Z605" s="331">
        <v>0</v>
      </c>
      <c r="AA605" s="235"/>
      <c r="AB605" s="335">
        <v>87216.180626330693</v>
      </c>
      <c r="AC605" s="336">
        <v>2.0234130866462148</v>
      </c>
      <c r="AD605" s="337">
        <v>78905.967645198049</v>
      </c>
      <c r="AE605" s="336">
        <v>2.0981550290680393</v>
      </c>
      <c r="AF605" s="337">
        <v>8310.2129811326449</v>
      </c>
      <c r="AG605" s="338">
        <v>-7.4741942421824525E-2</v>
      </c>
      <c r="AH605" s="235"/>
      <c r="AI605" s="208">
        <f t="shared" si="68"/>
        <v>1835026.2516875733</v>
      </c>
      <c r="AJ605" s="208">
        <f t="shared" si="69"/>
        <v>1914341.3099694392</v>
      </c>
      <c r="AK605" s="208">
        <f t="shared" si="70"/>
        <v>-79315.058281865946</v>
      </c>
      <c r="AL605" s="235"/>
      <c r="AM605" s="52">
        <f t="shared" si="58"/>
        <v>0</v>
      </c>
      <c r="AN605" s="52">
        <f t="shared" si="59"/>
        <v>1</v>
      </c>
      <c r="AO605" s="52">
        <f t="shared" si="60"/>
        <v>0</v>
      </c>
      <c r="AP605" s="235"/>
      <c r="AQ605" s="28"/>
      <c r="AR605" s="28"/>
      <c r="AS605" s="28"/>
      <c r="AT605" s="28"/>
      <c r="AU605" s="235"/>
      <c r="AV605" s="360">
        <f t="shared" si="71"/>
        <v>1914341.3099694392</v>
      </c>
      <c r="AW605" s="235"/>
      <c r="AX605" s="355"/>
      <c r="AY605" s="344"/>
      <c r="AZ605" s="14">
        <f t="shared" si="73"/>
        <v>8310.2129811326449</v>
      </c>
      <c r="BA605" s="14">
        <f t="shared" si="72"/>
        <v>-7.4741942421824525E-2</v>
      </c>
      <c r="BB605" s="14">
        <f t="shared" si="61"/>
        <v>-111185.40289242036</v>
      </c>
      <c r="BC605" s="344"/>
      <c r="BD605" s="344"/>
      <c r="BE605" s="344"/>
      <c r="BF605" s="344"/>
      <c r="BG605" s="344"/>
      <c r="BH605" s="344"/>
      <c r="BI605" s="344"/>
      <c r="BJ605" s="344"/>
      <c r="BK605" s="344"/>
      <c r="BL605" s="344"/>
      <c r="BM605" s="344"/>
      <c r="BN605" s="344"/>
      <c r="BO605" s="344"/>
      <c r="BP605" s="14"/>
      <c r="BQ605" s="14"/>
      <c r="BR605" s="14"/>
      <c r="BS605" s="14"/>
      <c r="BT605" s="14"/>
      <c r="BU605" s="14"/>
      <c r="BV605" s="14"/>
      <c r="BW605" s="14"/>
      <c r="BX605" s="14"/>
      <c r="BY605" s="14"/>
      <c r="BZ605" s="14"/>
      <c r="CA605" s="14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</row>
    <row r="606" spans="1:101" ht="14.25" customHeight="1" x14ac:dyDescent="0.2">
      <c r="A606" s="328"/>
      <c r="B606" s="52">
        <v>0.16578813263225789</v>
      </c>
      <c r="C606" s="330">
        <v>1.7213228380240756E-2</v>
      </c>
      <c r="D606" s="330">
        <v>1.6304662380754675E-2</v>
      </c>
      <c r="E606" s="330">
        <v>1.4837091499966482E-2</v>
      </c>
      <c r="F606" s="331">
        <v>0.78437396712127228</v>
      </c>
      <c r="G606" s="94">
        <v>0.36096982436332803</v>
      </c>
      <c r="H606" s="330">
        <v>0.7550796346598585</v>
      </c>
      <c r="I606" s="330">
        <v>1.2444956873268638E-2</v>
      </c>
      <c r="J606" s="330">
        <v>0.9312217744998772</v>
      </c>
      <c r="K606" s="330">
        <v>0.70451791927962748</v>
      </c>
      <c r="L606" s="332">
        <v>13452.283407843328</v>
      </c>
      <c r="M606" s="330">
        <v>0</v>
      </c>
      <c r="N606" s="330">
        <v>21790.881976194854</v>
      </c>
      <c r="O606" s="330">
        <v>1248.2230514053692</v>
      </c>
      <c r="P606" s="330">
        <v>44782.914537273398</v>
      </c>
      <c r="Q606" s="333">
        <v>121622.21180116977</v>
      </c>
      <c r="R606" s="330">
        <v>20648.150949465384</v>
      </c>
      <c r="S606" s="330">
        <v>9589.0616994433276</v>
      </c>
      <c r="T606" s="332">
        <v>0.46938658291853352</v>
      </c>
      <c r="U606" s="330">
        <v>0.35587022379764832</v>
      </c>
      <c r="V606" s="330">
        <v>0.97221478505573677</v>
      </c>
      <c r="W606" s="330">
        <v>0.79516209235653601</v>
      </c>
      <c r="X606" s="330">
        <v>0.99803230265680432</v>
      </c>
      <c r="Y606" s="330">
        <v>0</v>
      </c>
      <c r="Z606" s="331">
        <v>0</v>
      </c>
      <c r="AA606" s="235"/>
      <c r="AB606" s="335">
        <v>94763.572170342566</v>
      </c>
      <c r="AC606" s="336">
        <v>4.9105850432958311</v>
      </c>
      <c r="AD606" s="337">
        <v>79331.475745860167</v>
      </c>
      <c r="AE606" s="336">
        <v>4.2859467052957863</v>
      </c>
      <c r="AF606" s="337">
        <v>15432.096424482399</v>
      </c>
      <c r="AG606" s="338">
        <v>0.62463833800004487</v>
      </c>
      <c r="AH606" s="235"/>
      <c r="AI606" s="208">
        <f t="shared" si="68"/>
        <v>4570292.2189606968</v>
      </c>
      <c r="AJ606" s="208">
        <f t="shared" si="69"/>
        <v>3992317.8942851368</v>
      </c>
      <c r="AK606" s="208">
        <f t="shared" si="70"/>
        <v>577974.32467556023</v>
      </c>
      <c r="AL606" s="235"/>
      <c r="AM606" s="52">
        <f t="shared" si="58"/>
        <v>1</v>
      </c>
      <c r="AN606" s="52">
        <f t="shared" si="59"/>
        <v>0</v>
      </c>
      <c r="AO606" s="52">
        <f t="shared" si="60"/>
        <v>1</v>
      </c>
      <c r="AP606" s="235"/>
      <c r="AQ606" s="28"/>
      <c r="AR606" s="28"/>
      <c r="AS606" s="28"/>
      <c r="AT606" s="28"/>
      <c r="AU606" s="235"/>
      <c r="AV606" s="360">
        <f t="shared" si="71"/>
        <v>4570292.2189606968</v>
      </c>
      <c r="AW606" s="235"/>
      <c r="AX606" s="355"/>
      <c r="AY606" s="344"/>
      <c r="AZ606" s="14">
        <f t="shared" si="73"/>
        <v>15432.096424482399</v>
      </c>
      <c r="BA606" s="14">
        <f t="shared" si="72"/>
        <v>0.62463833800004487</v>
      </c>
      <c r="BB606" s="14">
        <f t="shared" si="61"/>
        <v>24705.650431083995</v>
      </c>
      <c r="BC606" s="344"/>
      <c r="BD606" s="344"/>
      <c r="BE606" s="344"/>
      <c r="BF606" s="344"/>
      <c r="BG606" s="344"/>
      <c r="BH606" s="344"/>
      <c r="BI606" s="344"/>
      <c r="BJ606" s="344"/>
      <c r="BK606" s="344"/>
      <c r="BL606" s="344"/>
      <c r="BM606" s="344"/>
      <c r="BN606" s="344"/>
      <c r="BO606" s="344"/>
      <c r="BP606" s="14"/>
      <c r="BQ606" s="14"/>
      <c r="BR606" s="14"/>
      <c r="BS606" s="14"/>
      <c r="BT606" s="14"/>
      <c r="BU606" s="14"/>
      <c r="BV606" s="14"/>
      <c r="BW606" s="14"/>
      <c r="BX606" s="14"/>
      <c r="BY606" s="14"/>
      <c r="BZ606" s="14"/>
      <c r="CA606" s="14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</row>
    <row r="607" spans="1:101" ht="14.25" customHeight="1" x14ac:dyDescent="0.2">
      <c r="A607" s="328"/>
      <c r="B607" s="52">
        <v>0.1535273327058447</v>
      </c>
      <c r="C607" s="330">
        <v>3.9918896283106811E-2</v>
      </c>
      <c r="D607" s="330">
        <v>1.5987706293000836E-2</v>
      </c>
      <c r="E607" s="330">
        <v>3.5412024304360634E-2</v>
      </c>
      <c r="F607" s="331">
        <v>0.75874343930758936</v>
      </c>
      <c r="G607" s="94">
        <v>0.40636506727549326</v>
      </c>
      <c r="H607" s="330">
        <v>0.10326929033370769</v>
      </c>
      <c r="I607" s="330">
        <v>2.5795130746574024E-2</v>
      </c>
      <c r="J607" s="330">
        <v>1</v>
      </c>
      <c r="K607" s="330">
        <v>0.77243048254679125</v>
      </c>
      <c r="L607" s="332">
        <v>15709.963027574298</v>
      </c>
      <c r="M607" s="330">
        <v>0</v>
      </c>
      <c r="N607" s="330">
        <v>13838.328385053881</v>
      </c>
      <c r="O607" s="330">
        <v>1123.6634614432437</v>
      </c>
      <c r="P607" s="330">
        <v>60161.649270040944</v>
      </c>
      <c r="Q607" s="333">
        <v>117109.09852527744</v>
      </c>
      <c r="R607" s="330">
        <v>29878.293712692586</v>
      </c>
      <c r="S607" s="330">
        <v>10822.788529681116</v>
      </c>
      <c r="T607" s="332">
        <v>0.74701914057831365</v>
      </c>
      <c r="U607" s="330">
        <v>0.99700080582392414</v>
      </c>
      <c r="V607" s="330">
        <v>0.79706515425245417</v>
      </c>
      <c r="W607" s="330">
        <v>0.97603201847065235</v>
      </c>
      <c r="X607" s="330">
        <v>0.25336720795887752</v>
      </c>
      <c r="Y607" s="330">
        <v>0</v>
      </c>
      <c r="Z607" s="331">
        <v>0</v>
      </c>
      <c r="AA607" s="235"/>
      <c r="AB607" s="335">
        <v>104481.33592330207</v>
      </c>
      <c r="AC607" s="336">
        <v>1.3311959414363375</v>
      </c>
      <c r="AD607" s="337">
        <v>93405.374258642201</v>
      </c>
      <c r="AE607" s="336">
        <v>1.4586721609022371</v>
      </c>
      <c r="AF607" s="337">
        <v>11075.961664659873</v>
      </c>
      <c r="AG607" s="338">
        <v>-0.1274762194658996</v>
      </c>
      <c r="AH607" s="235"/>
      <c r="AI607" s="208">
        <f t="shared" si="68"/>
        <v>1160154.8084412187</v>
      </c>
      <c r="AJ607" s="208">
        <f t="shared" si="69"/>
        <v>1292333.1785984831</v>
      </c>
      <c r="AK607" s="208">
        <f t="shared" si="70"/>
        <v>-132178.37015726449</v>
      </c>
      <c r="AL607" s="235"/>
      <c r="AM607" s="52">
        <f t="shared" si="58"/>
        <v>0</v>
      </c>
      <c r="AN607" s="52">
        <f t="shared" si="59"/>
        <v>1</v>
      </c>
      <c r="AO607" s="52">
        <f t="shared" si="60"/>
        <v>0</v>
      </c>
      <c r="AP607" s="235"/>
      <c r="AQ607" s="28"/>
      <c r="AR607" s="28"/>
      <c r="AS607" s="28"/>
      <c r="AT607" s="28"/>
      <c r="AU607" s="235"/>
      <c r="AV607" s="360">
        <f t="shared" si="71"/>
        <v>1292333.1785984831</v>
      </c>
      <c r="AW607" s="235"/>
      <c r="AX607" s="355"/>
      <c r="AY607" s="344"/>
      <c r="AZ607" s="14">
        <f t="shared" si="73"/>
        <v>11075.961664659873</v>
      </c>
      <c r="BA607" s="14">
        <f t="shared" si="72"/>
        <v>-0.1274762194658996</v>
      </c>
      <c r="BB607" s="14">
        <f t="shared" si="61"/>
        <v>-86886.493112723168</v>
      </c>
      <c r="BC607" s="344"/>
      <c r="BD607" s="344"/>
      <c r="BE607" s="344"/>
      <c r="BF607" s="344"/>
      <c r="BG607" s="344"/>
      <c r="BH607" s="344"/>
      <c r="BI607" s="344"/>
      <c r="BJ607" s="344"/>
      <c r="BK607" s="344"/>
      <c r="BL607" s="344"/>
      <c r="BM607" s="344"/>
      <c r="BN607" s="344"/>
      <c r="BO607" s="344"/>
      <c r="BP607" s="14"/>
      <c r="BQ607" s="14"/>
      <c r="BR607" s="14"/>
      <c r="BS607" s="14"/>
      <c r="BT607" s="14"/>
      <c r="BU607" s="14"/>
      <c r="BV607" s="14"/>
      <c r="BW607" s="14"/>
      <c r="BX607" s="14"/>
      <c r="BY607" s="14"/>
      <c r="BZ607" s="14"/>
      <c r="CA607" s="14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</row>
    <row r="608" spans="1:101" ht="14.25" customHeight="1" x14ac:dyDescent="0.2">
      <c r="A608" s="328"/>
      <c r="B608" s="52">
        <v>0.14816818895783845</v>
      </c>
      <c r="C608" s="330">
        <v>6.1405196235389606E-3</v>
      </c>
      <c r="D608" s="330">
        <v>1.3340118950407022E-2</v>
      </c>
      <c r="E608" s="330">
        <v>1.3324937919111908E-2</v>
      </c>
      <c r="F608" s="331">
        <v>0.78605097135285362</v>
      </c>
      <c r="G608" s="94">
        <v>0.34670194449683639</v>
      </c>
      <c r="H608" s="330">
        <v>0.17944729479671312</v>
      </c>
      <c r="I608" s="330">
        <v>9.2755500851739014E-3</v>
      </c>
      <c r="J608" s="330">
        <v>1</v>
      </c>
      <c r="K608" s="330">
        <v>0.73706546477635293</v>
      </c>
      <c r="L608" s="332">
        <v>18028.857263185539</v>
      </c>
      <c r="M608" s="330">
        <v>0</v>
      </c>
      <c r="N608" s="330">
        <v>19150.661088897727</v>
      </c>
      <c r="O608" s="330">
        <v>1435.3529955936312</v>
      </c>
      <c r="P608" s="330">
        <v>57500.239948803734</v>
      </c>
      <c r="Q608" s="333">
        <v>83262.281478190678</v>
      </c>
      <c r="R608" s="330">
        <v>28429.630749102384</v>
      </c>
      <c r="S608" s="330">
        <v>8283.3364116619796</v>
      </c>
      <c r="T608" s="332">
        <v>0.99776137484188032</v>
      </c>
      <c r="U608" s="330">
        <v>0.74512366992358814</v>
      </c>
      <c r="V608" s="330">
        <v>0.95088432295422587</v>
      </c>
      <c r="W608" s="330">
        <v>0.92532591992368807</v>
      </c>
      <c r="X608" s="330">
        <v>0.99161721526341418</v>
      </c>
      <c r="Y608" s="330">
        <v>0</v>
      </c>
      <c r="Z608" s="331">
        <v>0</v>
      </c>
      <c r="AA608" s="235"/>
      <c r="AB608" s="335">
        <v>88306.374801855622</v>
      </c>
      <c r="AC608" s="336">
        <v>4.8401961635602229</v>
      </c>
      <c r="AD608" s="337">
        <v>68282.836786067957</v>
      </c>
      <c r="AE608" s="336">
        <v>4.6683125232391998</v>
      </c>
      <c r="AF608" s="337">
        <v>20023.538015787664</v>
      </c>
      <c r="AG608" s="338">
        <v>0.1718836403210231</v>
      </c>
      <c r="AH608" s="235"/>
      <c r="AI608" s="208">
        <f t="shared" si="68"/>
        <v>4509879.980580356</v>
      </c>
      <c r="AJ608" s="208">
        <f t="shared" si="69"/>
        <v>4366614.060291172</v>
      </c>
      <c r="AK608" s="208">
        <f t="shared" si="70"/>
        <v>143265.92028918429</v>
      </c>
      <c r="AL608" s="235"/>
      <c r="AM608" s="52">
        <f t="shared" si="58"/>
        <v>1</v>
      </c>
      <c r="AN608" s="52">
        <f t="shared" si="59"/>
        <v>0</v>
      </c>
      <c r="AO608" s="52">
        <f t="shared" si="60"/>
        <v>1</v>
      </c>
      <c r="AP608" s="235"/>
      <c r="AQ608" s="28"/>
      <c r="AR608" s="28"/>
      <c r="AS608" s="28"/>
      <c r="AT608" s="28"/>
      <c r="AU608" s="235"/>
      <c r="AV608" s="360">
        <f t="shared" si="71"/>
        <v>4509879.980580356</v>
      </c>
      <c r="AW608" s="235"/>
      <c r="AX608" s="355"/>
      <c r="AY608" s="344"/>
      <c r="AZ608" s="14">
        <f t="shared" si="73"/>
        <v>20023.538015787664</v>
      </c>
      <c r="BA608" s="14">
        <f t="shared" si="72"/>
        <v>0.1718836403210231</v>
      </c>
      <c r="BB608" s="14">
        <f t="shared" si="61"/>
        <v>116494.72851744451</v>
      </c>
      <c r="BC608" s="344"/>
      <c r="BD608" s="344"/>
      <c r="BE608" s="344"/>
      <c r="BF608" s="344"/>
      <c r="BG608" s="344"/>
      <c r="BH608" s="344"/>
      <c r="BI608" s="344"/>
      <c r="BJ608" s="344"/>
      <c r="BK608" s="344"/>
      <c r="BL608" s="344"/>
      <c r="BM608" s="344"/>
      <c r="BN608" s="344"/>
      <c r="BO608" s="344"/>
      <c r="BP608" s="14"/>
      <c r="BQ608" s="14"/>
      <c r="BR608" s="14"/>
      <c r="BS608" s="14"/>
      <c r="BT608" s="14"/>
      <c r="BU608" s="14"/>
      <c r="BV608" s="14"/>
      <c r="BW608" s="14"/>
      <c r="BX608" s="14"/>
      <c r="BY608" s="14"/>
      <c r="BZ608" s="14"/>
      <c r="CA608" s="14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</row>
    <row r="609" spans="1:101" ht="14.25" customHeight="1" x14ac:dyDescent="0.2">
      <c r="A609" s="328"/>
      <c r="B609" s="52">
        <v>0.14499979665977866</v>
      </c>
      <c r="C609" s="330">
        <v>0.44303084648002922</v>
      </c>
      <c r="D609" s="330">
        <v>8.643163967251238E-3</v>
      </c>
      <c r="E609" s="330">
        <v>9.4648102956692987E-3</v>
      </c>
      <c r="F609" s="331">
        <v>0.75925559035919787</v>
      </c>
      <c r="G609" s="94">
        <v>0.40278244200983404</v>
      </c>
      <c r="H609" s="330">
        <v>0.29179662193571754</v>
      </c>
      <c r="I609" s="330">
        <v>2.1303305391633498E-2</v>
      </c>
      <c r="J609" s="330">
        <v>0.99999999998696354</v>
      </c>
      <c r="K609" s="330">
        <v>0.7583862199868816</v>
      </c>
      <c r="L609" s="332">
        <v>10713.828700957532</v>
      </c>
      <c r="M609" s="330">
        <v>0</v>
      </c>
      <c r="N609" s="330">
        <v>25052.741508055791</v>
      </c>
      <c r="O609" s="330">
        <v>1525.0791417219873</v>
      </c>
      <c r="P609" s="330">
        <v>68845.462514635525</v>
      </c>
      <c r="Q609" s="333">
        <v>86161.884598243458</v>
      </c>
      <c r="R609" s="330">
        <v>26443.174607947305</v>
      </c>
      <c r="S609" s="330">
        <v>10867.821544574123</v>
      </c>
      <c r="T609" s="332">
        <v>0.99519128544914215</v>
      </c>
      <c r="U609" s="330">
        <v>0.60305879755374248</v>
      </c>
      <c r="V609" s="330">
        <v>0.99930986536885458</v>
      </c>
      <c r="W609" s="330">
        <v>0.95238090648040141</v>
      </c>
      <c r="X609" s="330">
        <v>0.29950100990034217</v>
      </c>
      <c r="Y609" s="330">
        <v>0</v>
      </c>
      <c r="Z609" s="331">
        <v>0</v>
      </c>
      <c r="AA609" s="235"/>
      <c r="AB609" s="335">
        <v>101291.01890490211</v>
      </c>
      <c r="AC609" s="336">
        <v>1.4288900928632529</v>
      </c>
      <c r="AD609" s="337">
        <v>93748.367637021482</v>
      </c>
      <c r="AE609" s="336">
        <v>1.4298227962610426</v>
      </c>
      <c r="AF609" s="337">
        <v>7542.6512678806321</v>
      </c>
      <c r="AG609" s="338">
        <v>-9.3270339778972478E-4</v>
      </c>
      <c r="AH609" s="235"/>
      <c r="AI609" s="208">
        <f t="shared" si="68"/>
        <v>1256154.5693151881</v>
      </c>
      <c r="AJ609" s="208">
        <f t="shared" si="69"/>
        <v>1264583.2888109691</v>
      </c>
      <c r="AK609" s="208">
        <f t="shared" si="70"/>
        <v>-8428.7194957808715</v>
      </c>
      <c r="AL609" s="235"/>
      <c r="AM609" s="52">
        <f t="shared" si="58"/>
        <v>0</v>
      </c>
      <c r="AN609" s="52">
        <f t="shared" si="59"/>
        <v>1</v>
      </c>
      <c r="AO609" s="52">
        <f t="shared" si="60"/>
        <v>0</v>
      </c>
      <c r="AP609" s="235"/>
      <c r="AQ609" s="28"/>
      <c r="AR609" s="28"/>
      <c r="AS609" s="28"/>
      <c r="AT609" s="28"/>
      <c r="AU609" s="235"/>
      <c r="AV609" s="360">
        <f t="shared" si="71"/>
        <v>1264583.2888109691</v>
      </c>
      <c r="AW609" s="235"/>
      <c r="AX609" s="355"/>
      <c r="AY609" s="344"/>
      <c r="AZ609" s="14">
        <f t="shared" si="73"/>
        <v>7542.6512678806321</v>
      </c>
      <c r="BA609" s="14">
        <f t="shared" si="72"/>
        <v>-9.3270339778972478E-4</v>
      </c>
      <c r="BB609" s="14">
        <f t="shared" si="61"/>
        <v>-8086870.1515989332</v>
      </c>
      <c r="BC609" s="344"/>
      <c r="BD609" s="344"/>
      <c r="BE609" s="344"/>
      <c r="BF609" s="344"/>
      <c r="BG609" s="344"/>
      <c r="BH609" s="344"/>
      <c r="BI609" s="344"/>
      <c r="BJ609" s="344"/>
      <c r="BK609" s="344"/>
      <c r="BL609" s="344"/>
      <c r="BM609" s="344"/>
      <c r="BN609" s="344"/>
      <c r="BO609" s="344"/>
      <c r="BP609" s="14"/>
      <c r="BQ609" s="14"/>
      <c r="BR609" s="14"/>
      <c r="BS609" s="14"/>
      <c r="BT609" s="14"/>
      <c r="BU609" s="14"/>
      <c r="BV609" s="14"/>
      <c r="BW609" s="14"/>
      <c r="BX609" s="14"/>
      <c r="BY609" s="14"/>
      <c r="BZ609" s="14"/>
      <c r="CA609" s="14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</row>
    <row r="610" spans="1:101" ht="14.25" customHeight="1" x14ac:dyDescent="0.2">
      <c r="A610" s="328"/>
      <c r="B610" s="52">
        <v>0.15210738851784633</v>
      </c>
      <c r="C610" s="330">
        <v>0.29836999521851609</v>
      </c>
      <c r="D610" s="330">
        <v>2.0080139696476373E-2</v>
      </c>
      <c r="E610" s="330">
        <v>2.9562134703004173E-2</v>
      </c>
      <c r="F610" s="331">
        <v>0.75741356363301449</v>
      </c>
      <c r="G610" s="94">
        <v>0.39936516444095055</v>
      </c>
      <c r="H610" s="330">
        <v>0.73904232757829313</v>
      </c>
      <c r="I610" s="330">
        <v>4.0184105137405779E-2</v>
      </c>
      <c r="J610" s="330">
        <v>1.5989445912343431E-2</v>
      </c>
      <c r="K610" s="330">
        <v>0.74795520381955261</v>
      </c>
      <c r="L610" s="332">
        <v>9333.0204847371297</v>
      </c>
      <c r="M610" s="330">
        <v>0</v>
      </c>
      <c r="N610" s="330">
        <v>23961.353237579598</v>
      </c>
      <c r="O610" s="330">
        <v>1840.7607051728253</v>
      </c>
      <c r="P610" s="330">
        <v>44817.121563404478</v>
      </c>
      <c r="Q610" s="333">
        <v>105057.94206193724</v>
      </c>
      <c r="R610" s="330">
        <v>24271.204733039816</v>
      </c>
      <c r="S610" s="330">
        <v>9871.1503714769115</v>
      </c>
      <c r="T610" s="332">
        <v>0.98453860870598975</v>
      </c>
      <c r="U610" s="330">
        <v>0.97141451439022297</v>
      </c>
      <c r="V610" s="330">
        <v>0.78356212773563472</v>
      </c>
      <c r="W610" s="330">
        <v>0.99983004074171378</v>
      </c>
      <c r="X610" s="330">
        <v>0.66629819356834907</v>
      </c>
      <c r="Y610" s="330">
        <v>0</v>
      </c>
      <c r="Z610" s="331">
        <v>0</v>
      </c>
      <c r="AA610" s="235"/>
      <c r="AB610" s="335">
        <v>91274.151569044727</v>
      </c>
      <c r="AC610" s="336">
        <v>3.1256283997725274</v>
      </c>
      <c r="AD610" s="337">
        <v>88661.308297038064</v>
      </c>
      <c r="AE610" s="336">
        <v>3.1480466359399744</v>
      </c>
      <c r="AF610" s="337">
        <v>2612.843272006663</v>
      </c>
      <c r="AG610" s="338">
        <v>-2.2418236167446981E-2</v>
      </c>
      <c r="AH610" s="235"/>
      <c r="AI610" s="208">
        <f t="shared" si="68"/>
        <v>2878072.8282148563</v>
      </c>
      <c r="AJ610" s="208">
        <f t="shared" si="69"/>
        <v>2901982.9958459376</v>
      </c>
      <c r="AK610" s="208">
        <f t="shared" si="70"/>
        <v>-23910.167631081295</v>
      </c>
      <c r="AL610" s="235"/>
      <c r="AM610" s="52">
        <f t="shared" si="58"/>
        <v>0</v>
      </c>
      <c r="AN610" s="52">
        <f t="shared" si="59"/>
        <v>1</v>
      </c>
      <c r="AO610" s="52">
        <f t="shared" si="60"/>
        <v>0</v>
      </c>
      <c r="AP610" s="235"/>
      <c r="AQ610" s="28"/>
      <c r="AR610" s="28"/>
      <c r="AS610" s="28"/>
      <c r="AT610" s="28"/>
      <c r="AU610" s="235"/>
      <c r="AV610" s="360">
        <f t="shared" si="71"/>
        <v>2901982.9958459376</v>
      </c>
      <c r="AW610" s="235"/>
      <c r="AX610" s="355"/>
      <c r="AY610" s="344"/>
      <c r="AZ610" s="14">
        <f t="shared" si="73"/>
        <v>2612.843272006663</v>
      </c>
      <c r="BA610" s="14">
        <f t="shared" si="72"/>
        <v>-2.2418236167446981E-2</v>
      </c>
      <c r="BB610" s="14">
        <f t="shared" si="61"/>
        <v>-116549.90394831839</v>
      </c>
      <c r="BC610" s="344"/>
      <c r="BD610" s="344"/>
      <c r="BE610" s="344"/>
      <c r="BF610" s="344"/>
      <c r="BG610" s="344"/>
      <c r="BH610" s="344"/>
      <c r="BI610" s="344"/>
      <c r="BJ610" s="344"/>
      <c r="BK610" s="344"/>
      <c r="BL610" s="344"/>
      <c r="BM610" s="344"/>
      <c r="BN610" s="344"/>
      <c r="BO610" s="344"/>
      <c r="BP610" s="14"/>
      <c r="BQ610" s="14"/>
      <c r="BR610" s="14"/>
      <c r="BS610" s="14"/>
      <c r="BT610" s="14"/>
      <c r="BU610" s="14"/>
      <c r="BV610" s="14"/>
      <c r="BW610" s="14"/>
      <c r="BX610" s="14"/>
      <c r="BY610" s="14"/>
      <c r="BZ610" s="14"/>
      <c r="CA610" s="14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</row>
    <row r="611" spans="1:101" ht="14.25" customHeight="1" x14ac:dyDescent="0.2">
      <c r="A611" s="328"/>
      <c r="B611" s="52">
        <v>0.15418831942217698</v>
      </c>
      <c r="C611" s="330">
        <v>0.34077827487823398</v>
      </c>
      <c r="D611" s="330">
        <v>1.6040671323110933E-2</v>
      </c>
      <c r="E611" s="330">
        <v>8.04289257752289E-3</v>
      </c>
      <c r="F611" s="331">
        <v>0.78180551091565886</v>
      </c>
      <c r="G611" s="94">
        <v>0.40253907550132395</v>
      </c>
      <c r="H611" s="330">
        <v>2.1670914301907464E-2</v>
      </c>
      <c r="I611" s="330">
        <v>2.7910186013583194E-2</v>
      </c>
      <c r="J611" s="330">
        <v>0.99779240024347637</v>
      </c>
      <c r="K611" s="330">
        <v>0.72960702703492331</v>
      </c>
      <c r="L611" s="332">
        <v>15312.521953943055</v>
      </c>
      <c r="M611" s="330">
        <v>0</v>
      </c>
      <c r="N611" s="330">
        <v>17532.164455137201</v>
      </c>
      <c r="O611" s="330">
        <v>1306.2343898051074</v>
      </c>
      <c r="P611" s="330">
        <v>52254.210958824639</v>
      </c>
      <c r="Q611" s="333">
        <v>119028.26571801135</v>
      </c>
      <c r="R611" s="330">
        <v>22990.252600974705</v>
      </c>
      <c r="S611" s="330">
        <v>6049.9325054152214</v>
      </c>
      <c r="T611" s="332">
        <v>5.2132888647904149E-2</v>
      </c>
      <c r="U611" s="330">
        <v>0.31711952506718377</v>
      </c>
      <c r="V611" s="330">
        <v>0.2355969894389815</v>
      </c>
      <c r="W611" s="330">
        <v>0.97619479017725608</v>
      </c>
      <c r="X611" s="330">
        <v>0.85030748178445503</v>
      </c>
      <c r="Y611" s="330">
        <v>0</v>
      </c>
      <c r="Z611" s="331">
        <v>0</v>
      </c>
      <c r="AA611" s="235"/>
      <c r="AB611" s="335">
        <v>67775.042504984653</v>
      </c>
      <c r="AC611" s="336">
        <v>4.0188037452285537</v>
      </c>
      <c r="AD611" s="337">
        <v>50296.818375462768</v>
      </c>
      <c r="AE611" s="336">
        <v>3.8198053950099617</v>
      </c>
      <c r="AF611" s="337">
        <v>17478.224129521885</v>
      </c>
      <c r="AG611" s="338">
        <v>0.19899835021859191</v>
      </c>
      <c r="AH611" s="235"/>
      <c r="AI611" s="208">
        <f t="shared" si="68"/>
        <v>3750088.5154621415</v>
      </c>
      <c r="AJ611" s="208">
        <f t="shared" si="69"/>
        <v>3578518.306884001</v>
      </c>
      <c r="AK611" s="208">
        <f t="shared" si="70"/>
        <v>171570.20857814042</v>
      </c>
      <c r="AL611" s="235"/>
      <c r="AM611" s="52">
        <f t="shared" si="58"/>
        <v>1</v>
      </c>
      <c r="AN611" s="52">
        <f t="shared" si="59"/>
        <v>0</v>
      </c>
      <c r="AO611" s="52">
        <f t="shared" si="60"/>
        <v>1</v>
      </c>
      <c r="AP611" s="235"/>
      <c r="AQ611" s="28"/>
      <c r="AR611" s="28"/>
      <c r="AS611" s="28"/>
      <c r="AT611" s="28"/>
      <c r="AU611" s="235"/>
      <c r="AV611" s="360">
        <f t="shared" si="71"/>
        <v>3750088.5154621415</v>
      </c>
      <c r="AW611" s="235"/>
      <c r="AX611" s="355"/>
      <c r="AY611" s="344"/>
      <c r="AZ611" s="14">
        <f t="shared" si="73"/>
        <v>17478.224129521885</v>
      </c>
      <c r="BA611" s="14">
        <f t="shared" si="72"/>
        <v>0.19899835021859191</v>
      </c>
      <c r="BB611" s="14">
        <f t="shared" si="61"/>
        <v>87831.000158155774</v>
      </c>
      <c r="BC611" s="344"/>
      <c r="BD611" s="344"/>
      <c r="BE611" s="344"/>
      <c r="BF611" s="344"/>
      <c r="BG611" s="344"/>
      <c r="BH611" s="344"/>
      <c r="BI611" s="344"/>
      <c r="BJ611" s="344"/>
      <c r="BK611" s="344"/>
      <c r="BL611" s="344"/>
      <c r="BM611" s="344"/>
      <c r="BN611" s="344"/>
      <c r="BO611" s="344"/>
      <c r="BP611" s="14"/>
      <c r="BQ611" s="14"/>
      <c r="BR611" s="14"/>
      <c r="BS611" s="14"/>
      <c r="BT611" s="14"/>
      <c r="BU611" s="14"/>
      <c r="BV611" s="14"/>
      <c r="BW611" s="14"/>
      <c r="BX611" s="14"/>
      <c r="BY611" s="14"/>
      <c r="BZ611" s="14"/>
      <c r="CA611" s="14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</row>
    <row r="612" spans="1:101" ht="14.25" customHeight="1" x14ac:dyDescent="0.2">
      <c r="A612" s="328"/>
      <c r="B612" s="52">
        <v>0.15192504094667894</v>
      </c>
      <c r="C612" s="330">
        <v>0.24098087357602971</v>
      </c>
      <c r="D612" s="330">
        <v>9.2028803155524679E-3</v>
      </c>
      <c r="E612" s="330">
        <v>1.3585883850663403E-2</v>
      </c>
      <c r="F612" s="331">
        <v>0.79870141832083652</v>
      </c>
      <c r="G612" s="94">
        <v>0.40000961932449852</v>
      </c>
      <c r="H612" s="330">
        <v>7.0215782519918488E-2</v>
      </c>
      <c r="I612" s="330">
        <v>4.1789521770873805E-2</v>
      </c>
      <c r="J612" s="330">
        <v>0.99827619316848581</v>
      </c>
      <c r="K612" s="330">
        <v>0.78894187414571904</v>
      </c>
      <c r="L612" s="332">
        <v>6308.0825478516026</v>
      </c>
      <c r="M612" s="330">
        <v>0</v>
      </c>
      <c r="N612" s="330">
        <v>22567.378037722545</v>
      </c>
      <c r="O612" s="330">
        <v>979.15256001753812</v>
      </c>
      <c r="P612" s="330">
        <v>49329.413034598307</v>
      </c>
      <c r="Q612" s="333">
        <v>120438.5337784844</v>
      </c>
      <c r="R612" s="330">
        <v>19589.295436574685</v>
      </c>
      <c r="S612" s="330">
        <v>9879.9196892365508</v>
      </c>
      <c r="T612" s="332">
        <v>0.99717026282622334</v>
      </c>
      <c r="U612" s="330">
        <v>0.10919371065202953</v>
      </c>
      <c r="V612" s="330">
        <v>0.94150275522603644</v>
      </c>
      <c r="W612" s="330">
        <v>0.28250033424722287</v>
      </c>
      <c r="X612" s="330">
        <v>0.98651931806106163</v>
      </c>
      <c r="Y612" s="330">
        <v>0</v>
      </c>
      <c r="Z612" s="331">
        <v>0</v>
      </c>
      <c r="AA612" s="235"/>
      <c r="AB612" s="335">
        <v>92025.063260719471</v>
      </c>
      <c r="AC612" s="336">
        <v>4.767109674957088</v>
      </c>
      <c r="AD612" s="337">
        <v>87857.378422604859</v>
      </c>
      <c r="AE612" s="336">
        <v>4.7266562968681436</v>
      </c>
      <c r="AF612" s="337">
        <v>4167.6848381146119</v>
      </c>
      <c r="AG612" s="338">
        <v>4.0453378088944447E-2</v>
      </c>
      <c r="AH612" s="235"/>
      <c r="AI612" s="208">
        <f t="shared" si="68"/>
        <v>4436729.1279485142</v>
      </c>
      <c r="AJ612" s="208">
        <f t="shared" si="69"/>
        <v>4402466.1036021318</v>
      </c>
      <c r="AK612" s="208">
        <f t="shared" si="70"/>
        <v>34263.024346382612</v>
      </c>
      <c r="AL612" s="235"/>
      <c r="AM612" s="52">
        <f t="shared" si="58"/>
        <v>1</v>
      </c>
      <c r="AN612" s="52">
        <f t="shared" si="59"/>
        <v>0</v>
      </c>
      <c r="AO612" s="52">
        <f t="shared" si="60"/>
        <v>1</v>
      </c>
      <c r="AP612" s="235"/>
      <c r="AQ612" s="28"/>
      <c r="AR612" s="28"/>
      <c r="AS612" s="28"/>
      <c r="AT612" s="28"/>
      <c r="AU612" s="235"/>
      <c r="AV612" s="360">
        <f t="shared" si="71"/>
        <v>4436729.1279485142</v>
      </c>
      <c r="AW612" s="235"/>
      <c r="AX612" s="355"/>
      <c r="AY612" s="344"/>
      <c r="AZ612" s="14">
        <f t="shared" si="73"/>
        <v>4167.6848381146119</v>
      </c>
      <c r="BA612" s="14">
        <f t="shared" si="72"/>
        <v>4.0453378088944447E-2</v>
      </c>
      <c r="BB612" s="14">
        <f t="shared" si="61"/>
        <v>103024.39586012234</v>
      </c>
      <c r="BC612" s="344"/>
      <c r="BD612" s="344"/>
      <c r="BE612" s="344"/>
      <c r="BF612" s="344"/>
      <c r="BG612" s="344"/>
      <c r="BH612" s="344"/>
      <c r="BI612" s="344"/>
      <c r="BJ612" s="344"/>
      <c r="BK612" s="344"/>
      <c r="BL612" s="344"/>
      <c r="BM612" s="344"/>
      <c r="BN612" s="344"/>
      <c r="BO612" s="344"/>
      <c r="BP612" s="14"/>
      <c r="BQ612" s="14"/>
      <c r="BR612" s="14"/>
      <c r="BS612" s="14"/>
      <c r="BT612" s="14"/>
      <c r="BU612" s="14"/>
      <c r="BV612" s="14"/>
      <c r="BW612" s="14"/>
      <c r="BX612" s="14"/>
      <c r="BY612" s="14"/>
      <c r="BZ612" s="14"/>
      <c r="CA612" s="14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</row>
    <row r="613" spans="1:101" ht="14.25" customHeight="1" x14ac:dyDescent="0.2">
      <c r="A613" s="328"/>
      <c r="B613" s="52">
        <v>0.14828760346576997</v>
      </c>
      <c r="C613" s="330">
        <v>0.30843043142689142</v>
      </c>
      <c r="D613" s="330">
        <v>3.3437192273994776E-2</v>
      </c>
      <c r="E613" s="330">
        <v>9.0505515315932438E-3</v>
      </c>
      <c r="F613" s="331">
        <v>0.76274536890136824</v>
      </c>
      <c r="G613" s="94">
        <v>0.42943341463478479</v>
      </c>
      <c r="H613" s="330">
        <v>0.19808824901688046</v>
      </c>
      <c r="I613" s="330">
        <v>1.4564623116529816E-2</v>
      </c>
      <c r="J613" s="330">
        <v>0.87500286581284292</v>
      </c>
      <c r="K613" s="330">
        <v>0.73555271989995086</v>
      </c>
      <c r="L613" s="332">
        <v>13547.021185203874</v>
      </c>
      <c r="M613" s="330">
        <v>0</v>
      </c>
      <c r="N613" s="330">
        <v>14251.369955205362</v>
      </c>
      <c r="O613" s="330">
        <v>1206.9898385853849</v>
      </c>
      <c r="P613" s="330">
        <v>38976.066940140976</v>
      </c>
      <c r="Q613" s="333">
        <v>93899.607100655005</v>
      </c>
      <c r="R613" s="330">
        <v>33431.098176057545</v>
      </c>
      <c r="S613" s="330">
        <v>10049.866311859856</v>
      </c>
      <c r="T613" s="332">
        <v>0.77593611363541104</v>
      </c>
      <c r="U613" s="330">
        <v>0.86420113587054004</v>
      </c>
      <c r="V613" s="330">
        <v>0.96306865079578929</v>
      </c>
      <c r="W613" s="330">
        <v>0.510102324329339</v>
      </c>
      <c r="X613" s="330">
        <v>4.1888089048040977E-2</v>
      </c>
      <c r="Y613" s="330">
        <v>0</v>
      </c>
      <c r="Z613" s="331">
        <v>0</v>
      </c>
      <c r="AA613" s="235"/>
      <c r="AB613" s="335">
        <v>97983.129373410629</v>
      </c>
      <c r="AC613" s="336">
        <v>0.59985457782797191</v>
      </c>
      <c r="AD613" s="337">
        <v>83591.309869684308</v>
      </c>
      <c r="AE613" s="336">
        <v>0.19071302104400961</v>
      </c>
      <c r="AF613" s="337">
        <v>14391.819503726321</v>
      </c>
      <c r="AG613" s="338">
        <v>0.4091415567839623</v>
      </c>
      <c r="AH613" s="235"/>
      <c r="AI613" s="208">
        <f t="shared" si="68"/>
        <v>471878.71956316277</v>
      </c>
      <c r="AJ613" s="208">
        <f t="shared" si="69"/>
        <v>97586.060122124822</v>
      </c>
      <c r="AK613" s="208">
        <f t="shared" si="70"/>
        <v>374292.65944103786</v>
      </c>
      <c r="AL613" s="235"/>
      <c r="AM613" s="52">
        <f t="shared" si="58"/>
        <v>1</v>
      </c>
      <c r="AN613" s="52">
        <f t="shared" si="59"/>
        <v>0</v>
      </c>
      <c r="AO613" s="52">
        <f t="shared" si="60"/>
        <v>1</v>
      </c>
      <c r="AP613" s="235"/>
      <c r="AQ613" s="28"/>
      <c r="AR613" s="28"/>
      <c r="AS613" s="28"/>
      <c r="AT613" s="28"/>
      <c r="AU613" s="235"/>
      <c r="AV613" s="360">
        <f t="shared" si="71"/>
        <v>471878.71956316277</v>
      </c>
      <c r="AW613" s="235"/>
      <c r="AX613" s="355"/>
      <c r="AY613" s="344"/>
      <c r="AZ613" s="14">
        <f t="shared" si="73"/>
        <v>14391.819503726321</v>
      </c>
      <c r="BA613" s="14">
        <f t="shared" si="72"/>
        <v>0.4091415567839623</v>
      </c>
      <c r="BB613" s="14">
        <f t="shared" si="61"/>
        <v>35175.648293594357</v>
      </c>
      <c r="BC613" s="344"/>
      <c r="BD613" s="344"/>
      <c r="BE613" s="344"/>
      <c r="BF613" s="344"/>
      <c r="BG613" s="344"/>
      <c r="BH613" s="344"/>
      <c r="BI613" s="344"/>
      <c r="BJ613" s="344"/>
      <c r="BK613" s="344"/>
      <c r="BL613" s="344"/>
      <c r="BM613" s="344"/>
      <c r="BN613" s="344"/>
      <c r="BO613" s="344"/>
      <c r="BP613" s="14"/>
      <c r="BQ613" s="14"/>
      <c r="BR613" s="14"/>
      <c r="BS613" s="14"/>
      <c r="BT613" s="14"/>
      <c r="BU613" s="14"/>
      <c r="BV613" s="14"/>
      <c r="BW613" s="14"/>
      <c r="BX613" s="14"/>
      <c r="BY613" s="14"/>
      <c r="BZ613" s="14"/>
      <c r="CA613" s="14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</row>
    <row r="614" spans="1:101" ht="14.25" customHeight="1" x14ac:dyDescent="0.2">
      <c r="A614" s="328"/>
      <c r="B614" s="52">
        <v>0.1606100339640828</v>
      </c>
      <c r="C614" s="330">
        <v>0.47520566192010416</v>
      </c>
      <c r="D614" s="330">
        <v>7.5863407141897755E-3</v>
      </c>
      <c r="E614" s="330">
        <v>1.5303378582752547E-2</v>
      </c>
      <c r="F614" s="331">
        <v>0.75393205140752317</v>
      </c>
      <c r="G614" s="94">
        <v>0.42653780645299666</v>
      </c>
      <c r="H614" s="330">
        <v>0.30185732790302072</v>
      </c>
      <c r="I614" s="330">
        <v>2.7519824054349828E-2</v>
      </c>
      <c r="J614" s="330">
        <v>0.96977531003522088</v>
      </c>
      <c r="K614" s="330">
        <v>0.7945796132454428</v>
      </c>
      <c r="L614" s="332">
        <v>12282.231014128325</v>
      </c>
      <c r="M614" s="330">
        <v>0</v>
      </c>
      <c r="N614" s="330">
        <v>21417.141113595739</v>
      </c>
      <c r="O614" s="330">
        <v>1064.9117439429599</v>
      </c>
      <c r="P614" s="330">
        <v>60136.905099236268</v>
      </c>
      <c r="Q614" s="333">
        <v>88182.799635583506</v>
      </c>
      <c r="R614" s="330">
        <v>24488.686595954245</v>
      </c>
      <c r="S614" s="330">
        <v>7201.2383117243271</v>
      </c>
      <c r="T614" s="332">
        <v>4.7868249826413078E-2</v>
      </c>
      <c r="U614" s="330">
        <v>0.98967403700732959</v>
      </c>
      <c r="V614" s="330">
        <v>0.27339386577278418</v>
      </c>
      <c r="W614" s="330">
        <v>0.9758539006942939</v>
      </c>
      <c r="X614" s="330">
        <v>0.89242258945299824</v>
      </c>
      <c r="Y614" s="330">
        <v>0</v>
      </c>
      <c r="Z614" s="331">
        <v>0</v>
      </c>
      <c r="AA614" s="235"/>
      <c r="AB614" s="335">
        <v>72693.754945312903</v>
      </c>
      <c r="AC614" s="336">
        <v>4.0655772523402209</v>
      </c>
      <c r="AD614" s="337">
        <v>67024.184618353669</v>
      </c>
      <c r="AE614" s="336">
        <v>4.5339978139710597</v>
      </c>
      <c r="AF614" s="337">
        <v>5669.5703269592341</v>
      </c>
      <c r="AG614" s="338">
        <v>-0.46842056163083878</v>
      </c>
      <c r="AH614" s="235"/>
      <c r="AI614" s="208">
        <f t="shared" si="68"/>
        <v>3789604.6347778966</v>
      </c>
      <c r="AJ614" s="208">
        <f t="shared" si="69"/>
        <v>4240273.7386541525</v>
      </c>
      <c r="AK614" s="208">
        <f t="shared" si="70"/>
        <v>-450669.10387625609</v>
      </c>
      <c r="AL614" s="235"/>
      <c r="AM614" s="52">
        <f t="shared" si="58"/>
        <v>0</v>
      </c>
      <c r="AN614" s="52">
        <f t="shared" si="59"/>
        <v>1</v>
      </c>
      <c r="AO614" s="52">
        <f t="shared" si="60"/>
        <v>0</v>
      </c>
      <c r="AP614" s="235"/>
      <c r="AQ614" s="28"/>
      <c r="AR614" s="28"/>
      <c r="AS614" s="28"/>
      <c r="AT614" s="28"/>
      <c r="AU614" s="235"/>
      <c r="AV614" s="360">
        <f t="shared" si="71"/>
        <v>4240273.7386541525</v>
      </c>
      <c r="AW614" s="235"/>
      <c r="AX614" s="355"/>
      <c r="AY614" s="344"/>
      <c r="AZ614" s="14">
        <f t="shared" si="73"/>
        <v>5669.5703269592341</v>
      </c>
      <c r="BA614" s="14">
        <f t="shared" si="72"/>
        <v>-0.46842056163083878</v>
      </c>
      <c r="BB614" s="14">
        <f t="shared" si="61"/>
        <v>-12103.589789526382</v>
      </c>
      <c r="BC614" s="344"/>
      <c r="BD614" s="344"/>
      <c r="BE614" s="344"/>
      <c r="BF614" s="344"/>
      <c r="BG614" s="344"/>
      <c r="BH614" s="344"/>
      <c r="BI614" s="344"/>
      <c r="BJ614" s="344"/>
      <c r="BK614" s="344"/>
      <c r="BL614" s="344"/>
      <c r="BM614" s="344"/>
      <c r="BN614" s="344"/>
      <c r="BO614" s="344"/>
      <c r="BP614" s="14"/>
      <c r="BQ614" s="14"/>
      <c r="BR614" s="14"/>
      <c r="BS614" s="14"/>
      <c r="BT614" s="14"/>
      <c r="BU614" s="14"/>
      <c r="BV614" s="14"/>
      <c r="BW614" s="14"/>
      <c r="BX614" s="14"/>
      <c r="BY614" s="14"/>
      <c r="BZ614" s="14"/>
      <c r="CA614" s="14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</row>
    <row r="615" spans="1:101" ht="14.25" customHeight="1" x14ac:dyDescent="0.2">
      <c r="A615" s="328"/>
      <c r="B615" s="52">
        <v>0.14276427674182937</v>
      </c>
      <c r="C615" s="330">
        <v>5.1586997684975648E-2</v>
      </c>
      <c r="D615" s="330">
        <v>2.3234542680397041E-2</v>
      </c>
      <c r="E615" s="330">
        <v>1.182741702148354E-2</v>
      </c>
      <c r="F615" s="331">
        <v>0.77258523126949485</v>
      </c>
      <c r="G615" s="94">
        <v>0.38546439112500974</v>
      </c>
      <c r="H615" s="330">
        <v>8.4071826975721298E-2</v>
      </c>
      <c r="I615" s="330">
        <v>2.2811159680304227E-2</v>
      </c>
      <c r="J615" s="330">
        <v>0.99999037395889623</v>
      </c>
      <c r="K615" s="330">
        <v>0.79387790734627517</v>
      </c>
      <c r="L615" s="332">
        <v>17891.99535091229</v>
      </c>
      <c r="M615" s="330">
        <v>0</v>
      </c>
      <c r="N615" s="330">
        <v>17412.084965574133</v>
      </c>
      <c r="O615" s="330">
        <v>1737.7204628801358</v>
      </c>
      <c r="P615" s="330">
        <v>31110.99780963183</v>
      </c>
      <c r="Q615" s="333">
        <v>134672.0811990019</v>
      </c>
      <c r="R615" s="330">
        <v>26479.100591858827</v>
      </c>
      <c r="S615" s="330">
        <v>8846.0631656247569</v>
      </c>
      <c r="T615" s="332">
        <v>0.37758296507202416</v>
      </c>
      <c r="U615" s="330">
        <v>0.97052209558801739</v>
      </c>
      <c r="V615" s="330">
        <v>0.72135530449762253</v>
      </c>
      <c r="W615" s="330">
        <v>0.59225229072219077</v>
      </c>
      <c r="X615" s="330">
        <v>0.9988301286199377</v>
      </c>
      <c r="Y615" s="330">
        <v>0</v>
      </c>
      <c r="Z615" s="331">
        <v>0</v>
      </c>
      <c r="AA615" s="235"/>
      <c r="AB615" s="335">
        <v>92124.570989586398</v>
      </c>
      <c r="AC615" s="336">
        <v>4.7025460225735127</v>
      </c>
      <c r="AD615" s="337">
        <v>78493.331619093908</v>
      </c>
      <c r="AE615" s="336">
        <v>5.0345209433755977</v>
      </c>
      <c r="AF615" s="337">
        <v>13631.239370492491</v>
      </c>
      <c r="AG615" s="338">
        <v>-0.33197492080208502</v>
      </c>
      <c r="AH615" s="235"/>
      <c r="AI615" s="208">
        <f t="shared" si="68"/>
        <v>4375294.1504552504</v>
      </c>
      <c r="AJ615" s="208">
        <f t="shared" si="69"/>
        <v>4704301.5645877235</v>
      </c>
      <c r="AK615" s="208">
        <f t="shared" si="70"/>
        <v>-329007.41413247329</v>
      </c>
      <c r="AL615" s="235"/>
      <c r="AM615" s="52">
        <f t="shared" si="58"/>
        <v>0</v>
      </c>
      <c r="AN615" s="52">
        <f t="shared" si="59"/>
        <v>1</v>
      </c>
      <c r="AO615" s="52">
        <f t="shared" si="60"/>
        <v>0</v>
      </c>
      <c r="AP615" s="235"/>
      <c r="AQ615" s="28"/>
      <c r="AR615" s="28"/>
      <c r="AS615" s="28"/>
      <c r="AT615" s="28"/>
      <c r="AU615" s="235"/>
      <c r="AV615" s="360">
        <f t="shared" si="71"/>
        <v>4704301.5645877235</v>
      </c>
      <c r="AW615" s="235"/>
      <c r="AX615" s="355"/>
      <c r="AY615" s="344"/>
      <c r="AZ615" s="14">
        <f t="shared" si="73"/>
        <v>13631.239370492491</v>
      </c>
      <c r="BA615" s="14">
        <f t="shared" si="72"/>
        <v>-0.33197492080208502</v>
      </c>
      <c r="BB615" s="14">
        <f t="shared" si="61"/>
        <v>-41061.051652811715</v>
      </c>
      <c r="BC615" s="344"/>
      <c r="BD615" s="344"/>
      <c r="BE615" s="344"/>
      <c r="BF615" s="344"/>
      <c r="BG615" s="344"/>
      <c r="BH615" s="344"/>
      <c r="BI615" s="344"/>
      <c r="BJ615" s="344"/>
      <c r="BK615" s="344"/>
      <c r="BL615" s="344"/>
      <c r="BM615" s="344"/>
      <c r="BN615" s="344"/>
      <c r="BO615" s="344"/>
      <c r="BP615" s="14"/>
      <c r="BQ615" s="14"/>
      <c r="BR615" s="14"/>
      <c r="BS615" s="14"/>
      <c r="BT615" s="14"/>
      <c r="BU615" s="14"/>
      <c r="BV615" s="14"/>
      <c r="BW615" s="14"/>
      <c r="BX615" s="14"/>
      <c r="BY615" s="14"/>
      <c r="BZ615" s="14"/>
      <c r="CA615" s="14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</row>
    <row r="616" spans="1:101" ht="14.25" customHeight="1" x14ac:dyDescent="0.2">
      <c r="A616" s="328"/>
      <c r="B616" s="52">
        <v>0.14829816824358619</v>
      </c>
      <c r="C616" s="330">
        <v>0.14000245206152262</v>
      </c>
      <c r="D616" s="330">
        <v>1.9703971637929141E-2</v>
      </c>
      <c r="E616" s="330">
        <v>3.7888398500250164E-2</v>
      </c>
      <c r="F616" s="331">
        <v>0.81407365104828577</v>
      </c>
      <c r="G616" s="94">
        <v>0.46475409331869821</v>
      </c>
      <c r="H616" s="330">
        <v>0.92298103680576404</v>
      </c>
      <c r="I616" s="330">
        <v>1.6367282990198961E-2</v>
      </c>
      <c r="J616" s="330">
        <v>0.45136321111201577</v>
      </c>
      <c r="K616" s="330">
        <v>0.74279593782030395</v>
      </c>
      <c r="L616" s="332">
        <v>12531.22943983147</v>
      </c>
      <c r="M616" s="330">
        <v>0</v>
      </c>
      <c r="N616" s="330">
        <v>18132.809433657108</v>
      </c>
      <c r="O616" s="330">
        <v>1479.30149450403</v>
      </c>
      <c r="P616" s="330">
        <v>43163.002573776859</v>
      </c>
      <c r="Q616" s="333">
        <v>92526.207295574233</v>
      </c>
      <c r="R616" s="330">
        <v>26752.05607091487</v>
      </c>
      <c r="S616" s="330">
        <v>11059.036625650544</v>
      </c>
      <c r="T616" s="332">
        <v>0.8568069685572296</v>
      </c>
      <c r="U616" s="330">
        <v>0.99926595334664681</v>
      </c>
      <c r="V616" s="330">
        <v>0.98661113202228568</v>
      </c>
      <c r="W616" s="330">
        <v>0.99999545936148659</v>
      </c>
      <c r="X616" s="330">
        <v>0.57213614930926548</v>
      </c>
      <c r="Y616" s="330">
        <v>0</v>
      </c>
      <c r="Z616" s="331">
        <v>0</v>
      </c>
      <c r="AA616" s="235"/>
      <c r="AB616" s="335">
        <v>110195.07335297232</v>
      </c>
      <c r="AC616" s="336">
        <v>2.9765813469099935</v>
      </c>
      <c r="AD616" s="337">
        <v>101070.85030288305</v>
      </c>
      <c r="AE616" s="336">
        <v>2.6615885434675275</v>
      </c>
      <c r="AF616" s="337">
        <v>9124.2230500892765</v>
      </c>
      <c r="AG616" s="338">
        <v>0.31499280344246605</v>
      </c>
      <c r="AH616" s="235"/>
      <c r="AI616" s="208">
        <f t="shared" si="68"/>
        <v>2717557.2062115213</v>
      </c>
      <c r="AJ616" s="208">
        <f t="shared" si="69"/>
        <v>2427438.2659912682</v>
      </c>
      <c r="AK616" s="208">
        <f t="shared" si="70"/>
        <v>290118.94022025348</v>
      </c>
      <c r="AL616" s="235"/>
      <c r="AM616" s="52">
        <f t="shared" si="58"/>
        <v>1</v>
      </c>
      <c r="AN616" s="52">
        <f t="shared" si="59"/>
        <v>0</v>
      </c>
      <c r="AO616" s="52">
        <f t="shared" si="60"/>
        <v>1</v>
      </c>
      <c r="AP616" s="235"/>
      <c r="AQ616" s="28"/>
      <c r="AR616" s="28"/>
      <c r="AS616" s="28"/>
      <c r="AT616" s="28"/>
      <c r="AU616" s="235"/>
      <c r="AV616" s="360">
        <f t="shared" si="71"/>
        <v>2717557.2062115213</v>
      </c>
      <c r="AW616" s="235"/>
      <c r="AX616" s="355"/>
      <c r="AY616" s="344"/>
      <c r="AZ616" s="14">
        <f t="shared" si="73"/>
        <v>9124.2230500892765</v>
      </c>
      <c r="BA616" s="14">
        <f t="shared" si="72"/>
        <v>0.31499280344246605</v>
      </c>
      <c r="BB616" s="14">
        <f t="shared" si="61"/>
        <v>28966.449234310301</v>
      </c>
      <c r="BC616" s="344"/>
      <c r="BD616" s="344"/>
      <c r="BE616" s="344"/>
      <c r="BF616" s="344"/>
      <c r="BG616" s="344"/>
      <c r="BH616" s="344"/>
      <c r="BI616" s="344"/>
      <c r="BJ616" s="344"/>
      <c r="BK616" s="344"/>
      <c r="BL616" s="344"/>
      <c r="BM616" s="344"/>
      <c r="BN616" s="344"/>
      <c r="BO616" s="344"/>
      <c r="BP616" s="14"/>
      <c r="BQ616" s="14"/>
      <c r="BR616" s="14"/>
      <c r="BS616" s="14"/>
      <c r="BT616" s="14"/>
      <c r="BU616" s="14"/>
      <c r="BV616" s="14"/>
      <c r="BW616" s="14"/>
      <c r="BX616" s="14"/>
      <c r="BY616" s="14"/>
      <c r="BZ616" s="14"/>
      <c r="CA616" s="14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</row>
    <row r="617" spans="1:101" ht="14.25" customHeight="1" x14ac:dyDescent="0.2">
      <c r="A617" s="328"/>
      <c r="B617" s="52">
        <v>0.15744999365573503</v>
      </c>
      <c r="C617" s="330">
        <v>0.12548758971730409</v>
      </c>
      <c r="D617" s="330">
        <v>1.8364829863038223E-2</v>
      </c>
      <c r="E617" s="330">
        <v>2.2677037750164608E-2</v>
      </c>
      <c r="F617" s="331">
        <v>0.81248798288207358</v>
      </c>
      <c r="G617" s="94">
        <v>0.39448838337932018</v>
      </c>
      <c r="H617" s="330">
        <v>2.0781732592939597E-2</v>
      </c>
      <c r="I617" s="330">
        <v>2.6269975971917381E-2</v>
      </c>
      <c r="J617" s="330">
        <v>1</v>
      </c>
      <c r="K617" s="330">
        <v>0.78753374621385852</v>
      </c>
      <c r="L617" s="332">
        <v>11507.459697687244</v>
      </c>
      <c r="M617" s="330">
        <v>0</v>
      </c>
      <c r="N617" s="330">
        <v>19670.926554779227</v>
      </c>
      <c r="O617" s="330">
        <v>1051.6672992638328</v>
      </c>
      <c r="P617" s="330">
        <v>37683.119385329621</v>
      </c>
      <c r="Q617" s="333">
        <v>103235.23489890959</v>
      </c>
      <c r="R617" s="330">
        <v>24812.910628562724</v>
      </c>
      <c r="S617" s="330">
        <v>10497.230013495822</v>
      </c>
      <c r="T617" s="332">
        <v>0.93183332784706929</v>
      </c>
      <c r="U617" s="330">
        <v>0.99811956203363617</v>
      </c>
      <c r="V617" s="330">
        <v>0.72261169806918424</v>
      </c>
      <c r="W617" s="330">
        <v>0.52335847149475478</v>
      </c>
      <c r="X617" s="330">
        <v>0.32879017748110956</v>
      </c>
      <c r="Y617" s="330">
        <v>0</v>
      </c>
      <c r="Z617" s="331">
        <v>0</v>
      </c>
      <c r="AA617" s="235"/>
      <c r="AB617" s="335">
        <v>103990.8797810932</v>
      </c>
      <c r="AC617" s="336">
        <v>1.7435720849097831</v>
      </c>
      <c r="AD617" s="337">
        <v>91023.694941390189</v>
      </c>
      <c r="AE617" s="336">
        <v>1.9952981896762241</v>
      </c>
      <c r="AF617" s="337">
        <v>12967.184839703012</v>
      </c>
      <c r="AG617" s="338">
        <v>-0.25172610476644097</v>
      </c>
      <c r="AH617" s="235"/>
      <c r="AI617" s="208">
        <f t="shared" si="68"/>
        <v>1552402.6008832008</v>
      </c>
      <c r="AJ617" s="208">
        <f t="shared" si="69"/>
        <v>1804509.5852510226</v>
      </c>
      <c r="AK617" s="208">
        <f t="shared" si="70"/>
        <v>-252106.98436782195</v>
      </c>
      <c r="AL617" s="235"/>
      <c r="AM617" s="52">
        <f t="shared" si="58"/>
        <v>0</v>
      </c>
      <c r="AN617" s="52">
        <f t="shared" si="59"/>
        <v>1</v>
      </c>
      <c r="AO617" s="52">
        <f t="shared" si="60"/>
        <v>0</v>
      </c>
      <c r="AP617" s="235"/>
      <c r="AQ617" s="28"/>
      <c r="AR617" s="28"/>
      <c r="AS617" s="28"/>
      <c r="AT617" s="28"/>
      <c r="AU617" s="235"/>
      <c r="AV617" s="360">
        <f t="shared" si="71"/>
        <v>1804509.5852510226</v>
      </c>
      <c r="AW617" s="235"/>
      <c r="AX617" s="355"/>
      <c r="AY617" s="344"/>
      <c r="AZ617" s="14">
        <f t="shared" si="73"/>
        <v>12967.184839703012</v>
      </c>
      <c r="BA617" s="14">
        <f t="shared" si="72"/>
        <v>-0.25172610476644097</v>
      </c>
      <c r="BB617" s="14">
        <f t="shared" si="61"/>
        <v>-51513.071525634397</v>
      </c>
      <c r="BC617" s="344"/>
      <c r="BD617" s="344"/>
      <c r="BE617" s="344"/>
      <c r="BF617" s="344"/>
      <c r="BG617" s="344"/>
      <c r="BH617" s="344"/>
      <c r="BI617" s="344"/>
      <c r="BJ617" s="344"/>
      <c r="BK617" s="344"/>
      <c r="BL617" s="344"/>
      <c r="BM617" s="344"/>
      <c r="BN617" s="344"/>
      <c r="BO617" s="344"/>
      <c r="BP617" s="14"/>
      <c r="BQ617" s="14"/>
      <c r="BR617" s="14"/>
      <c r="BS617" s="14"/>
      <c r="BT617" s="14"/>
      <c r="BU617" s="14"/>
      <c r="BV617" s="14"/>
      <c r="BW617" s="14"/>
      <c r="BX617" s="14"/>
      <c r="BY617" s="14"/>
      <c r="BZ617" s="14"/>
      <c r="CA617" s="14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</row>
    <row r="618" spans="1:101" ht="14.25" customHeight="1" x14ac:dyDescent="0.2">
      <c r="A618" s="328"/>
      <c r="B618" s="52">
        <v>0.13542748499358728</v>
      </c>
      <c r="C618" s="330">
        <v>0.19371824168995064</v>
      </c>
      <c r="D618" s="330">
        <v>2.3528513236166337E-2</v>
      </c>
      <c r="E618" s="330">
        <v>9.157686180773875E-3</v>
      </c>
      <c r="F618" s="331">
        <v>0.79699710410910263</v>
      </c>
      <c r="G618" s="94">
        <v>0.45250074617213898</v>
      </c>
      <c r="H618" s="330">
        <v>0.43759628534657169</v>
      </c>
      <c r="I618" s="330">
        <v>2.5389083322134742E-2</v>
      </c>
      <c r="J618" s="330">
        <v>0.99950946764232984</v>
      </c>
      <c r="K618" s="330">
        <v>0.72941239271332547</v>
      </c>
      <c r="L618" s="332">
        <v>13788.613423645664</v>
      </c>
      <c r="M618" s="330">
        <v>0</v>
      </c>
      <c r="N618" s="330">
        <v>16464.156560453714</v>
      </c>
      <c r="O618" s="330">
        <v>967.5095882520485</v>
      </c>
      <c r="P618" s="330">
        <v>46776.791621636949</v>
      </c>
      <c r="Q618" s="333">
        <v>47928.743383583365</v>
      </c>
      <c r="R618" s="330">
        <v>16391.576436969739</v>
      </c>
      <c r="S618" s="330">
        <v>8279.6898644981175</v>
      </c>
      <c r="T618" s="332">
        <v>0.87222319940003223</v>
      </c>
      <c r="U618" s="330">
        <v>0.84114000405909617</v>
      </c>
      <c r="V618" s="330">
        <v>0.85239245278186937</v>
      </c>
      <c r="W618" s="330">
        <v>0.98130636818671901</v>
      </c>
      <c r="X618" s="330">
        <v>0.98989213425558875</v>
      </c>
      <c r="Y618" s="330">
        <v>0</v>
      </c>
      <c r="Z618" s="331">
        <v>0</v>
      </c>
      <c r="AA618" s="235"/>
      <c r="AB618" s="335">
        <v>85318.438342804831</v>
      </c>
      <c r="AC618" s="336">
        <v>4.9819573838198039</v>
      </c>
      <c r="AD618" s="337">
        <v>69723.652630156546</v>
      </c>
      <c r="AE618" s="336">
        <v>4.6297633805878897</v>
      </c>
      <c r="AF618" s="337">
        <v>15594.785712648285</v>
      </c>
      <c r="AG618" s="338">
        <v>0.35219400323191419</v>
      </c>
      <c r="AH618" s="235"/>
      <c r="AI618" s="208">
        <f t="shared" si="68"/>
        <v>4647541.0762860086</v>
      </c>
      <c r="AJ618" s="208">
        <f t="shared" si="69"/>
        <v>4328551.5589283388</v>
      </c>
      <c r="AK618" s="208">
        <f t="shared" si="70"/>
        <v>318989.51735767018</v>
      </c>
      <c r="AL618" s="235"/>
      <c r="AM618" s="52">
        <f t="shared" si="58"/>
        <v>1</v>
      </c>
      <c r="AN618" s="52">
        <f t="shared" si="59"/>
        <v>0</v>
      </c>
      <c r="AO618" s="52">
        <f t="shared" si="60"/>
        <v>1</v>
      </c>
      <c r="AP618" s="235"/>
      <c r="AQ618" s="28"/>
      <c r="AR618" s="28"/>
      <c r="AS618" s="28"/>
      <c r="AT618" s="28"/>
      <c r="AU618" s="235"/>
      <c r="AV618" s="360">
        <f t="shared" si="71"/>
        <v>4647541.0762860086</v>
      </c>
      <c r="AW618" s="235"/>
      <c r="AX618" s="355"/>
      <c r="AY618" s="344"/>
      <c r="AZ618" s="14">
        <f t="shared" si="73"/>
        <v>15594.785712648285</v>
      </c>
      <c r="BA618" s="14">
        <f t="shared" si="72"/>
        <v>0.35219400323191419</v>
      </c>
      <c r="BB618" s="14">
        <f t="shared" si="61"/>
        <v>44278.964347894827</v>
      </c>
      <c r="BC618" s="344"/>
      <c r="BD618" s="344"/>
      <c r="BE618" s="344"/>
      <c r="BF618" s="344"/>
      <c r="BG618" s="344"/>
      <c r="BH618" s="344"/>
      <c r="BI618" s="344"/>
      <c r="BJ618" s="344"/>
      <c r="BK618" s="344"/>
      <c r="BL618" s="344"/>
      <c r="BM618" s="344"/>
      <c r="BN618" s="344"/>
      <c r="BO618" s="344"/>
      <c r="BP618" s="14"/>
      <c r="BQ618" s="14"/>
      <c r="BR618" s="14"/>
      <c r="BS618" s="14"/>
      <c r="BT618" s="14"/>
      <c r="BU618" s="14"/>
      <c r="BV618" s="14"/>
      <c r="BW618" s="14"/>
      <c r="BX618" s="14"/>
      <c r="BY618" s="14"/>
      <c r="BZ618" s="14"/>
      <c r="CA618" s="14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</row>
    <row r="619" spans="1:101" ht="14.25" customHeight="1" x14ac:dyDescent="0.2">
      <c r="A619" s="328"/>
      <c r="B619" s="52">
        <v>0.15503500765518721</v>
      </c>
      <c r="C619" s="330">
        <v>0.29013970484786744</v>
      </c>
      <c r="D619" s="330">
        <v>1.7421997533105582E-2</v>
      </c>
      <c r="E619" s="330">
        <v>5.875452980053401E-3</v>
      </c>
      <c r="F619" s="331">
        <v>0.77196709522849671</v>
      </c>
      <c r="G619" s="94">
        <v>0.4076393059542518</v>
      </c>
      <c r="H619" s="330">
        <v>0.65402561457153163</v>
      </c>
      <c r="I619" s="330">
        <v>7.6723844873472589E-3</v>
      </c>
      <c r="J619" s="330">
        <v>0.99649332203220242</v>
      </c>
      <c r="K619" s="330">
        <v>0.77950737930226732</v>
      </c>
      <c r="L619" s="332">
        <v>11774.258625523426</v>
      </c>
      <c r="M619" s="330">
        <v>0</v>
      </c>
      <c r="N619" s="330">
        <v>18521.937683566386</v>
      </c>
      <c r="O619" s="330">
        <v>1230.8441804904178</v>
      </c>
      <c r="P619" s="330">
        <v>64510.240571839407</v>
      </c>
      <c r="Q619" s="333">
        <v>97156.493918557724</v>
      </c>
      <c r="R619" s="330">
        <v>22273.378372093444</v>
      </c>
      <c r="S619" s="330">
        <v>8378.2160999332009</v>
      </c>
      <c r="T619" s="332">
        <v>0.62460740858779795</v>
      </c>
      <c r="U619" s="330">
        <v>0.58790736937414689</v>
      </c>
      <c r="V619" s="330">
        <v>0.99958355935707544</v>
      </c>
      <c r="W619" s="330">
        <v>0.9507877905343316</v>
      </c>
      <c r="X619" s="330">
        <v>0.98539908515100472</v>
      </c>
      <c r="Y619" s="330">
        <v>0</v>
      </c>
      <c r="Z619" s="331">
        <v>0</v>
      </c>
      <c r="AA619" s="235"/>
      <c r="AB619" s="335">
        <v>82637.179940316972</v>
      </c>
      <c r="AC619" s="336">
        <v>4.803197290176441</v>
      </c>
      <c r="AD619" s="337">
        <v>77061.658770197013</v>
      </c>
      <c r="AE619" s="336">
        <v>4.7785690023187604</v>
      </c>
      <c r="AF619" s="337">
        <v>5575.5211701199587</v>
      </c>
      <c r="AG619" s="338">
        <v>2.4628287857680675E-2</v>
      </c>
      <c r="AH619" s="235"/>
      <c r="AI619" s="208">
        <f t="shared" si="68"/>
        <v>4480400.2457273025</v>
      </c>
      <c r="AJ619" s="208">
        <f t="shared" si="69"/>
        <v>4462578.8934326256</v>
      </c>
      <c r="AK619" s="208">
        <f t="shared" si="70"/>
        <v>17821.352294676683</v>
      </c>
      <c r="AL619" s="235"/>
      <c r="AM619" s="52">
        <f t="shared" si="58"/>
        <v>1</v>
      </c>
      <c r="AN619" s="52">
        <f t="shared" si="59"/>
        <v>0</v>
      </c>
      <c r="AO619" s="52">
        <f t="shared" si="60"/>
        <v>1</v>
      </c>
      <c r="AP619" s="235"/>
      <c r="AQ619" s="28"/>
      <c r="AR619" s="28"/>
      <c r="AS619" s="28"/>
      <c r="AT619" s="28"/>
      <c r="AU619" s="235"/>
      <c r="AV619" s="360">
        <f t="shared" si="71"/>
        <v>4480400.2457273025</v>
      </c>
      <c r="AW619" s="235"/>
      <c r="AX619" s="355"/>
      <c r="AY619" s="344"/>
      <c r="AZ619" s="14">
        <f t="shared" si="73"/>
        <v>5575.5211701199587</v>
      </c>
      <c r="BA619" s="14">
        <f t="shared" si="72"/>
        <v>2.4628287857680675E-2</v>
      </c>
      <c r="BB619" s="14">
        <f t="shared" si="61"/>
        <v>226386.8768441877</v>
      </c>
      <c r="BC619" s="344"/>
      <c r="BD619" s="344"/>
      <c r="BE619" s="344"/>
      <c r="BF619" s="344"/>
      <c r="BG619" s="344"/>
      <c r="BH619" s="344"/>
      <c r="BI619" s="344"/>
      <c r="BJ619" s="344"/>
      <c r="BK619" s="344"/>
      <c r="BL619" s="344"/>
      <c r="BM619" s="344"/>
      <c r="BN619" s="344"/>
      <c r="BO619" s="344"/>
      <c r="BP619" s="14"/>
      <c r="BQ619" s="14"/>
      <c r="BR619" s="14"/>
      <c r="BS619" s="14"/>
      <c r="BT619" s="14"/>
      <c r="BU619" s="14"/>
      <c r="BV619" s="14"/>
      <c r="BW619" s="14"/>
      <c r="BX619" s="14"/>
      <c r="BY619" s="14"/>
      <c r="BZ619" s="14"/>
      <c r="CA619" s="14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</row>
    <row r="620" spans="1:101" ht="14.25" customHeight="1" x14ac:dyDescent="0.2">
      <c r="A620" s="328"/>
      <c r="B620" s="52">
        <v>0.18854760041640961</v>
      </c>
      <c r="C620" s="330">
        <v>5.8457113309240485E-2</v>
      </c>
      <c r="D620" s="330">
        <v>1.5548245824450135E-2</v>
      </c>
      <c r="E620" s="330">
        <v>1.3893621339813041E-2</v>
      </c>
      <c r="F620" s="331">
        <v>0.75235032170397187</v>
      </c>
      <c r="G620" s="94">
        <v>0.36343562973381177</v>
      </c>
      <c r="H620" s="330">
        <v>8.621686804769034E-2</v>
      </c>
      <c r="I620" s="330">
        <v>1.7475935312395552E-2</v>
      </c>
      <c r="J620" s="330">
        <v>0.99871276785888119</v>
      </c>
      <c r="K620" s="330">
        <v>0.77108584758495868</v>
      </c>
      <c r="L620" s="332">
        <v>13675.816656910498</v>
      </c>
      <c r="M620" s="330">
        <v>0</v>
      </c>
      <c r="N620" s="330">
        <v>16458.5090657531</v>
      </c>
      <c r="O620" s="330">
        <v>1343.0187851431858</v>
      </c>
      <c r="P620" s="330">
        <v>29233.023580872843</v>
      </c>
      <c r="Q620" s="333">
        <v>121847.83194321422</v>
      </c>
      <c r="R620" s="330">
        <v>25987.719107546578</v>
      </c>
      <c r="S620" s="330">
        <v>7626.1346752728368</v>
      </c>
      <c r="T620" s="332">
        <v>0.98450230324222621</v>
      </c>
      <c r="U620" s="330">
        <v>0.59350006708237091</v>
      </c>
      <c r="V620" s="330">
        <v>0.83636489137727155</v>
      </c>
      <c r="W620" s="330">
        <v>0.99270357735909109</v>
      </c>
      <c r="X620" s="330">
        <v>0.7485227134943454</v>
      </c>
      <c r="Y620" s="330">
        <v>0</v>
      </c>
      <c r="Z620" s="331">
        <v>0</v>
      </c>
      <c r="AA620" s="235"/>
      <c r="AB620" s="335">
        <v>76145.249549189291</v>
      </c>
      <c r="AC620" s="336">
        <v>3.8652616304996741</v>
      </c>
      <c r="AD620" s="337">
        <v>65465.538508501268</v>
      </c>
      <c r="AE620" s="336">
        <v>3.522513654240357</v>
      </c>
      <c r="AF620" s="337">
        <v>10679.711040688024</v>
      </c>
      <c r="AG620" s="338">
        <v>0.34274797625931708</v>
      </c>
      <c r="AH620" s="235"/>
      <c r="AI620" s="208">
        <f t="shared" si="68"/>
        <v>3595853.2994255014</v>
      </c>
      <c r="AJ620" s="208">
        <f t="shared" si="69"/>
        <v>3280922.4330198378</v>
      </c>
      <c r="AK620" s="208">
        <f t="shared" si="70"/>
        <v>314930.8664056632</v>
      </c>
      <c r="AL620" s="235"/>
      <c r="AM620" s="52">
        <f t="shared" si="58"/>
        <v>1</v>
      </c>
      <c r="AN620" s="52">
        <f t="shared" si="59"/>
        <v>0</v>
      </c>
      <c r="AO620" s="52">
        <f t="shared" si="60"/>
        <v>1</v>
      </c>
      <c r="AP620" s="235"/>
      <c r="AQ620" s="28"/>
      <c r="AR620" s="28"/>
      <c r="AS620" s="28"/>
      <c r="AT620" s="28"/>
      <c r="AU620" s="235"/>
      <c r="AV620" s="360">
        <f t="shared" si="71"/>
        <v>3595853.2994255014</v>
      </c>
      <c r="AW620" s="235"/>
      <c r="AX620" s="355"/>
      <c r="AY620" s="344"/>
      <c r="AZ620" s="14">
        <f t="shared" si="73"/>
        <v>10679.711040688024</v>
      </c>
      <c r="BA620" s="14">
        <f t="shared" si="72"/>
        <v>0.34274797625931708</v>
      </c>
      <c r="BB620" s="14">
        <f t="shared" si="61"/>
        <v>31159.078332844605</v>
      </c>
      <c r="BC620" s="344"/>
      <c r="BD620" s="344"/>
      <c r="BE620" s="344"/>
      <c r="BF620" s="344"/>
      <c r="BG620" s="344"/>
      <c r="BH620" s="344"/>
      <c r="BI620" s="344"/>
      <c r="BJ620" s="344"/>
      <c r="BK620" s="344"/>
      <c r="BL620" s="344"/>
      <c r="BM620" s="344"/>
      <c r="BN620" s="344"/>
      <c r="BO620" s="344"/>
      <c r="BP620" s="14"/>
      <c r="BQ620" s="14"/>
      <c r="BR620" s="14"/>
      <c r="BS620" s="14"/>
      <c r="BT620" s="14"/>
      <c r="BU620" s="14"/>
      <c r="BV620" s="14"/>
      <c r="BW620" s="14"/>
      <c r="BX620" s="14"/>
      <c r="BY620" s="14"/>
      <c r="BZ620" s="14"/>
      <c r="CA620" s="14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</row>
    <row r="621" spans="1:101" ht="14.25" customHeight="1" x14ac:dyDescent="0.2">
      <c r="A621" s="328"/>
      <c r="B621" s="52">
        <v>0.17164472598153713</v>
      </c>
      <c r="C621" s="330">
        <v>0.21300561578689864</v>
      </c>
      <c r="D621" s="330">
        <v>7.5479654152942064E-3</v>
      </c>
      <c r="E621" s="330">
        <v>1.9513986794874705E-2</v>
      </c>
      <c r="F621" s="331">
        <v>0.80296081464231928</v>
      </c>
      <c r="G621" s="94">
        <v>0.41934766408354929</v>
      </c>
      <c r="H621" s="330">
        <v>2.1091136022877797E-2</v>
      </c>
      <c r="I621" s="330">
        <v>1.5099137114569214E-2</v>
      </c>
      <c r="J621" s="330">
        <v>0.99999999999991385</v>
      </c>
      <c r="K621" s="330">
        <v>0.75941560690168797</v>
      </c>
      <c r="L621" s="332">
        <v>12681.895369084681</v>
      </c>
      <c r="M621" s="330">
        <v>0</v>
      </c>
      <c r="N621" s="330">
        <v>14230.37215836577</v>
      </c>
      <c r="O621" s="330">
        <v>954.29147593539255</v>
      </c>
      <c r="P621" s="330">
        <v>37047.244564601635</v>
      </c>
      <c r="Q621" s="333">
        <v>125277.94804298261</v>
      </c>
      <c r="R621" s="330">
        <v>23130.798635768464</v>
      </c>
      <c r="S621" s="330">
        <v>7635.9154420117702</v>
      </c>
      <c r="T621" s="332">
        <v>8.8352245615273162E-2</v>
      </c>
      <c r="U621" s="330">
        <v>0.14218300130787753</v>
      </c>
      <c r="V621" s="330">
        <v>0.71285931898829458</v>
      </c>
      <c r="W621" s="330">
        <v>0.99999977904507453</v>
      </c>
      <c r="X621" s="330">
        <v>0.63015122086455577</v>
      </c>
      <c r="Y621" s="330">
        <v>0</v>
      </c>
      <c r="Z621" s="331">
        <v>0</v>
      </c>
      <c r="AA621" s="235"/>
      <c r="AB621" s="335">
        <v>79651.825900825745</v>
      </c>
      <c r="AC621" s="336">
        <v>3.0879794972527512</v>
      </c>
      <c r="AD621" s="337">
        <v>63979.402625363808</v>
      </c>
      <c r="AE621" s="336">
        <v>2.9264095597534103</v>
      </c>
      <c r="AF621" s="337">
        <v>15672.423275461937</v>
      </c>
      <c r="AG621" s="338">
        <v>0.1615699374993409</v>
      </c>
      <c r="AH621" s="235"/>
      <c r="AI621" s="208">
        <f t="shared" si="68"/>
        <v>2853928.696489288</v>
      </c>
      <c r="AJ621" s="208">
        <f t="shared" si="69"/>
        <v>2716109.6791403759</v>
      </c>
      <c r="AK621" s="208">
        <f t="shared" si="70"/>
        <v>137819.0173489119</v>
      </c>
      <c r="AL621" s="235"/>
      <c r="AM621" s="52">
        <f t="shared" si="58"/>
        <v>1</v>
      </c>
      <c r="AN621" s="52">
        <f t="shared" si="59"/>
        <v>0</v>
      </c>
      <c r="AO621" s="52">
        <f t="shared" si="60"/>
        <v>1</v>
      </c>
      <c r="AP621" s="235"/>
      <c r="AQ621" s="28"/>
      <c r="AR621" s="28"/>
      <c r="AS621" s="28"/>
      <c r="AT621" s="28"/>
      <c r="AU621" s="235"/>
      <c r="AV621" s="360">
        <f t="shared" si="71"/>
        <v>2853928.696489288</v>
      </c>
      <c r="AW621" s="235"/>
      <c r="AX621" s="355"/>
      <c r="AY621" s="344"/>
      <c r="AZ621" s="14">
        <f t="shared" si="73"/>
        <v>15672.423275461937</v>
      </c>
      <c r="BA621" s="14">
        <f t="shared" si="72"/>
        <v>0.1615699374993409</v>
      </c>
      <c r="BB621" s="14">
        <f t="shared" si="61"/>
        <v>97000.862400691782</v>
      </c>
      <c r="BC621" s="344"/>
      <c r="BD621" s="344"/>
      <c r="BE621" s="344"/>
      <c r="BF621" s="344"/>
      <c r="BG621" s="344"/>
      <c r="BH621" s="344"/>
      <c r="BI621" s="344"/>
      <c r="BJ621" s="344"/>
      <c r="BK621" s="344"/>
      <c r="BL621" s="344"/>
      <c r="BM621" s="344"/>
      <c r="BN621" s="344"/>
      <c r="BO621" s="344"/>
      <c r="BP621" s="14"/>
      <c r="BQ621" s="14"/>
      <c r="BR621" s="14"/>
      <c r="BS621" s="14"/>
      <c r="BT621" s="14"/>
      <c r="BU621" s="14"/>
      <c r="BV621" s="14"/>
      <c r="BW621" s="14"/>
      <c r="BX621" s="14"/>
      <c r="BY621" s="14"/>
      <c r="BZ621" s="14"/>
      <c r="CA621" s="14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</row>
    <row r="622" spans="1:101" ht="14.25" customHeight="1" x14ac:dyDescent="0.2">
      <c r="A622" s="328"/>
      <c r="B622" s="52">
        <v>0.1314222015113351</v>
      </c>
      <c r="C622" s="330">
        <v>0.49308278443785636</v>
      </c>
      <c r="D622" s="330">
        <v>1.4189582835446919E-2</v>
      </c>
      <c r="E622" s="330">
        <v>1.7130691699615563E-2</v>
      </c>
      <c r="F622" s="331">
        <v>0.79944661072207679</v>
      </c>
      <c r="G622" s="94">
        <v>0.34784813851896912</v>
      </c>
      <c r="H622" s="330">
        <v>0.38744442588010491</v>
      </c>
      <c r="I622" s="330">
        <v>1.6033411216028193E-2</v>
      </c>
      <c r="J622" s="330">
        <v>0.99673211608712931</v>
      </c>
      <c r="K622" s="330">
        <v>0.76498742551487853</v>
      </c>
      <c r="L622" s="332">
        <v>13953.372779892405</v>
      </c>
      <c r="M622" s="330">
        <v>0</v>
      </c>
      <c r="N622" s="330">
        <v>25229.621977615156</v>
      </c>
      <c r="O622" s="330">
        <v>1530.3332732768672</v>
      </c>
      <c r="P622" s="330">
        <v>51932.585753213505</v>
      </c>
      <c r="Q622" s="333">
        <v>150803.51380439865</v>
      </c>
      <c r="R622" s="330">
        <v>24362.900033389953</v>
      </c>
      <c r="S622" s="330">
        <v>6355.2264822054394</v>
      </c>
      <c r="T622" s="332">
        <v>0.97773381770254342</v>
      </c>
      <c r="U622" s="330">
        <v>0.11030048265241456</v>
      </c>
      <c r="V622" s="330">
        <v>7.9856028292783529E-2</v>
      </c>
      <c r="W622" s="330">
        <v>0.99715088517831474</v>
      </c>
      <c r="X622" s="330">
        <v>0.90892506329658007</v>
      </c>
      <c r="Y622" s="330">
        <v>0</v>
      </c>
      <c r="Z622" s="331">
        <v>0</v>
      </c>
      <c r="AA622" s="235"/>
      <c r="AB622" s="335">
        <v>70538.728477627825</v>
      </c>
      <c r="AC622" s="336">
        <v>4.4153776906054123</v>
      </c>
      <c r="AD622" s="337">
        <v>57271.799505239374</v>
      </c>
      <c r="AE622" s="336">
        <v>4.2228477115750298</v>
      </c>
      <c r="AF622" s="337">
        <v>13266.92897238845</v>
      </c>
      <c r="AG622" s="338">
        <v>0.19252997903038249</v>
      </c>
      <c r="AH622" s="235"/>
      <c r="AI622" s="208">
        <f t="shared" si="68"/>
        <v>4124070.0775975138</v>
      </c>
      <c r="AJ622" s="208">
        <f t="shared" si="69"/>
        <v>3954433.526491039</v>
      </c>
      <c r="AK622" s="208">
        <f t="shared" si="70"/>
        <v>169636.55110647492</v>
      </c>
      <c r="AL622" s="235"/>
      <c r="AM622" s="52">
        <f t="shared" si="58"/>
        <v>1</v>
      </c>
      <c r="AN622" s="52">
        <f t="shared" si="59"/>
        <v>0</v>
      </c>
      <c r="AO622" s="52">
        <f t="shared" si="60"/>
        <v>1</v>
      </c>
      <c r="AP622" s="235"/>
      <c r="AQ622" s="28"/>
      <c r="AR622" s="28"/>
      <c r="AS622" s="28"/>
      <c r="AT622" s="28"/>
      <c r="AU622" s="235"/>
      <c r="AV622" s="360">
        <f t="shared" si="71"/>
        <v>4124070.0775975138</v>
      </c>
      <c r="AW622" s="235"/>
      <c r="AX622" s="355"/>
      <c r="AY622" s="344"/>
      <c r="AZ622" s="14">
        <f t="shared" si="73"/>
        <v>13266.92897238845</v>
      </c>
      <c r="BA622" s="14">
        <f t="shared" si="72"/>
        <v>0.19252997903038249</v>
      </c>
      <c r="BB622" s="14">
        <f t="shared" si="61"/>
        <v>68908.380082952397</v>
      </c>
      <c r="BC622" s="344"/>
      <c r="BD622" s="344"/>
      <c r="BE622" s="344"/>
      <c r="BF622" s="344"/>
      <c r="BG622" s="344"/>
      <c r="BH622" s="344"/>
      <c r="BI622" s="344"/>
      <c r="BJ622" s="344"/>
      <c r="BK622" s="344"/>
      <c r="BL622" s="344"/>
      <c r="BM622" s="344"/>
      <c r="BN622" s="344"/>
      <c r="BO622" s="344"/>
      <c r="BP622" s="14"/>
      <c r="BQ622" s="14"/>
      <c r="BR622" s="14"/>
      <c r="BS622" s="14"/>
      <c r="BT622" s="14"/>
      <c r="BU622" s="14"/>
      <c r="BV622" s="14"/>
      <c r="BW622" s="14"/>
      <c r="BX622" s="14"/>
      <c r="BY622" s="14"/>
      <c r="BZ622" s="14"/>
      <c r="CA622" s="14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</row>
    <row r="623" spans="1:101" ht="14.25" customHeight="1" x14ac:dyDescent="0.2">
      <c r="A623" s="328"/>
      <c r="B623" s="52">
        <v>0.15448466738550024</v>
      </c>
      <c r="C623" s="330">
        <v>0.47099381942128815</v>
      </c>
      <c r="D623" s="330">
        <v>2.164361631300038E-2</v>
      </c>
      <c r="E623" s="330">
        <v>1.2263695830514594E-2</v>
      </c>
      <c r="F623" s="331">
        <v>0.78155383755917041</v>
      </c>
      <c r="G623" s="94">
        <v>0.43041128153877928</v>
      </c>
      <c r="H623" s="330">
        <v>0.96651237394652778</v>
      </c>
      <c r="I623" s="330">
        <v>1.667587756078559E-2</v>
      </c>
      <c r="J623" s="330">
        <v>0.99999999993107191</v>
      </c>
      <c r="K623" s="330">
        <v>0.7409512028200701</v>
      </c>
      <c r="L623" s="332">
        <v>9391.3706125383342</v>
      </c>
      <c r="M623" s="330">
        <v>0</v>
      </c>
      <c r="N623" s="330">
        <v>17712.444268381805</v>
      </c>
      <c r="O623" s="330">
        <v>897.47860047393272</v>
      </c>
      <c r="P623" s="330">
        <v>45650.21044531816</v>
      </c>
      <c r="Q623" s="333">
        <v>84712.726497788346</v>
      </c>
      <c r="R623" s="330">
        <v>20114.911765824741</v>
      </c>
      <c r="S623" s="330">
        <v>9013.3642931912636</v>
      </c>
      <c r="T623" s="332">
        <v>0.28330246823774985</v>
      </c>
      <c r="U623" s="330">
        <v>0.58162096492973281</v>
      </c>
      <c r="V623" s="330">
        <v>0.34367494573747331</v>
      </c>
      <c r="W623" s="330">
        <v>0.99991137198231417</v>
      </c>
      <c r="X623" s="330">
        <v>0.22045762811898728</v>
      </c>
      <c r="Y623" s="330">
        <v>0</v>
      </c>
      <c r="Z623" s="331">
        <v>0</v>
      </c>
      <c r="AA623" s="235"/>
      <c r="AB623" s="335">
        <v>86874.850781487781</v>
      </c>
      <c r="AC623" s="336">
        <v>1.0425203874080755</v>
      </c>
      <c r="AD623" s="337">
        <v>81413.445491212246</v>
      </c>
      <c r="AE623" s="336">
        <v>1.0613585120730231</v>
      </c>
      <c r="AF623" s="337">
        <v>5461.4052902755357</v>
      </c>
      <c r="AG623" s="338">
        <v>-1.8838124664947609E-2</v>
      </c>
      <c r="AH623" s="235"/>
      <c r="AI623" s="208">
        <f t="shared" si="68"/>
        <v>903519.51725618402</v>
      </c>
      <c r="AJ623" s="208">
        <f t="shared" si="69"/>
        <v>926877.14097815962</v>
      </c>
      <c r="AK623" s="208">
        <f t="shared" si="70"/>
        <v>-23357.623721975764</v>
      </c>
      <c r="AL623" s="235"/>
      <c r="AM623" s="52">
        <f t="shared" si="58"/>
        <v>0</v>
      </c>
      <c r="AN623" s="52">
        <f t="shared" si="59"/>
        <v>1</v>
      </c>
      <c r="AO623" s="52">
        <f t="shared" si="60"/>
        <v>0</v>
      </c>
      <c r="AP623" s="235"/>
      <c r="AQ623" s="28"/>
      <c r="AR623" s="28"/>
      <c r="AS623" s="28"/>
      <c r="AT623" s="28"/>
      <c r="AU623" s="235"/>
      <c r="AV623" s="360">
        <f t="shared" si="71"/>
        <v>926877.14097815962</v>
      </c>
      <c r="AW623" s="235"/>
      <c r="AX623" s="355"/>
      <c r="AY623" s="344"/>
      <c r="AZ623" s="14">
        <f t="shared" si="73"/>
        <v>5461.4052902755357</v>
      </c>
      <c r="BA623" s="14">
        <f t="shared" si="72"/>
        <v>-1.8838124664947609E-2</v>
      </c>
      <c r="BB623" s="14">
        <f t="shared" si="61"/>
        <v>-289912.3658756573</v>
      </c>
      <c r="BC623" s="344"/>
      <c r="BD623" s="344"/>
      <c r="BE623" s="344"/>
      <c r="BF623" s="344"/>
      <c r="BG623" s="344"/>
      <c r="BH623" s="344"/>
      <c r="BI623" s="344"/>
      <c r="BJ623" s="344"/>
      <c r="BK623" s="344"/>
      <c r="BL623" s="344"/>
      <c r="BM623" s="344"/>
      <c r="BN623" s="344"/>
      <c r="BO623" s="344"/>
      <c r="BP623" s="14"/>
      <c r="BQ623" s="14"/>
      <c r="BR623" s="14"/>
      <c r="BS623" s="14"/>
      <c r="BT623" s="14"/>
      <c r="BU623" s="14"/>
      <c r="BV623" s="14"/>
      <c r="BW623" s="14"/>
      <c r="BX623" s="14"/>
      <c r="BY623" s="14"/>
      <c r="BZ623" s="14"/>
      <c r="CA623" s="14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</row>
    <row r="624" spans="1:101" ht="14.25" customHeight="1" x14ac:dyDescent="0.2">
      <c r="A624" s="328"/>
      <c r="B624" s="52">
        <v>0.15338430901757491</v>
      </c>
      <c r="C624" s="330">
        <v>0.315012826585789</v>
      </c>
      <c r="D624" s="330">
        <v>2.06430464520313E-2</v>
      </c>
      <c r="E624" s="330">
        <v>1.8575014258286893E-2</v>
      </c>
      <c r="F624" s="331">
        <v>0.7612477912194876</v>
      </c>
      <c r="G624" s="94">
        <v>0.33588935374006401</v>
      </c>
      <c r="H624" s="330">
        <v>0.37119038988970521</v>
      </c>
      <c r="I624" s="330">
        <v>2.9841588836371113E-2</v>
      </c>
      <c r="J624" s="330">
        <v>1</v>
      </c>
      <c r="K624" s="330">
        <v>0.79731516984670092</v>
      </c>
      <c r="L624" s="332">
        <v>12091.165147008856</v>
      </c>
      <c r="M624" s="330">
        <v>0</v>
      </c>
      <c r="N624" s="330">
        <v>21218.23739875</v>
      </c>
      <c r="O624" s="330">
        <v>1272.3880903539875</v>
      </c>
      <c r="P624" s="330">
        <v>30210.526631386892</v>
      </c>
      <c r="Q624" s="333">
        <v>86014.568293508011</v>
      </c>
      <c r="R624" s="330">
        <v>38045.861145405259</v>
      </c>
      <c r="S624" s="330">
        <v>8935.1671696759804</v>
      </c>
      <c r="T624" s="332">
        <v>0.53452583377117469</v>
      </c>
      <c r="U624" s="330">
        <v>0.98567034469988002</v>
      </c>
      <c r="V624" s="330">
        <v>0.87177377811113677</v>
      </c>
      <c r="W624" s="330">
        <v>0.86569439173505069</v>
      </c>
      <c r="X624" s="330">
        <v>0.9994069754581415</v>
      </c>
      <c r="Y624" s="330">
        <v>0</v>
      </c>
      <c r="Z624" s="331">
        <v>0</v>
      </c>
      <c r="AA624" s="235"/>
      <c r="AB624" s="335">
        <v>87392.512094012738</v>
      </c>
      <c r="AC624" s="336">
        <v>4.6092544511750084</v>
      </c>
      <c r="AD624" s="337">
        <v>82977.974147790403</v>
      </c>
      <c r="AE624" s="336">
        <v>5.0138873069992256</v>
      </c>
      <c r="AF624" s="337">
        <v>4414.5379462223354</v>
      </c>
      <c r="AG624" s="338">
        <v>-0.40463285582421715</v>
      </c>
      <c r="AH624" s="235"/>
      <c r="AI624" s="208">
        <f t="shared" si="68"/>
        <v>4291399.2165222457</v>
      </c>
      <c r="AJ624" s="208">
        <f t="shared" si="69"/>
        <v>4680214.9675014745</v>
      </c>
      <c r="AK624" s="208">
        <f t="shared" si="70"/>
        <v>-388815.75097922864</v>
      </c>
      <c r="AL624" s="235"/>
      <c r="AM624" s="52">
        <f t="shared" si="58"/>
        <v>0</v>
      </c>
      <c r="AN624" s="52">
        <f t="shared" si="59"/>
        <v>1</v>
      </c>
      <c r="AO624" s="52">
        <f t="shared" si="60"/>
        <v>0</v>
      </c>
      <c r="AP624" s="235"/>
      <c r="AQ624" s="28"/>
      <c r="AR624" s="28"/>
      <c r="AS624" s="28"/>
      <c r="AT624" s="28"/>
      <c r="AU624" s="235"/>
      <c r="AV624" s="360">
        <f t="shared" si="71"/>
        <v>4680214.9675014745</v>
      </c>
      <c r="AW624" s="235"/>
      <c r="AX624" s="355"/>
      <c r="AY624" s="344"/>
      <c r="AZ624" s="14">
        <f t="shared" si="73"/>
        <v>4414.5379462223354</v>
      </c>
      <c r="BA624" s="14">
        <f t="shared" si="72"/>
        <v>-0.40463285582421715</v>
      </c>
      <c r="BB624" s="14">
        <f t="shared" si="61"/>
        <v>-10909.983909314877</v>
      </c>
      <c r="BC624" s="344"/>
      <c r="BD624" s="344"/>
      <c r="BE624" s="344"/>
      <c r="BF624" s="344"/>
      <c r="BG624" s="344"/>
      <c r="BH624" s="344"/>
      <c r="BI624" s="344"/>
      <c r="BJ624" s="344"/>
      <c r="BK624" s="344"/>
      <c r="BL624" s="344"/>
      <c r="BM624" s="344"/>
      <c r="BN624" s="344"/>
      <c r="BO624" s="344"/>
      <c r="BP624" s="14"/>
      <c r="BQ624" s="14"/>
      <c r="BR624" s="14"/>
      <c r="BS624" s="14"/>
      <c r="BT624" s="14"/>
      <c r="BU624" s="14"/>
      <c r="BV624" s="14"/>
      <c r="BW624" s="14"/>
      <c r="BX624" s="14"/>
      <c r="BY624" s="14"/>
      <c r="BZ624" s="14"/>
      <c r="CA624" s="14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</row>
    <row r="625" spans="1:101" ht="14.25" customHeight="1" x14ac:dyDescent="0.2">
      <c r="A625" s="328"/>
      <c r="B625" s="52">
        <v>0.15799609943467019</v>
      </c>
      <c r="C625" s="330">
        <v>9.8632909339548283E-2</v>
      </c>
      <c r="D625" s="330">
        <v>1.0522277023684036E-2</v>
      </c>
      <c r="E625" s="330">
        <v>1.1936996174783842E-2</v>
      </c>
      <c r="F625" s="331">
        <v>0.78226320772230917</v>
      </c>
      <c r="G625" s="94">
        <v>0.40404557117255879</v>
      </c>
      <c r="H625" s="330">
        <v>0.30646839186054448</v>
      </c>
      <c r="I625" s="330">
        <v>2.3274701431134637E-2</v>
      </c>
      <c r="J625" s="330">
        <v>0.99999964176541645</v>
      </c>
      <c r="K625" s="330">
        <v>0.8405206895437014</v>
      </c>
      <c r="L625" s="332">
        <v>9400.1546218403437</v>
      </c>
      <c r="M625" s="330">
        <v>0</v>
      </c>
      <c r="N625" s="330">
        <v>18661.817690162701</v>
      </c>
      <c r="O625" s="330">
        <v>1389.7744562049368</v>
      </c>
      <c r="P625" s="330">
        <v>46929.675133522338</v>
      </c>
      <c r="Q625" s="333">
        <v>100703.76135943759</v>
      </c>
      <c r="R625" s="330">
        <v>34896.900816893925</v>
      </c>
      <c r="S625" s="330">
        <v>8952.9128222871077</v>
      </c>
      <c r="T625" s="332">
        <v>0.20968873028586107</v>
      </c>
      <c r="U625" s="330">
        <v>0.40964683610992697</v>
      </c>
      <c r="V625" s="330">
        <v>0.58444504616278636</v>
      </c>
      <c r="W625" s="330">
        <v>0.47500389480471816</v>
      </c>
      <c r="X625" s="330">
        <v>0.39789335037562878</v>
      </c>
      <c r="Y625" s="330">
        <v>0</v>
      </c>
      <c r="Z625" s="331">
        <v>0</v>
      </c>
      <c r="AA625" s="235"/>
      <c r="AB625" s="335">
        <v>85488.819288470171</v>
      </c>
      <c r="AC625" s="336">
        <v>1.8819409936034743</v>
      </c>
      <c r="AD625" s="337">
        <v>87132.038085839187</v>
      </c>
      <c r="AE625" s="336">
        <v>2.1572851728143618</v>
      </c>
      <c r="AF625" s="337">
        <v>-1643.2187973690161</v>
      </c>
      <c r="AG625" s="338">
        <v>-0.2753441792108875</v>
      </c>
      <c r="AH625" s="235"/>
      <c r="AI625" s="208">
        <f t="shared" si="68"/>
        <v>1702355.1246348305</v>
      </c>
      <c r="AJ625" s="208">
        <f t="shared" si="69"/>
        <v>1962288.8760878046</v>
      </c>
      <c r="AK625" s="208">
        <f t="shared" si="70"/>
        <v>-259933.7514529741</v>
      </c>
      <c r="AL625" s="235"/>
      <c r="AM625" s="52">
        <f t="shared" si="58"/>
        <v>0</v>
      </c>
      <c r="AN625" s="52">
        <f t="shared" si="59"/>
        <v>1</v>
      </c>
      <c r="AO625" s="52">
        <f t="shared" si="60"/>
        <v>0</v>
      </c>
      <c r="AP625" s="235"/>
      <c r="AQ625" s="28"/>
      <c r="AR625" s="28"/>
      <c r="AS625" s="28"/>
      <c r="AT625" s="28"/>
      <c r="AU625" s="235"/>
      <c r="AV625" s="360">
        <f t="shared" si="71"/>
        <v>1962288.8760878046</v>
      </c>
      <c r="AW625" s="235"/>
      <c r="AX625" s="355"/>
      <c r="AY625" s="344"/>
      <c r="AZ625" s="14">
        <f t="shared" si="73"/>
        <v>-1643.2187973690161</v>
      </c>
      <c r="BA625" s="14">
        <f t="shared" si="72"/>
        <v>-0.2753441792108875</v>
      </c>
      <c r="BB625" s="14">
        <f t="shared" si="61"/>
        <v>5967.871926976406</v>
      </c>
      <c r="BC625" s="344"/>
      <c r="BD625" s="344"/>
      <c r="BE625" s="344"/>
      <c r="BF625" s="344"/>
      <c r="BG625" s="344"/>
      <c r="BH625" s="344"/>
      <c r="BI625" s="344"/>
      <c r="BJ625" s="344"/>
      <c r="BK625" s="344"/>
      <c r="BL625" s="344"/>
      <c r="BM625" s="344"/>
      <c r="BN625" s="344"/>
      <c r="BO625" s="344"/>
      <c r="BP625" s="14"/>
      <c r="BQ625" s="14"/>
      <c r="BR625" s="14"/>
      <c r="BS625" s="14"/>
      <c r="BT625" s="14"/>
      <c r="BU625" s="14"/>
      <c r="BV625" s="14"/>
      <c r="BW625" s="14"/>
      <c r="BX625" s="14"/>
      <c r="BY625" s="14"/>
      <c r="BZ625" s="14"/>
      <c r="CA625" s="14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</row>
    <row r="626" spans="1:101" ht="14.25" customHeight="1" x14ac:dyDescent="0.2">
      <c r="A626" s="328"/>
      <c r="B626" s="52">
        <v>0.18693447382267214</v>
      </c>
      <c r="C626" s="330">
        <v>0.62965042231030166</v>
      </c>
      <c r="D626" s="330">
        <v>7.905946634022715E-3</v>
      </c>
      <c r="E626" s="330">
        <v>1.7324233820477652E-2</v>
      </c>
      <c r="F626" s="331">
        <v>0.76248355899842735</v>
      </c>
      <c r="G626" s="94">
        <v>0.33995675218014509</v>
      </c>
      <c r="H626" s="330">
        <v>0.70137530130332648</v>
      </c>
      <c r="I626" s="330">
        <v>9.3408607130376353E-3</v>
      </c>
      <c r="J626" s="330">
        <v>0.99999573529229391</v>
      </c>
      <c r="K626" s="330">
        <v>0.73446022470799643</v>
      </c>
      <c r="L626" s="332">
        <v>9175.6206369509691</v>
      </c>
      <c r="M626" s="330">
        <v>0</v>
      </c>
      <c r="N626" s="330">
        <v>14960.856849094243</v>
      </c>
      <c r="O626" s="330">
        <v>1353.6021787291377</v>
      </c>
      <c r="P626" s="330">
        <v>50431.393243918552</v>
      </c>
      <c r="Q626" s="333">
        <v>101037.23064322598</v>
      </c>
      <c r="R626" s="330">
        <v>20734.955193283629</v>
      </c>
      <c r="S626" s="330">
        <v>7092.4904638513353</v>
      </c>
      <c r="T626" s="332">
        <v>0.33318189121643188</v>
      </c>
      <c r="U626" s="330">
        <v>0.9998824830379599</v>
      </c>
      <c r="V626" s="330">
        <v>0.9224868303077931</v>
      </c>
      <c r="W626" s="330">
        <v>0.99998049905603725</v>
      </c>
      <c r="X626" s="330">
        <v>0.88911502774438955</v>
      </c>
      <c r="Y626" s="330">
        <v>0</v>
      </c>
      <c r="Z626" s="331">
        <v>0</v>
      </c>
      <c r="AA626" s="235"/>
      <c r="AB626" s="335">
        <v>70053.73093910281</v>
      </c>
      <c r="AC626" s="336">
        <v>4.0955326755912882</v>
      </c>
      <c r="AD626" s="337">
        <v>61828.540069364208</v>
      </c>
      <c r="AE626" s="336">
        <v>4.1435438665393969</v>
      </c>
      <c r="AF626" s="337">
        <v>8225.1908697386025</v>
      </c>
      <c r="AG626" s="338">
        <v>-4.8011190948108684E-2</v>
      </c>
      <c r="AH626" s="235"/>
      <c r="AI626" s="208">
        <f t="shared" si="68"/>
        <v>3820702.3108726209</v>
      </c>
      <c r="AJ626" s="208">
        <f t="shared" si="69"/>
        <v>3874538.1331430632</v>
      </c>
      <c r="AK626" s="208">
        <f t="shared" si="70"/>
        <v>-53835.822270441851</v>
      </c>
      <c r="AL626" s="235"/>
      <c r="AM626" s="52">
        <f t="shared" si="58"/>
        <v>0</v>
      </c>
      <c r="AN626" s="52">
        <f t="shared" si="59"/>
        <v>1</v>
      </c>
      <c r="AO626" s="52">
        <f t="shared" si="60"/>
        <v>0</v>
      </c>
      <c r="AP626" s="235"/>
      <c r="AQ626" s="28"/>
      <c r="AR626" s="28"/>
      <c r="AS626" s="28"/>
      <c r="AT626" s="28"/>
      <c r="AU626" s="235"/>
      <c r="AV626" s="360">
        <f t="shared" si="71"/>
        <v>3874538.1331430632</v>
      </c>
      <c r="AW626" s="235"/>
      <c r="AX626" s="355"/>
      <c r="AY626" s="344"/>
      <c r="AZ626" s="14">
        <f t="shared" si="73"/>
        <v>8225.1908697386025</v>
      </c>
      <c r="BA626" s="14">
        <f t="shared" si="72"/>
        <v>-4.8011190948108684E-2</v>
      </c>
      <c r="BB626" s="14">
        <f t="shared" si="61"/>
        <v>-171318.20117998176</v>
      </c>
      <c r="BC626" s="344"/>
      <c r="BD626" s="344"/>
      <c r="BE626" s="344"/>
      <c r="BF626" s="344"/>
      <c r="BG626" s="344"/>
      <c r="BH626" s="344"/>
      <c r="BI626" s="344"/>
      <c r="BJ626" s="344"/>
      <c r="BK626" s="344"/>
      <c r="BL626" s="344"/>
      <c r="BM626" s="344"/>
      <c r="BN626" s="344"/>
      <c r="BO626" s="344"/>
      <c r="BP626" s="14"/>
      <c r="BQ626" s="14"/>
      <c r="BR626" s="14"/>
      <c r="BS626" s="14"/>
      <c r="BT626" s="14"/>
      <c r="BU626" s="14"/>
      <c r="BV626" s="14"/>
      <c r="BW626" s="14"/>
      <c r="BX626" s="14"/>
      <c r="BY626" s="14"/>
      <c r="BZ626" s="14"/>
      <c r="CA626" s="14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</row>
    <row r="627" spans="1:101" ht="14.25" customHeight="1" x14ac:dyDescent="0.2">
      <c r="A627" s="328"/>
      <c r="B627" s="52">
        <v>0.19569791861253538</v>
      </c>
      <c r="C627" s="330">
        <v>0.21598267324335974</v>
      </c>
      <c r="D627" s="330">
        <v>1.0438785258845127E-2</v>
      </c>
      <c r="E627" s="330">
        <v>1.5331343259147645E-2</v>
      </c>
      <c r="F627" s="331">
        <v>0.82272914813842513</v>
      </c>
      <c r="G627" s="94">
        <v>0.40680059040012995</v>
      </c>
      <c r="H627" s="330">
        <v>2.2104393216607329E-2</v>
      </c>
      <c r="I627" s="330">
        <v>1.5474014677362749E-2</v>
      </c>
      <c r="J627" s="330">
        <v>0.99999999999906564</v>
      </c>
      <c r="K627" s="330">
        <v>0.79317866879353582</v>
      </c>
      <c r="L627" s="332">
        <v>12129.359170856065</v>
      </c>
      <c r="M627" s="330">
        <v>0</v>
      </c>
      <c r="N627" s="330">
        <v>31662.026820917024</v>
      </c>
      <c r="O627" s="330">
        <v>797.78426367434326</v>
      </c>
      <c r="P627" s="330">
        <v>46360.647947860067</v>
      </c>
      <c r="Q627" s="333">
        <v>120088.18377510019</v>
      </c>
      <c r="R627" s="330">
        <v>18167.442264537272</v>
      </c>
      <c r="S627" s="330">
        <v>6627.4235336326774</v>
      </c>
      <c r="T627" s="332">
        <v>0.96968312485151009</v>
      </c>
      <c r="U627" s="330">
        <v>0.77161953499812896</v>
      </c>
      <c r="V627" s="330">
        <v>0.94430628660932747</v>
      </c>
      <c r="W627" s="330">
        <v>0.99998781525617475</v>
      </c>
      <c r="X627" s="330">
        <v>0.99050988896693126</v>
      </c>
      <c r="Y627" s="330">
        <v>0</v>
      </c>
      <c r="Z627" s="331">
        <v>0</v>
      </c>
      <c r="AA627" s="235"/>
      <c r="AB627" s="335">
        <v>71813.977507222546</v>
      </c>
      <c r="AC627" s="336">
        <v>5.1761943963395298</v>
      </c>
      <c r="AD627" s="337">
        <v>58168.346008594293</v>
      </c>
      <c r="AE627" s="336">
        <v>4.7606406935061827</v>
      </c>
      <c r="AF627" s="337">
        <v>13645.631498628252</v>
      </c>
      <c r="AG627" s="338">
        <v>0.41555370283334714</v>
      </c>
      <c r="AH627" s="235"/>
      <c r="AI627" s="208">
        <f t="shared" si="68"/>
        <v>4845570.6990153305</v>
      </c>
      <c r="AJ627" s="208">
        <f t="shared" si="69"/>
        <v>4464440.3128222795</v>
      </c>
      <c r="AK627" s="208">
        <f t="shared" si="70"/>
        <v>381130.38619305153</v>
      </c>
      <c r="AL627" s="235"/>
      <c r="AM627" s="52">
        <f t="shared" si="58"/>
        <v>1</v>
      </c>
      <c r="AN627" s="52">
        <f t="shared" si="59"/>
        <v>0</v>
      </c>
      <c r="AO627" s="52">
        <f t="shared" si="60"/>
        <v>1</v>
      </c>
      <c r="AP627" s="235"/>
      <c r="AQ627" s="28"/>
      <c r="AR627" s="28"/>
      <c r="AS627" s="28"/>
      <c r="AT627" s="28"/>
      <c r="AU627" s="235"/>
      <c r="AV627" s="360">
        <f t="shared" si="71"/>
        <v>4845570.6990153305</v>
      </c>
      <c r="AW627" s="235"/>
      <c r="AX627" s="355"/>
      <c r="AY627" s="344"/>
      <c r="AZ627" s="14">
        <f t="shared" si="73"/>
        <v>13645.631498628252</v>
      </c>
      <c r="BA627" s="14">
        <f t="shared" si="72"/>
        <v>0.41555370283334714</v>
      </c>
      <c r="BB627" s="14">
        <f t="shared" si="61"/>
        <v>32837.227548663359</v>
      </c>
      <c r="BC627" s="344"/>
      <c r="BD627" s="344"/>
      <c r="BE627" s="344"/>
      <c r="BF627" s="344"/>
      <c r="BG627" s="344"/>
      <c r="BH627" s="344"/>
      <c r="BI627" s="344"/>
      <c r="BJ627" s="344"/>
      <c r="BK627" s="344"/>
      <c r="BL627" s="344"/>
      <c r="BM627" s="344"/>
      <c r="BN627" s="344"/>
      <c r="BO627" s="344"/>
      <c r="BP627" s="344"/>
      <c r="BQ627" s="344"/>
      <c r="BR627" s="344"/>
      <c r="BS627" s="344"/>
      <c r="BT627" s="344"/>
      <c r="BU627" s="344"/>
      <c r="BV627" s="344"/>
      <c r="BW627" s="344"/>
      <c r="BX627" s="344"/>
      <c r="BY627" s="344"/>
      <c r="BZ627" s="344"/>
      <c r="CA627" s="344"/>
      <c r="CB627" s="28"/>
      <c r="CC627" s="28"/>
      <c r="CD627" s="28"/>
      <c r="CE627" s="28"/>
      <c r="CF627" s="28"/>
      <c r="CG627" s="28"/>
      <c r="CH627" s="28"/>
      <c r="CI627" s="28"/>
      <c r="CJ627" s="28"/>
      <c r="CK627" s="28"/>
      <c r="CL627" s="28"/>
      <c r="CM627" s="28"/>
      <c r="CN627" s="28"/>
      <c r="CO627" s="28"/>
      <c r="CP627" s="28"/>
      <c r="CQ627" s="28"/>
      <c r="CR627" s="28"/>
      <c r="CS627" s="28"/>
      <c r="CT627" s="28"/>
      <c r="CU627" s="28"/>
      <c r="CV627" s="28"/>
      <c r="CW627" s="28"/>
    </row>
    <row r="628" spans="1:101" ht="14.25" customHeight="1" x14ac:dyDescent="0.2">
      <c r="A628" s="328"/>
      <c r="B628" s="52">
        <v>0.11515112213942146</v>
      </c>
      <c r="C628" s="330">
        <v>0.13644816834015247</v>
      </c>
      <c r="D628" s="330">
        <v>9.6393137295444718E-3</v>
      </c>
      <c r="E628" s="330">
        <v>8.5143899971205032E-3</v>
      </c>
      <c r="F628" s="331">
        <v>0.79222298253971224</v>
      </c>
      <c r="G628" s="94">
        <v>0.38578317354402453</v>
      </c>
      <c r="H628" s="330">
        <v>0.88079745328754766</v>
      </c>
      <c r="I628" s="330">
        <v>4.1958201772081205E-2</v>
      </c>
      <c r="J628" s="330">
        <v>0.39938334723882024</v>
      </c>
      <c r="K628" s="330">
        <v>0.82658341207056985</v>
      </c>
      <c r="L628" s="332">
        <v>8552.1668433018913</v>
      </c>
      <c r="M628" s="330">
        <v>0</v>
      </c>
      <c r="N628" s="330">
        <v>15497.457187325812</v>
      </c>
      <c r="O628" s="330">
        <v>874.43891176196314</v>
      </c>
      <c r="P628" s="330">
        <v>56988.012709954419</v>
      </c>
      <c r="Q628" s="333">
        <v>88888.021633719647</v>
      </c>
      <c r="R628" s="330">
        <v>27953.949064460558</v>
      </c>
      <c r="S628" s="330">
        <v>9283.2845839665406</v>
      </c>
      <c r="T628" s="332">
        <v>0.99812580274185492</v>
      </c>
      <c r="U628" s="330">
        <v>0.9888541293157963</v>
      </c>
      <c r="V628" s="330">
        <v>0.34133759624388793</v>
      </c>
      <c r="W628" s="330">
        <v>0.98055840638436365</v>
      </c>
      <c r="X628" s="330">
        <v>0.6511475153585099</v>
      </c>
      <c r="Y628" s="330">
        <v>0</v>
      </c>
      <c r="Z628" s="331">
        <v>0</v>
      </c>
      <c r="AA628" s="235"/>
      <c r="AB628" s="335">
        <v>88113.529397842009</v>
      </c>
      <c r="AC628" s="336">
        <v>3.1995278993119363</v>
      </c>
      <c r="AD628" s="337">
        <v>93751.736691193393</v>
      </c>
      <c r="AE628" s="336">
        <v>3.3668037176572194</v>
      </c>
      <c r="AF628" s="337">
        <v>-5638.2072933513846</v>
      </c>
      <c r="AG628" s="338">
        <v>-0.16727581834528316</v>
      </c>
      <c r="AH628" s="235"/>
      <c r="AI628" s="208">
        <f t="shared" si="68"/>
        <v>2951437.9749484975</v>
      </c>
      <c r="AJ628" s="208">
        <f t="shared" si="69"/>
        <v>3104711.7950831652</v>
      </c>
      <c r="AK628" s="208">
        <f t="shared" si="70"/>
        <v>-153273.82013466762</v>
      </c>
      <c r="AL628" s="235"/>
      <c r="AM628" s="52">
        <f t="shared" si="58"/>
        <v>0</v>
      </c>
      <c r="AN628" s="52">
        <f t="shared" si="59"/>
        <v>1</v>
      </c>
      <c r="AO628" s="52">
        <f t="shared" si="60"/>
        <v>0</v>
      </c>
      <c r="AP628" s="235"/>
      <c r="AQ628" s="28"/>
      <c r="AR628" s="28"/>
      <c r="AS628" s="28"/>
      <c r="AT628" s="28"/>
      <c r="AU628" s="235"/>
      <c r="AV628" s="360">
        <f t="shared" si="71"/>
        <v>3104711.7950831652</v>
      </c>
      <c r="AW628" s="235"/>
      <c r="AX628" s="355"/>
      <c r="AY628" s="344"/>
      <c r="AZ628" s="14">
        <f t="shared" si="73"/>
        <v>-5638.2072933513846</v>
      </c>
      <c r="BA628" s="14">
        <f t="shared" si="72"/>
        <v>-0.16727581834528316</v>
      </c>
      <c r="BB628" s="14">
        <f t="shared" si="61"/>
        <v>33706.051174194545</v>
      </c>
      <c r="BC628" s="344"/>
      <c r="BD628" s="344"/>
      <c r="BE628" s="344"/>
      <c r="BF628" s="344"/>
      <c r="BG628" s="344"/>
      <c r="BH628" s="344"/>
      <c r="BI628" s="344"/>
      <c r="BJ628" s="344"/>
      <c r="BK628" s="344"/>
      <c r="BL628" s="344"/>
      <c r="BM628" s="344"/>
      <c r="BN628" s="344"/>
      <c r="BO628" s="344"/>
      <c r="BP628" s="344"/>
      <c r="BQ628" s="344"/>
      <c r="BR628" s="344"/>
      <c r="BS628" s="344"/>
      <c r="BT628" s="344"/>
      <c r="BU628" s="344"/>
      <c r="BV628" s="344"/>
      <c r="BW628" s="344"/>
      <c r="BX628" s="344"/>
      <c r="BY628" s="344"/>
      <c r="BZ628" s="344"/>
      <c r="CA628" s="344"/>
      <c r="CB628" s="28"/>
      <c r="CC628" s="28"/>
      <c r="CD628" s="28"/>
      <c r="CE628" s="28"/>
      <c r="CF628" s="28"/>
      <c r="CG628" s="28"/>
      <c r="CH628" s="28"/>
      <c r="CI628" s="28"/>
      <c r="CJ628" s="28"/>
      <c r="CK628" s="28"/>
      <c r="CL628" s="28"/>
      <c r="CM628" s="28"/>
      <c r="CN628" s="28"/>
      <c r="CO628" s="28"/>
      <c r="CP628" s="28"/>
      <c r="CQ628" s="28"/>
      <c r="CR628" s="28"/>
      <c r="CS628" s="28"/>
      <c r="CT628" s="28"/>
      <c r="CU628" s="28"/>
      <c r="CV628" s="28"/>
      <c r="CW628" s="28"/>
    </row>
    <row r="629" spans="1:101" ht="14.25" customHeight="1" x14ac:dyDescent="0.2">
      <c r="A629" s="328"/>
      <c r="B629" s="52">
        <v>0.16371151938065087</v>
      </c>
      <c r="C629" s="330">
        <v>0.36016235342840952</v>
      </c>
      <c r="D629" s="330">
        <v>8.0834981282941511E-3</v>
      </c>
      <c r="E629" s="330">
        <v>3.370509356712053E-3</v>
      </c>
      <c r="F629" s="331">
        <v>0.7978115272693892</v>
      </c>
      <c r="G629" s="94">
        <v>0.42239381938689036</v>
      </c>
      <c r="H629" s="330">
        <v>0.9909350832165037</v>
      </c>
      <c r="I629" s="330">
        <v>1.2956817134552755E-2</v>
      </c>
      <c r="J629" s="330">
        <v>0.16967021827585221</v>
      </c>
      <c r="K629" s="330">
        <v>0.80879182634967406</v>
      </c>
      <c r="L629" s="332">
        <v>14919.213627172327</v>
      </c>
      <c r="M629" s="330">
        <v>0</v>
      </c>
      <c r="N629" s="330">
        <v>17724.81178601236</v>
      </c>
      <c r="O629" s="330">
        <v>1103.2785606257692</v>
      </c>
      <c r="P629" s="330">
        <v>29682.095752214831</v>
      </c>
      <c r="Q629" s="333">
        <v>139617.84380266632</v>
      </c>
      <c r="R629" s="330">
        <v>25342.664979305573</v>
      </c>
      <c r="S629" s="330">
        <v>11072.331401635416</v>
      </c>
      <c r="T629" s="332">
        <v>0.93764840730874854</v>
      </c>
      <c r="U629" s="330">
        <v>0.99160260573144665</v>
      </c>
      <c r="V629" s="330">
        <v>0.94591341330071321</v>
      </c>
      <c r="W629" s="330">
        <v>0.99998068241386839</v>
      </c>
      <c r="X629" s="330">
        <v>0.8168287513589475</v>
      </c>
      <c r="Y629" s="330">
        <v>0</v>
      </c>
      <c r="Z629" s="331">
        <v>0</v>
      </c>
      <c r="AA629" s="235"/>
      <c r="AB629" s="335">
        <v>111574.84744363817</v>
      </c>
      <c r="AC629" s="336">
        <v>3.9379980907220498</v>
      </c>
      <c r="AD629" s="337">
        <v>107894.65518280676</v>
      </c>
      <c r="AE629" s="336">
        <v>4.2628076558302608</v>
      </c>
      <c r="AF629" s="337">
        <v>3680.1922608314053</v>
      </c>
      <c r="AG629" s="338">
        <v>-0.32480956510821102</v>
      </c>
      <c r="AH629" s="235"/>
      <c r="AI629" s="208">
        <f t="shared" si="68"/>
        <v>3629523.3387423088</v>
      </c>
      <c r="AJ629" s="208">
        <f t="shared" si="69"/>
        <v>3941772.6178559409</v>
      </c>
      <c r="AK629" s="208">
        <f t="shared" si="70"/>
        <v>-312249.27911363187</v>
      </c>
      <c r="AL629" s="235"/>
      <c r="AM629" s="52">
        <f t="shared" si="58"/>
        <v>0</v>
      </c>
      <c r="AN629" s="52">
        <f t="shared" si="59"/>
        <v>1</v>
      </c>
      <c r="AO629" s="52">
        <f t="shared" si="60"/>
        <v>0</v>
      </c>
      <c r="AP629" s="235"/>
      <c r="AQ629" s="28"/>
      <c r="AR629" s="28"/>
      <c r="AS629" s="28"/>
      <c r="AT629" s="28"/>
      <c r="AU629" s="235"/>
      <c r="AV629" s="360">
        <f t="shared" si="71"/>
        <v>3941772.6178559409</v>
      </c>
      <c r="AW629" s="235"/>
      <c r="AX629" s="355"/>
      <c r="AY629" s="344"/>
      <c r="AZ629" s="14">
        <f t="shared" si="73"/>
        <v>3680.1922608314053</v>
      </c>
      <c r="BA629" s="14">
        <f t="shared" si="72"/>
        <v>-0.32480956510821102</v>
      </c>
      <c r="BB629" s="14">
        <f t="shared" si="61"/>
        <v>-11330.30752836771</v>
      </c>
      <c r="BC629" s="344"/>
      <c r="BD629" s="344"/>
      <c r="BE629" s="344"/>
      <c r="BF629" s="344"/>
      <c r="BG629" s="344"/>
      <c r="BH629" s="344"/>
      <c r="BI629" s="344"/>
      <c r="BJ629" s="344"/>
      <c r="BK629" s="344"/>
      <c r="BL629" s="344"/>
      <c r="BM629" s="344"/>
      <c r="BN629" s="344"/>
      <c r="BO629" s="344"/>
      <c r="BP629" s="344"/>
      <c r="BQ629" s="344"/>
      <c r="BR629" s="344"/>
      <c r="BS629" s="344"/>
      <c r="BT629" s="344"/>
      <c r="BU629" s="344"/>
      <c r="BV629" s="344"/>
      <c r="BW629" s="344"/>
      <c r="BX629" s="344"/>
      <c r="BY629" s="344"/>
      <c r="BZ629" s="344"/>
      <c r="CA629" s="344"/>
      <c r="CB629" s="28"/>
      <c r="CC629" s="28"/>
      <c r="CD629" s="28"/>
      <c r="CE629" s="28"/>
      <c r="CF629" s="28"/>
      <c r="CG629" s="28"/>
      <c r="CH629" s="28"/>
      <c r="CI629" s="28"/>
      <c r="CJ629" s="28"/>
      <c r="CK629" s="28"/>
      <c r="CL629" s="28"/>
      <c r="CM629" s="28"/>
      <c r="CN629" s="28"/>
      <c r="CO629" s="28"/>
      <c r="CP629" s="28"/>
      <c r="CQ629" s="28"/>
      <c r="CR629" s="28"/>
      <c r="CS629" s="28"/>
      <c r="CT629" s="28"/>
      <c r="CU629" s="28"/>
      <c r="CV629" s="28"/>
      <c r="CW629" s="28"/>
    </row>
    <row r="630" spans="1:101" ht="14.25" customHeight="1" x14ac:dyDescent="0.2">
      <c r="A630" s="328"/>
      <c r="B630" s="52">
        <v>0.15717112536825067</v>
      </c>
      <c r="C630" s="330">
        <v>9.0810420433041408E-3</v>
      </c>
      <c r="D630" s="330">
        <v>2.565814889905782E-2</v>
      </c>
      <c r="E630" s="330">
        <v>1.064757764131131E-2</v>
      </c>
      <c r="F630" s="331">
        <v>0.77032770581020893</v>
      </c>
      <c r="G630" s="94">
        <v>0.38787640429571785</v>
      </c>
      <c r="H630" s="330">
        <v>0.66676556933780673</v>
      </c>
      <c r="I630" s="330">
        <v>1.3093354227218527E-2</v>
      </c>
      <c r="J630" s="330">
        <v>0.99627463913300662</v>
      </c>
      <c r="K630" s="330">
        <v>0.76036266852489176</v>
      </c>
      <c r="L630" s="332">
        <v>13865.785791622553</v>
      </c>
      <c r="M630" s="330">
        <v>0</v>
      </c>
      <c r="N630" s="330">
        <v>19139.686701108345</v>
      </c>
      <c r="O630" s="330">
        <v>1343.5389505364878</v>
      </c>
      <c r="P630" s="330">
        <v>49521.05005097347</v>
      </c>
      <c r="Q630" s="333">
        <v>87591.279032024962</v>
      </c>
      <c r="R630" s="330">
        <v>22525.431909221643</v>
      </c>
      <c r="S630" s="330">
        <v>8692.0977203790881</v>
      </c>
      <c r="T630" s="332">
        <v>0.9933333559768811</v>
      </c>
      <c r="U630" s="330">
        <v>0.33964247438067369</v>
      </c>
      <c r="V630" s="330">
        <v>0.79572859395602813</v>
      </c>
      <c r="W630" s="330">
        <v>0.96353857933065667</v>
      </c>
      <c r="X630" s="330">
        <v>0.95783429844169077</v>
      </c>
      <c r="Y630" s="330">
        <v>0</v>
      </c>
      <c r="Z630" s="331">
        <v>0</v>
      </c>
      <c r="AA630" s="235"/>
      <c r="AB630" s="335">
        <v>86319.069451245392</v>
      </c>
      <c r="AC630" s="336">
        <v>4.6626219948871883</v>
      </c>
      <c r="AD630" s="337">
        <v>77987.999736482991</v>
      </c>
      <c r="AE630" s="336">
        <v>4.5042115718275104</v>
      </c>
      <c r="AF630" s="337">
        <v>8331.0697147624014</v>
      </c>
      <c r="AG630" s="338">
        <v>0.1584104230596779</v>
      </c>
      <c r="AH630" s="235"/>
      <c r="AI630" s="208">
        <f t="shared" si="68"/>
        <v>4343171.8256915836</v>
      </c>
      <c r="AJ630" s="208">
        <f t="shared" si="69"/>
        <v>4201012.9934996516</v>
      </c>
      <c r="AK630" s="208">
        <f t="shared" si="70"/>
        <v>142158.83219193161</v>
      </c>
      <c r="AL630" s="235"/>
      <c r="AM630" s="52">
        <f t="shared" si="58"/>
        <v>1</v>
      </c>
      <c r="AN630" s="52">
        <f t="shared" si="59"/>
        <v>0</v>
      </c>
      <c r="AO630" s="52">
        <f t="shared" si="60"/>
        <v>1</v>
      </c>
      <c r="AP630" s="235"/>
      <c r="AQ630" s="28"/>
      <c r="AR630" s="28"/>
      <c r="AS630" s="28"/>
      <c r="AT630" s="28"/>
      <c r="AU630" s="235"/>
      <c r="AV630" s="360">
        <f t="shared" si="71"/>
        <v>4343171.8256915836</v>
      </c>
      <c r="AW630" s="235"/>
      <c r="AX630" s="355"/>
      <c r="AY630" s="344"/>
      <c r="AZ630" s="14">
        <f t="shared" si="73"/>
        <v>8331.0697147624014</v>
      </c>
      <c r="BA630" s="14">
        <f t="shared" si="72"/>
        <v>0.1584104230596779</v>
      </c>
      <c r="BB630" s="14">
        <f t="shared" si="61"/>
        <v>52591.676443057288</v>
      </c>
      <c r="BC630" s="344"/>
      <c r="BD630" s="344"/>
      <c r="BE630" s="344"/>
      <c r="BF630" s="344"/>
      <c r="BG630" s="344"/>
      <c r="BH630" s="344"/>
      <c r="BI630" s="344"/>
      <c r="BJ630" s="344"/>
      <c r="BK630" s="344"/>
      <c r="BL630" s="344"/>
      <c r="BM630" s="344"/>
      <c r="BN630" s="344"/>
      <c r="BO630" s="344"/>
      <c r="BP630" s="344"/>
      <c r="BQ630" s="344"/>
      <c r="BR630" s="344"/>
      <c r="BS630" s="344"/>
      <c r="BT630" s="344"/>
      <c r="BU630" s="344"/>
      <c r="BV630" s="344"/>
      <c r="BW630" s="344"/>
      <c r="BX630" s="344"/>
      <c r="BY630" s="344"/>
      <c r="BZ630" s="344"/>
      <c r="CA630" s="344"/>
      <c r="CB630" s="28"/>
      <c r="CC630" s="28"/>
      <c r="CD630" s="28"/>
      <c r="CE630" s="28"/>
      <c r="CF630" s="28"/>
      <c r="CG630" s="28"/>
      <c r="CH630" s="28"/>
      <c r="CI630" s="28"/>
      <c r="CJ630" s="28"/>
      <c r="CK630" s="28"/>
      <c r="CL630" s="28"/>
      <c r="CM630" s="28"/>
      <c r="CN630" s="28"/>
      <c r="CO630" s="28"/>
      <c r="CP630" s="28"/>
      <c r="CQ630" s="28"/>
      <c r="CR630" s="28"/>
      <c r="CS630" s="28"/>
      <c r="CT630" s="28"/>
      <c r="CU630" s="28"/>
      <c r="CV630" s="28"/>
      <c r="CW630" s="28"/>
    </row>
    <row r="631" spans="1:101" ht="14.25" customHeight="1" x14ac:dyDescent="0.2">
      <c r="A631" s="328"/>
      <c r="B631" s="52">
        <v>0.13713070901301921</v>
      </c>
      <c r="C631" s="330">
        <v>0.28747202274379458</v>
      </c>
      <c r="D631" s="330">
        <v>1.0593565077274731E-2</v>
      </c>
      <c r="E631" s="330">
        <v>1.5876563772438401E-2</v>
      </c>
      <c r="F631" s="331">
        <v>0.81101078787622549</v>
      </c>
      <c r="G631" s="94">
        <v>0.39504629289398008</v>
      </c>
      <c r="H631" s="330">
        <v>0.2624117820992698</v>
      </c>
      <c r="I631" s="330">
        <v>1.9507773332779976E-2</v>
      </c>
      <c r="J631" s="330">
        <v>0.91904309490462222</v>
      </c>
      <c r="K631" s="330">
        <v>0.73320158660871693</v>
      </c>
      <c r="L631" s="332">
        <v>14881.548869994287</v>
      </c>
      <c r="M631" s="330">
        <v>0</v>
      </c>
      <c r="N631" s="330">
        <v>16503.236183213005</v>
      </c>
      <c r="O631" s="330">
        <v>1102.8817296130039</v>
      </c>
      <c r="P631" s="330">
        <v>30900.567751017461</v>
      </c>
      <c r="Q631" s="333">
        <v>97207.293423932264</v>
      </c>
      <c r="R631" s="330">
        <v>19075.23423147752</v>
      </c>
      <c r="S631" s="330">
        <v>14085.650071049431</v>
      </c>
      <c r="T631" s="332">
        <v>1.7064013224878959E-2</v>
      </c>
      <c r="U631" s="330">
        <v>0.4699245213453781</v>
      </c>
      <c r="V631" s="330">
        <v>0.50233181214837852</v>
      </c>
      <c r="W631" s="330">
        <v>0.33082158352976154</v>
      </c>
      <c r="X631" s="330">
        <v>4.6109852299900597E-2</v>
      </c>
      <c r="Y631" s="330">
        <v>0</v>
      </c>
      <c r="Z631" s="331">
        <v>0</v>
      </c>
      <c r="AA631" s="235"/>
      <c r="AB631" s="335">
        <v>138516.50945540392</v>
      </c>
      <c r="AC631" s="336">
        <v>0.22886079502136397</v>
      </c>
      <c r="AD631" s="337">
        <v>114329.75961237004</v>
      </c>
      <c r="AE631" s="336">
        <v>0.20603804980291396</v>
      </c>
      <c r="AF631" s="337">
        <v>24186.749843033889</v>
      </c>
      <c r="AG631" s="338">
        <v>2.2822745218450013E-2</v>
      </c>
      <c r="AH631" s="235"/>
      <c r="AI631" s="208">
        <f t="shared" si="68"/>
        <v>78901.245814891852</v>
      </c>
      <c r="AJ631" s="208">
        <f t="shared" si="69"/>
        <v>81406.387700398234</v>
      </c>
      <c r="AK631" s="208">
        <f t="shared" si="70"/>
        <v>-2505.1418855063748</v>
      </c>
      <c r="AL631" s="235"/>
      <c r="AM631" s="52">
        <f t="shared" si="58"/>
        <v>0</v>
      </c>
      <c r="AN631" s="52">
        <f t="shared" si="59"/>
        <v>1</v>
      </c>
      <c r="AO631" s="52">
        <f t="shared" si="60"/>
        <v>0</v>
      </c>
      <c r="AP631" s="235"/>
      <c r="AQ631" s="28"/>
      <c r="AR631" s="28"/>
      <c r="AS631" s="28"/>
      <c r="AT631" s="28"/>
      <c r="AU631" s="235"/>
      <c r="AV631" s="360">
        <f t="shared" si="71"/>
        <v>81406.387700398234</v>
      </c>
      <c r="AW631" s="235"/>
      <c r="AX631" s="355"/>
      <c r="AY631" s="344"/>
      <c r="AZ631" s="14">
        <f t="shared" si="73"/>
        <v>24186.749843033889</v>
      </c>
      <c r="BA631" s="14">
        <f t="shared" si="72"/>
        <v>2.2822745218450013E-2</v>
      </c>
      <c r="BB631" s="14">
        <f t="shared" si="61"/>
        <v>1059765.1426911259</v>
      </c>
      <c r="BC631" s="344"/>
      <c r="BD631" s="344"/>
      <c r="BE631" s="344"/>
      <c r="BF631" s="344"/>
      <c r="BG631" s="344"/>
      <c r="BH631" s="344"/>
      <c r="BI631" s="344"/>
      <c r="BJ631" s="344"/>
      <c r="BK631" s="344"/>
      <c r="BL631" s="344"/>
      <c r="BM631" s="344"/>
      <c r="BN631" s="344"/>
      <c r="BO631" s="344"/>
      <c r="BP631" s="344"/>
      <c r="BQ631" s="344"/>
      <c r="BR631" s="344"/>
      <c r="BS631" s="344"/>
      <c r="BT631" s="344"/>
      <c r="BU631" s="344"/>
      <c r="BV631" s="344"/>
      <c r="BW631" s="344"/>
      <c r="BX631" s="344"/>
      <c r="BY631" s="344"/>
      <c r="BZ631" s="344"/>
      <c r="CA631" s="344"/>
      <c r="CB631" s="28"/>
      <c r="CC631" s="28"/>
      <c r="CD631" s="28"/>
      <c r="CE631" s="28"/>
      <c r="CF631" s="28"/>
      <c r="CG631" s="28"/>
      <c r="CH631" s="28"/>
      <c r="CI631" s="28"/>
      <c r="CJ631" s="28"/>
      <c r="CK631" s="28"/>
      <c r="CL631" s="28"/>
      <c r="CM631" s="28"/>
      <c r="CN631" s="28"/>
      <c r="CO631" s="28"/>
      <c r="CP631" s="28"/>
      <c r="CQ631" s="28"/>
      <c r="CR631" s="28"/>
      <c r="CS631" s="28"/>
      <c r="CT631" s="28"/>
      <c r="CU631" s="28"/>
      <c r="CV631" s="28"/>
      <c r="CW631" s="28"/>
    </row>
    <row r="632" spans="1:101" ht="14.25" customHeight="1" x14ac:dyDescent="0.2">
      <c r="A632" s="328"/>
      <c r="B632" s="52">
        <v>0.14855102005430115</v>
      </c>
      <c r="C632" s="330">
        <v>2.0900976135194701E-2</v>
      </c>
      <c r="D632" s="330">
        <v>1.0244253584567316E-2</v>
      </c>
      <c r="E632" s="330">
        <v>1.8348465326846641E-2</v>
      </c>
      <c r="F632" s="331">
        <v>0.78144948350046917</v>
      </c>
      <c r="G632" s="94">
        <v>0.39920675090296437</v>
      </c>
      <c r="H632" s="330">
        <v>1.8116212168472066E-2</v>
      </c>
      <c r="I632" s="330">
        <v>1.9029913469428839E-2</v>
      </c>
      <c r="J632" s="330">
        <v>0.99339995858878938</v>
      </c>
      <c r="K632" s="330">
        <v>0.72595804609458714</v>
      </c>
      <c r="L632" s="332">
        <v>12924.686654506866</v>
      </c>
      <c r="M632" s="330">
        <v>0</v>
      </c>
      <c r="N632" s="330">
        <v>17084.032813045087</v>
      </c>
      <c r="O632" s="330">
        <v>835.78821339488218</v>
      </c>
      <c r="P632" s="330">
        <v>73774.849069886128</v>
      </c>
      <c r="Q632" s="333">
        <v>128714.75054504068</v>
      </c>
      <c r="R632" s="330">
        <v>17539.747493910123</v>
      </c>
      <c r="S632" s="330">
        <v>8673.6657558102652</v>
      </c>
      <c r="T632" s="332">
        <v>0.91880621345167079</v>
      </c>
      <c r="U632" s="330">
        <v>0.89891647471334113</v>
      </c>
      <c r="V632" s="330">
        <v>0.69989630710546002</v>
      </c>
      <c r="W632" s="330">
        <v>0.43620694703574542</v>
      </c>
      <c r="X632" s="330">
        <v>0.87417092000413499</v>
      </c>
      <c r="Y632" s="330">
        <v>0</v>
      </c>
      <c r="Z632" s="331">
        <v>0</v>
      </c>
      <c r="AA632" s="235"/>
      <c r="AB632" s="335">
        <v>86038.34166605206</v>
      </c>
      <c r="AC632" s="336">
        <v>4.3767507181669059</v>
      </c>
      <c r="AD632" s="337">
        <v>69695.920667655431</v>
      </c>
      <c r="AE632" s="336">
        <v>3.9298450557608788</v>
      </c>
      <c r="AF632" s="337">
        <v>16342.420998396628</v>
      </c>
      <c r="AG632" s="338">
        <v>0.44690566240602703</v>
      </c>
      <c r="AH632" s="235"/>
      <c r="AI632" s="208">
        <f t="shared" si="68"/>
        <v>4071874.8405925087</v>
      </c>
      <c r="AJ632" s="208">
        <f t="shared" si="69"/>
        <v>3663656.8823051797</v>
      </c>
      <c r="AK632" s="208">
        <f t="shared" si="70"/>
        <v>408217.95828732901</v>
      </c>
      <c r="AL632" s="235"/>
      <c r="AM632" s="52">
        <f t="shared" si="58"/>
        <v>1</v>
      </c>
      <c r="AN632" s="52">
        <f t="shared" si="59"/>
        <v>0</v>
      </c>
      <c r="AO632" s="52">
        <f t="shared" si="60"/>
        <v>1</v>
      </c>
      <c r="AP632" s="235"/>
      <c r="AQ632" s="28"/>
      <c r="AR632" s="28"/>
      <c r="AS632" s="28"/>
      <c r="AT632" s="28"/>
      <c r="AU632" s="235"/>
      <c r="AV632" s="360">
        <f t="shared" si="71"/>
        <v>4071874.8405925087</v>
      </c>
      <c r="AW632" s="235"/>
      <c r="AX632" s="355"/>
      <c r="AY632" s="344"/>
      <c r="AZ632" s="14">
        <f t="shared" si="73"/>
        <v>16342.420998396628</v>
      </c>
      <c r="BA632" s="14">
        <f t="shared" si="72"/>
        <v>0.44690566240602703</v>
      </c>
      <c r="BB632" s="14">
        <f t="shared" si="61"/>
        <v>36567.943468008816</v>
      </c>
      <c r="BC632" s="344"/>
      <c r="BD632" s="344"/>
      <c r="BE632" s="344"/>
      <c r="BF632" s="344"/>
      <c r="BG632" s="344"/>
      <c r="BH632" s="344"/>
      <c r="BI632" s="344"/>
      <c r="BJ632" s="344"/>
      <c r="BK632" s="344"/>
      <c r="BL632" s="344"/>
      <c r="BM632" s="344"/>
      <c r="BN632" s="344"/>
      <c r="BO632" s="344"/>
      <c r="BP632" s="344"/>
      <c r="BQ632" s="344"/>
      <c r="BR632" s="344"/>
      <c r="BS632" s="344"/>
      <c r="BT632" s="344"/>
      <c r="BU632" s="344"/>
      <c r="BV632" s="344"/>
      <c r="BW632" s="344"/>
      <c r="BX632" s="344"/>
      <c r="BY632" s="344"/>
      <c r="BZ632" s="344"/>
      <c r="CA632" s="344"/>
      <c r="CB632" s="28"/>
      <c r="CC632" s="28"/>
      <c r="CD632" s="28"/>
      <c r="CE632" s="28"/>
      <c r="CF632" s="28"/>
      <c r="CG632" s="28"/>
      <c r="CH632" s="28"/>
      <c r="CI632" s="28"/>
      <c r="CJ632" s="28"/>
      <c r="CK632" s="28"/>
      <c r="CL632" s="28"/>
      <c r="CM632" s="28"/>
      <c r="CN632" s="28"/>
      <c r="CO632" s="28"/>
      <c r="CP632" s="28"/>
      <c r="CQ632" s="28"/>
      <c r="CR632" s="28"/>
      <c r="CS632" s="28"/>
      <c r="CT632" s="28"/>
      <c r="CU632" s="28"/>
      <c r="CV632" s="28"/>
      <c r="CW632" s="28"/>
    </row>
    <row r="633" spans="1:101" ht="14.25" customHeight="1" x14ac:dyDescent="0.2">
      <c r="A633" s="328"/>
      <c r="B633" s="52">
        <v>0.15065121709064355</v>
      </c>
      <c r="C633" s="330">
        <v>7.7004417660631444E-2</v>
      </c>
      <c r="D633" s="330">
        <v>2.0726477546018862E-2</v>
      </c>
      <c r="E633" s="330">
        <v>1.5355293301547501E-2</v>
      </c>
      <c r="F633" s="331">
        <v>0.78497815172345553</v>
      </c>
      <c r="G633" s="94">
        <v>0.40216306653459066</v>
      </c>
      <c r="H633" s="330">
        <v>0.9787453927743458</v>
      </c>
      <c r="I633" s="330">
        <v>1.9555265385698184E-2</v>
      </c>
      <c r="J633" s="330">
        <v>0.67616452231477053</v>
      </c>
      <c r="K633" s="330">
        <v>0.7584402226013619</v>
      </c>
      <c r="L633" s="332">
        <v>10285.6092452745</v>
      </c>
      <c r="M633" s="330">
        <v>0</v>
      </c>
      <c r="N633" s="330">
        <v>20582.219363961518</v>
      </c>
      <c r="O633" s="330">
        <v>1581.2234629160325</v>
      </c>
      <c r="P633" s="330">
        <v>43986.271001066416</v>
      </c>
      <c r="Q633" s="333">
        <v>94492.158758497855</v>
      </c>
      <c r="R633" s="330">
        <v>21752.987878862001</v>
      </c>
      <c r="S633" s="330">
        <v>9248.8018104175899</v>
      </c>
      <c r="T633" s="332">
        <v>0.8843103872338729</v>
      </c>
      <c r="U633" s="330">
        <v>0.9690634908518726</v>
      </c>
      <c r="V633" s="330">
        <v>0.89363843886390371</v>
      </c>
      <c r="W633" s="330">
        <v>0.58749346424391202</v>
      </c>
      <c r="X633" s="330">
        <v>0.62034679428599837</v>
      </c>
      <c r="Y633" s="330">
        <v>0</v>
      </c>
      <c r="Z633" s="331">
        <v>0</v>
      </c>
      <c r="AA633" s="235"/>
      <c r="AB633" s="335">
        <v>88984.210468857258</v>
      </c>
      <c r="AC633" s="336">
        <v>2.9800770059640822</v>
      </c>
      <c r="AD633" s="337">
        <v>85406.403025013948</v>
      </c>
      <c r="AE633" s="336">
        <v>3.1807840739894049</v>
      </c>
      <c r="AF633" s="337">
        <v>3577.8074438433105</v>
      </c>
      <c r="AG633" s="338">
        <v>-0.20070706802532268</v>
      </c>
      <c r="AH633" s="235"/>
      <c r="AI633" s="208">
        <f t="shared" si="68"/>
        <v>2742088.9451970211</v>
      </c>
      <c r="AJ633" s="208">
        <f t="shared" si="69"/>
        <v>2936338.4672649209</v>
      </c>
      <c r="AK633" s="208">
        <f t="shared" si="70"/>
        <v>-194249.52206789984</v>
      </c>
      <c r="AL633" s="235"/>
      <c r="AM633" s="52">
        <f t="shared" si="58"/>
        <v>0</v>
      </c>
      <c r="AN633" s="52">
        <f t="shared" si="59"/>
        <v>1</v>
      </c>
      <c r="AO633" s="52">
        <f t="shared" si="60"/>
        <v>0</v>
      </c>
      <c r="AP633" s="235"/>
      <c r="AQ633" s="28"/>
      <c r="AR633" s="28"/>
      <c r="AS633" s="28"/>
      <c r="AT633" s="28"/>
      <c r="AU633" s="235"/>
      <c r="AV633" s="360">
        <f t="shared" si="71"/>
        <v>2936338.4672649209</v>
      </c>
      <c r="AW633" s="235"/>
      <c r="AX633" s="355"/>
      <c r="AY633" s="344"/>
      <c r="AZ633" s="14">
        <f t="shared" si="73"/>
        <v>3577.8074438433105</v>
      </c>
      <c r="BA633" s="14">
        <f t="shared" si="72"/>
        <v>-0.20070706802532268</v>
      </c>
      <c r="BB633" s="14">
        <f t="shared" si="61"/>
        <v>-17826.016188886322</v>
      </c>
      <c r="BC633" s="344"/>
      <c r="BD633" s="344"/>
      <c r="BE633" s="344"/>
      <c r="BF633" s="344"/>
      <c r="BG633" s="344"/>
      <c r="BH633" s="344"/>
      <c r="BI633" s="344"/>
      <c r="BJ633" s="344"/>
      <c r="BK633" s="344"/>
      <c r="BL633" s="344"/>
      <c r="BM633" s="344"/>
      <c r="BN633" s="344"/>
      <c r="BO633" s="344"/>
      <c r="BP633" s="344"/>
      <c r="BQ633" s="344"/>
      <c r="BR633" s="344"/>
      <c r="BS633" s="344"/>
      <c r="BT633" s="344"/>
      <c r="BU633" s="344"/>
      <c r="BV633" s="344"/>
      <c r="BW633" s="344"/>
      <c r="BX633" s="344"/>
      <c r="BY633" s="344"/>
      <c r="BZ633" s="344"/>
      <c r="CA633" s="344"/>
      <c r="CB633" s="28"/>
      <c r="CC633" s="28"/>
      <c r="CD633" s="28"/>
      <c r="CE633" s="28"/>
      <c r="CF633" s="28"/>
      <c r="CG633" s="28"/>
      <c r="CH633" s="28"/>
      <c r="CI633" s="28"/>
      <c r="CJ633" s="28"/>
      <c r="CK633" s="28"/>
      <c r="CL633" s="28"/>
      <c r="CM633" s="28"/>
      <c r="CN633" s="28"/>
      <c r="CO633" s="28"/>
      <c r="CP633" s="28"/>
      <c r="CQ633" s="28"/>
      <c r="CR633" s="28"/>
      <c r="CS633" s="28"/>
      <c r="CT633" s="28"/>
      <c r="CU633" s="28"/>
      <c r="CV633" s="28"/>
      <c r="CW633" s="28"/>
    </row>
    <row r="634" spans="1:101" ht="14.25" customHeight="1" x14ac:dyDescent="0.2">
      <c r="A634" s="328"/>
      <c r="B634" s="52">
        <v>0.15890076860791291</v>
      </c>
      <c r="C634" s="330">
        <v>0.7278799175881191</v>
      </c>
      <c r="D634" s="330">
        <v>1.4561319521148253E-2</v>
      </c>
      <c r="E634" s="330">
        <v>1.3820084480954377E-2</v>
      </c>
      <c r="F634" s="331">
        <v>0.76270014245044004</v>
      </c>
      <c r="G634" s="94">
        <v>0.35409514154344329</v>
      </c>
      <c r="H634" s="330">
        <v>0.59873883672533812</v>
      </c>
      <c r="I634" s="330">
        <v>1.5539832756283853E-2</v>
      </c>
      <c r="J634" s="330">
        <v>1</v>
      </c>
      <c r="K634" s="330">
        <v>0.75669863486871425</v>
      </c>
      <c r="L634" s="332">
        <v>14552.4543426769</v>
      </c>
      <c r="M634" s="330">
        <v>0</v>
      </c>
      <c r="N634" s="330">
        <v>19821.825019021933</v>
      </c>
      <c r="O634" s="330">
        <v>1056.0346459717493</v>
      </c>
      <c r="P634" s="330">
        <v>41302.73558668881</v>
      </c>
      <c r="Q634" s="333">
        <v>77802.00156105138</v>
      </c>
      <c r="R634" s="330">
        <v>22633.022543798761</v>
      </c>
      <c r="S634" s="330">
        <v>9732.4543662033193</v>
      </c>
      <c r="T634" s="332">
        <v>0.99354579754984096</v>
      </c>
      <c r="U634" s="330">
        <v>0.24423491883242104</v>
      </c>
      <c r="V634" s="330">
        <v>0.98777974672963231</v>
      </c>
      <c r="W634" s="330">
        <v>0.9864109574438289</v>
      </c>
      <c r="X634" s="330">
        <v>0.7886794013347842</v>
      </c>
      <c r="Y634" s="330">
        <v>0</v>
      </c>
      <c r="Z634" s="331">
        <v>0</v>
      </c>
      <c r="AA634" s="235"/>
      <c r="AB634" s="335">
        <v>97177.315378594474</v>
      </c>
      <c r="AC634" s="336">
        <v>4.0712461613471751</v>
      </c>
      <c r="AD634" s="337">
        <v>84983.440697701313</v>
      </c>
      <c r="AE634" s="336">
        <v>3.6616166292187931</v>
      </c>
      <c r="AF634" s="337">
        <v>12193.874680893161</v>
      </c>
      <c r="AG634" s="338">
        <v>0.40962953212838205</v>
      </c>
      <c r="AH634" s="235"/>
      <c r="AI634" s="208">
        <f t="shared" si="68"/>
        <v>3770506.5379012218</v>
      </c>
      <c r="AJ634" s="208">
        <f t="shared" si="69"/>
        <v>3393552.3570601521</v>
      </c>
      <c r="AK634" s="208">
        <f t="shared" si="70"/>
        <v>376954.18084106978</v>
      </c>
      <c r="AL634" s="235"/>
      <c r="AM634" s="52">
        <f t="shared" si="58"/>
        <v>1</v>
      </c>
      <c r="AN634" s="52">
        <f t="shared" si="59"/>
        <v>0</v>
      </c>
      <c r="AO634" s="52">
        <f t="shared" si="60"/>
        <v>1</v>
      </c>
      <c r="AP634" s="235"/>
      <c r="AQ634" s="28"/>
      <c r="AR634" s="28"/>
      <c r="AS634" s="28"/>
      <c r="AT634" s="28"/>
      <c r="AU634" s="235"/>
      <c r="AV634" s="360">
        <f t="shared" si="71"/>
        <v>3770506.5379012218</v>
      </c>
      <c r="AW634" s="235"/>
      <c r="AX634" s="355"/>
      <c r="AY634" s="344"/>
      <c r="AZ634" s="14">
        <f t="shared" si="73"/>
        <v>12193.874680893161</v>
      </c>
      <c r="BA634" s="14">
        <f t="shared" si="72"/>
        <v>0.40962953212838205</v>
      </c>
      <c r="BB634" s="14">
        <f t="shared" si="61"/>
        <v>29768.055583139638</v>
      </c>
      <c r="BC634" s="344"/>
      <c r="BD634" s="344"/>
      <c r="BE634" s="344"/>
      <c r="BF634" s="344"/>
      <c r="BG634" s="344"/>
      <c r="BH634" s="344"/>
      <c r="BI634" s="344"/>
      <c r="BJ634" s="344"/>
      <c r="BK634" s="344"/>
      <c r="BL634" s="344"/>
      <c r="BM634" s="344"/>
      <c r="BN634" s="344"/>
      <c r="BO634" s="344"/>
      <c r="BP634" s="344"/>
      <c r="BQ634" s="344"/>
      <c r="BR634" s="344"/>
      <c r="BS634" s="344"/>
      <c r="BT634" s="344"/>
      <c r="BU634" s="344"/>
      <c r="BV634" s="344"/>
      <c r="BW634" s="344"/>
      <c r="BX634" s="344"/>
      <c r="BY634" s="344"/>
      <c r="BZ634" s="344"/>
      <c r="CA634" s="344"/>
      <c r="CB634" s="28"/>
      <c r="CC634" s="28"/>
      <c r="CD634" s="28"/>
      <c r="CE634" s="28"/>
      <c r="CF634" s="28"/>
      <c r="CG634" s="28"/>
      <c r="CH634" s="28"/>
      <c r="CI634" s="28"/>
      <c r="CJ634" s="28"/>
      <c r="CK634" s="28"/>
      <c r="CL634" s="28"/>
      <c r="CM634" s="28"/>
      <c r="CN634" s="28"/>
      <c r="CO634" s="28"/>
      <c r="CP634" s="28"/>
      <c r="CQ634" s="28"/>
      <c r="CR634" s="28"/>
      <c r="CS634" s="28"/>
      <c r="CT634" s="28"/>
      <c r="CU634" s="28"/>
      <c r="CV634" s="28"/>
      <c r="CW634" s="28"/>
    </row>
    <row r="635" spans="1:101" ht="14.25" customHeight="1" x14ac:dyDescent="0.2">
      <c r="A635" s="328"/>
      <c r="B635" s="52">
        <v>0.2053403090905016</v>
      </c>
      <c r="C635" s="330">
        <v>0.47306469425153619</v>
      </c>
      <c r="D635" s="330">
        <v>2.3457496837410496E-2</v>
      </c>
      <c r="E635" s="330">
        <v>2.8633551667560098E-2</v>
      </c>
      <c r="F635" s="331">
        <v>0.73862566335115931</v>
      </c>
      <c r="G635" s="94">
        <v>0.42129751940569737</v>
      </c>
      <c r="H635" s="330">
        <v>0.43231615308235788</v>
      </c>
      <c r="I635" s="330">
        <v>1.1704549497994973E-2</v>
      </c>
      <c r="J635" s="330">
        <v>6.2831752481690914E-3</v>
      </c>
      <c r="K635" s="330">
        <v>0.73522523766177739</v>
      </c>
      <c r="L635" s="332">
        <v>12754.753158513387</v>
      </c>
      <c r="M635" s="330">
        <v>0</v>
      </c>
      <c r="N635" s="330">
        <v>16046.756319300181</v>
      </c>
      <c r="O635" s="330">
        <v>809.47490082018805</v>
      </c>
      <c r="P635" s="330">
        <v>56117.023070371884</v>
      </c>
      <c r="Q635" s="333">
        <v>112172.02702111783</v>
      </c>
      <c r="R635" s="330">
        <v>16398.543618588399</v>
      </c>
      <c r="S635" s="330">
        <v>6395.6651924557918</v>
      </c>
      <c r="T635" s="332">
        <v>0.95173491604629279</v>
      </c>
      <c r="U635" s="330">
        <v>0.96954858349048967</v>
      </c>
      <c r="V635" s="330">
        <v>0.91421314232277773</v>
      </c>
      <c r="W635" s="330">
        <v>0.91875230535502661</v>
      </c>
      <c r="X635" s="330">
        <v>0.68929025939967803</v>
      </c>
      <c r="Y635" s="330">
        <v>0</v>
      </c>
      <c r="Z635" s="331">
        <v>0</v>
      </c>
      <c r="AA635" s="235"/>
      <c r="AB635" s="335">
        <v>65758.535730529125</v>
      </c>
      <c r="AC635" s="336">
        <v>3.4606791816320985</v>
      </c>
      <c r="AD635" s="337">
        <v>54347.399804913774</v>
      </c>
      <c r="AE635" s="336">
        <v>3.0618077511219934</v>
      </c>
      <c r="AF635" s="337">
        <v>11411.135925615352</v>
      </c>
      <c r="AG635" s="338">
        <v>0.3988714305101051</v>
      </c>
      <c r="AH635" s="235"/>
      <c r="AI635" s="208">
        <f t="shared" si="68"/>
        <v>3221886.6868199646</v>
      </c>
      <c r="AJ635" s="208">
        <f t="shared" si="69"/>
        <v>2854369.9637609799</v>
      </c>
      <c r="AK635" s="208">
        <f t="shared" si="70"/>
        <v>367516.7230589845</v>
      </c>
      <c r="AL635" s="235"/>
      <c r="AM635" s="52">
        <f t="shared" si="58"/>
        <v>1</v>
      </c>
      <c r="AN635" s="52">
        <f t="shared" si="59"/>
        <v>0</v>
      </c>
      <c r="AO635" s="52">
        <f t="shared" si="60"/>
        <v>1</v>
      </c>
      <c r="AP635" s="235"/>
      <c r="AQ635" s="28"/>
      <c r="AR635" s="28"/>
      <c r="AS635" s="28"/>
      <c r="AT635" s="28"/>
      <c r="AU635" s="235"/>
      <c r="AV635" s="360">
        <f t="shared" si="71"/>
        <v>3221886.6868199646</v>
      </c>
      <c r="AW635" s="235"/>
      <c r="AX635" s="355"/>
      <c r="AY635" s="344"/>
      <c r="AZ635" s="14">
        <f t="shared" si="73"/>
        <v>11411.135925615352</v>
      </c>
      <c r="BA635" s="14">
        <f t="shared" si="72"/>
        <v>0.3988714305101051</v>
      </c>
      <c r="BB635" s="14">
        <f t="shared" si="61"/>
        <v>28608.556674570504</v>
      </c>
      <c r="BC635" s="344"/>
      <c r="BD635" s="344"/>
      <c r="BE635" s="344"/>
      <c r="BF635" s="344"/>
      <c r="BG635" s="344"/>
      <c r="BH635" s="344"/>
      <c r="BI635" s="344"/>
      <c r="BJ635" s="344"/>
      <c r="BK635" s="344"/>
      <c r="BL635" s="344"/>
      <c r="BM635" s="344"/>
      <c r="BN635" s="344"/>
      <c r="BO635" s="344"/>
      <c r="BP635" s="344"/>
      <c r="BQ635" s="344"/>
      <c r="BR635" s="344"/>
      <c r="BS635" s="344"/>
      <c r="BT635" s="344"/>
      <c r="BU635" s="344"/>
      <c r="BV635" s="344"/>
      <c r="BW635" s="344"/>
      <c r="BX635" s="344"/>
      <c r="BY635" s="344"/>
      <c r="BZ635" s="344"/>
      <c r="CA635" s="344"/>
      <c r="CB635" s="28"/>
      <c r="CC635" s="28"/>
      <c r="CD635" s="28"/>
      <c r="CE635" s="28"/>
      <c r="CF635" s="28"/>
      <c r="CG635" s="28"/>
      <c r="CH635" s="28"/>
      <c r="CI635" s="28"/>
      <c r="CJ635" s="28"/>
      <c r="CK635" s="28"/>
      <c r="CL635" s="28"/>
      <c r="CM635" s="28"/>
      <c r="CN635" s="28"/>
      <c r="CO635" s="28"/>
      <c r="CP635" s="28"/>
      <c r="CQ635" s="28"/>
      <c r="CR635" s="28"/>
      <c r="CS635" s="28"/>
      <c r="CT635" s="28"/>
      <c r="CU635" s="28"/>
      <c r="CV635" s="28"/>
      <c r="CW635" s="28"/>
    </row>
    <row r="636" spans="1:101" ht="14.25" customHeight="1" x14ac:dyDescent="0.2">
      <c r="A636" s="328"/>
      <c r="B636" s="52">
        <v>0.19813698614745956</v>
      </c>
      <c r="C636" s="330">
        <v>0.40134299678695451</v>
      </c>
      <c r="D636" s="330">
        <v>1.4408549470567689E-2</v>
      </c>
      <c r="E636" s="330">
        <v>4.0932775514206265E-2</v>
      </c>
      <c r="F636" s="331">
        <v>0.76984226471338757</v>
      </c>
      <c r="G636" s="94">
        <v>0.393691621476007</v>
      </c>
      <c r="H636" s="330">
        <v>1.8181000928614546E-2</v>
      </c>
      <c r="I636" s="330">
        <v>2.0400970649775751E-2</v>
      </c>
      <c r="J636" s="330">
        <v>1</v>
      </c>
      <c r="K636" s="330">
        <v>0.76860322414377324</v>
      </c>
      <c r="L636" s="332">
        <v>12829.729435841196</v>
      </c>
      <c r="M636" s="330">
        <v>0</v>
      </c>
      <c r="N636" s="330">
        <v>13808.899473865096</v>
      </c>
      <c r="O636" s="330">
        <v>1113.4216870282471</v>
      </c>
      <c r="P636" s="330">
        <v>60882.436425237422</v>
      </c>
      <c r="Q636" s="333">
        <v>91421.178299209292</v>
      </c>
      <c r="R636" s="330">
        <v>16685.439676845333</v>
      </c>
      <c r="S636" s="330">
        <v>8270.7470461261637</v>
      </c>
      <c r="T636" s="332">
        <v>0.88637650372488064</v>
      </c>
      <c r="U636" s="330">
        <v>0.89264241572319403</v>
      </c>
      <c r="V636" s="330">
        <v>0.99924494944656894</v>
      </c>
      <c r="W636" s="330">
        <v>0.52560481539251735</v>
      </c>
      <c r="X636" s="330">
        <v>0.99997605324339545</v>
      </c>
      <c r="Y636" s="330">
        <v>0</v>
      </c>
      <c r="Z636" s="331">
        <v>0</v>
      </c>
      <c r="AA636" s="235"/>
      <c r="AB636" s="335">
        <v>82974.484673423722</v>
      </c>
      <c r="AC636" s="336">
        <v>4.9094044467818376</v>
      </c>
      <c r="AD636" s="337">
        <v>70160.896374853794</v>
      </c>
      <c r="AE636" s="336">
        <v>5.0285592491908684</v>
      </c>
      <c r="AF636" s="337">
        <v>12813.588298569928</v>
      </c>
      <c r="AG636" s="338">
        <v>-0.11915480240903076</v>
      </c>
      <c r="AH636" s="235"/>
      <c r="AI636" s="208">
        <f t="shared" si="68"/>
        <v>4580959.7397693219</v>
      </c>
      <c r="AJ636" s="208">
        <f t="shared" si="69"/>
        <v>4706970.3903564718</v>
      </c>
      <c r="AK636" s="208">
        <f t="shared" si="70"/>
        <v>-126010.65058714915</v>
      </c>
      <c r="AL636" s="235"/>
      <c r="AM636" s="52">
        <f t="shared" si="58"/>
        <v>0</v>
      </c>
      <c r="AN636" s="52">
        <f t="shared" si="59"/>
        <v>1</v>
      </c>
      <c r="AO636" s="52">
        <f t="shared" si="60"/>
        <v>0</v>
      </c>
      <c r="AP636" s="235"/>
      <c r="AQ636" s="28"/>
      <c r="AR636" s="28"/>
      <c r="AS636" s="28"/>
      <c r="AT636" s="28"/>
      <c r="AU636" s="235"/>
      <c r="AV636" s="360">
        <f t="shared" si="71"/>
        <v>4706970.3903564718</v>
      </c>
      <c r="AW636" s="235"/>
      <c r="AX636" s="355"/>
      <c r="AY636" s="344"/>
      <c r="AZ636" s="14">
        <f t="shared" si="73"/>
        <v>12813.588298569928</v>
      </c>
      <c r="BA636" s="14">
        <f t="shared" si="72"/>
        <v>-0.11915480240903076</v>
      </c>
      <c r="BB636" s="14">
        <f t="shared" si="61"/>
        <v>-107537.321530557</v>
      </c>
      <c r="BC636" s="344"/>
      <c r="BD636" s="344"/>
      <c r="BE636" s="344"/>
      <c r="BF636" s="344"/>
      <c r="BG636" s="344"/>
      <c r="BH636" s="344"/>
      <c r="BI636" s="344"/>
      <c r="BJ636" s="344"/>
      <c r="BK636" s="344"/>
      <c r="BL636" s="344"/>
      <c r="BM636" s="344"/>
      <c r="BN636" s="344"/>
      <c r="BO636" s="344"/>
      <c r="BP636" s="344"/>
      <c r="BQ636" s="344"/>
      <c r="BR636" s="344"/>
      <c r="BS636" s="344"/>
      <c r="BT636" s="344"/>
      <c r="BU636" s="344"/>
      <c r="BV636" s="344"/>
      <c r="BW636" s="344"/>
      <c r="BX636" s="344"/>
      <c r="BY636" s="344"/>
      <c r="BZ636" s="344"/>
      <c r="CA636" s="344"/>
      <c r="CB636" s="28"/>
      <c r="CC636" s="28"/>
      <c r="CD636" s="28"/>
      <c r="CE636" s="28"/>
      <c r="CF636" s="28"/>
      <c r="CG636" s="28"/>
      <c r="CH636" s="28"/>
      <c r="CI636" s="28"/>
      <c r="CJ636" s="28"/>
      <c r="CK636" s="28"/>
      <c r="CL636" s="28"/>
      <c r="CM636" s="28"/>
      <c r="CN636" s="28"/>
      <c r="CO636" s="28"/>
      <c r="CP636" s="28"/>
      <c r="CQ636" s="28"/>
      <c r="CR636" s="28"/>
      <c r="CS636" s="28"/>
      <c r="CT636" s="28"/>
      <c r="CU636" s="28"/>
      <c r="CV636" s="28"/>
      <c r="CW636" s="28"/>
    </row>
    <row r="637" spans="1:101" ht="14.25" customHeight="1" x14ac:dyDescent="0.2">
      <c r="A637" s="328"/>
      <c r="B637" s="52">
        <v>0.17329216421113414</v>
      </c>
      <c r="C637" s="330">
        <v>0.50539482840840555</v>
      </c>
      <c r="D637" s="330">
        <v>1.6700705558534423E-2</v>
      </c>
      <c r="E637" s="330">
        <v>4.2142173599849508E-2</v>
      </c>
      <c r="F637" s="331">
        <v>0.7870295733861723</v>
      </c>
      <c r="G637" s="94">
        <v>0.42794757990504184</v>
      </c>
      <c r="H637" s="330">
        <v>0.18370094763849323</v>
      </c>
      <c r="I637" s="330">
        <v>3.6717204048131502E-2</v>
      </c>
      <c r="J637" s="330">
        <v>0.99990496272637064</v>
      </c>
      <c r="K637" s="330">
        <v>0.80518346294677712</v>
      </c>
      <c r="L637" s="332">
        <v>11412.638470943484</v>
      </c>
      <c r="M637" s="330">
        <v>0</v>
      </c>
      <c r="N637" s="330">
        <v>22592.503820573897</v>
      </c>
      <c r="O637" s="330">
        <v>1124.885519213339</v>
      </c>
      <c r="P637" s="330">
        <v>57124.991055682905</v>
      </c>
      <c r="Q637" s="333">
        <v>94738.106937300981</v>
      </c>
      <c r="R637" s="330">
        <v>23784.541547529225</v>
      </c>
      <c r="S637" s="330">
        <v>9973.6628819727102</v>
      </c>
      <c r="T637" s="332">
        <v>0.99992847878861135</v>
      </c>
      <c r="U637" s="330">
        <v>0.4033873359289975</v>
      </c>
      <c r="V637" s="330">
        <v>0.51769328926365843</v>
      </c>
      <c r="W637" s="330">
        <v>0.4349896686485305</v>
      </c>
      <c r="X637" s="330">
        <v>0.955520563114997</v>
      </c>
      <c r="Y637" s="330">
        <v>0</v>
      </c>
      <c r="Z637" s="331">
        <v>0</v>
      </c>
      <c r="AA637" s="235"/>
      <c r="AB637" s="335">
        <v>98210.075489121315</v>
      </c>
      <c r="AC637" s="336">
        <v>4.7016213761367363</v>
      </c>
      <c r="AD637" s="337">
        <v>91391.064133209351</v>
      </c>
      <c r="AE637" s="336">
        <v>4.7584325581881579</v>
      </c>
      <c r="AF637" s="337">
        <v>6819.0113559119636</v>
      </c>
      <c r="AG637" s="338">
        <v>-5.681118205142166E-2</v>
      </c>
      <c r="AH637" s="235"/>
      <c r="AI637" s="208">
        <f t="shared" si="68"/>
        <v>4368330.2318407781</v>
      </c>
      <c r="AJ637" s="208">
        <f t="shared" si="69"/>
        <v>4429119.866145541</v>
      </c>
      <c r="AK637" s="208">
        <f t="shared" si="70"/>
        <v>-60789.634304762541</v>
      </c>
      <c r="AL637" s="235"/>
      <c r="AM637" s="52">
        <f t="shared" si="58"/>
        <v>0</v>
      </c>
      <c r="AN637" s="52">
        <f t="shared" si="59"/>
        <v>1</v>
      </c>
      <c r="AO637" s="52">
        <f t="shared" si="60"/>
        <v>0</v>
      </c>
      <c r="AP637" s="235"/>
      <c r="AQ637" s="28"/>
      <c r="AR637" s="28"/>
      <c r="AS637" s="28"/>
      <c r="AT637" s="28"/>
      <c r="AU637" s="235"/>
      <c r="AV637" s="360">
        <f t="shared" si="71"/>
        <v>4429119.866145541</v>
      </c>
      <c r="AW637" s="235"/>
      <c r="AX637" s="355"/>
      <c r="AY637" s="344"/>
      <c r="AZ637" s="14">
        <f t="shared" si="73"/>
        <v>6819.0113559119636</v>
      </c>
      <c r="BA637" s="14">
        <f t="shared" si="72"/>
        <v>-5.681118205142166E-2</v>
      </c>
      <c r="BB637" s="14">
        <f t="shared" si="61"/>
        <v>-120029.38699180477</v>
      </c>
      <c r="BC637" s="344"/>
      <c r="BD637" s="344"/>
      <c r="BE637" s="344"/>
      <c r="BF637" s="344"/>
      <c r="BG637" s="344"/>
      <c r="BH637" s="344"/>
      <c r="BI637" s="344"/>
      <c r="BJ637" s="344"/>
      <c r="BK637" s="344"/>
      <c r="BL637" s="344"/>
      <c r="BM637" s="344"/>
      <c r="BN637" s="344"/>
      <c r="BO637" s="344"/>
      <c r="BP637" s="344"/>
      <c r="BQ637" s="344"/>
      <c r="BR637" s="344"/>
      <c r="BS637" s="344"/>
      <c r="BT637" s="344"/>
      <c r="BU637" s="344"/>
      <c r="BV637" s="344"/>
      <c r="BW637" s="344"/>
      <c r="BX637" s="344"/>
      <c r="BY637" s="344"/>
      <c r="BZ637" s="344"/>
      <c r="CA637" s="344"/>
      <c r="CB637" s="28"/>
      <c r="CC637" s="28"/>
      <c r="CD637" s="28"/>
      <c r="CE637" s="28"/>
      <c r="CF637" s="28"/>
      <c r="CG637" s="28"/>
      <c r="CH637" s="28"/>
      <c r="CI637" s="28"/>
      <c r="CJ637" s="28"/>
      <c r="CK637" s="28"/>
      <c r="CL637" s="28"/>
      <c r="CM637" s="28"/>
      <c r="CN637" s="28"/>
      <c r="CO637" s="28"/>
      <c r="CP637" s="28"/>
      <c r="CQ637" s="28"/>
      <c r="CR637" s="28"/>
      <c r="CS637" s="28"/>
      <c r="CT637" s="28"/>
      <c r="CU637" s="28"/>
      <c r="CV637" s="28"/>
      <c r="CW637" s="28"/>
    </row>
    <row r="638" spans="1:101" ht="14.25" customHeight="1" x14ac:dyDescent="0.2">
      <c r="A638" s="328"/>
      <c r="B638" s="52">
        <v>0.16988852938634735</v>
      </c>
      <c r="C638" s="330">
        <v>1.647935572731251E-2</v>
      </c>
      <c r="D638" s="330">
        <v>8.7339309594291134E-3</v>
      </c>
      <c r="E638" s="330">
        <v>1.3788475225262982E-2</v>
      </c>
      <c r="F638" s="331">
        <v>0.77427851546820248</v>
      </c>
      <c r="G638" s="94">
        <v>0.39742866084431872</v>
      </c>
      <c r="H638" s="330">
        <v>0.33562397009880385</v>
      </c>
      <c r="I638" s="330">
        <v>2.1680436576402951E-2</v>
      </c>
      <c r="J638" s="330">
        <v>1</v>
      </c>
      <c r="K638" s="330">
        <v>0.75132654787976261</v>
      </c>
      <c r="L638" s="332">
        <v>13938.072150345612</v>
      </c>
      <c r="M638" s="330">
        <v>0</v>
      </c>
      <c r="N638" s="330">
        <v>17641.83714545866</v>
      </c>
      <c r="O638" s="330">
        <v>1088.5069984553515</v>
      </c>
      <c r="P638" s="330">
        <v>43517.960590357143</v>
      </c>
      <c r="Q638" s="333">
        <v>154332.61956813568</v>
      </c>
      <c r="R638" s="330">
        <v>18888.403742909668</v>
      </c>
      <c r="S638" s="330">
        <v>7545.9060902246356</v>
      </c>
      <c r="T638" s="332">
        <v>0.29274091217985471</v>
      </c>
      <c r="U638" s="330">
        <v>0.51162624298087045</v>
      </c>
      <c r="V638" s="330">
        <v>0.55295975489855675</v>
      </c>
      <c r="W638" s="330">
        <v>9.8109836228194164E-2</v>
      </c>
      <c r="X638" s="330">
        <v>0.7548728812465374</v>
      </c>
      <c r="Y638" s="330">
        <v>0</v>
      </c>
      <c r="Z638" s="331">
        <v>0</v>
      </c>
      <c r="AA638" s="235"/>
      <c r="AB638" s="335">
        <v>77104.772791358177</v>
      </c>
      <c r="AC638" s="336">
        <v>3.5322967592716537</v>
      </c>
      <c r="AD638" s="337">
        <v>65596.964496099376</v>
      </c>
      <c r="AE638" s="336">
        <v>3.5531411249435085</v>
      </c>
      <c r="AF638" s="337">
        <v>11507.808295258801</v>
      </c>
      <c r="AG638" s="338">
        <v>-2.0844365671854881E-2</v>
      </c>
      <c r="AH638" s="235"/>
      <c r="AI638" s="208">
        <f t="shared" si="68"/>
        <v>3278577.1485167127</v>
      </c>
      <c r="AJ638" s="208">
        <f t="shared" si="69"/>
        <v>3309887.1042002337</v>
      </c>
      <c r="AK638" s="208">
        <f t="shared" si="70"/>
        <v>-31309.955683520937</v>
      </c>
      <c r="AL638" s="235"/>
      <c r="AM638" s="52">
        <f t="shared" si="58"/>
        <v>0</v>
      </c>
      <c r="AN638" s="52">
        <f t="shared" si="59"/>
        <v>1</v>
      </c>
      <c r="AO638" s="52">
        <f t="shared" si="60"/>
        <v>0</v>
      </c>
      <c r="AP638" s="235"/>
      <c r="AQ638" s="28"/>
      <c r="AR638" s="28"/>
      <c r="AS638" s="28"/>
      <c r="AT638" s="28"/>
      <c r="AU638" s="235"/>
      <c r="AV638" s="360">
        <f t="shared" si="71"/>
        <v>3309887.1042002337</v>
      </c>
      <c r="AW638" s="235"/>
      <c r="AX638" s="355"/>
      <c r="AY638" s="344"/>
      <c r="AZ638" s="14">
        <f t="shared" si="73"/>
        <v>11507.808295258801</v>
      </c>
      <c r="BA638" s="14">
        <f t="shared" si="72"/>
        <v>-2.0844365671854881E-2</v>
      </c>
      <c r="BB638" s="14">
        <f t="shared" si="61"/>
        <v>-552082.44167378172</v>
      </c>
      <c r="BC638" s="344"/>
      <c r="BD638" s="344"/>
      <c r="BE638" s="344"/>
      <c r="BF638" s="344"/>
      <c r="BG638" s="344"/>
      <c r="BH638" s="344"/>
      <c r="BI638" s="344"/>
      <c r="BJ638" s="344"/>
      <c r="BK638" s="344"/>
      <c r="BL638" s="344"/>
      <c r="BM638" s="344"/>
      <c r="BN638" s="344"/>
      <c r="BO638" s="344"/>
      <c r="BP638" s="344"/>
      <c r="BQ638" s="344"/>
      <c r="BR638" s="344"/>
      <c r="BS638" s="344"/>
      <c r="BT638" s="344"/>
      <c r="BU638" s="344"/>
      <c r="BV638" s="344"/>
      <c r="BW638" s="344"/>
      <c r="BX638" s="344"/>
      <c r="BY638" s="344"/>
      <c r="BZ638" s="344"/>
      <c r="CA638" s="344"/>
      <c r="CB638" s="28"/>
      <c r="CC638" s="28"/>
      <c r="CD638" s="28"/>
      <c r="CE638" s="28"/>
      <c r="CF638" s="28"/>
      <c r="CG638" s="28"/>
      <c r="CH638" s="28"/>
      <c r="CI638" s="28"/>
      <c r="CJ638" s="28"/>
      <c r="CK638" s="28"/>
      <c r="CL638" s="28"/>
      <c r="CM638" s="28"/>
      <c r="CN638" s="28"/>
      <c r="CO638" s="28"/>
      <c r="CP638" s="28"/>
      <c r="CQ638" s="28"/>
      <c r="CR638" s="28"/>
      <c r="CS638" s="28"/>
      <c r="CT638" s="28"/>
      <c r="CU638" s="28"/>
      <c r="CV638" s="28"/>
      <c r="CW638" s="28"/>
    </row>
    <row r="639" spans="1:101" ht="14.25" customHeight="1" x14ac:dyDescent="0.2">
      <c r="A639" s="328"/>
      <c r="B639" s="52">
        <v>0.19244928743846057</v>
      </c>
      <c r="C639" s="330">
        <v>0.54470176710978024</v>
      </c>
      <c r="D639" s="330">
        <v>6.4705021270819191E-3</v>
      </c>
      <c r="E639" s="330">
        <v>1.8622706677551171E-2</v>
      </c>
      <c r="F639" s="331">
        <v>0.80584982859830911</v>
      </c>
      <c r="G639" s="94">
        <v>0.4831103534407819</v>
      </c>
      <c r="H639" s="330">
        <v>2.0738823996489249E-2</v>
      </c>
      <c r="I639" s="330">
        <v>2.9652160932551408E-2</v>
      </c>
      <c r="J639" s="330">
        <v>1</v>
      </c>
      <c r="K639" s="330">
        <v>0.75052756963720246</v>
      </c>
      <c r="L639" s="332">
        <v>9445.1320231940917</v>
      </c>
      <c r="M639" s="330">
        <v>0</v>
      </c>
      <c r="N639" s="330">
        <v>17666.285632813473</v>
      </c>
      <c r="O639" s="330">
        <v>1378.9498086224391</v>
      </c>
      <c r="P639" s="330">
        <v>51110.931510401591</v>
      </c>
      <c r="Q639" s="333">
        <v>68790.855169833172</v>
      </c>
      <c r="R639" s="330">
        <v>20076.417013973289</v>
      </c>
      <c r="S639" s="330">
        <v>13017.001468566115</v>
      </c>
      <c r="T639" s="332">
        <v>0.90604177675298647</v>
      </c>
      <c r="U639" s="330">
        <v>0.98679127321189308</v>
      </c>
      <c r="V639" s="330">
        <v>0.98375833104923505</v>
      </c>
      <c r="W639" s="330">
        <v>0.83756058693769508</v>
      </c>
      <c r="X639" s="330">
        <v>0.76637683996767536</v>
      </c>
      <c r="Y639" s="330">
        <v>0</v>
      </c>
      <c r="Z639" s="331">
        <v>0</v>
      </c>
      <c r="AA639" s="235"/>
      <c r="AB639" s="335">
        <v>124470.24227290186</v>
      </c>
      <c r="AC639" s="336">
        <v>3.7443111371463438</v>
      </c>
      <c r="AD639" s="337">
        <v>107828.7596645236</v>
      </c>
      <c r="AE639" s="336">
        <v>3.483200419982095</v>
      </c>
      <c r="AF639" s="337">
        <v>16641.482608378254</v>
      </c>
      <c r="AG639" s="338">
        <v>0.26111071716424883</v>
      </c>
      <c r="AH639" s="235"/>
      <c r="AI639" s="208">
        <f t="shared" si="68"/>
        <v>3432625.3380161249</v>
      </c>
      <c r="AJ639" s="208">
        <f t="shared" si="69"/>
        <v>3201211.6393184667</v>
      </c>
      <c r="AK639" s="208">
        <f t="shared" si="70"/>
        <v>231413.69869765814</v>
      </c>
      <c r="AL639" s="235"/>
      <c r="AM639" s="52">
        <f t="shared" si="58"/>
        <v>1</v>
      </c>
      <c r="AN639" s="52">
        <f t="shared" si="59"/>
        <v>0</v>
      </c>
      <c r="AO639" s="52">
        <f t="shared" si="60"/>
        <v>1</v>
      </c>
      <c r="AP639" s="235"/>
      <c r="AQ639" s="28"/>
      <c r="AR639" s="28"/>
      <c r="AS639" s="28"/>
      <c r="AT639" s="28"/>
      <c r="AU639" s="235"/>
      <c r="AV639" s="360">
        <f t="shared" si="71"/>
        <v>3432625.3380161249</v>
      </c>
      <c r="AW639" s="235"/>
      <c r="AX639" s="355"/>
      <c r="AY639" s="344"/>
      <c r="AZ639" s="14">
        <f t="shared" si="73"/>
        <v>16641.482608378254</v>
      </c>
      <c r="BA639" s="14">
        <f t="shared" si="72"/>
        <v>0.26111071716424883</v>
      </c>
      <c r="BB639" s="14">
        <f t="shared" si="61"/>
        <v>63733.43380582158</v>
      </c>
      <c r="BC639" s="344"/>
      <c r="BD639" s="344"/>
      <c r="BE639" s="344"/>
      <c r="BF639" s="344"/>
      <c r="BG639" s="344"/>
      <c r="BH639" s="344"/>
      <c r="BI639" s="344"/>
      <c r="BJ639" s="344"/>
      <c r="BK639" s="344"/>
      <c r="BL639" s="344"/>
      <c r="BM639" s="344"/>
      <c r="BN639" s="344"/>
      <c r="BO639" s="344"/>
      <c r="BP639" s="344"/>
      <c r="BQ639" s="344"/>
      <c r="BR639" s="344"/>
      <c r="BS639" s="344"/>
      <c r="BT639" s="344"/>
      <c r="BU639" s="344"/>
      <c r="BV639" s="344"/>
      <c r="BW639" s="344"/>
      <c r="BX639" s="344"/>
      <c r="BY639" s="344"/>
      <c r="BZ639" s="344"/>
      <c r="CA639" s="344"/>
      <c r="CB639" s="28"/>
      <c r="CC639" s="28"/>
      <c r="CD639" s="28"/>
      <c r="CE639" s="28"/>
      <c r="CF639" s="28"/>
      <c r="CG639" s="28"/>
      <c r="CH639" s="28"/>
      <c r="CI639" s="28"/>
      <c r="CJ639" s="28"/>
      <c r="CK639" s="28"/>
      <c r="CL639" s="28"/>
      <c r="CM639" s="28"/>
      <c r="CN639" s="28"/>
      <c r="CO639" s="28"/>
      <c r="CP639" s="28"/>
      <c r="CQ639" s="28"/>
      <c r="CR639" s="28"/>
      <c r="CS639" s="28"/>
      <c r="CT639" s="28"/>
      <c r="CU639" s="28"/>
      <c r="CV639" s="28"/>
      <c r="CW639" s="28"/>
    </row>
    <row r="640" spans="1:101" ht="14.25" customHeight="1" x14ac:dyDescent="0.2">
      <c r="A640" s="328"/>
      <c r="B640" s="52">
        <v>0.15002892856677175</v>
      </c>
      <c r="C640" s="330">
        <v>0.92549030479524852</v>
      </c>
      <c r="D640" s="330">
        <v>1.3842529694978841E-2</v>
      </c>
      <c r="E640" s="330">
        <v>1.8314413671355223E-2</v>
      </c>
      <c r="F640" s="331">
        <v>0.78182790786237699</v>
      </c>
      <c r="G640" s="94">
        <v>0.42958489023591639</v>
      </c>
      <c r="H640" s="330">
        <v>0.80451861102369426</v>
      </c>
      <c r="I640" s="330">
        <v>7.6650095491234849E-3</v>
      </c>
      <c r="J640" s="330">
        <v>0.47840636692910549</v>
      </c>
      <c r="K640" s="330">
        <v>0.72935403685560529</v>
      </c>
      <c r="L640" s="332">
        <v>12479.805859610791</v>
      </c>
      <c r="M640" s="330">
        <v>0</v>
      </c>
      <c r="N640" s="330">
        <v>13301.862811093628</v>
      </c>
      <c r="O640" s="330">
        <v>1610.5615098869168</v>
      </c>
      <c r="P640" s="330">
        <v>41788.514838752359</v>
      </c>
      <c r="Q640" s="333">
        <v>77171.367633673872</v>
      </c>
      <c r="R640" s="330">
        <v>18051.811652810393</v>
      </c>
      <c r="S640" s="330">
        <v>7847.5279734020105</v>
      </c>
      <c r="T640" s="332">
        <v>0.99898645496104765</v>
      </c>
      <c r="U640" s="330">
        <v>0.49861903691172571</v>
      </c>
      <c r="V640" s="330">
        <v>0.99998859876997037</v>
      </c>
      <c r="W640" s="330">
        <v>0.35376271625919065</v>
      </c>
      <c r="X640" s="330">
        <v>0.6190481633859104</v>
      </c>
      <c r="Y640" s="330">
        <v>0</v>
      </c>
      <c r="Z640" s="331">
        <v>0</v>
      </c>
      <c r="AA640" s="235"/>
      <c r="AB640" s="335">
        <v>81230.871891636372</v>
      </c>
      <c r="AC640" s="336">
        <v>3.0317798930418838</v>
      </c>
      <c r="AD640" s="337">
        <v>68700.380024027545</v>
      </c>
      <c r="AE640" s="336">
        <v>2.8649570221668856</v>
      </c>
      <c r="AF640" s="337">
        <v>12530.491867608827</v>
      </c>
      <c r="AG640" s="338">
        <v>0.16682287087499814</v>
      </c>
      <c r="AH640" s="235"/>
      <c r="AI640" s="208">
        <f t="shared" si="68"/>
        <v>2798960.0264981533</v>
      </c>
      <c r="AJ640" s="208">
        <f t="shared" si="69"/>
        <v>2653008.7910345136</v>
      </c>
      <c r="AK640" s="208">
        <f t="shared" si="70"/>
        <v>145951.2354636394</v>
      </c>
      <c r="AL640" s="235"/>
      <c r="AM640" s="52">
        <f t="shared" si="58"/>
        <v>1</v>
      </c>
      <c r="AN640" s="52">
        <f t="shared" si="59"/>
        <v>0</v>
      </c>
      <c r="AO640" s="52">
        <f t="shared" si="60"/>
        <v>1</v>
      </c>
      <c r="AP640" s="235"/>
      <c r="AQ640" s="28"/>
      <c r="AR640" s="28"/>
      <c r="AS640" s="28"/>
      <c r="AT640" s="28"/>
      <c r="AU640" s="235"/>
      <c r="AV640" s="360">
        <f t="shared" si="71"/>
        <v>2798960.0264981533</v>
      </c>
      <c r="AW640" s="235"/>
      <c r="AX640" s="355"/>
      <c r="AY640" s="344"/>
      <c r="AZ640" s="14">
        <f t="shared" si="73"/>
        <v>12530.491867608827</v>
      </c>
      <c r="BA640" s="14">
        <f t="shared" si="72"/>
        <v>0.16682287087499814</v>
      </c>
      <c r="BB640" s="14">
        <f t="shared" si="61"/>
        <v>75112.55382361832</v>
      </c>
      <c r="BC640" s="344"/>
      <c r="BD640" s="344"/>
      <c r="BE640" s="344"/>
      <c r="BF640" s="344"/>
      <c r="BG640" s="344"/>
      <c r="BH640" s="344"/>
      <c r="BI640" s="344"/>
      <c r="BJ640" s="344"/>
      <c r="BK640" s="344"/>
      <c r="BL640" s="344"/>
      <c r="BM640" s="344"/>
      <c r="BN640" s="344"/>
      <c r="BO640" s="344"/>
      <c r="BP640" s="344"/>
      <c r="BQ640" s="344"/>
      <c r="BR640" s="344"/>
      <c r="BS640" s="344"/>
      <c r="BT640" s="344"/>
      <c r="BU640" s="344"/>
      <c r="BV640" s="344"/>
      <c r="BW640" s="344"/>
      <c r="BX640" s="344"/>
      <c r="BY640" s="344"/>
      <c r="BZ640" s="344"/>
      <c r="CA640" s="344"/>
      <c r="CB640" s="28"/>
      <c r="CC640" s="28"/>
      <c r="CD640" s="28"/>
      <c r="CE640" s="28"/>
      <c r="CF640" s="28"/>
      <c r="CG640" s="28"/>
      <c r="CH640" s="28"/>
      <c r="CI640" s="28"/>
      <c r="CJ640" s="28"/>
      <c r="CK640" s="28"/>
      <c r="CL640" s="28"/>
      <c r="CM640" s="28"/>
      <c r="CN640" s="28"/>
      <c r="CO640" s="28"/>
      <c r="CP640" s="28"/>
      <c r="CQ640" s="28"/>
      <c r="CR640" s="28"/>
      <c r="CS640" s="28"/>
      <c r="CT640" s="28"/>
      <c r="CU640" s="28"/>
      <c r="CV640" s="28"/>
      <c r="CW640" s="28"/>
    </row>
    <row r="641" spans="1:101" ht="14.25" customHeight="1" x14ac:dyDescent="0.2">
      <c r="A641" s="328"/>
      <c r="B641" s="52">
        <v>0.13042465665892064</v>
      </c>
      <c r="C641" s="330">
        <v>0.15392433268804445</v>
      </c>
      <c r="D641" s="330">
        <v>1.2531303072663969E-2</v>
      </c>
      <c r="E641" s="330">
        <v>1.8928989846366262E-2</v>
      </c>
      <c r="F641" s="331">
        <v>0.76694203240423608</v>
      </c>
      <c r="G641" s="94">
        <v>0.42788695080150707</v>
      </c>
      <c r="H641" s="330">
        <v>0.80738598284452467</v>
      </c>
      <c r="I641" s="330">
        <v>2.4266787485881181E-2</v>
      </c>
      <c r="J641" s="330">
        <v>1</v>
      </c>
      <c r="K641" s="330">
        <v>0.73307544850335271</v>
      </c>
      <c r="L641" s="332">
        <v>11931.232526305206</v>
      </c>
      <c r="M641" s="330">
        <v>0</v>
      </c>
      <c r="N641" s="330">
        <v>16719.152574428033</v>
      </c>
      <c r="O641" s="330">
        <v>1482.7582179188744</v>
      </c>
      <c r="P641" s="330">
        <v>54353.072338108592</v>
      </c>
      <c r="Q641" s="333">
        <v>101080.79088946422</v>
      </c>
      <c r="R641" s="330">
        <v>23664.500738415794</v>
      </c>
      <c r="S641" s="330">
        <v>8300.9393495114437</v>
      </c>
      <c r="T641" s="332">
        <v>0.9566869082193038</v>
      </c>
      <c r="U641" s="330">
        <v>0.99822004733927394</v>
      </c>
      <c r="V641" s="330">
        <v>0.96128130632354725</v>
      </c>
      <c r="W641" s="330">
        <v>0.87047498313738403</v>
      </c>
      <c r="X641" s="330">
        <v>0.98105438282452906</v>
      </c>
      <c r="Y641" s="330">
        <v>0</v>
      </c>
      <c r="Z641" s="331">
        <v>0</v>
      </c>
      <c r="AA641" s="235"/>
      <c r="AB641" s="335">
        <v>81085.761768139186</v>
      </c>
      <c r="AC641" s="336">
        <v>5.0433558364450315</v>
      </c>
      <c r="AD641" s="337">
        <v>75738.646862641806</v>
      </c>
      <c r="AE641" s="336">
        <v>4.3870842542351038</v>
      </c>
      <c r="AF641" s="337">
        <v>5347.1149054973794</v>
      </c>
      <c r="AG641" s="338">
        <v>0.65627158220992765</v>
      </c>
      <c r="AH641" s="235"/>
      <c r="AI641" s="208">
        <f t="shared" si="68"/>
        <v>4710102.2828546409</v>
      </c>
      <c r="AJ641" s="208">
        <f t="shared" si="69"/>
        <v>4091991.3946607066</v>
      </c>
      <c r="AK641" s="208">
        <f t="shared" si="70"/>
        <v>618110.88819393388</v>
      </c>
      <c r="AL641" s="235"/>
      <c r="AM641" s="52">
        <f t="shared" si="58"/>
        <v>1</v>
      </c>
      <c r="AN641" s="52">
        <f t="shared" si="59"/>
        <v>0</v>
      </c>
      <c r="AO641" s="52">
        <f t="shared" si="60"/>
        <v>1</v>
      </c>
      <c r="AP641" s="235"/>
      <c r="AQ641" s="28"/>
      <c r="AR641" s="28"/>
      <c r="AS641" s="28"/>
      <c r="AT641" s="28"/>
      <c r="AU641" s="235"/>
      <c r="AV641" s="360">
        <f t="shared" si="71"/>
        <v>4710102.2828546409</v>
      </c>
      <c r="AW641" s="235"/>
      <c r="AX641" s="355"/>
      <c r="AY641" s="344"/>
      <c r="AZ641" s="14">
        <f t="shared" si="73"/>
        <v>5347.1149054973794</v>
      </c>
      <c r="BA641" s="14">
        <f t="shared" si="72"/>
        <v>0.65627158220992765</v>
      </c>
      <c r="BB641" s="14">
        <f t="shared" si="61"/>
        <v>8147.7166625004775</v>
      </c>
      <c r="BC641" s="344"/>
      <c r="BD641" s="344"/>
      <c r="BE641" s="344"/>
      <c r="BF641" s="344"/>
      <c r="BG641" s="344"/>
      <c r="BH641" s="344"/>
      <c r="BI641" s="344"/>
      <c r="BJ641" s="344"/>
      <c r="BK641" s="344"/>
      <c r="BL641" s="344"/>
      <c r="BM641" s="344"/>
      <c r="BN641" s="344"/>
      <c r="BO641" s="344"/>
      <c r="BP641" s="344"/>
      <c r="BQ641" s="344"/>
      <c r="BR641" s="344"/>
      <c r="BS641" s="344"/>
      <c r="BT641" s="344"/>
      <c r="BU641" s="344"/>
      <c r="BV641" s="344"/>
      <c r="BW641" s="344"/>
      <c r="BX641" s="344"/>
      <c r="BY641" s="344"/>
      <c r="BZ641" s="344"/>
      <c r="CA641" s="344"/>
      <c r="CB641" s="28"/>
      <c r="CC641" s="28"/>
      <c r="CD641" s="28"/>
      <c r="CE641" s="28"/>
      <c r="CF641" s="28"/>
      <c r="CG641" s="28"/>
      <c r="CH641" s="28"/>
      <c r="CI641" s="28"/>
      <c r="CJ641" s="28"/>
      <c r="CK641" s="28"/>
      <c r="CL641" s="28"/>
      <c r="CM641" s="28"/>
      <c r="CN641" s="28"/>
      <c r="CO641" s="28"/>
      <c r="CP641" s="28"/>
      <c r="CQ641" s="28"/>
      <c r="CR641" s="28"/>
      <c r="CS641" s="28"/>
      <c r="CT641" s="28"/>
      <c r="CU641" s="28"/>
      <c r="CV641" s="28"/>
      <c r="CW641" s="28"/>
    </row>
    <row r="642" spans="1:101" ht="14.25" customHeight="1" x14ac:dyDescent="0.2">
      <c r="A642" s="328"/>
      <c r="B642" s="52">
        <v>0.20624784756166259</v>
      </c>
      <c r="C642" s="330">
        <v>0.35294973875128532</v>
      </c>
      <c r="D642" s="330">
        <v>1.044373800084585E-2</v>
      </c>
      <c r="E642" s="330">
        <v>1.1055222809538927E-2</v>
      </c>
      <c r="F642" s="331">
        <v>0.78902017824847093</v>
      </c>
      <c r="G642" s="94">
        <v>0.5106553794525146</v>
      </c>
      <c r="H642" s="330">
        <v>4.4507613692816764E-2</v>
      </c>
      <c r="I642" s="330">
        <v>2.1272155790269642E-2</v>
      </c>
      <c r="J642" s="330">
        <v>0.99797488129629919</v>
      </c>
      <c r="K642" s="330">
        <v>0.77752943088376769</v>
      </c>
      <c r="L642" s="332">
        <v>11357.996450911609</v>
      </c>
      <c r="M642" s="330">
        <v>0</v>
      </c>
      <c r="N642" s="330">
        <v>19698.504335387439</v>
      </c>
      <c r="O642" s="330">
        <v>913.98724592378937</v>
      </c>
      <c r="P642" s="330">
        <v>54089.409413502726</v>
      </c>
      <c r="Q642" s="333">
        <v>128610.90260359494</v>
      </c>
      <c r="R642" s="330">
        <v>22103.536187599151</v>
      </c>
      <c r="S642" s="330">
        <v>6429.6223977695581</v>
      </c>
      <c r="T642" s="332">
        <v>0.97776898131813672</v>
      </c>
      <c r="U642" s="330">
        <v>0.86039492229413306</v>
      </c>
      <c r="V642" s="330">
        <v>0.59842077998649201</v>
      </c>
      <c r="W642" s="330">
        <v>0.80863683478122439</v>
      </c>
      <c r="X642" s="330">
        <v>0.91586832518412598</v>
      </c>
      <c r="Y642" s="330">
        <v>0</v>
      </c>
      <c r="Z642" s="331">
        <v>0</v>
      </c>
      <c r="AA642" s="235"/>
      <c r="AB642" s="335">
        <v>67874.947604386631</v>
      </c>
      <c r="AC642" s="336">
        <v>4.4680809985828187</v>
      </c>
      <c r="AD642" s="337">
        <v>56887.936903230002</v>
      </c>
      <c r="AE642" s="336">
        <v>4.6750361115424264</v>
      </c>
      <c r="AF642" s="337">
        <v>10987.010701156629</v>
      </c>
      <c r="AG642" s="338">
        <v>-0.20695511295960767</v>
      </c>
      <c r="AH642" s="235"/>
      <c r="AI642" s="208">
        <f t="shared" si="68"/>
        <v>4176802.0010492909</v>
      </c>
      <c r="AJ642" s="208">
        <f t="shared" si="69"/>
        <v>4384396.3690620754</v>
      </c>
      <c r="AK642" s="208">
        <f t="shared" si="70"/>
        <v>-207594.3680127839</v>
      </c>
      <c r="AL642" s="235"/>
      <c r="AM642" s="52">
        <f t="shared" si="58"/>
        <v>0</v>
      </c>
      <c r="AN642" s="52">
        <f t="shared" si="59"/>
        <v>1</v>
      </c>
      <c r="AO642" s="52">
        <f t="shared" si="60"/>
        <v>0</v>
      </c>
      <c r="AP642" s="235"/>
      <c r="AQ642" s="28"/>
      <c r="AR642" s="28"/>
      <c r="AS642" s="28"/>
      <c r="AT642" s="28"/>
      <c r="AU642" s="235"/>
      <c r="AV642" s="360">
        <f t="shared" si="71"/>
        <v>4384396.3690620754</v>
      </c>
      <c r="AW642" s="235"/>
      <c r="AX642" s="355"/>
      <c r="AY642" s="344"/>
      <c r="AZ642" s="14">
        <f t="shared" si="73"/>
        <v>10987.010701156629</v>
      </c>
      <c r="BA642" s="14">
        <f t="shared" si="72"/>
        <v>-0.20695511295960767</v>
      </c>
      <c r="BB642" s="14">
        <f t="shared" si="61"/>
        <v>-53088.858468072794</v>
      </c>
      <c r="BC642" s="344"/>
      <c r="BD642" s="344"/>
      <c r="BE642" s="344"/>
      <c r="BF642" s="344"/>
      <c r="BG642" s="344"/>
      <c r="BH642" s="344"/>
      <c r="BI642" s="344"/>
      <c r="BJ642" s="344"/>
      <c r="BK642" s="344"/>
      <c r="BL642" s="344"/>
      <c r="BM642" s="344"/>
      <c r="BN642" s="344"/>
      <c r="BO642" s="344"/>
      <c r="BP642" s="344"/>
      <c r="BQ642" s="344"/>
      <c r="BR642" s="344"/>
      <c r="BS642" s="344"/>
      <c r="BT642" s="344"/>
      <c r="BU642" s="344"/>
      <c r="BV642" s="344"/>
      <c r="BW642" s="344"/>
      <c r="BX642" s="344"/>
      <c r="BY642" s="344"/>
      <c r="BZ642" s="344"/>
      <c r="CA642" s="344"/>
      <c r="CB642" s="28"/>
      <c r="CC642" s="28"/>
      <c r="CD642" s="28"/>
      <c r="CE642" s="28"/>
      <c r="CF642" s="28"/>
      <c r="CG642" s="28"/>
      <c r="CH642" s="28"/>
      <c r="CI642" s="28"/>
      <c r="CJ642" s="28"/>
      <c r="CK642" s="28"/>
      <c r="CL642" s="28"/>
      <c r="CM642" s="28"/>
      <c r="CN642" s="28"/>
      <c r="CO642" s="28"/>
      <c r="CP642" s="28"/>
      <c r="CQ642" s="28"/>
      <c r="CR642" s="28"/>
      <c r="CS642" s="28"/>
      <c r="CT642" s="28"/>
      <c r="CU642" s="28"/>
      <c r="CV642" s="28"/>
      <c r="CW642" s="28"/>
    </row>
    <row r="643" spans="1:101" ht="14.25" customHeight="1" x14ac:dyDescent="0.2">
      <c r="A643" s="328"/>
      <c r="B643" s="52">
        <v>0.16244484924243074</v>
      </c>
      <c r="C643" s="330">
        <v>0.88458526189563269</v>
      </c>
      <c r="D643" s="330">
        <v>8.7881018961848498E-3</v>
      </c>
      <c r="E643" s="330">
        <v>1.1217444581519419E-2</v>
      </c>
      <c r="F643" s="331">
        <v>0.76687922933313357</v>
      </c>
      <c r="G643" s="94">
        <v>0.40615867558179541</v>
      </c>
      <c r="H643" s="330">
        <v>0.20593567271950489</v>
      </c>
      <c r="I643" s="330">
        <v>3.7280436629825497E-2</v>
      </c>
      <c r="J643" s="330">
        <v>0.99996253912850486</v>
      </c>
      <c r="K643" s="330">
        <v>0.73556947022143537</v>
      </c>
      <c r="L643" s="332">
        <v>10952.136970219584</v>
      </c>
      <c r="M643" s="330">
        <v>0</v>
      </c>
      <c r="N643" s="330">
        <v>26224.099574420899</v>
      </c>
      <c r="O643" s="330">
        <v>1472.5123119711304</v>
      </c>
      <c r="P643" s="330">
        <v>54831.547541067092</v>
      </c>
      <c r="Q643" s="333">
        <v>74886.383043659429</v>
      </c>
      <c r="R643" s="330">
        <v>28618.264024007989</v>
      </c>
      <c r="S643" s="330">
        <v>12766.253330942043</v>
      </c>
      <c r="T643" s="332">
        <v>0.99662564234033135</v>
      </c>
      <c r="U643" s="330">
        <v>0.92929699856698389</v>
      </c>
      <c r="V643" s="330">
        <v>0.98906867510868901</v>
      </c>
      <c r="W643" s="330">
        <v>2.5837576345629096E-2</v>
      </c>
      <c r="X643" s="330">
        <v>0.91810743865164457</v>
      </c>
      <c r="Y643" s="330">
        <v>0</v>
      </c>
      <c r="Z643" s="331">
        <v>0</v>
      </c>
      <c r="AA643" s="235"/>
      <c r="AB643" s="335">
        <v>120472.50961225774</v>
      </c>
      <c r="AC643" s="336">
        <v>4.4063521752109036</v>
      </c>
      <c r="AD643" s="337">
        <v>106418.31595176141</v>
      </c>
      <c r="AE643" s="336">
        <v>4.3689601730291061</v>
      </c>
      <c r="AF643" s="337">
        <v>14054.193660496327</v>
      </c>
      <c r="AG643" s="338">
        <v>3.7392002181797501E-2</v>
      </c>
      <c r="AH643" s="235"/>
      <c r="AI643" s="208">
        <f t="shared" si="68"/>
        <v>4065562.0568381008</v>
      </c>
      <c r="AJ643" s="208">
        <f t="shared" si="69"/>
        <v>4044093.8484258894</v>
      </c>
      <c r="AK643" s="208">
        <f t="shared" si="70"/>
        <v>21468.208412211301</v>
      </c>
      <c r="AL643" s="235"/>
      <c r="AM643" s="52">
        <f t="shared" si="58"/>
        <v>1</v>
      </c>
      <c r="AN643" s="52">
        <f t="shared" si="59"/>
        <v>0</v>
      </c>
      <c r="AO643" s="52">
        <f t="shared" si="60"/>
        <v>1</v>
      </c>
      <c r="AP643" s="235"/>
      <c r="AQ643" s="28"/>
      <c r="AR643" s="28"/>
      <c r="AS643" s="28"/>
      <c r="AT643" s="28"/>
      <c r="AU643" s="235"/>
      <c r="AV643" s="360">
        <f t="shared" si="71"/>
        <v>4065562.0568381008</v>
      </c>
      <c r="AW643" s="235"/>
      <c r="AX643" s="355"/>
      <c r="AY643" s="344"/>
      <c r="AZ643" s="14">
        <f t="shared" si="73"/>
        <v>14054.193660496327</v>
      </c>
      <c r="BA643" s="14">
        <f t="shared" si="72"/>
        <v>3.7392002181797501E-2</v>
      </c>
      <c r="BB643" s="14">
        <f t="shared" si="61"/>
        <v>375860.95529642259</v>
      </c>
      <c r="BC643" s="344"/>
      <c r="BD643" s="344"/>
      <c r="BE643" s="344"/>
      <c r="BF643" s="344"/>
      <c r="BG643" s="344"/>
      <c r="BH643" s="344"/>
      <c r="BI643" s="344"/>
      <c r="BJ643" s="344"/>
      <c r="BK643" s="344"/>
      <c r="BL643" s="344"/>
      <c r="BM643" s="344"/>
      <c r="BN643" s="344"/>
      <c r="BO643" s="344"/>
      <c r="BP643" s="344"/>
      <c r="BQ643" s="344"/>
      <c r="BR643" s="344"/>
      <c r="BS643" s="344"/>
      <c r="BT643" s="344"/>
      <c r="BU643" s="344"/>
      <c r="BV643" s="344"/>
      <c r="BW643" s="344"/>
      <c r="BX643" s="344"/>
      <c r="BY643" s="344"/>
      <c r="BZ643" s="344"/>
      <c r="CA643" s="344"/>
      <c r="CB643" s="28"/>
      <c r="CC643" s="28"/>
      <c r="CD643" s="28"/>
      <c r="CE643" s="28"/>
      <c r="CF643" s="28"/>
      <c r="CG643" s="28"/>
      <c r="CH643" s="28"/>
      <c r="CI643" s="28"/>
      <c r="CJ643" s="28"/>
      <c r="CK643" s="28"/>
      <c r="CL643" s="28"/>
      <c r="CM643" s="28"/>
      <c r="CN643" s="28"/>
      <c r="CO643" s="28"/>
      <c r="CP643" s="28"/>
      <c r="CQ643" s="28"/>
      <c r="CR643" s="28"/>
      <c r="CS643" s="28"/>
      <c r="CT643" s="28"/>
      <c r="CU643" s="28"/>
      <c r="CV643" s="28"/>
      <c r="CW643" s="28"/>
    </row>
    <row r="644" spans="1:101" ht="14.25" customHeight="1" x14ac:dyDescent="0.2">
      <c r="A644" s="328"/>
      <c r="B644" s="52">
        <v>0.19138611931783278</v>
      </c>
      <c r="C644" s="330">
        <v>6.9206261699781488E-2</v>
      </c>
      <c r="D644" s="330">
        <v>1.5704549050533867E-2</v>
      </c>
      <c r="E644" s="330">
        <v>1.4450267645993553E-2</v>
      </c>
      <c r="F644" s="331">
        <v>0.77212293454107772</v>
      </c>
      <c r="G644" s="94">
        <v>0.37972741211540811</v>
      </c>
      <c r="H644" s="330">
        <v>0.88964051862755933</v>
      </c>
      <c r="I644" s="330">
        <v>6.9821793322383573E-3</v>
      </c>
      <c r="J644" s="330">
        <v>1</v>
      </c>
      <c r="K644" s="330">
        <v>0.79733510262911078</v>
      </c>
      <c r="L644" s="332">
        <v>10642.702958122985</v>
      </c>
      <c r="M644" s="330">
        <v>0</v>
      </c>
      <c r="N644" s="330">
        <v>25871.158977945746</v>
      </c>
      <c r="O644" s="330">
        <v>1430.8908451577747</v>
      </c>
      <c r="P644" s="330">
        <v>46052.553057030134</v>
      </c>
      <c r="Q644" s="333">
        <v>95787.98287164385</v>
      </c>
      <c r="R644" s="330">
        <v>21149.778198218715</v>
      </c>
      <c r="S644" s="330">
        <v>8380.1174891403298</v>
      </c>
      <c r="T644" s="332">
        <v>0.99998544488341934</v>
      </c>
      <c r="U644" s="330">
        <v>0.63177313476275665</v>
      </c>
      <c r="V644" s="330">
        <v>0.9986810546266629</v>
      </c>
      <c r="W644" s="330">
        <v>3.9367693239957043E-2</v>
      </c>
      <c r="X644" s="330">
        <v>0.99559483256763337</v>
      </c>
      <c r="Y644" s="330">
        <v>0</v>
      </c>
      <c r="Z644" s="331">
        <v>0</v>
      </c>
      <c r="AA644" s="235"/>
      <c r="AB644" s="335">
        <v>80923.941275126272</v>
      </c>
      <c r="AC644" s="336">
        <v>4.7135077423467493</v>
      </c>
      <c r="AD644" s="337">
        <v>79790.369404741141</v>
      </c>
      <c r="AE644" s="336">
        <v>5.0226380402418567</v>
      </c>
      <c r="AF644" s="337">
        <v>1133.5718703851308</v>
      </c>
      <c r="AG644" s="338">
        <v>-0.30913029789510738</v>
      </c>
      <c r="AH644" s="235"/>
      <c r="AI644" s="208">
        <f t="shared" si="68"/>
        <v>4396908.4139542859</v>
      </c>
      <c r="AJ644" s="208">
        <f t="shared" si="69"/>
        <v>4691715.7688250225</v>
      </c>
      <c r="AK644" s="208">
        <f t="shared" si="70"/>
        <v>-294807.35487073718</v>
      </c>
      <c r="AL644" s="235"/>
      <c r="AM644" s="52">
        <f t="shared" si="58"/>
        <v>0</v>
      </c>
      <c r="AN644" s="52">
        <f t="shared" si="59"/>
        <v>1</v>
      </c>
      <c r="AO644" s="52">
        <f t="shared" si="60"/>
        <v>0</v>
      </c>
      <c r="AP644" s="235"/>
      <c r="AQ644" s="28"/>
      <c r="AR644" s="28"/>
      <c r="AS644" s="28"/>
      <c r="AT644" s="28"/>
      <c r="AU644" s="235"/>
      <c r="AV644" s="360">
        <f t="shared" si="71"/>
        <v>4691715.7688250225</v>
      </c>
      <c r="AW644" s="235"/>
      <c r="AX644" s="355"/>
      <c r="AY644" s="344"/>
      <c r="AZ644" s="14">
        <f t="shared" si="73"/>
        <v>1133.5718703851308</v>
      </c>
      <c r="BA644" s="14">
        <f t="shared" si="72"/>
        <v>-0.30913029789510738</v>
      </c>
      <c r="BB644" s="14">
        <f t="shared" si="61"/>
        <v>-3666.9711060472273</v>
      </c>
      <c r="BC644" s="344"/>
      <c r="BD644" s="344"/>
      <c r="BE644" s="344"/>
      <c r="BF644" s="344"/>
      <c r="BG644" s="344"/>
      <c r="BH644" s="344"/>
      <c r="BI644" s="344"/>
      <c r="BJ644" s="344"/>
      <c r="BK644" s="344"/>
      <c r="BL644" s="344"/>
      <c r="BM644" s="344"/>
      <c r="BN644" s="344"/>
      <c r="BO644" s="344"/>
      <c r="BP644" s="344"/>
      <c r="BQ644" s="344"/>
      <c r="BR644" s="344"/>
      <c r="BS644" s="344"/>
      <c r="BT644" s="344"/>
      <c r="BU644" s="344"/>
      <c r="BV644" s="344"/>
      <c r="BW644" s="344"/>
      <c r="BX644" s="344"/>
      <c r="BY644" s="344"/>
      <c r="BZ644" s="344"/>
      <c r="CA644" s="344"/>
      <c r="CB644" s="28"/>
      <c r="CC644" s="28"/>
      <c r="CD644" s="28"/>
      <c r="CE644" s="28"/>
      <c r="CF644" s="28"/>
      <c r="CG644" s="28"/>
      <c r="CH644" s="28"/>
      <c r="CI644" s="28"/>
      <c r="CJ644" s="28"/>
      <c r="CK644" s="28"/>
      <c r="CL644" s="28"/>
      <c r="CM644" s="28"/>
      <c r="CN644" s="28"/>
      <c r="CO644" s="28"/>
      <c r="CP644" s="28"/>
      <c r="CQ644" s="28"/>
      <c r="CR644" s="28"/>
      <c r="CS644" s="28"/>
      <c r="CT644" s="28"/>
      <c r="CU644" s="28"/>
      <c r="CV644" s="28"/>
      <c r="CW644" s="28"/>
    </row>
    <row r="645" spans="1:101" ht="14.25" customHeight="1" x14ac:dyDescent="0.2">
      <c r="A645" s="328"/>
      <c r="B645" s="52">
        <v>0.13864860422842479</v>
      </c>
      <c r="C645" s="330">
        <v>4.701911173649672E-2</v>
      </c>
      <c r="D645" s="330">
        <v>1.2194634973111348E-2</v>
      </c>
      <c r="E645" s="330">
        <v>1.6391076087823753E-2</v>
      </c>
      <c r="F645" s="331">
        <v>0.78727683062312837</v>
      </c>
      <c r="G645" s="94">
        <v>0.35276252578560968</v>
      </c>
      <c r="H645" s="330">
        <v>9.9880697277362797E-3</v>
      </c>
      <c r="I645" s="330">
        <v>1.6112451863172561E-2</v>
      </c>
      <c r="J645" s="330">
        <v>0.82590443754468879</v>
      </c>
      <c r="K645" s="330">
        <v>0.76517689283972812</v>
      </c>
      <c r="L645" s="332">
        <v>11546.811172204618</v>
      </c>
      <c r="M645" s="330">
        <v>0</v>
      </c>
      <c r="N645" s="330">
        <v>19513.920732545626</v>
      </c>
      <c r="O645" s="330">
        <v>736.89739982643357</v>
      </c>
      <c r="P645" s="330">
        <v>39886.471126974131</v>
      </c>
      <c r="Q645" s="333">
        <v>93415.896907443108</v>
      </c>
      <c r="R645" s="330">
        <v>20416.317675519251</v>
      </c>
      <c r="S645" s="330">
        <v>7174.2716688911278</v>
      </c>
      <c r="T645" s="332">
        <v>0.97618278104549916</v>
      </c>
      <c r="U645" s="330">
        <v>0.99828498918833986</v>
      </c>
      <c r="V645" s="330">
        <v>0.99999547839688585</v>
      </c>
      <c r="W645" s="330">
        <v>0.71658034227981049</v>
      </c>
      <c r="X645" s="330">
        <v>0.57421213141118399</v>
      </c>
      <c r="Y645" s="330">
        <v>0</v>
      </c>
      <c r="Z645" s="331">
        <v>0</v>
      </c>
      <c r="AA645" s="235"/>
      <c r="AB645" s="335">
        <v>72553.142246329313</v>
      </c>
      <c r="AC645" s="336">
        <v>2.8257513500740097</v>
      </c>
      <c r="AD645" s="337">
        <v>60056.017811549536</v>
      </c>
      <c r="AE645" s="336">
        <v>2.8537088570109539</v>
      </c>
      <c r="AF645" s="337">
        <v>12497.124434779776</v>
      </c>
      <c r="AG645" s="338">
        <v>-2.795750693694421E-2</v>
      </c>
      <c r="AH645" s="235"/>
      <c r="AI645" s="208">
        <f t="shared" si="68"/>
        <v>2611910.6403239798</v>
      </c>
      <c r="AJ645" s="208">
        <f t="shared" si="69"/>
        <v>2650967.3963488569</v>
      </c>
      <c r="AK645" s="208">
        <f t="shared" si="70"/>
        <v>-39056.756024876777</v>
      </c>
      <c r="AL645" s="235"/>
      <c r="AM645" s="52">
        <f t="shared" si="58"/>
        <v>0</v>
      </c>
      <c r="AN645" s="52">
        <f t="shared" si="59"/>
        <v>1</v>
      </c>
      <c r="AO645" s="52">
        <f t="shared" si="60"/>
        <v>0</v>
      </c>
      <c r="AP645" s="235"/>
      <c r="AQ645" s="28"/>
      <c r="AR645" s="28"/>
      <c r="AS645" s="28"/>
      <c r="AT645" s="28"/>
      <c r="AU645" s="235"/>
      <c r="AV645" s="360">
        <f t="shared" si="71"/>
        <v>2650967.3963488569</v>
      </c>
      <c r="AW645" s="235"/>
      <c r="AX645" s="355"/>
      <c r="AY645" s="344"/>
      <c r="AZ645" s="14">
        <f t="shared" si="73"/>
        <v>12497.124434779776</v>
      </c>
      <c r="BA645" s="14">
        <f t="shared" si="72"/>
        <v>-2.795750693694421E-2</v>
      </c>
      <c r="BB645" s="14">
        <f t="shared" si="61"/>
        <v>-447004.25052083447</v>
      </c>
      <c r="BC645" s="344"/>
      <c r="BD645" s="344"/>
      <c r="BE645" s="344"/>
      <c r="BF645" s="344"/>
      <c r="BG645" s="344"/>
      <c r="BH645" s="344"/>
      <c r="BI645" s="344"/>
      <c r="BJ645" s="344"/>
      <c r="BK645" s="344"/>
      <c r="BL645" s="344"/>
      <c r="BM645" s="344"/>
      <c r="BN645" s="344"/>
      <c r="BO645" s="344"/>
      <c r="BP645" s="344"/>
      <c r="BQ645" s="344"/>
      <c r="BR645" s="344"/>
      <c r="BS645" s="344"/>
      <c r="BT645" s="344"/>
      <c r="BU645" s="344"/>
      <c r="BV645" s="344"/>
      <c r="BW645" s="344"/>
      <c r="BX645" s="344"/>
      <c r="BY645" s="344"/>
      <c r="BZ645" s="344"/>
      <c r="CA645" s="344"/>
      <c r="CB645" s="28"/>
      <c r="CC645" s="28"/>
      <c r="CD645" s="28"/>
      <c r="CE645" s="28"/>
      <c r="CF645" s="28"/>
      <c r="CG645" s="28"/>
      <c r="CH645" s="28"/>
      <c r="CI645" s="28"/>
      <c r="CJ645" s="28"/>
      <c r="CK645" s="28"/>
      <c r="CL645" s="28"/>
      <c r="CM645" s="28"/>
      <c r="CN645" s="28"/>
      <c r="CO645" s="28"/>
      <c r="CP645" s="28"/>
      <c r="CQ645" s="28"/>
      <c r="CR645" s="28"/>
      <c r="CS645" s="28"/>
      <c r="CT645" s="28"/>
      <c r="CU645" s="28"/>
      <c r="CV645" s="28"/>
      <c r="CW645" s="28"/>
    </row>
    <row r="646" spans="1:101" ht="14.25" customHeight="1" x14ac:dyDescent="0.2">
      <c r="A646" s="328"/>
      <c r="B646" s="52">
        <v>0.17143264352466359</v>
      </c>
      <c r="C646" s="330">
        <v>8.8484452747335421E-2</v>
      </c>
      <c r="D646" s="330">
        <v>1.1203510641666255E-2</v>
      </c>
      <c r="E646" s="330">
        <v>2.173773770158971E-2</v>
      </c>
      <c r="F646" s="331">
        <v>0.7995183746039134</v>
      </c>
      <c r="G646" s="94">
        <v>0.46720391209702827</v>
      </c>
      <c r="H646" s="330">
        <v>0.30950118038322738</v>
      </c>
      <c r="I646" s="330">
        <v>3.7126018226374684E-3</v>
      </c>
      <c r="J646" s="330">
        <v>1</v>
      </c>
      <c r="K646" s="330">
        <v>0.7766769227191328</v>
      </c>
      <c r="L646" s="332">
        <v>13205.231259901526</v>
      </c>
      <c r="M646" s="330">
        <v>0</v>
      </c>
      <c r="N646" s="330">
        <v>15611.232140446276</v>
      </c>
      <c r="O646" s="330">
        <v>1497.9516468592844</v>
      </c>
      <c r="P646" s="330">
        <v>32243.875644352531</v>
      </c>
      <c r="Q646" s="333">
        <v>125162.70259687795</v>
      </c>
      <c r="R646" s="330">
        <v>23626.378224077707</v>
      </c>
      <c r="S646" s="330">
        <v>7612.5430430422075</v>
      </c>
      <c r="T646" s="332">
        <v>0.1540335678073986</v>
      </c>
      <c r="U646" s="330">
        <v>0.99884819585245521</v>
      </c>
      <c r="V646" s="330">
        <v>0.87075962224987891</v>
      </c>
      <c r="W646" s="330">
        <v>0.26686845293553679</v>
      </c>
      <c r="X646" s="330">
        <v>0.99999665063605581</v>
      </c>
      <c r="Y646" s="330">
        <v>0</v>
      </c>
      <c r="Z646" s="331">
        <v>0</v>
      </c>
      <c r="AA646" s="235"/>
      <c r="AB646" s="335">
        <v>79377.034979870732</v>
      </c>
      <c r="AC646" s="336">
        <v>4.9138284957510354</v>
      </c>
      <c r="AD646" s="337">
        <v>67855.536277547886</v>
      </c>
      <c r="AE646" s="336">
        <v>4.9126499843755562</v>
      </c>
      <c r="AF646" s="337">
        <v>11521.498702322846</v>
      </c>
      <c r="AG646" s="338">
        <v>1.1785113754791965E-3</v>
      </c>
      <c r="AH646" s="235"/>
      <c r="AI646" s="208">
        <f t="shared" si="68"/>
        <v>4588760.0359836128</v>
      </c>
      <c r="AJ646" s="208">
        <f t="shared" si="69"/>
        <v>4599161.9488792308</v>
      </c>
      <c r="AK646" s="208">
        <f t="shared" si="70"/>
        <v>-10401.91289561761</v>
      </c>
      <c r="AL646" s="235"/>
      <c r="AM646" s="52">
        <f t="shared" si="58"/>
        <v>0</v>
      </c>
      <c r="AN646" s="52">
        <f t="shared" si="59"/>
        <v>1</v>
      </c>
      <c r="AO646" s="52">
        <f t="shared" si="60"/>
        <v>0</v>
      </c>
      <c r="AP646" s="235"/>
      <c r="AQ646" s="28"/>
      <c r="AR646" s="28"/>
      <c r="AS646" s="28"/>
      <c r="AT646" s="28"/>
      <c r="AU646" s="235"/>
      <c r="AV646" s="360">
        <f t="shared" si="71"/>
        <v>4599161.9488792308</v>
      </c>
      <c r="AW646" s="235"/>
      <c r="AX646" s="355"/>
      <c r="AY646" s="344"/>
      <c r="AZ646" s="14">
        <f t="shared" si="73"/>
        <v>11521.498702322846</v>
      </c>
      <c r="BA646" s="14">
        <f t="shared" si="72"/>
        <v>1.1785113754791965E-3</v>
      </c>
      <c r="BB646" s="14">
        <f t="shared" si="61"/>
        <v>9776315.2244823016</v>
      </c>
      <c r="BC646" s="344"/>
      <c r="BD646" s="344"/>
      <c r="BE646" s="344"/>
      <c r="BF646" s="344"/>
      <c r="BG646" s="344"/>
      <c r="BH646" s="344"/>
      <c r="BI646" s="344"/>
      <c r="BJ646" s="344"/>
      <c r="BK646" s="344"/>
      <c r="BL646" s="344"/>
      <c r="BM646" s="344"/>
      <c r="BN646" s="344"/>
      <c r="BO646" s="344"/>
      <c r="BP646" s="344"/>
      <c r="BQ646" s="344"/>
      <c r="BR646" s="344"/>
      <c r="BS646" s="344"/>
      <c r="BT646" s="344"/>
      <c r="BU646" s="344"/>
      <c r="BV646" s="344"/>
      <c r="BW646" s="344"/>
      <c r="BX646" s="344"/>
      <c r="BY646" s="344"/>
      <c r="BZ646" s="344"/>
      <c r="CA646" s="344"/>
      <c r="CB646" s="28"/>
      <c r="CC646" s="28"/>
      <c r="CD646" s="28"/>
      <c r="CE646" s="28"/>
      <c r="CF646" s="28"/>
      <c r="CG646" s="28"/>
      <c r="CH646" s="28"/>
      <c r="CI646" s="28"/>
      <c r="CJ646" s="28"/>
      <c r="CK646" s="28"/>
      <c r="CL646" s="28"/>
      <c r="CM646" s="28"/>
      <c r="CN646" s="28"/>
      <c r="CO646" s="28"/>
      <c r="CP646" s="28"/>
      <c r="CQ646" s="28"/>
      <c r="CR646" s="28"/>
      <c r="CS646" s="28"/>
      <c r="CT646" s="28"/>
      <c r="CU646" s="28"/>
      <c r="CV646" s="28"/>
      <c r="CW646" s="28"/>
    </row>
    <row r="647" spans="1:101" ht="14.25" customHeight="1" x14ac:dyDescent="0.2">
      <c r="A647" s="328"/>
      <c r="B647" s="52">
        <v>0.14967580556163398</v>
      </c>
      <c r="C647" s="330">
        <v>0.16239715244321506</v>
      </c>
      <c r="D647" s="330">
        <v>2.1543258306698898E-2</v>
      </c>
      <c r="E647" s="330">
        <v>2.0667289690487589E-2</v>
      </c>
      <c r="F647" s="331">
        <v>0.7740540082391556</v>
      </c>
      <c r="G647" s="94">
        <v>0.33808095364536905</v>
      </c>
      <c r="H647" s="330">
        <v>2.8862909929027384E-3</v>
      </c>
      <c r="I647" s="330">
        <v>3.1500776625257298E-2</v>
      </c>
      <c r="J647" s="330">
        <v>0.9967520833015161</v>
      </c>
      <c r="K647" s="330">
        <v>0.77197635012313137</v>
      </c>
      <c r="L647" s="332">
        <v>14837.389014374345</v>
      </c>
      <c r="M647" s="330">
        <v>0</v>
      </c>
      <c r="N647" s="330">
        <v>15244.649717182097</v>
      </c>
      <c r="O647" s="330">
        <v>1134.142662070592</v>
      </c>
      <c r="P647" s="330">
        <v>54959.364537946312</v>
      </c>
      <c r="Q647" s="333">
        <v>94037.364736033953</v>
      </c>
      <c r="R647" s="330">
        <v>21035.484125257866</v>
      </c>
      <c r="S647" s="330">
        <v>9524.4843355886769</v>
      </c>
      <c r="T647" s="332">
        <v>0.24066928554778971</v>
      </c>
      <c r="U647" s="330">
        <v>0.80128781228964108</v>
      </c>
      <c r="V647" s="330">
        <v>0.7860398290268007</v>
      </c>
      <c r="W647" s="330">
        <v>0.9999893905163868</v>
      </c>
      <c r="X647" s="330">
        <v>0.98620396726975623</v>
      </c>
      <c r="Y647" s="330">
        <v>0</v>
      </c>
      <c r="Z647" s="331">
        <v>0</v>
      </c>
      <c r="AA647" s="235"/>
      <c r="AB647" s="335">
        <v>94941.983022053973</v>
      </c>
      <c r="AC647" s="336">
        <v>4.7046159280722391</v>
      </c>
      <c r="AD647" s="337">
        <v>81089.677939243295</v>
      </c>
      <c r="AE647" s="336">
        <v>4.7041721560696734</v>
      </c>
      <c r="AF647" s="337">
        <v>13852.305082810679</v>
      </c>
      <c r="AG647" s="338">
        <v>4.4377200256562332E-4</v>
      </c>
      <c r="AH647" s="235"/>
      <c r="AI647" s="208">
        <f t="shared" si="68"/>
        <v>4374443.1486465735</v>
      </c>
      <c r="AJ647" s="208">
        <f t="shared" si="69"/>
        <v>4387873.8703269465</v>
      </c>
      <c r="AK647" s="208">
        <f t="shared" si="70"/>
        <v>-13430.721680373337</v>
      </c>
      <c r="AL647" s="235"/>
      <c r="AM647" s="52">
        <f t="shared" si="58"/>
        <v>0</v>
      </c>
      <c r="AN647" s="52">
        <f t="shared" si="59"/>
        <v>1</v>
      </c>
      <c r="AO647" s="52">
        <f t="shared" si="60"/>
        <v>0</v>
      </c>
      <c r="AP647" s="235"/>
      <c r="AQ647" s="28"/>
      <c r="AR647" s="28"/>
      <c r="AS647" s="28"/>
      <c r="AT647" s="28"/>
      <c r="AU647" s="235"/>
      <c r="AV647" s="360">
        <f t="shared" si="71"/>
        <v>4387873.8703269465</v>
      </c>
      <c r="AW647" s="235"/>
      <c r="AX647" s="355"/>
      <c r="AY647" s="344"/>
      <c r="AZ647" s="14">
        <f t="shared" si="73"/>
        <v>13852.305082810679</v>
      </c>
      <c r="BA647" s="14">
        <f t="shared" si="72"/>
        <v>4.4377200256562332E-4</v>
      </c>
      <c r="BB647" s="14">
        <f t="shared" si="61"/>
        <v>31214914.421651132</v>
      </c>
      <c r="BC647" s="344"/>
      <c r="BD647" s="344"/>
      <c r="BE647" s="344"/>
      <c r="BF647" s="344"/>
      <c r="BG647" s="344"/>
      <c r="BH647" s="344"/>
      <c r="BI647" s="344"/>
      <c r="BJ647" s="344"/>
      <c r="BK647" s="344"/>
      <c r="BL647" s="344"/>
      <c r="BM647" s="344"/>
      <c r="BN647" s="344"/>
      <c r="BO647" s="344"/>
      <c r="BP647" s="344"/>
      <c r="BQ647" s="344"/>
      <c r="BR647" s="344"/>
      <c r="BS647" s="344"/>
      <c r="BT647" s="344"/>
      <c r="BU647" s="344"/>
      <c r="BV647" s="344"/>
      <c r="BW647" s="344"/>
      <c r="BX647" s="344"/>
      <c r="BY647" s="344"/>
      <c r="BZ647" s="344"/>
      <c r="CA647" s="344"/>
      <c r="CB647" s="28"/>
      <c r="CC647" s="28"/>
      <c r="CD647" s="28"/>
      <c r="CE647" s="28"/>
      <c r="CF647" s="28"/>
      <c r="CG647" s="28"/>
      <c r="CH647" s="28"/>
      <c r="CI647" s="28"/>
      <c r="CJ647" s="28"/>
      <c r="CK647" s="28"/>
      <c r="CL647" s="28"/>
      <c r="CM647" s="28"/>
      <c r="CN647" s="28"/>
      <c r="CO647" s="28"/>
      <c r="CP647" s="28"/>
      <c r="CQ647" s="28"/>
      <c r="CR647" s="28"/>
      <c r="CS647" s="28"/>
      <c r="CT647" s="28"/>
      <c r="CU647" s="28"/>
      <c r="CV647" s="28"/>
      <c r="CW647" s="28"/>
    </row>
    <row r="648" spans="1:101" ht="14.25" customHeight="1" x14ac:dyDescent="0.2">
      <c r="A648" s="328"/>
      <c r="B648" s="52">
        <v>0.1511204324192949</v>
      </c>
      <c r="C648" s="330">
        <v>0.32097834796607649</v>
      </c>
      <c r="D648" s="330">
        <v>1.2213938840042951E-2</v>
      </c>
      <c r="E648" s="330">
        <v>1.6395156250022969E-2</v>
      </c>
      <c r="F648" s="331">
        <v>0.79137516747162617</v>
      </c>
      <c r="G648" s="94">
        <v>0.29767686510824914</v>
      </c>
      <c r="H648" s="330">
        <v>0.46299205978311891</v>
      </c>
      <c r="I648" s="330">
        <v>4.0968508848488972E-3</v>
      </c>
      <c r="J648" s="330">
        <v>0.99999541129112068</v>
      </c>
      <c r="K648" s="330">
        <v>0.79458311220794375</v>
      </c>
      <c r="L648" s="332">
        <v>9947.9103215087162</v>
      </c>
      <c r="M648" s="330">
        <v>0</v>
      </c>
      <c r="N648" s="330">
        <v>18749.570195937373</v>
      </c>
      <c r="O648" s="330">
        <v>1811.8194296138436</v>
      </c>
      <c r="P648" s="330">
        <v>65151.763878585465</v>
      </c>
      <c r="Q648" s="333">
        <v>97338.599593644496</v>
      </c>
      <c r="R648" s="330">
        <v>21387.889765109911</v>
      </c>
      <c r="S648" s="330">
        <v>9086.4623900032148</v>
      </c>
      <c r="T648" s="332">
        <v>0.99077655315404889</v>
      </c>
      <c r="U648" s="330">
        <v>0.99938150700563932</v>
      </c>
      <c r="V648" s="330">
        <v>0.95237655722000247</v>
      </c>
      <c r="W648" s="330">
        <v>0.98990360178832493</v>
      </c>
      <c r="X648" s="330">
        <v>0.99998564293744074</v>
      </c>
      <c r="Y648" s="330">
        <v>0</v>
      </c>
      <c r="Z648" s="331">
        <v>0</v>
      </c>
      <c r="AA648" s="235"/>
      <c r="AB648" s="335">
        <v>88607.51204179092</v>
      </c>
      <c r="AC648" s="336">
        <v>4.896189639731273</v>
      </c>
      <c r="AD648" s="337">
        <v>81183.331841295832</v>
      </c>
      <c r="AE648" s="336">
        <v>5.1602206346261132</v>
      </c>
      <c r="AF648" s="337">
        <v>7424.1802004950878</v>
      </c>
      <c r="AG648" s="338">
        <v>-0.26403099489484028</v>
      </c>
      <c r="AH648" s="235"/>
      <c r="AI648" s="208">
        <f t="shared" si="68"/>
        <v>4562772.6457029181</v>
      </c>
      <c r="AJ648" s="208">
        <f t="shared" si="69"/>
        <v>4821026.2710535116</v>
      </c>
      <c r="AK648" s="208">
        <f t="shared" si="70"/>
        <v>-258253.62535059336</v>
      </c>
      <c r="AL648" s="235"/>
      <c r="AM648" s="52">
        <f t="shared" si="58"/>
        <v>0</v>
      </c>
      <c r="AN648" s="52">
        <f t="shared" si="59"/>
        <v>1</v>
      </c>
      <c r="AO648" s="52">
        <f t="shared" si="60"/>
        <v>0</v>
      </c>
      <c r="AP648" s="235"/>
      <c r="AQ648" s="28"/>
      <c r="AR648" s="28"/>
      <c r="AS648" s="28"/>
      <c r="AT648" s="28"/>
      <c r="AU648" s="235"/>
      <c r="AV648" s="360">
        <f t="shared" si="71"/>
        <v>4821026.2710535116</v>
      </c>
      <c r="AW648" s="235"/>
      <c r="AX648" s="355"/>
      <c r="AY648" s="344"/>
      <c r="AZ648" s="14">
        <f t="shared" si="73"/>
        <v>7424.1802004950878</v>
      </c>
      <c r="BA648" s="14">
        <f t="shared" si="72"/>
        <v>-0.26403099489484028</v>
      </c>
      <c r="BB648" s="14">
        <f t="shared" si="61"/>
        <v>-28118.593438062191</v>
      </c>
      <c r="BC648" s="344"/>
      <c r="BD648" s="344"/>
      <c r="BE648" s="344"/>
      <c r="BF648" s="344"/>
      <c r="BG648" s="344"/>
      <c r="BH648" s="344"/>
      <c r="BI648" s="344"/>
      <c r="BJ648" s="344"/>
      <c r="BK648" s="344"/>
      <c r="BL648" s="344"/>
      <c r="BM648" s="344"/>
      <c r="BN648" s="344"/>
      <c r="BO648" s="344"/>
      <c r="BP648" s="344"/>
      <c r="BQ648" s="344"/>
      <c r="BR648" s="344"/>
      <c r="BS648" s="344"/>
      <c r="BT648" s="344"/>
      <c r="BU648" s="344"/>
      <c r="BV648" s="344"/>
      <c r="BW648" s="344"/>
      <c r="BX648" s="344"/>
      <c r="BY648" s="344"/>
      <c r="BZ648" s="344"/>
      <c r="CA648" s="344"/>
      <c r="CB648" s="28"/>
      <c r="CC648" s="28"/>
      <c r="CD648" s="28"/>
      <c r="CE648" s="28"/>
      <c r="CF648" s="28"/>
      <c r="CG648" s="28"/>
      <c r="CH648" s="28"/>
      <c r="CI648" s="28"/>
      <c r="CJ648" s="28"/>
      <c r="CK648" s="28"/>
      <c r="CL648" s="28"/>
      <c r="CM648" s="28"/>
      <c r="CN648" s="28"/>
      <c r="CO648" s="28"/>
      <c r="CP648" s="28"/>
      <c r="CQ648" s="28"/>
      <c r="CR648" s="28"/>
      <c r="CS648" s="28"/>
      <c r="CT648" s="28"/>
      <c r="CU648" s="28"/>
      <c r="CV648" s="28"/>
      <c r="CW648" s="28"/>
    </row>
    <row r="649" spans="1:101" ht="14.25" customHeight="1" x14ac:dyDescent="0.2">
      <c r="A649" s="328"/>
      <c r="B649" s="52">
        <v>0.12665183650817213</v>
      </c>
      <c r="C649" s="330">
        <v>6.9865122074038291E-2</v>
      </c>
      <c r="D649" s="330">
        <v>1.7210682562462387E-2</v>
      </c>
      <c r="E649" s="330">
        <v>1.0775530159047213E-2</v>
      </c>
      <c r="F649" s="331">
        <v>0.81291270813978067</v>
      </c>
      <c r="G649" s="94">
        <v>0.36761923972539889</v>
      </c>
      <c r="H649" s="330">
        <v>8.3265297793958706E-2</v>
      </c>
      <c r="I649" s="330">
        <v>4.4483338800463512E-2</v>
      </c>
      <c r="J649" s="330">
        <v>0.99999841857876692</v>
      </c>
      <c r="K649" s="330">
        <v>0.8084077976558095</v>
      </c>
      <c r="L649" s="332">
        <v>12718.925540266773</v>
      </c>
      <c r="M649" s="330">
        <v>0</v>
      </c>
      <c r="N649" s="330">
        <v>16113.931946582832</v>
      </c>
      <c r="O649" s="330">
        <v>1091.2720402317843</v>
      </c>
      <c r="P649" s="330">
        <v>34349.295811504307</v>
      </c>
      <c r="Q649" s="333">
        <v>95307.378216541256</v>
      </c>
      <c r="R649" s="330">
        <v>23573.576113715506</v>
      </c>
      <c r="S649" s="330">
        <v>7579.1474201050423</v>
      </c>
      <c r="T649" s="332">
        <v>0.72600844599219982</v>
      </c>
      <c r="U649" s="330">
        <v>0.43314380226104948</v>
      </c>
      <c r="V649" s="330">
        <v>0.42570287095012571</v>
      </c>
      <c r="W649" s="330">
        <v>0.99895551139134964</v>
      </c>
      <c r="X649" s="330">
        <v>0.99007078447634844</v>
      </c>
      <c r="Y649" s="330">
        <v>0</v>
      </c>
      <c r="Z649" s="331">
        <v>0</v>
      </c>
      <c r="AA649" s="235"/>
      <c r="AB649" s="335">
        <v>79391.765837704253</v>
      </c>
      <c r="AC649" s="336">
        <v>4.9801967630981352</v>
      </c>
      <c r="AD649" s="337">
        <v>69252.071032108885</v>
      </c>
      <c r="AE649" s="336">
        <v>4.9127278440435944</v>
      </c>
      <c r="AF649" s="337">
        <v>10139.694805595369</v>
      </c>
      <c r="AG649" s="338">
        <v>6.7468919054540777E-2</v>
      </c>
      <c r="AH649" s="235"/>
      <c r="AI649" s="208">
        <f t="shared" si="68"/>
        <v>4651795.1591055244</v>
      </c>
      <c r="AJ649" s="208">
        <f t="shared" si="69"/>
        <v>4597839.3808093062</v>
      </c>
      <c r="AK649" s="208">
        <f t="shared" si="70"/>
        <v>53955.77829621837</v>
      </c>
      <c r="AL649" s="235"/>
      <c r="AM649" s="52">
        <f t="shared" si="58"/>
        <v>1</v>
      </c>
      <c r="AN649" s="52">
        <f t="shared" si="59"/>
        <v>0</v>
      </c>
      <c r="AO649" s="52">
        <f t="shared" si="60"/>
        <v>1</v>
      </c>
      <c r="AP649" s="235"/>
      <c r="AQ649" s="28"/>
      <c r="AR649" s="28"/>
      <c r="AS649" s="28"/>
      <c r="AT649" s="28"/>
      <c r="AU649" s="235"/>
      <c r="AV649" s="360">
        <f t="shared" si="71"/>
        <v>4651795.1591055244</v>
      </c>
      <c r="AW649" s="235"/>
      <c r="AX649" s="355"/>
      <c r="AY649" s="344"/>
      <c r="AZ649" s="14">
        <f t="shared" si="73"/>
        <v>10139.694805595369</v>
      </c>
      <c r="BA649" s="14">
        <f t="shared" si="72"/>
        <v>6.7468919054540777E-2</v>
      </c>
      <c r="BB649" s="14">
        <f t="shared" si="61"/>
        <v>150286.90169763361</v>
      </c>
      <c r="BC649" s="344"/>
      <c r="BD649" s="344"/>
      <c r="BE649" s="344"/>
      <c r="BF649" s="344"/>
      <c r="BG649" s="344"/>
      <c r="BH649" s="344"/>
      <c r="BI649" s="344"/>
      <c r="BJ649" s="344"/>
      <c r="BK649" s="344"/>
      <c r="BL649" s="344"/>
      <c r="BM649" s="344"/>
      <c r="BN649" s="344"/>
      <c r="BO649" s="344"/>
      <c r="BP649" s="344"/>
      <c r="BQ649" s="344"/>
      <c r="BR649" s="344"/>
      <c r="BS649" s="344"/>
      <c r="BT649" s="344"/>
      <c r="BU649" s="344"/>
      <c r="BV649" s="344"/>
      <c r="BW649" s="344"/>
      <c r="BX649" s="344"/>
      <c r="BY649" s="344"/>
      <c r="BZ649" s="344"/>
      <c r="CA649" s="344"/>
      <c r="CB649" s="28"/>
      <c r="CC649" s="28"/>
      <c r="CD649" s="28"/>
      <c r="CE649" s="28"/>
      <c r="CF649" s="28"/>
      <c r="CG649" s="28"/>
      <c r="CH649" s="28"/>
      <c r="CI649" s="28"/>
      <c r="CJ649" s="28"/>
      <c r="CK649" s="28"/>
      <c r="CL649" s="28"/>
      <c r="CM649" s="28"/>
      <c r="CN649" s="28"/>
      <c r="CO649" s="28"/>
      <c r="CP649" s="28"/>
      <c r="CQ649" s="28"/>
      <c r="CR649" s="28"/>
      <c r="CS649" s="28"/>
      <c r="CT649" s="28"/>
      <c r="CU649" s="28"/>
      <c r="CV649" s="28"/>
      <c r="CW649" s="28"/>
    </row>
    <row r="650" spans="1:101" ht="14.25" customHeight="1" x14ac:dyDescent="0.2">
      <c r="A650" s="328"/>
      <c r="B650" s="52">
        <v>0.17439416119258999</v>
      </c>
      <c r="C650" s="330">
        <v>9.7664583285611506E-2</v>
      </c>
      <c r="D650" s="330">
        <v>1.1026167019653477E-2</v>
      </c>
      <c r="E650" s="330">
        <v>1.1241023920882319E-2</v>
      </c>
      <c r="F650" s="331">
        <v>0.74428151222861294</v>
      </c>
      <c r="G650" s="94">
        <v>0.34415771418131852</v>
      </c>
      <c r="H650" s="330">
        <v>0.84778321908844001</v>
      </c>
      <c r="I650" s="330">
        <v>4.1829668246029406E-2</v>
      </c>
      <c r="J650" s="330">
        <v>1</v>
      </c>
      <c r="K650" s="330">
        <v>0.80072366089090041</v>
      </c>
      <c r="L650" s="332">
        <v>12055.708117693162</v>
      </c>
      <c r="M650" s="330">
        <v>0</v>
      </c>
      <c r="N650" s="330">
        <v>14688.784870531712</v>
      </c>
      <c r="O650" s="330">
        <v>1311.78632156157</v>
      </c>
      <c r="P650" s="330">
        <v>33106.190582570191</v>
      </c>
      <c r="Q650" s="333">
        <v>103016.44059593225</v>
      </c>
      <c r="R650" s="330">
        <v>20916.548093037018</v>
      </c>
      <c r="S650" s="330">
        <v>9831.333441678391</v>
      </c>
      <c r="T650" s="332">
        <v>0.8467075021379642</v>
      </c>
      <c r="U650" s="330">
        <v>0.11017822945279852</v>
      </c>
      <c r="V650" s="330">
        <v>0.69305960763943941</v>
      </c>
      <c r="W650" s="330">
        <v>0.99998896263506298</v>
      </c>
      <c r="X650" s="330">
        <v>0.63128768607231578</v>
      </c>
      <c r="Y650" s="330">
        <v>0</v>
      </c>
      <c r="Z650" s="331">
        <v>0</v>
      </c>
      <c r="AA650" s="235"/>
      <c r="AB650" s="335">
        <v>91363.273734233939</v>
      </c>
      <c r="AC650" s="336">
        <v>2.9044689387695408</v>
      </c>
      <c r="AD650" s="337">
        <v>92977.714421943092</v>
      </c>
      <c r="AE650" s="336">
        <v>3.0559051638027386</v>
      </c>
      <c r="AF650" s="337">
        <v>-1614.4406877091533</v>
      </c>
      <c r="AG650" s="338">
        <v>-0.15143622503319776</v>
      </c>
      <c r="AH650" s="235"/>
      <c r="AI650" s="208">
        <f t="shared" si="68"/>
        <v>2667882.21809683</v>
      </c>
      <c r="AJ650" s="208">
        <f t="shared" si="69"/>
        <v>2810132.1911906581</v>
      </c>
      <c r="AK650" s="208">
        <f t="shared" si="70"/>
        <v>-142249.97309382871</v>
      </c>
      <c r="AL650" s="235"/>
      <c r="AM650" s="52">
        <f t="shared" si="58"/>
        <v>0</v>
      </c>
      <c r="AN650" s="52">
        <f t="shared" si="59"/>
        <v>1</v>
      </c>
      <c r="AO650" s="52">
        <f t="shared" si="60"/>
        <v>0</v>
      </c>
      <c r="AP650" s="235"/>
      <c r="AQ650" s="28"/>
      <c r="AR650" s="28"/>
      <c r="AS650" s="28"/>
      <c r="AT650" s="28"/>
      <c r="AU650" s="235"/>
      <c r="AV650" s="360">
        <f t="shared" si="71"/>
        <v>2810132.1911906581</v>
      </c>
      <c r="AW650" s="235"/>
      <c r="AX650" s="355"/>
      <c r="AY650" s="344"/>
      <c r="AZ650" s="14">
        <f t="shared" si="73"/>
        <v>-1614.4406877091533</v>
      </c>
      <c r="BA650" s="14">
        <f t="shared" si="72"/>
        <v>-0.15143622503319776</v>
      </c>
      <c r="BB650" s="14">
        <f t="shared" si="61"/>
        <v>10660.861939441746</v>
      </c>
      <c r="BC650" s="344"/>
      <c r="BD650" s="344"/>
      <c r="BE650" s="344"/>
      <c r="BF650" s="344"/>
      <c r="BG650" s="344"/>
      <c r="BH650" s="344"/>
      <c r="BI650" s="344"/>
      <c r="BJ650" s="344"/>
      <c r="BK650" s="344"/>
      <c r="BL650" s="344"/>
      <c r="BM650" s="344"/>
      <c r="BN650" s="344"/>
      <c r="BO650" s="344"/>
      <c r="BP650" s="344"/>
      <c r="BQ650" s="344"/>
      <c r="BR650" s="344"/>
      <c r="BS650" s="344"/>
      <c r="BT650" s="344"/>
      <c r="BU650" s="344"/>
      <c r="BV650" s="344"/>
      <c r="BW650" s="344"/>
      <c r="BX650" s="344"/>
      <c r="BY650" s="344"/>
      <c r="BZ650" s="344"/>
      <c r="CA650" s="344"/>
      <c r="CB650" s="28"/>
      <c r="CC650" s="28"/>
      <c r="CD650" s="28"/>
      <c r="CE650" s="28"/>
      <c r="CF650" s="28"/>
      <c r="CG650" s="28"/>
      <c r="CH650" s="28"/>
      <c r="CI650" s="28"/>
      <c r="CJ650" s="28"/>
      <c r="CK650" s="28"/>
      <c r="CL650" s="28"/>
      <c r="CM650" s="28"/>
      <c r="CN650" s="28"/>
      <c r="CO650" s="28"/>
      <c r="CP650" s="28"/>
      <c r="CQ650" s="28"/>
      <c r="CR650" s="28"/>
      <c r="CS650" s="28"/>
      <c r="CT650" s="28"/>
      <c r="CU650" s="28"/>
      <c r="CV650" s="28"/>
      <c r="CW650" s="28"/>
    </row>
    <row r="651" spans="1:101" ht="14.25" customHeight="1" x14ac:dyDescent="0.2">
      <c r="A651" s="328"/>
      <c r="B651" s="52">
        <v>0.13829294535626022</v>
      </c>
      <c r="C651" s="330">
        <v>9.0443450232499251E-3</v>
      </c>
      <c r="D651" s="330">
        <v>1.3626345535308343E-2</v>
      </c>
      <c r="E651" s="330">
        <v>1.7049726269843468E-2</v>
      </c>
      <c r="F651" s="331">
        <v>0.77197217652490213</v>
      </c>
      <c r="G651" s="94">
        <v>0.33432588272356639</v>
      </c>
      <c r="H651" s="330">
        <v>0.91960524134453481</v>
      </c>
      <c r="I651" s="330">
        <v>7.4695728059711655E-3</v>
      </c>
      <c r="J651" s="330">
        <v>0.99998068200776624</v>
      </c>
      <c r="K651" s="330">
        <v>0.71359062959632802</v>
      </c>
      <c r="L651" s="332">
        <v>9566.6697687406595</v>
      </c>
      <c r="M651" s="330">
        <v>0</v>
      </c>
      <c r="N651" s="330">
        <v>14758.448378088113</v>
      </c>
      <c r="O651" s="330">
        <v>1086.16088789382</v>
      </c>
      <c r="P651" s="330">
        <v>44246.673946280142</v>
      </c>
      <c r="Q651" s="333">
        <v>126167.66118732565</v>
      </c>
      <c r="R651" s="330">
        <v>24133.220284566341</v>
      </c>
      <c r="S651" s="330">
        <v>7714.4150053361018</v>
      </c>
      <c r="T651" s="332">
        <v>0.79625228754481425</v>
      </c>
      <c r="U651" s="330">
        <v>0.66035689159009292</v>
      </c>
      <c r="V651" s="330">
        <v>0.99326259698244812</v>
      </c>
      <c r="W651" s="330">
        <v>0.98696696668507222</v>
      </c>
      <c r="X651" s="330">
        <v>0.99998790199695087</v>
      </c>
      <c r="Y651" s="330">
        <v>0</v>
      </c>
      <c r="Z651" s="331">
        <v>0</v>
      </c>
      <c r="AA651" s="235"/>
      <c r="AB651" s="335">
        <v>73894.561895957784</v>
      </c>
      <c r="AC651" s="336">
        <v>5.0395937654259662</v>
      </c>
      <c r="AD651" s="337">
        <v>67265.107611433647</v>
      </c>
      <c r="AE651" s="336">
        <v>4.5294858447613464</v>
      </c>
      <c r="AF651" s="337">
        <v>6629.4542845241376</v>
      </c>
      <c r="AG651" s="338">
        <v>0.51010792066461974</v>
      </c>
      <c r="AH651" s="235"/>
      <c r="AI651" s="208">
        <f t="shared" si="68"/>
        <v>4713719.5152587099</v>
      </c>
      <c r="AJ651" s="208">
        <f t="shared" si="69"/>
        <v>4235746.444911845</v>
      </c>
      <c r="AK651" s="208">
        <f t="shared" si="70"/>
        <v>477973.07034686464</v>
      </c>
      <c r="AL651" s="235"/>
      <c r="AM651" s="52">
        <f t="shared" si="58"/>
        <v>1</v>
      </c>
      <c r="AN651" s="52">
        <f t="shared" si="59"/>
        <v>0</v>
      </c>
      <c r="AO651" s="52">
        <f t="shared" si="60"/>
        <v>1</v>
      </c>
      <c r="AP651" s="235"/>
      <c r="AQ651" s="28"/>
      <c r="AR651" s="28"/>
      <c r="AS651" s="28"/>
      <c r="AT651" s="28"/>
      <c r="AU651" s="235"/>
      <c r="AV651" s="360">
        <f t="shared" si="71"/>
        <v>4713719.5152587099</v>
      </c>
      <c r="AW651" s="235"/>
      <c r="AX651" s="355"/>
      <c r="AY651" s="344"/>
      <c r="AZ651" s="14">
        <f t="shared" si="73"/>
        <v>6629.4542845241376</v>
      </c>
      <c r="BA651" s="14">
        <f t="shared" si="72"/>
        <v>0.51010792066461974</v>
      </c>
      <c r="BB651" s="14">
        <f t="shared" si="61"/>
        <v>12996.179859129848</v>
      </c>
      <c r="BC651" s="344"/>
      <c r="BD651" s="344"/>
      <c r="BE651" s="344"/>
      <c r="BF651" s="344"/>
      <c r="BG651" s="344"/>
      <c r="BH651" s="344"/>
      <c r="BI651" s="344"/>
      <c r="BJ651" s="344"/>
      <c r="BK651" s="344"/>
      <c r="BL651" s="344"/>
      <c r="BM651" s="344"/>
      <c r="BN651" s="344"/>
      <c r="BO651" s="344"/>
      <c r="BP651" s="344"/>
      <c r="BQ651" s="344"/>
      <c r="BR651" s="344"/>
      <c r="BS651" s="344"/>
      <c r="BT651" s="344"/>
      <c r="BU651" s="344"/>
      <c r="BV651" s="344"/>
      <c r="BW651" s="344"/>
      <c r="BX651" s="344"/>
      <c r="BY651" s="344"/>
      <c r="BZ651" s="344"/>
      <c r="CA651" s="344"/>
      <c r="CB651" s="28"/>
      <c r="CC651" s="28"/>
      <c r="CD651" s="28"/>
      <c r="CE651" s="28"/>
      <c r="CF651" s="28"/>
      <c r="CG651" s="28"/>
      <c r="CH651" s="28"/>
      <c r="CI651" s="28"/>
      <c r="CJ651" s="28"/>
      <c r="CK651" s="28"/>
      <c r="CL651" s="28"/>
      <c r="CM651" s="28"/>
      <c r="CN651" s="28"/>
      <c r="CO651" s="28"/>
      <c r="CP651" s="28"/>
      <c r="CQ651" s="28"/>
      <c r="CR651" s="28"/>
      <c r="CS651" s="28"/>
      <c r="CT651" s="28"/>
      <c r="CU651" s="28"/>
      <c r="CV651" s="28"/>
      <c r="CW651" s="28"/>
    </row>
    <row r="652" spans="1:101" ht="14.25" customHeight="1" x14ac:dyDescent="0.2">
      <c r="A652" s="328"/>
      <c r="B652" s="52">
        <v>0.14047507686900973</v>
      </c>
      <c r="C652" s="330">
        <v>0.49260944437786913</v>
      </c>
      <c r="D652" s="330">
        <v>8.3652227375206906E-3</v>
      </c>
      <c r="E652" s="330">
        <v>1.2681914578647343E-2</v>
      </c>
      <c r="F652" s="331">
        <v>0.80597118824535374</v>
      </c>
      <c r="G652" s="94">
        <v>0.33281727717285203</v>
      </c>
      <c r="H652" s="330">
        <v>0.40860858098375419</v>
      </c>
      <c r="I652" s="330">
        <v>1.8411387387996414E-2</v>
      </c>
      <c r="J652" s="330">
        <v>0.99999999996494071</v>
      </c>
      <c r="K652" s="330">
        <v>0.73145989272619705</v>
      </c>
      <c r="L652" s="332">
        <v>12364.766908284086</v>
      </c>
      <c r="M652" s="330">
        <v>0</v>
      </c>
      <c r="N652" s="330">
        <v>13358.320296060434</v>
      </c>
      <c r="O652" s="330">
        <v>825.3258121624832</v>
      </c>
      <c r="P652" s="330">
        <v>30842.731802831742</v>
      </c>
      <c r="Q652" s="333">
        <v>95657.314307641456</v>
      </c>
      <c r="R652" s="330">
        <v>22202.363385949484</v>
      </c>
      <c r="S652" s="330">
        <v>7789.5838462664005</v>
      </c>
      <c r="T652" s="332">
        <v>0.9982356221396117</v>
      </c>
      <c r="U652" s="330">
        <v>0.99935288829605384</v>
      </c>
      <c r="V652" s="330">
        <v>0.9154297051877468</v>
      </c>
      <c r="W652" s="330">
        <v>0.70001472073686133</v>
      </c>
      <c r="X652" s="330">
        <v>0.9921240789705591</v>
      </c>
      <c r="Y652" s="330">
        <v>0</v>
      </c>
      <c r="Z652" s="331">
        <v>0</v>
      </c>
      <c r="AA652" s="235"/>
      <c r="AB652" s="335">
        <v>81502.762996872247</v>
      </c>
      <c r="AC652" s="336">
        <v>4.8865932923249034</v>
      </c>
      <c r="AD652" s="337">
        <v>65306.522454525708</v>
      </c>
      <c r="AE652" s="336">
        <v>4.5081764685282693</v>
      </c>
      <c r="AF652" s="337">
        <v>16196.240542346539</v>
      </c>
      <c r="AG652" s="338">
        <v>0.37841682379663411</v>
      </c>
      <c r="AH652" s="235"/>
      <c r="AI652" s="208">
        <f t="shared" si="68"/>
        <v>4560760.8647117866</v>
      </c>
      <c r="AJ652" s="208">
        <f t="shared" si="69"/>
        <v>4217461.1226473302</v>
      </c>
      <c r="AK652" s="208">
        <f t="shared" si="70"/>
        <v>343299.74206445587</v>
      </c>
      <c r="AL652" s="235"/>
      <c r="AM652" s="52">
        <f t="shared" si="58"/>
        <v>1</v>
      </c>
      <c r="AN652" s="52">
        <f t="shared" si="59"/>
        <v>0</v>
      </c>
      <c r="AO652" s="52">
        <f t="shared" si="60"/>
        <v>1</v>
      </c>
      <c r="AP652" s="235"/>
      <c r="AQ652" s="28"/>
      <c r="AR652" s="28"/>
      <c r="AS652" s="28"/>
      <c r="AT652" s="28"/>
      <c r="AU652" s="235"/>
      <c r="AV652" s="360">
        <f t="shared" si="71"/>
        <v>4560760.8647117866</v>
      </c>
      <c r="AW652" s="235"/>
      <c r="AX652" s="355"/>
      <c r="AY652" s="344"/>
      <c r="AZ652" s="14">
        <f t="shared" si="73"/>
        <v>16196.240542346539</v>
      </c>
      <c r="BA652" s="14">
        <f t="shared" si="72"/>
        <v>0.37841682379663411</v>
      </c>
      <c r="BB652" s="14">
        <f t="shared" si="61"/>
        <v>42800.001278618096</v>
      </c>
      <c r="BC652" s="344"/>
      <c r="BD652" s="344"/>
      <c r="BE652" s="344"/>
      <c r="BF652" s="344"/>
      <c r="BG652" s="344"/>
      <c r="BH652" s="344"/>
      <c r="BI652" s="344"/>
      <c r="BJ652" s="344"/>
      <c r="BK652" s="344"/>
      <c r="BL652" s="344"/>
      <c r="BM652" s="344"/>
      <c r="BN652" s="344"/>
      <c r="BO652" s="344"/>
      <c r="BP652" s="344"/>
      <c r="BQ652" s="344"/>
      <c r="BR652" s="344"/>
      <c r="BS652" s="344"/>
      <c r="BT652" s="344"/>
      <c r="BU652" s="344"/>
      <c r="BV652" s="344"/>
      <c r="BW652" s="344"/>
      <c r="BX652" s="344"/>
      <c r="BY652" s="344"/>
      <c r="BZ652" s="344"/>
      <c r="CA652" s="344"/>
      <c r="CB652" s="28"/>
      <c r="CC652" s="28"/>
      <c r="CD652" s="28"/>
      <c r="CE652" s="28"/>
      <c r="CF652" s="28"/>
      <c r="CG652" s="28"/>
      <c r="CH652" s="28"/>
      <c r="CI652" s="28"/>
      <c r="CJ652" s="28"/>
      <c r="CK652" s="28"/>
      <c r="CL652" s="28"/>
      <c r="CM652" s="28"/>
      <c r="CN652" s="28"/>
      <c r="CO652" s="28"/>
      <c r="CP652" s="28"/>
      <c r="CQ652" s="28"/>
      <c r="CR652" s="28"/>
      <c r="CS652" s="28"/>
      <c r="CT652" s="28"/>
      <c r="CU652" s="28"/>
      <c r="CV652" s="28"/>
      <c r="CW652" s="28"/>
    </row>
    <row r="653" spans="1:101" ht="14.25" customHeight="1" x14ac:dyDescent="0.2">
      <c r="A653" s="328"/>
      <c r="B653" s="52">
        <v>0.14186885580920125</v>
      </c>
      <c r="C653" s="330">
        <v>0.7570495568824096</v>
      </c>
      <c r="D653" s="330">
        <v>1.5737688650460879E-2</v>
      </c>
      <c r="E653" s="330">
        <v>1.5472963427744624E-2</v>
      </c>
      <c r="F653" s="331">
        <v>0.80152095435247883</v>
      </c>
      <c r="G653" s="94">
        <v>0.44261672812087027</v>
      </c>
      <c r="H653" s="330">
        <v>0.7440911578145506</v>
      </c>
      <c r="I653" s="330">
        <v>6.2211148073060803E-3</v>
      </c>
      <c r="J653" s="330">
        <v>0.99999953805204378</v>
      </c>
      <c r="K653" s="330">
        <v>0.74640116638720688</v>
      </c>
      <c r="L653" s="332">
        <v>20356.325042217151</v>
      </c>
      <c r="M653" s="330">
        <v>0</v>
      </c>
      <c r="N653" s="330">
        <v>14148.479568539955</v>
      </c>
      <c r="O653" s="330">
        <v>1249.5859905663997</v>
      </c>
      <c r="P653" s="330">
        <v>41428.380279850746</v>
      </c>
      <c r="Q653" s="333">
        <v>105918.36420672925</v>
      </c>
      <c r="R653" s="330">
        <v>18063.599949282729</v>
      </c>
      <c r="S653" s="330">
        <v>8259.9593167596522</v>
      </c>
      <c r="T653" s="332">
        <v>0.88160951199618687</v>
      </c>
      <c r="U653" s="330">
        <v>0.9182361836885089</v>
      </c>
      <c r="V653" s="330">
        <v>0.9915250313824322</v>
      </c>
      <c r="W653" s="330">
        <v>0.86775515906032819</v>
      </c>
      <c r="X653" s="330">
        <v>0.99911181249479952</v>
      </c>
      <c r="Y653" s="330">
        <v>0</v>
      </c>
      <c r="Z653" s="331">
        <v>0</v>
      </c>
      <c r="AA653" s="235"/>
      <c r="AB653" s="335">
        <v>93758.510999103033</v>
      </c>
      <c r="AC653" s="336">
        <v>4.969925194706823</v>
      </c>
      <c r="AD653" s="337">
        <v>73108.267774834472</v>
      </c>
      <c r="AE653" s="336">
        <v>4.8866081418635012</v>
      </c>
      <c r="AF653" s="337">
        <v>20650.243224268561</v>
      </c>
      <c r="AG653" s="338">
        <v>8.3317052843321804E-2</v>
      </c>
      <c r="AH653" s="235"/>
      <c r="AI653" s="208">
        <f t="shared" si="68"/>
        <v>4627670.4239723785</v>
      </c>
      <c r="AJ653" s="208">
        <f t="shared" si="69"/>
        <v>4569169.4669954916</v>
      </c>
      <c r="AK653" s="208">
        <f t="shared" si="70"/>
        <v>58500.956976887159</v>
      </c>
      <c r="AL653" s="235"/>
      <c r="AM653" s="52">
        <f t="shared" si="58"/>
        <v>1</v>
      </c>
      <c r="AN653" s="52">
        <f t="shared" si="59"/>
        <v>0</v>
      </c>
      <c r="AO653" s="52">
        <f t="shared" si="60"/>
        <v>1</v>
      </c>
      <c r="AP653" s="235"/>
      <c r="AQ653" s="28"/>
      <c r="AR653" s="28"/>
      <c r="AS653" s="28"/>
      <c r="AT653" s="28"/>
      <c r="AU653" s="235"/>
      <c r="AV653" s="360">
        <f t="shared" si="71"/>
        <v>4627670.4239723785</v>
      </c>
      <c r="AW653" s="235"/>
      <c r="AX653" s="355"/>
      <c r="AY653" s="344"/>
      <c r="AZ653" s="14">
        <f t="shared" si="73"/>
        <v>20650.243224268561</v>
      </c>
      <c r="BA653" s="14">
        <f t="shared" si="72"/>
        <v>8.3317052843321804E-2</v>
      </c>
      <c r="BB653" s="14">
        <f t="shared" si="61"/>
        <v>247851.34038648082</v>
      </c>
      <c r="BC653" s="344"/>
      <c r="BD653" s="344"/>
      <c r="BE653" s="344"/>
      <c r="BF653" s="344"/>
      <c r="BG653" s="344"/>
      <c r="BH653" s="344"/>
      <c r="BI653" s="344"/>
      <c r="BJ653" s="344"/>
      <c r="BK653" s="344"/>
      <c r="BL653" s="344"/>
      <c r="BM653" s="344"/>
      <c r="BN653" s="344"/>
      <c r="BO653" s="344"/>
      <c r="BP653" s="344"/>
      <c r="BQ653" s="344"/>
      <c r="BR653" s="344"/>
      <c r="BS653" s="344"/>
      <c r="BT653" s="344"/>
      <c r="BU653" s="344"/>
      <c r="BV653" s="344"/>
      <c r="BW653" s="344"/>
      <c r="BX653" s="344"/>
      <c r="BY653" s="344"/>
      <c r="BZ653" s="344"/>
      <c r="CA653" s="344"/>
      <c r="CB653" s="28"/>
      <c r="CC653" s="28"/>
      <c r="CD653" s="28"/>
      <c r="CE653" s="28"/>
      <c r="CF653" s="28"/>
      <c r="CG653" s="28"/>
      <c r="CH653" s="28"/>
      <c r="CI653" s="28"/>
      <c r="CJ653" s="28"/>
      <c r="CK653" s="28"/>
      <c r="CL653" s="28"/>
      <c r="CM653" s="28"/>
      <c r="CN653" s="28"/>
      <c r="CO653" s="28"/>
      <c r="CP653" s="28"/>
      <c r="CQ653" s="28"/>
      <c r="CR653" s="28"/>
      <c r="CS653" s="28"/>
      <c r="CT653" s="28"/>
      <c r="CU653" s="28"/>
      <c r="CV653" s="28"/>
      <c r="CW653" s="28"/>
    </row>
    <row r="654" spans="1:101" ht="14.25" customHeight="1" x14ac:dyDescent="0.2">
      <c r="A654" s="328"/>
      <c r="B654" s="52">
        <v>0.16885581162218011</v>
      </c>
      <c r="C654" s="330">
        <v>0.29817863517218479</v>
      </c>
      <c r="D654" s="330">
        <v>1.8896034478717905E-2</v>
      </c>
      <c r="E654" s="330">
        <v>1.8980418008889721E-2</v>
      </c>
      <c r="F654" s="331">
        <v>0.75171001531947901</v>
      </c>
      <c r="G654" s="94">
        <v>0.34377614008523566</v>
      </c>
      <c r="H654" s="330">
        <v>0.9383087635655375</v>
      </c>
      <c r="I654" s="330">
        <v>2.5333641670368906E-3</v>
      </c>
      <c r="J654" s="330">
        <v>6.5495066085475737E-4</v>
      </c>
      <c r="K654" s="330">
        <v>0.8215981065042699</v>
      </c>
      <c r="L654" s="332">
        <v>11811.000635631395</v>
      </c>
      <c r="M654" s="330">
        <v>0</v>
      </c>
      <c r="N654" s="330">
        <v>16338.956609317216</v>
      </c>
      <c r="O654" s="330">
        <v>1115.6513922668096</v>
      </c>
      <c r="P654" s="330">
        <v>39546.641323552685</v>
      </c>
      <c r="Q654" s="333">
        <v>82212.065368260024</v>
      </c>
      <c r="R654" s="330">
        <v>34241.523113989664</v>
      </c>
      <c r="S654" s="330">
        <v>8455.0150069262327</v>
      </c>
      <c r="T654" s="332">
        <v>0.82986564099532678</v>
      </c>
      <c r="U654" s="330">
        <v>0.67605956802180989</v>
      </c>
      <c r="V654" s="330">
        <v>0.98737290661949095</v>
      </c>
      <c r="W654" s="330">
        <v>0.99711252337679213</v>
      </c>
      <c r="X654" s="330">
        <v>0.13049278380314192</v>
      </c>
      <c r="Y654" s="330">
        <v>0</v>
      </c>
      <c r="Z654" s="331">
        <v>0</v>
      </c>
      <c r="AA654" s="235"/>
      <c r="AB654" s="335">
        <v>82193.812384920879</v>
      </c>
      <c r="AC654" s="336">
        <v>0.6447822706672941</v>
      </c>
      <c r="AD654" s="337">
        <v>86027.133446840191</v>
      </c>
      <c r="AE654" s="336">
        <v>0.94165025195391983</v>
      </c>
      <c r="AF654" s="337">
        <v>-3833.3210619193123</v>
      </c>
      <c r="AG654" s="338">
        <v>-0.29686798128662573</v>
      </c>
      <c r="AH654" s="235"/>
      <c r="AI654" s="208">
        <f t="shared" ref="AI654:AI717" si="74">AC654*cRatio-AB654</f>
        <v>530349.34474900854</v>
      </c>
      <c r="AJ654" s="208">
        <f t="shared" ref="AJ654:AJ717" si="75">AE654*cRatio-AD654</f>
        <v>808540.60590938362</v>
      </c>
      <c r="AK654" s="208">
        <f t="shared" ref="AK654:AK717" si="76">AG654*cRatio-AF654</f>
        <v>-278191.26116037508</v>
      </c>
      <c r="AL654" s="235"/>
      <c r="AM654" s="52">
        <f t="shared" si="58"/>
        <v>0</v>
      </c>
      <c r="AN654" s="52">
        <f t="shared" si="59"/>
        <v>1</v>
      </c>
      <c r="AO654" s="52">
        <f t="shared" si="60"/>
        <v>0</v>
      </c>
      <c r="AP654" s="235"/>
      <c r="AQ654" s="28"/>
      <c r="AR654" s="28"/>
      <c r="AS654" s="28"/>
      <c r="AT654" s="28"/>
      <c r="AU654" s="235"/>
      <c r="AV654" s="360">
        <f t="shared" si="71"/>
        <v>808540.60590938362</v>
      </c>
      <c r="AW654" s="235"/>
      <c r="AX654" s="355"/>
      <c r="AY654" s="344"/>
      <c r="AZ654" s="14">
        <f t="shared" si="73"/>
        <v>-3833.3210619193123</v>
      </c>
      <c r="BA654" s="14">
        <f t="shared" si="72"/>
        <v>-0.29686798128662573</v>
      </c>
      <c r="BB654" s="14">
        <f t="shared" si="61"/>
        <v>12912.544644611724</v>
      </c>
      <c r="BC654" s="344"/>
      <c r="BD654" s="344"/>
      <c r="BE654" s="344"/>
      <c r="BF654" s="344"/>
      <c r="BG654" s="344"/>
      <c r="BH654" s="344"/>
      <c r="BI654" s="344"/>
      <c r="BJ654" s="344"/>
      <c r="BK654" s="344"/>
      <c r="BL654" s="344"/>
      <c r="BM654" s="344"/>
      <c r="BN654" s="344"/>
      <c r="BO654" s="344"/>
      <c r="BP654" s="344"/>
      <c r="BQ654" s="344"/>
      <c r="BR654" s="344"/>
      <c r="BS654" s="344"/>
      <c r="BT654" s="344"/>
      <c r="BU654" s="344"/>
      <c r="BV654" s="344"/>
      <c r="BW654" s="344"/>
      <c r="BX654" s="344"/>
      <c r="BY654" s="344"/>
      <c r="BZ654" s="344"/>
      <c r="CA654" s="344"/>
      <c r="CB654" s="28"/>
      <c r="CC654" s="28"/>
      <c r="CD654" s="28"/>
      <c r="CE654" s="28"/>
      <c r="CF654" s="28"/>
      <c r="CG654" s="28"/>
      <c r="CH654" s="28"/>
      <c r="CI654" s="28"/>
      <c r="CJ654" s="28"/>
      <c r="CK654" s="28"/>
      <c r="CL654" s="28"/>
      <c r="CM654" s="28"/>
      <c r="CN654" s="28"/>
      <c r="CO654" s="28"/>
      <c r="CP654" s="28"/>
      <c r="CQ654" s="28"/>
      <c r="CR654" s="28"/>
      <c r="CS654" s="28"/>
      <c r="CT654" s="28"/>
      <c r="CU654" s="28"/>
      <c r="CV654" s="28"/>
      <c r="CW654" s="28"/>
    </row>
    <row r="655" spans="1:101" ht="14.25" customHeight="1" x14ac:dyDescent="0.2">
      <c r="A655" s="328"/>
      <c r="B655" s="52">
        <v>0.1805436299024662</v>
      </c>
      <c r="C655" s="330">
        <v>0.57343436090046063</v>
      </c>
      <c r="D655" s="330">
        <v>2.577372166634806E-2</v>
      </c>
      <c r="E655" s="330">
        <v>1.5152896037180175E-2</v>
      </c>
      <c r="F655" s="331">
        <v>0.72772270157953922</v>
      </c>
      <c r="G655" s="94">
        <v>0.40919423070677818</v>
      </c>
      <c r="H655" s="330">
        <v>1.7426102390424487E-2</v>
      </c>
      <c r="I655" s="330">
        <v>5.2416278015707474E-2</v>
      </c>
      <c r="J655" s="330">
        <v>0.99999999999958789</v>
      </c>
      <c r="K655" s="330">
        <v>0.72317999478891248</v>
      </c>
      <c r="L655" s="332">
        <v>17239.578260269212</v>
      </c>
      <c r="M655" s="330">
        <v>0</v>
      </c>
      <c r="N655" s="330">
        <v>19440.628456505197</v>
      </c>
      <c r="O655" s="330">
        <v>1296.1796765624895</v>
      </c>
      <c r="P655" s="330">
        <v>52779.685375939516</v>
      </c>
      <c r="Q655" s="333">
        <v>91643.052058348519</v>
      </c>
      <c r="R655" s="330">
        <v>22394.669901110421</v>
      </c>
      <c r="S655" s="330">
        <v>9413.6269034294291</v>
      </c>
      <c r="T655" s="332">
        <v>0.99281843014193649</v>
      </c>
      <c r="U655" s="330">
        <v>0.95671857725395193</v>
      </c>
      <c r="V655" s="330">
        <v>0.96268807517642685</v>
      </c>
      <c r="W655" s="330">
        <v>0.98876359045677908</v>
      </c>
      <c r="X655" s="330">
        <v>0.34910117403100183</v>
      </c>
      <c r="Y655" s="330">
        <v>0</v>
      </c>
      <c r="Z655" s="331">
        <v>0</v>
      </c>
      <c r="AA655" s="235"/>
      <c r="AB655" s="335">
        <v>93738.054021042233</v>
      </c>
      <c r="AC655" s="336">
        <v>2.033376645081304</v>
      </c>
      <c r="AD655" s="337">
        <v>77527.2630115379</v>
      </c>
      <c r="AE655" s="336">
        <v>1.6253867713604093</v>
      </c>
      <c r="AF655" s="337">
        <v>16210.791009504333</v>
      </c>
      <c r="AG655" s="338">
        <v>0.40798987372089468</v>
      </c>
      <c r="AH655" s="235"/>
      <c r="AI655" s="208">
        <f t="shared" si="74"/>
        <v>1837969.7588061965</v>
      </c>
      <c r="AJ655" s="208">
        <f t="shared" si="75"/>
        <v>1466590.1697808509</v>
      </c>
      <c r="AK655" s="208">
        <f t="shared" si="76"/>
        <v>371379.58902534557</v>
      </c>
      <c r="AL655" s="235"/>
      <c r="AM655" s="52">
        <f t="shared" si="58"/>
        <v>1</v>
      </c>
      <c r="AN655" s="52">
        <f t="shared" si="59"/>
        <v>0</v>
      </c>
      <c r="AO655" s="52">
        <f t="shared" si="60"/>
        <v>1</v>
      </c>
      <c r="AP655" s="235"/>
      <c r="AQ655" s="28"/>
      <c r="AR655" s="28"/>
      <c r="AS655" s="28"/>
      <c r="AT655" s="28"/>
      <c r="AU655" s="235"/>
      <c r="AV655" s="360">
        <f t="shared" ref="AV655:AV718" si="77">MAX(AI655:AJ655)</f>
        <v>1837969.7588061965</v>
      </c>
      <c r="AW655" s="235"/>
      <c r="AX655" s="355"/>
      <c r="AY655" s="344"/>
      <c r="AZ655" s="14">
        <f t="shared" si="73"/>
        <v>16210.791009504333</v>
      </c>
      <c r="BA655" s="14">
        <f t="shared" ref="BA655:BA718" si="78">AG655</f>
        <v>0.40798987372089468</v>
      </c>
      <c r="BB655" s="14">
        <f t="shared" si="61"/>
        <v>39733.317059222194</v>
      </c>
      <c r="BC655" s="344"/>
      <c r="BD655" s="344"/>
      <c r="BE655" s="344"/>
      <c r="BF655" s="344"/>
      <c r="BG655" s="344"/>
      <c r="BH655" s="344"/>
      <c r="BI655" s="344"/>
      <c r="BJ655" s="344"/>
      <c r="BK655" s="344"/>
      <c r="BL655" s="344"/>
      <c r="BM655" s="344"/>
      <c r="BN655" s="344"/>
      <c r="BO655" s="344"/>
      <c r="BP655" s="344"/>
      <c r="BQ655" s="344"/>
      <c r="BR655" s="344"/>
      <c r="BS655" s="344"/>
      <c r="BT655" s="344"/>
      <c r="BU655" s="344"/>
      <c r="BV655" s="344"/>
      <c r="BW655" s="344"/>
      <c r="BX655" s="344"/>
      <c r="BY655" s="344"/>
      <c r="BZ655" s="344"/>
      <c r="CA655" s="344"/>
      <c r="CB655" s="28"/>
      <c r="CC655" s="28"/>
      <c r="CD655" s="28"/>
      <c r="CE655" s="28"/>
      <c r="CF655" s="28"/>
      <c r="CG655" s="28"/>
      <c r="CH655" s="28"/>
      <c r="CI655" s="28"/>
      <c r="CJ655" s="28"/>
      <c r="CK655" s="28"/>
      <c r="CL655" s="28"/>
      <c r="CM655" s="28"/>
      <c r="CN655" s="28"/>
      <c r="CO655" s="28"/>
      <c r="CP655" s="28"/>
      <c r="CQ655" s="28"/>
      <c r="CR655" s="28"/>
      <c r="CS655" s="28"/>
      <c r="CT655" s="28"/>
      <c r="CU655" s="28"/>
      <c r="CV655" s="28"/>
      <c r="CW655" s="28"/>
    </row>
    <row r="656" spans="1:101" ht="14.25" customHeight="1" x14ac:dyDescent="0.2">
      <c r="A656" s="328"/>
      <c r="B656" s="52">
        <v>0.18537192192067253</v>
      </c>
      <c r="C656" s="330">
        <v>0.31600156760068787</v>
      </c>
      <c r="D656" s="330">
        <v>7.6673297858552581E-3</v>
      </c>
      <c r="E656" s="330">
        <v>9.5568161010048391E-3</v>
      </c>
      <c r="F656" s="331">
        <v>0.78491497266326005</v>
      </c>
      <c r="G656" s="94">
        <v>0.39928552479689239</v>
      </c>
      <c r="H656" s="330">
        <v>0.33737669563804285</v>
      </c>
      <c r="I656" s="330">
        <v>1.7221281603919669E-2</v>
      </c>
      <c r="J656" s="330">
        <v>0.99989951114646203</v>
      </c>
      <c r="K656" s="330">
        <v>0.73471042954007049</v>
      </c>
      <c r="L656" s="332">
        <v>12828.459112546525</v>
      </c>
      <c r="M656" s="330">
        <v>0</v>
      </c>
      <c r="N656" s="330">
        <v>21513.804763622073</v>
      </c>
      <c r="O656" s="330">
        <v>1394.7740915685654</v>
      </c>
      <c r="P656" s="330">
        <v>47540.584823401434</v>
      </c>
      <c r="Q656" s="333">
        <v>105665.2160978683</v>
      </c>
      <c r="R656" s="330">
        <v>12747.448689764227</v>
      </c>
      <c r="S656" s="330">
        <v>10172.740959060111</v>
      </c>
      <c r="T656" s="332">
        <v>0.98406331644022338</v>
      </c>
      <c r="U656" s="330">
        <v>0.67844125543000933</v>
      </c>
      <c r="V656" s="330">
        <v>0.87726672886214563</v>
      </c>
      <c r="W656" s="330">
        <v>0.99433877495799994</v>
      </c>
      <c r="X656" s="330">
        <v>0.33614314743927215</v>
      </c>
      <c r="Y656" s="330">
        <v>0</v>
      </c>
      <c r="Z656" s="331">
        <v>0</v>
      </c>
      <c r="AA656" s="235"/>
      <c r="AB656" s="335">
        <v>99670.905649325738</v>
      </c>
      <c r="AC656" s="336">
        <v>1.8580273262927891</v>
      </c>
      <c r="AD656" s="337">
        <v>83679.029450000584</v>
      </c>
      <c r="AE656" s="336">
        <v>1.5636642770419282</v>
      </c>
      <c r="AF656" s="337">
        <v>15991.876199325154</v>
      </c>
      <c r="AG656" s="338">
        <v>0.29436304925086088</v>
      </c>
      <c r="AH656" s="235"/>
      <c r="AI656" s="208">
        <f t="shared" si="74"/>
        <v>1665455.0543288239</v>
      </c>
      <c r="AJ656" s="208">
        <f t="shared" si="75"/>
        <v>1401802.0337398313</v>
      </c>
      <c r="AK656" s="208">
        <f t="shared" si="76"/>
        <v>263653.02058899269</v>
      </c>
      <c r="AL656" s="235"/>
      <c r="AM656" s="52">
        <f t="shared" si="58"/>
        <v>1</v>
      </c>
      <c r="AN656" s="52">
        <f t="shared" si="59"/>
        <v>0</v>
      </c>
      <c r="AO656" s="52">
        <f t="shared" si="60"/>
        <v>1</v>
      </c>
      <c r="AP656" s="235"/>
      <c r="AQ656" s="28"/>
      <c r="AR656" s="28"/>
      <c r="AS656" s="28"/>
      <c r="AT656" s="28"/>
      <c r="AU656" s="235"/>
      <c r="AV656" s="360">
        <f t="shared" si="77"/>
        <v>1665455.0543288239</v>
      </c>
      <c r="AW656" s="235"/>
      <c r="AX656" s="355"/>
      <c r="AY656" s="344"/>
      <c r="AZ656" s="14">
        <f t="shared" ref="AZ656:AZ719" si="79">AF656</f>
        <v>15991.876199325154</v>
      </c>
      <c r="BA656" s="14">
        <f t="shared" si="78"/>
        <v>0.29436304925086088</v>
      </c>
      <c r="BB656" s="14">
        <f t="shared" si="61"/>
        <v>54327.05035507572</v>
      </c>
      <c r="BC656" s="344"/>
      <c r="BD656" s="344"/>
      <c r="BE656" s="344"/>
      <c r="BF656" s="344"/>
      <c r="BG656" s="344"/>
      <c r="BH656" s="344"/>
      <c r="BI656" s="344"/>
      <c r="BJ656" s="344"/>
      <c r="BK656" s="344"/>
      <c r="BL656" s="344"/>
      <c r="BM656" s="344"/>
      <c r="BN656" s="344"/>
      <c r="BO656" s="344"/>
      <c r="BP656" s="344"/>
      <c r="BQ656" s="344"/>
      <c r="BR656" s="344"/>
      <c r="BS656" s="344"/>
      <c r="BT656" s="344"/>
      <c r="BU656" s="344"/>
      <c r="BV656" s="344"/>
      <c r="BW656" s="344"/>
      <c r="BX656" s="344"/>
      <c r="BY656" s="344"/>
      <c r="BZ656" s="344"/>
      <c r="CA656" s="344"/>
      <c r="CB656" s="28"/>
      <c r="CC656" s="28"/>
      <c r="CD656" s="28"/>
      <c r="CE656" s="28"/>
      <c r="CF656" s="28"/>
      <c r="CG656" s="28"/>
      <c r="CH656" s="28"/>
      <c r="CI656" s="28"/>
      <c r="CJ656" s="28"/>
      <c r="CK656" s="28"/>
      <c r="CL656" s="28"/>
      <c r="CM656" s="28"/>
      <c r="CN656" s="28"/>
      <c r="CO656" s="28"/>
      <c r="CP656" s="28"/>
      <c r="CQ656" s="28"/>
      <c r="CR656" s="28"/>
      <c r="CS656" s="28"/>
      <c r="CT656" s="28"/>
      <c r="CU656" s="28"/>
      <c r="CV656" s="28"/>
      <c r="CW656" s="28"/>
    </row>
    <row r="657" spans="1:101" ht="14.25" customHeight="1" x14ac:dyDescent="0.2">
      <c r="A657" s="328"/>
      <c r="B657" s="52">
        <v>0.14209613422988376</v>
      </c>
      <c r="C657" s="330">
        <v>0.28868085004339999</v>
      </c>
      <c r="D657" s="330">
        <v>1.877797430376249E-2</v>
      </c>
      <c r="E657" s="330">
        <v>4.0804302642539481E-3</v>
      </c>
      <c r="F657" s="331">
        <v>0.73792570071202435</v>
      </c>
      <c r="G657" s="94">
        <v>0.41246255221912131</v>
      </c>
      <c r="H657" s="330">
        <v>0.67906747121006328</v>
      </c>
      <c r="I657" s="330">
        <v>4.0223491112098775E-2</v>
      </c>
      <c r="J657" s="330">
        <v>1.0131517867892875E-2</v>
      </c>
      <c r="K657" s="330">
        <v>0.76515647190384772</v>
      </c>
      <c r="L657" s="332">
        <v>14686.641624673461</v>
      </c>
      <c r="M657" s="330">
        <v>0</v>
      </c>
      <c r="N657" s="330">
        <v>25904.254274504274</v>
      </c>
      <c r="O657" s="330">
        <v>1614.4326403947043</v>
      </c>
      <c r="P657" s="330">
        <v>45960.01557234217</v>
      </c>
      <c r="Q657" s="333">
        <v>108757.68999838657</v>
      </c>
      <c r="R657" s="330">
        <v>26758.428700835844</v>
      </c>
      <c r="S657" s="330">
        <v>11087.822009249667</v>
      </c>
      <c r="T657" s="332">
        <v>0.52953566569317956</v>
      </c>
      <c r="U657" s="330">
        <v>9.2381239526692818E-2</v>
      </c>
      <c r="V657" s="330">
        <v>0.93990651351590071</v>
      </c>
      <c r="W657" s="330">
        <v>0.97591350932305665</v>
      </c>
      <c r="X657" s="330">
        <v>0.56475543058028699</v>
      </c>
      <c r="Y657" s="330">
        <v>0</v>
      </c>
      <c r="Z657" s="331">
        <v>0</v>
      </c>
      <c r="AA657" s="235"/>
      <c r="AB657" s="335">
        <v>104107.48109236686</v>
      </c>
      <c r="AC657" s="336">
        <v>2.7397520349503166</v>
      </c>
      <c r="AD657" s="337">
        <v>100846.68865217034</v>
      </c>
      <c r="AE657" s="336">
        <v>2.6167025702086737</v>
      </c>
      <c r="AF657" s="337">
        <v>3260.7924401965138</v>
      </c>
      <c r="AG657" s="338">
        <v>0.12304946474164291</v>
      </c>
      <c r="AH657" s="235"/>
      <c r="AI657" s="208">
        <f t="shared" si="74"/>
        <v>2498656.952110434</v>
      </c>
      <c r="AJ657" s="208">
        <f t="shared" si="75"/>
        <v>2385020.7530460698</v>
      </c>
      <c r="AK657" s="208">
        <f t="shared" si="76"/>
        <v>113636.19906436425</v>
      </c>
      <c r="AL657" s="235"/>
      <c r="AM657" s="52">
        <f t="shared" si="58"/>
        <v>1</v>
      </c>
      <c r="AN657" s="52">
        <f t="shared" si="59"/>
        <v>0</v>
      </c>
      <c r="AO657" s="52">
        <f t="shared" si="60"/>
        <v>1</v>
      </c>
      <c r="AP657" s="235"/>
      <c r="AQ657" s="28"/>
      <c r="AR657" s="28"/>
      <c r="AS657" s="28"/>
      <c r="AT657" s="28"/>
      <c r="AU657" s="235"/>
      <c r="AV657" s="360">
        <f t="shared" si="77"/>
        <v>2498656.952110434</v>
      </c>
      <c r="AW657" s="235"/>
      <c r="AX657" s="355"/>
      <c r="AY657" s="344"/>
      <c r="AZ657" s="14">
        <f t="shared" si="79"/>
        <v>3260.7924401965138</v>
      </c>
      <c r="BA657" s="14">
        <f t="shared" si="78"/>
        <v>0.12304946474164291</v>
      </c>
      <c r="BB657" s="14">
        <f t="shared" si="61"/>
        <v>26499.850666095444</v>
      </c>
      <c r="BC657" s="344"/>
      <c r="BD657" s="344"/>
      <c r="BE657" s="344"/>
      <c r="BF657" s="344"/>
      <c r="BG657" s="344"/>
      <c r="BH657" s="344"/>
      <c r="BI657" s="344"/>
      <c r="BJ657" s="344"/>
      <c r="BK657" s="344"/>
      <c r="BL657" s="344"/>
      <c r="BM657" s="344"/>
      <c r="BN657" s="344"/>
      <c r="BO657" s="344"/>
      <c r="BP657" s="344"/>
      <c r="BQ657" s="344"/>
      <c r="BR657" s="344"/>
      <c r="BS657" s="344"/>
      <c r="BT657" s="344"/>
      <c r="BU657" s="344"/>
      <c r="BV657" s="344"/>
      <c r="BW657" s="344"/>
      <c r="BX657" s="344"/>
      <c r="BY657" s="344"/>
      <c r="BZ657" s="344"/>
      <c r="CA657" s="344"/>
      <c r="CB657" s="28"/>
      <c r="CC657" s="28"/>
      <c r="CD657" s="28"/>
      <c r="CE657" s="28"/>
      <c r="CF657" s="28"/>
      <c r="CG657" s="28"/>
      <c r="CH657" s="28"/>
      <c r="CI657" s="28"/>
      <c r="CJ657" s="28"/>
      <c r="CK657" s="28"/>
      <c r="CL657" s="28"/>
      <c r="CM657" s="28"/>
      <c r="CN657" s="28"/>
      <c r="CO657" s="28"/>
      <c r="CP657" s="28"/>
      <c r="CQ657" s="28"/>
      <c r="CR657" s="28"/>
      <c r="CS657" s="28"/>
      <c r="CT657" s="28"/>
      <c r="CU657" s="28"/>
      <c r="CV657" s="28"/>
      <c r="CW657" s="28"/>
    </row>
    <row r="658" spans="1:101" ht="14.25" customHeight="1" x14ac:dyDescent="0.2">
      <c r="A658" s="328"/>
      <c r="B658" s="52">
        <v>0.16603387609245246</v>
      </c>
      <c r="C658" s="330">
        <v>0.69573491692797251</v>
      </c>
      <c r="D658" s="330">
        <v>1.2919055299891685E-2</v>
      </c>
      <c r="E658" s="330">
        <v>1.8910264233009344E-2</v>
      </c>
      <c r="F658" s="331">
        <v>0.79817647302305295</v>
      </c>
      <c r="G658" s="94">
        <v>0.43423807541990833</v>
      </c>
      <c r="H658" s="330">
        <v>0.92025191293036745</v>
      </c>
      <c r="I658" s="330">
        <v>1.0924804134366055E-2</v>
      </c>
      <c r="J658" s="330">
        <v>0.99992028009697176</v>
      </c>
      <c r="K658" s="330">
        <v>0.76081349781983443</v>
      </c>
      <c r="L658" s="332">
        <v>9819.3078558840643</v>
      </c>
      <c r="M658" s="330">
        <v>0</v>
      </c>
      <c r="N658" s="330">
        <v>14588.953226804006</v>
      </c>
      <c r="O658" s="330">
        <v>1166.7495779939863</v>
      </c>
      <c r="P658" s="330">
        <v>43799.02008245766</v>
      </c>
      <c r="Q658" s="333">
        <v>70642.60117821701</v>
      </c>
      <c r="R658" s="330">
        <v>29079.062865076907</v>
      </c>
      <c r="S658" s="330">
        <v>9468.1264002732187</v>
      </c>
      <c r="T658" s="332">
        <v>0.95858522410167912</v>
      </c>
      <c r="U658" s="330">
        <v>0.26698988899823056</v>
      </c>
      <c r="V658" s="330">
        <v>0.45017513665616632</v>
      </c>
      <c r="W658" s="330">
        <v>0.96721519067249218</v>
      </c>
      <c r="X658" s="330">
        <v>0.99999990640446046</v>
      </c>
      <c r="Y658" s="330">
        <v>0</v>
      </c>
      <c r="Z658" s="331">
        <v>0</v>
      </c>
      <c r="AA658" s="235"/>
      <c r="AB658" s="335">
        <v>94624.453461900863</v>
      </c>
      <c r="AC658" s="336">
        <v>5.0788803445923181</v>
      </c>
      <c r="AD658" s="337">
        <v>90010.20017393498</v>
      </c>
      <c r="AE658" s="336">
        <v>4.6944514905160712</v>
      </c>
      <c r="AF658" s="337">
        <v>4614.2532879658829</v>
      </c>
      <c r="AG658" s="338">
        <v>0.38442885407624683</v>
      </c>
      <c r="AH658" s="235"/>
      <c r="AI658" s="208">
        <f t="shared" si="74"/>
        <v>4730311.8739008009</v>
      </c>
      <c r="AJ658" s="208">
        <f t="shared" si="75"/>
        <v>4369718.715816333</v>
      </c>
      <c r="AK658" s="208">
        <f t="shared" si="76"/>
        <v>360593.15808446857</v>
      </c>
      <c r="AL658" s="235"/>
      <c r="AM658" s="52">
        <f t="shared" si="58"/>
        <v>1</v>
      </c>
      <c r="AN658" s="52">
        <f t="shared" si="59"/>
        <v>0</v>
      </c>
      <c r="AO658" s="52">
        <f t="shared" si="60"/>
        <v>1</v>
      </c>
      <c r="AP658" s="235"/>
      <c r="AQ658" s="28"/>
      <c r="AR658" s="28"/>
      <c r="AS658" s="28"/>
      <c r="AT658" s="28"/>
      <c r="AU658" s="235"/>
      <c r="AV658" s="360">
        <f t="shared" si="77"/>
        <v>4730311.8739008009</v>
      </c>
      <c r="AW658" s="235"/>
      <c r="AX658" s="355"/>
      <c r="AY658" s="344"/>
      <c r="AZ658" s="14">
        <f t="shared" si="79"/>
        <v>4614.2532879658829</v>
      </c>
      <c r="BA658" s="14">
        <f t="shared" si="78"/>
        <v>0.38442885407624683</v>
      </c>
      <c r="BB658" s="14">
        <f t="shared" si="61"/>
        <v>12002.87969812667</v>
      </c>
      <c r="BC658" s="344"/>
      <c r="BD658" s="344"/>
      <c r="BE658" s="344"/>
      <c r="BF658" s="344"/>
      <c r="BG658" s="344"/>
      <c r="BH658" s="344"/>
      <c r="BI658" s="344"/>
      <c r="BJ658" s="344"/>
      <c r="BK658" s="344"/>
      <c r="BL658" s="344"/>
      <c r="BM658" s="344"/>
      <c r="BN658" s="344"/>
      <c r="BO658" s="344"/>
      <c r="BP658" s="344"/>
      <c r="BQ658" s="344"/>
      <c r="BR658" s="344"/>
      <c r="BS658" s="344"/>
      <c r="BT658" s="344"/>
      <c r="BU658" s="344"/>
      <c r="BV658" s="344"/>
      <c r="BW658" s="344"/>
      <c r="BX658" s="344"/>
      <c r="BY658" s="344"/>
      <c r="BZ658" s="344"/>
      <c r="CA658" s="344"/>
      <c r="CB658" s="28"/>
      <c r="CC658" s="28"/>
      <c r="CD658" s="28"/>
      <c r="CE658" s="28"/>
      <c r="CF658" s="28"/>
      <c r="CG658" s="28"/>
      <c r="CH658" s="28"/>
      <c r="CI658" s="28"/>
      <c r="CJ658" s="28"/>
      <c r="CK658" s="28"/>
      <c r="CL658" s="28"/>
      <c r="CM658" s="28"/>
      <c r="CN658" s="28"/>
      <c r="CO658" s="28"/>
      <c r="CP658" s="28"/>
      <c r="CQ658" s="28"/>
      <c r="CR658" s="28"/>
      <c r="CS658" s="28"/>
      <c r="CT658" s="28"/>
      <c r="CU658" s="28"/>
      <c r="CV658" s="28"/>
      <c r="CW658" s="28"/>
    </row>
    <row r="659" spans="1:101" ht="14.25" customHeight="1" x14ac:dyDescent="0.2">
      <c r="A659" s="328"/>
      <c r="B659" s="52">
        <v>0.16073345225005498</v>
      </c>
      <c r="C659" s="330">
        <v>0.32172409928386658</v>
      </c>
      <c r="D659" s="330">
        <v>1.0351152029272797E-2</v>
      </c>
      <c r="E659" s="330">
        <v>9.8111360047271994E-3</v>
      </c>
      <c r="F659" s="331">
        <v>0.75297204577954591</v>
      </c>
      <c r="G659" s="94">
        <v>0.42110864433925155</v>
      </c>
      <c r="H659" s="330">
        <v>0.9430108019637008</v>
      </c>
      <c r="I659" s="330">
        <v>3.7931946769128144E-2</v>
      </c>
      <c r="J659" s="330">
        <v>0.90993908695946479</v>
      </c>
      <c r="K659" s="330">
        <v>0.77575485037123815</v>
      </c>
      <c r="L659" s="332">
        <v>17517.579513432491</v>
      </c>
      <c r="M659" s="330">
        <v>0</v>
      </c>
      <c r="N659" s="330">
        <v>18401.751223171781</v>
      </c>
      <c r="O659" s="330">
        <v>1156.974717439459</v>
      </c>
      <c r="P659" s="330">
        <v>50141.36332439266</v>
      </c>
      <c r="Q659" s="333">
        <v>103855.43830729491</v>
      </c>
      <c r="R659" s="330">
        <v>25003.261955240105</v>
      </c>
      <c r="S659" s="330">
        <v>11044.778362181369</v>
      </c>
      <c r="T659" s="332">
        <v>0.98928112690164327</v>
      </c>
      <c r="U659" s="330">
        <v>0.77387616180296792</v>
      </c>
      <c r="V659" s="330">
        <v>0.95194238120766794</v>
      </c>
      <c r="W659" s="330">
        <v>0.99382146136956018</v>
      </c>
      <c r="X659" s="330">
        <v>0.99998240273834416</v>
      </c>
      <c r="Y659" s="330">
        <v>0</v>
      </c>
      <c r="Z659" s="331">
        <v>0</v>
      </c>
      <c r="AA659" s="235"/>
      <c r="AB659" s="335">
        <v>108415.73164748248</v>
      </c>
      <c r="AC659" s="336">
        <v>4.8699667797866288</v>
      </c>
      <c r="AD659" s="337">
        <v>104768.94347174113</v>
      </c>
      <c r="AE659" s="336">
        <v>4.9604022114518331</v>
      </c>
      <c r="AF659" s="337">
        <v>3646.7881757413415</v>
      </c>
      <c r="AG659" s="338">
        <v>-9.0435431665204291E-2</v>
      </c>
      <c r="AH659" s="235"/>
      <c r="AI659" s="208">
        <f t="shared" si="74"/>
        <v>4518052.7091498151</v>
      </c>
      <c r="AJ659" s="208">
        <f t="shared" si="75"/>
        <v>4607613.1574075008</v>
      </c>
      <c r="AK659" s="208">
        <f t="shared" si="76"/>
        <v>-89560.448257685421</v>
      </c>
      <c r="AL659" s="235"/>
      <c r="AM659" s="52">
        <f t="shared" si="58"/>
        <v>0</v>
      </c>
      <c r="AN659" s="52">
        <f t="shared" si="59"/>
        <v>1</v>
      </c>
      <c r="AO659" s="52">
        <f t="shared" si="60"/>
        <v>0</v>
      </c>
      <c r="AP659" s="235"/>
      <c r="AQ659" s="28"/>
      <c r="AR659" s="28"/>
      <c r="AS659" s="28"/>
      <c r="AT659" s="28"/>
      <c r="AU659" s="235"/>
      <c r="AV659" s="360">
        <f t="shared" si="77"/>
        <v>4607613.1574075008</v>
      </c>
      <c r="AW659" s="235"/>
      <c r="AX659" s="355"/>
      <c r="AY659" s="344"/>
      <c r="AZ659" s="14">
        <f t="shared" si="79"/>
        <v>3646.7881757413415</v>
      </c>
      <c r="BA659" s="14">
        <f t="shared" si="78"/>
        <v>-9.0435431665204291E-2</v>
      </c>
      <c r="BB659" s="14">
        <f t="shared" si="61"/>
        <v>-40324.772145080286</v>
      </c>
      <c r="BC659" s="344"/>
      <c r="BD659" s="344"/>
      <c r="BE659" s="344"/>
      <c r="BF659" s="344"/>
      <c r="BG659" s="344"/>
      <c r="BH659" s="344"/>
      <c r="BI659" s="344"/>
      <c r="BJ659" s="344"/>
      <c r="BK659" s="344"/>
      <c r="BL659" s="344"/>
      <c r="BM659" s="344"/>
      <c r="BN659" s="344"/>
      <c r="BO659" s="344"/>
      <c r="BP659" s="344"/>
      <c r="BQ659" s="344"/>
      <c r="BR659" s="344"/>
      <c r="BS659" s="344"/>
      <c r="BT659" s="344"/>
      <c r="BU659" s="344"/>
      <c r="BV659" s="344"/>
      <c r="BW659" s="344"/>
      <c r="BX659" s="344"/>
      <c r="BY659" s="344"/>
      <c r="BZ659" s="344"/>
      <c r="CA659" s="344"/>
      <c r="CB659" s="28"/>
      <c r="CC659" s="28"/>
      <c r="CD659" s="28"/>
      <c r="CE659" s="28"/>
      <c r="CF659" s="28"/>
      <c r="CG659" s="28"/>
      <c r="CH659" s="28"/>
      <c r="CI659" s="28"/>
      <c r="CJ659" s="28"/>
      <c r="CK659" s="28"/>
      <c r="CL659" s="28"/>
      <c r="CM659" s="28"/>
      <c r="CN659" s="28"/>
      <c r="CO659" s="28"/>
      <c r="CP659" s="28"/>
      <c r="CQ659" s="28"/>
      <c r="CR659" s="28"/>
      <c r="CS659" s="28"/>
      <c r="CT659" s="28"/>
      <c r="CU659" s="28"/>
      <c r="CV659" s="28"/>
      <c r="CW659" s="28"/>
    </row>
    <row r="660" spans="1:101" ht="14.25" customHeight="1" x14ac:dyDescent="0.2">
      <c r="A660" s="328"/>
      <c r="B660" s="52">
        <v>0.14508462675365008</v>
      </c>
      <c r="C660" s="330">
        <v>4.3686076732124372E-2</v>
      </c>
      <c r="D660" s="330">
        <v>2.2547971457151261E-2</v>
      </c>
      <c r="E660" s="330">
        <v>2.5863767445978514E-2</v>
      </c>
      <c r="F660" s="331">
        <v>0.80610465448707225</v>
      </c>
      <c r="G660" s="94">
        <v>0.39059605692382998</v>
      </c>
      <c r="H660" s="330">
        <v>0.73448601952582881</v>
      </c>
      <c r="I660" s="330">
        <v>1.804295281695234E-2</v>
      </c>
      <c r="J660" s="330">
        <v>0.99999999999639733</v>
      </c>
      <c r="K660" s="330">
        <v>0.70483015237944657</v>
      </c>
      <c r="L660" s="332">
        <v>14188.656305307379</v>
      </c>
      <c r="M660" s="330">
        <v>0</v>
      </c>
      <c r="N660" s="330">
        <v>14044.320025315836</v>
      </c>
      <c r="O660" s="330">
        <v>1214.7114707980181</v>
      </c>
      <c r="P660" s="330">
        <v>60733.300753727854</v>
      </c>
      <c r="Q660" s="333">
        <v>105938.31611716303</v>
      </c>
      <c r="R660" s="330">
        <v>24696.580036498453</v>
      </c>
      <c r="S660" s="330">
        <v>6027.5641973107158</v>
      </c>
      <c r="T660" s="332">
        <v>0.99993308613822918</v>
      </c>
      <c r="U660" s="330">
        <v>0.99033117588960895</v>
      </c>
      <c r="V660" s="330">
        <v>0.99968814896258285</v>
      </c>
      <c r="W660" s="330">
        <v>0.99782694317914922</v>
      </c>
      <c r="X660" s="330">
        <v>0.95247819594526262</v>
      </c>
      <c r="Y660" s="330">
        <v>0</v>
      </c>
      <c r="Z660" s="331">
        <v>0</v>
      </c>
      <c r="AA660" s="235"/>
      <c r="AB660" s="335">
        <v>67015.730135443533</v>
      </c>
      <c r="AC660" s="336">
        <v>4.8546276641846644</v>
      </c>
      <c r="AD660" s="337">
        <v>54303.620616717533</v>
      </c>
      <c r="AE660" s="336">
        <v>4.4251683651265576</v>
      </c>
      <c r="AF660" s="337">
        <v>12712.109518726</v>
      </c>
      <c r="AG660" s="338">
        <v>0.42945929905810676</v>
      </c>
      <c r="AH660" s="235"/>
      <c r="AI660" s="208">
        <f t="shared" si="74"/>
        <v>4544880.5508399876</v>
      </c>
      <c r="AJ660" s="208">
        <f t="shared" si="75"/>
        <v>4149606.3262535124</v>
      </c>
      <c r="AK660" s="208">
        <f t="shared" si="76"/>
        <v>395274.22458647541</v>
      </c>
      <c r="AL660" s="235"/>
      <c r="AM660" s="52">
        <f t="shared" si="58"/>
        <v>1</v>
      </c>
      <c r="AN660" s="52">
        <f t="shared" si="59"/>
        <v>0</v>
      </c>
      <c r="AO660" s="52">
        <f t="shared" si="60"/>
        <v>1</v>
      </c>
      <c r="AP660" s="235"/>
      <c r="AQ660" s="28"/>
      <c r="AR660" s="28"/>
      <c r="AS660" s="28"/>
      <c r="AT660" s="28"/>
      <c r="AU660" s="235"/>
      <c r="AV660" s="360">
        <f t="shared" si="77"/>
        <v>4544880.5508399876</v>
      </c>
      <c r="AW660" s="235"/>
      <c r="AX660" s="355"/>
      <c r="AY660" s="344"/>
      <c r="AZ660" s="14">
        <f t="shared" si="79"/>
        <v>12712.109518726</v>
      </c>
      <c r="BA660" s="14">
        <f t="shared" si="78"/>
        <v>0.42945929905810676</v>
      </c>
      <c r="BB660" s="14">
        <f t="shared" si="61"/>
        <v>29600.266070862337</v>
      </c>
      <c r="BC660" s="344"/>
      <c r="BD660" s="344"/>
      <c r="BE660" s="344"/>
      <c r="BF660" s="344"/>
      <c r="BG660" s="344"/>
      <c r="BH660" s="344"/>
      <c r="BI660" s="344"/>
      <c r="BJ660" s="344"/>
      <c r="BK660" s="344"/>
      <c r="BL660" s="344"/>
      <c r="BM660" s="344"/>
      <c r="BN660" s="344"/>
      <c r="BO660" s="344"/>
      <c r="BP660" s="344"/>
      <c r="BQ660" s="344"/>
      <c r="BR660" s="344"/>
      <c r="BS660" s="344"/>
      <c r="BT660" s="344"/>
      <c r="BU660" s="344"/>
      <c r="BV660" s="344"/>
      <c r="BW660" s="344"/>
      <c r="BX660" s="344"/>
      <c r="BY660" s="344"/>
      <c r="BZ660" s="344"/>
      <c r="CA660" s="344"/>
      <c r="CB660" s="28"/>
      <c r="CC660" s="28"/>
      <c r="CD660" s="28"/>
      <c r="CE660" s="28"/>
      <c r="CF660" s="28"/>
      <c r="CG660" s="28"/>
      <c r="CH660" s="28"/>
      <c r="CI660" s="28"/>
      <c r="CJ660" s="28"/>
      <c r="CK660" s="28"/>
      <c r="CL660" s="28"/>
      <c r="CM660" s="28"/>
      <c r="CN660" s="28"/>
      <c r="CO660" s="28"/>
      <c r="CP660" s="28"/>
      <c r="CQ660" s="28"/>
      <c r="CR660" s="28"/>
      <c r="CS660" s="28"/>
      <c r="CT660" s="28"/>
      <c r="CU660" s="28"/>
      <c r="CV660" s="28"/>
      <c r="CW660" s="28"/>
    </row>
    <row r="661" spans="1:101" ht="14.25" customHeight="1" x14ac:dyDescent="0.2">
      <c r="A661" s="328"/>
      <c r="B661" s="52">
        <v>0.17307602314054327</v>
      </c>
      <c r="C661" s="330">
        <v>0.60037119863648181</v>
      </c>
      <c r="D661" s="330">
        <v>1.2699318868716284E-2</v>
      </c>
      <c r="E661" s="330">
        <v>1.3703812445522105E-2</v>
      </c>
      <c r="F661" s="331">
        <v>0.74227116411269589</v>
      </c>
      <c r="G661" s="94">
        <v>0.3362500814935851</v>
      </c>
      <c r="H661" s="330">
        <v>0.36648209966486495</v>
      </c>
      <c r="I661" s="330">
        <v>1.0177925378562684E-2</v>
      </c>
      <c r="J661" s="330">
        <v>0.99993450165798148</v>
      </c>
      <c r="K661" s="330">
        <v>0.80482777089094071</v>
      </c>
      <c r="L661" s="332">
        <v>13599.580348079482</v>
      </c>
      <c r="M661" s="330">
        <v>0</v>
      </c>
      <c r="N661" s="330">
        <v>25397.471955047033</v>
      </c>
      <c r="O661" s="330">
        <v>1017.0991009846172</v>
      </c>
      <c r="P661" s="330">
        <v>36413.746900919199</v>
      </c>
      <c r="Q661" s="333">
        <v>86593.024092772641</v>
      </c>
      <c r="R661" s="330">
        <v>26221.392242906357</v>
      </c>
      <c r="S661" s="330">
        <v>8333.8684439511635</v>
      </c>
      <c r="T661" s="332">
        <v>0.2226203254884008</v>
      </c>
      <c r="U661" s="330">
        <v>0.79404436155629066</v>
      </c>
      <c r="V661" s="330">
        <v>8.5276011629865922E-2</v>
      </c>
      <c r="W661" s="330">
        <v>0.97542275019281155</v>
      </c>
      <c r="X661" s="330">
        <v>0.45100622882728775</v>
      </c>
      <c r="Y661" s="330">
        <v>0</v>
      </c>
      <c r="Z661" s="331">
        <v>0</v>
      </c>
      <c r="AA661" s="235"/>
      <c r="AB661" s="335">
        <v>83075.757526661124</v>
      </c>
      <c r="AC661" s="336">
        <v>2.0322916732210157</v>
      </c>
      <c r="AD661" s="337">
        <v>76080.011416881563</v>
      </c>
      <c r="AE661" s="336">
        <v>2.2330786457113394</v>
      </c>
      <c r="AF661" s="337">
        <v>6995.7461097795604</v>
      </c>
      <c r="AG661" s="338">
        <v>-0.20078697249032373</v>
      </c>
      <c r="AH661" s="235"/>
      <c r="AI661" s="208">
        <f t="shared" si="74"/>
        <v>1847601.3320333038</v>
      </c>
      <c r="AJ661" s="208">
        <f t="shared" si="75"/>
        <v>2045344.7020088907</v>
      </c>
      <c r="AK661" s="208">
        <f t="shared" si="76"/>
        <v>-197743.36997558712</v>
      </c>
      <c r="AL661" s="235"/>
      <c r="AM661" s="52">
        <f t="shared" si="58"/>
        <v>0</v>
      </c>
      <c r="AN661" s="52">
        <f t="shared" si="59"/>
        <v>1</v>
      </c>
      <c r="AO661" s="52">
        <f t="shared" si="60"/>
        <v>0</v>
      </c>
      <c r="AP661" s="235"/>
      <c r="AQ661" s="28"/>
      <c r="AR661" s="28"/>
      <c r="AS661" s="28"/>
      <c r="AT661" s="28"/>
      <c r="AU661" s="235"/>
      <c r="AV661" s="360">
        <f t="shared" si="77"/>
        <v>2045344.7020088907</v>
      </c>
      <c r="AW661" s="235"/>
      <c r="AX661" s="355"/>
      <c r="AY661" s="344"/>
      <c r="AZ661" s="14">
        <f t="shared" si="79"/>
        <v>6995.7461097795604</v>
      </c>
      <c r="BA661" s="14">
        <f t="shared" si="78"/>
        <v>-0.20078697249032373</v>
      </c>
      <c r="BB661" s="14">
        <f t="shared" si="61"/>
        <v>-34841.633513432738</v>
      </c>
      <c r="BC661" s="344"/>
      <c r="BD661" s="344"/>
      <c r="BE661" s="344"/>
      <c r="BF661" s="344"/>
      <c r="BG661" s="344"/>
      <c r="BH661" s="344"/>
      <c r="BI661" s="344"/>
      <c r="BJ661" s="344"/>
      <c r="BK661" s="344"/>
      <c r="BL661" s="344"/>
      <c r="BM661" s="344"/>
      <c r="BN661" s="344"/>
      <c r="BO661" s="344"/>
      <c r="BP661" s="344"/>
      <c r="BQ661" s="344"/>
      <c r="BR661" s="344"/>
      <c r="BS661" s="344"/>
      <c r="BT661" s="344"/>
      <c r="BU661" s="344"/>
      <c r="BV661" s="344"/>
      <c r="BW661" s="344"/>
      <c r="BX661" s="344"/>
      <c r="BY661" s="344"/>
      <c r="BZ661" s="344"/>
      <c r="CA661" s="344"/>
      <c r="CB661" s="28"/>
      <c r="CC661" s="28"/>
      <c r="CD661" s="28"/>
      <c r="CE661" s="28"/>
      <c r="CF661" s="28"/>
      <c r="CG661" s="28"/>
      <c r="CH661" s="28"/>
      <c r="CI661" s="28"/>
      <c r="CJ661" s="28"/>
      <c r="CK661" s="28"/>
      <c r="CL661" s="28"/>
      <c r="CM661" s="28"/>
      <c r="CN661" s="28"/>
      <c r="CO661" s="28"/>
      <c r="CP661" s="28"/>
      <c r="CQ661" s="28"/>
      <c r="CR661" s="28"/>
      <c r="CS661" s="28"/>
      <c r="CT661" s="28"/>
      <c r="CU661" s="28"/>
      <c r="CV661" s="28"/>
      <c r="CW661" s="28"/>
    </row>
    <row r="662" spans="1:101" ht="14.25" customHeight="1" x14ac:dyDescent="0.2">
      <c r="A662" s="328"/>
      <c r="B662" s="52">
        <v>0.14986419651086111</v>
      </c>
      <c r="C662" s="330">
        <v>0.19156182091707455</v>
      </c>
      <c r="D662" s="330">
        <v>1.726484942749118E-2</v>
      </c>
      <c r="E662" s="330">
        <v>2.2960911798954209E-2</v>
      </c>
      <c r="F662" s="331">
        <v>0.78992488183095377</v>
      </c>
      <c r="G662" s="94">
        <v>0.37635151405303946</v>
      </c>
      <c r="H662" s="330">
        <v>0.14092009150261608</v>
      </c>
      <c r="I662" s="330">
        <v>1.7948593426181048E-2</v>
      </c>
      <c r="J662" s="330">
        <v>0.95690108713339628</v>
      </c>
      <c r="K662" s="330">
        <v>0.72437779294118443</v>
      </c>
      <c r="L662" s="332">
        <v>15041.588600387524</v>
      </c>
      <c r="M662" s="330">
        <v>0</v>
      </c>
      <c r="N662" s="330">
        <v>16503.038281307789</v>
      </c>
      <c r="O662" s="330">
        <v>1428.2240949180398</v>
      </c>
      <c r="P662" s="330">
        <v>30864.206737010252</v>
      </c>
      <c r="Q662" s="333">
        <v>96252.672277421356</v>
      </c>
      <c r="R662" s="330">
        <v>25583.774843029893</v>
      </c>
      <c r="S662" s="330">
        <v>12062.232626160554</v>
      </c>
      <c r="T662" s="332">
        <v>0.33109807935951741</v>
      </c>
      <c r="U662" s="330">
        <v>0.88215009810019684</v>
      </c>
      <c r="V662" s="330">
        <v>0.12230245391702702</v>
      </c>
      <c r="W662" s="330">
        <v>0.92521019102987201</v>
      </c>
      <c r="X662" s="330">
        <v>0.11458557231453211</v>
      </c>
      <c r="Y662" s="330">
        <v>0</v>
      </c>
      <c r="Z662" s="331">
        <v>0</v>
      </c>
      <c r="AA662" s="235"/>
      <c r="AB662" s="335">
        <v>118491.88722267639</v>
      </c>
      <c r="AC662" s="336">
        <v>0.56717882568639366</v>
      </c>
      <c r="AD662" s="337">
        <v>96624.824389016983</v>
      </c>
      <c r="AE662" s="336">
        <v>0.68976957407533235</v>
      </c>
      <c r="AF662" s="337">
        <v>21867.062833659409</v>
      </c>
      <c r="AG662" s="338">
        <v>-0.12259074838893869</v>
      </c>
      <c r="AH662" s="235"/>
      <c r="AI662" s="208">
        <f t="shared" si="74"/>
        <v>420327.99717939761</v>
      </c>
      <c r="AJ662" s="208">
        <f t="shared" si="75"/>
        <v>558656.27098254883</v>
      </c>
      <c r="AK662" s="208">
        <f t="shared" si="76"/>
        <v>-138328.27380315115</v>
      </c>
      <c r="AL662" s="235"/>
      <c r="AM662" s="52">
        <f t="shared" si="58"/>
        <v>0</v>
      </c>
      <c r="AN662" s="52">
        <f t="shared" si="59"/>
        <v>1</v>
      </c>
      <c r="AO662" s="52">
        <f t="shared" si="60"/>
        <v>0</v>
      </c>
      <c r="AP662" s="235"/>
      <c r="AQ662" s="28"/>
      <c r="AR662" s="28"/>
      <c r="AS662" s="28"/>
      <c r="AT662" s="28"/>
      <c r="AU662" s="235"/>
      <c r="AV662" s="360">
        <f t="shared" si="77"/>
        <v>558656.27098254883</v>
      </c>
      <c r="AW662" s="235"/>
      <c r="AX662" s="355"/>
      <c r="AY662" s="344"/>
      <c r="AZ662" s="14">
        <f t="shared" si="79"/>
        <v>21867.062833659409</v>
      </c>
      <c r="BA662" s="14">
        <f t="shared" si="78"/>
        <v>-0.12259074838893869</v>
      </c>
      <c r="BB662" s="14">
        <f t="shared" si="61"/>
        <v>-178374.49498458617</v>
      </c>
      <c r="BC662" s="344"/>
      <c r="BD662" s="344"/>
      <c r="BE662" s="344"/>
      <c r="BF662" s="344"/>
      <c r="BG662" s="344"/>
      <c r="BH662" s="344"/>
      <c r="BI662" s="344"/>
      <c r="BJ662" s="344"/>
      <c r="BK662" s="344"/>
      <c r="BL662" s="344"/>
      <c r="BM662" s="344"/>
      <c r="BN662" s="344"/>
      <c r="BO662" s="344"/>
      <c r="BP662" s="344"/>
      <c r="BQ662" s="344"/>
      <c r="BR662" s="344"/>
      <c r="BS662" s="344"/>
      <c r="BT662" s="344"/>
      <c r="BU662" s="344"/>
      <c r="BV662" s="344"/>
      <c r="BW662" s="344"/>
      <c r="BX662" s="344"/>
      <c r="BY662" s="344"/>
      <c r="BZ662" s="344"/>
      <c r="CA662" s="344"/>
      <c r="CB662" s="28"/>
      <c r="CC662" s="28"/>
      <c r="CD662" s="28"/>
      <c r="CE662" s="28"/>
      <c r="CF662" s="28"/>
      <c r="CG662" s="28"/>
      <c r="CH662" s="28"/>
      <c r="CI662" s="28"/>
      <c r="CJ662" s="28"/>
      <c r="CK662" s="28"/>
      <c r="CL662" s="28"/>
      <c r="CM662" s="28"/>
      <c r="CN662" s="28"/>
      <c r="CO662" s="28"/>
      <c r="CP662" s="28"/>
      <c r="CQ662" s="28"/>
      <c r="CR662" s="28"/>
      <c r="CS662" s="28"/>
      <c r="CT662" s="28"/>
      <c r="CU662" s="28"/>
      <c r="CV662" s="28"/>
      <c r="CW662" s="28"/>
    </row>
    <row r="663" spans="1:101" ht="14.25" customHeight="1" x14ac:dyDescent="0.2">
      <c r="A663" s="328"/>
      <c r="B663" s="52">
        <v>0.14853871157463128</v>
      </c>
      <c r="C663" s="330">
        <v>1.8446310803923463E-2</v>
      </c>
      <c r="D663" s="330">
        <v>2.8237425432572683E-2</v>
      </c>
      <c r="E663" s="330">
        <v>5.7480875352213176E-3</v>
      </c>
      <c r="F663" s="331">
        <v>0.78286140945994298</v>
      </c>
      <c r="G663" s="94">
        <v>0.34553952838597951</v>
      </c>
      <c r="H663" s="330">
        <v>0.77840858676821356</v>
      </c>
      <c r="I663" s="330">
        <v>1.5006925750221485E-2</v>
      </c>
      <c r="J663" s="330">
        <v>0.94382446276411602</v>
      </c>
      <c r="K663" s="330">
        <v>0.71816300491528284</v>
      </c>
      <c r="L663" s="332">
        <v>12437.142076596367</v>
      </c>
      <c r="M663" s="330">
        <v>0</v>
      </c>
      <c r="N663" s="330">
        <v>19669.778773269754</v>
      </c>
      <c r="O663" s="330">
        <v>939.0997719548775</v>
      </c>
      <c r="P663" s="330">
        <v>26357.782193755444</v>
      </c>
      <c r="Q663" s="333">
        <v>133501.64320449712</v>
      </c>
      <c r="R663" s="330">
        <v>23288.448206088309</v>
      </c>
      <c r="S663" s="330">
        <v>8957.6348722275798</v>
      </c>
      <c r="T663" s="332">
        <v>0.25535998578607422</v>
      </c>
      <c r="U663" s="330">
        <v>0.24483487186893382</v>
      </c>
      <c r="V663" s="330">
        <v>0.22749396468062227</v>
      </c>
      <c r="W663" s="330">
        <v>0.88941700672411439</v>
      </c>
      <c r="X663" s="330">
        <v>0.99208158584197892</v>
      </c>
      <c r="Y663" s="330">
        <v>0</v>
      </c>
      <c r="Z663" s="331">
        <v>0</v>
      </c>
      <c r="AA663" s="235"/>
      <c r="AB663" s="335">
        <v>88455.196603394637</v>
      </c>
      <c r="AC663" s="336">
        <v>4.7204071633618412</v>
      </c>
      <c r="AD663" s="337">
        <v>76448.637012126783</v>
      </c>
      <c r="AE663" s="336">
        <v>4.3848028948427986</v>
      </c>
      <c r="AF663" s="337">
        <v>12006.559591267855</v>
      </c>
      <c r="AG663" s="338">
        <v>0.33560426851904257</v>
      </c>
      <c r="AH663" s="235"/>
      <c r="AI663" s="208">
        <f t="shared" si="74"/>
        <v>4395931.6085903542</v>
      </c>
      <c r="AJ663" s="208">
        <f t="shared" si="75"/>
        <v>4089114.1130885319</v>
      </c>
      <c r="AK663" s="208">
        <f t="shared" si="76"/>
        <v>306817.49550182262</v>
      </c>
      <c r="AL663" s="235"/>
      <c r="AM663" s="52">
        <f t="shared" si="58"/>
        <v>1</v>
      </c>
      <c r="AN663" s="52">
        <f t="shared" si="59"/>
        <v>0</v>
      </c>
      <c r="AO663" s="52">
        <f t="shared" si="60"/>
        <v>1</v>
      </c>
      <c r="AP663" s="235"/>
      <c r="AQ663" s="28"/>
      <c r="AR663" s="28"/>
      <c r="AS663" s="28"/>
      <c r="AT663" s="28"/>
      <c r="AU663" s="235"/>
      <c r="AV663" s="360">
        <f t="shared" si="77"/>
        <v>4395931.6085903542</v>
      </c>
      <c r="AW663" s="235"/>
      <c r="AX663" s="355"/>
      <c r="AY663" s="344"/>
      <c r="AZ663" s="14">
        <f t="shared" si="79"/>
        <v>12006.559591267855</v>
      </c>
      <c r="BA663" s="14">
        <f t="shared" si="78"/>
        <v>0.33560426851904257</v>
      </c>
      <c r="BB663" s="14">
        <f t="shared" si="61"/>
        <v>35775.944222195103</v>
      </c>
      <c r="BC663" s="344"/>
      <c r="BD663" s="344"/>
      <c r="BE663" s="344"/>
      <c r="BF663" s="344"/>
      <c r="BG663" s="344"/>
      <c r="BH663" s="344"/>
      <c r="BI663" s="344"/>
      <c r="BJ663" s="344"/>
      <c r="BK663" s="344"/>
      <c r="BL663" s="344"/>
      <c r="BM663" s="344"/>
      <c r="BN663" s="344"/>
      <c r="BO663" s="344"/>
      <c r="BP663" s="344"/>
      <c r="BQ663" s="344"/>
      <c r="BR663" s="344"/>
      <c r="BS663" s="344"/>
      <c r="BT663" s="344"/>
      <c r="BU663" s="344"/>
      <c r="BV663" s="344"/>
      <c r="BW663" s="344"/>
      <c r="BX663" s="344"/>
      <c r="BY663" s="344"/>
      <c r="BZ663" s="344"/>
      <c r="CA663" s="344"/>
      <c r="CB663" s="28"/>
      <c r="CC663" s="28"/>
      <c r="CD663" s="28"/>
      <c r="CE663" s="28"/>
      <c r="CF663" s="28"/>
      <c r="CG663" s="28"/>
      <c r="CH663" s="28"/>
      <c r="CI663" s="28"/>
      <c r="CJ663" s="28"/>
      <c r="CK663" s="28"/>
      <c r="CL663" s="28"/>
      <c r="CM663" s="28"/>
      <c r="CN663" s="28"/>
      <c r="CO663" s="28"/>
      <c r="CP663" s="28"/>
      <c r="CQ663" s="28"/>
      <c r="CR663" s="28"/>
      <c r="CS663" s="28"/>
      <c r="CT663" s="28"/>
      <c r="CU663" s="28"/>
      <c r="CV663" s="28"/>
      <c r="CW663" s="28"/>
    </row>
    <row r="664" spans="1:101" ht="14.25" customHeight="1" x14ac:dyDescent="0.2">
      <c r="A664" s="328"/>
      <c r="B664" s="52">
        <v>0.16392327701994514</v>
      </c>
      <c r="C664" s="330">
        <v>0.61148908944956659</v>
      </c>
      <c r="D664" s="330">
        <v>8.2646211719083033E-3</v>
      </c>
      <c r="E664" s="330">
        <v>1.3335409491430422E-2</v>
      </c>
      <c r="F664" s="331">
        <v>0.78868224126292086</v>
      </c>
      <c r="G664" s="94">
        <v>0.42149851229407487</v>
      </c>
      <c r="H664" s="330">
        <v>0.48283867337122799</v>
      </c>
      <c r="I664" s="330">
        <v>3.1288011462566434E-2</v>
      </c>
      <c r="J664" s="330">
        <v>0.99527113867899775</v>
      </c>
      <c r="K664" s="330">
        <v>0.7479098309029456</v>
      </c>
      <c r="L664" s="332">
        <v>19017.913415996278</v>
      </c>
      <c r="M664" s="330">
        <v>0</v>
      </c>
      <c r="N664" s="330">
        <v>19618.776710343405</v>
      </c>
      <c r="O664" s="330">
        <v>1241.9578419449961</v>
      </c>
      <c r="P664" s="330">
        <v>56019.591138258191</v>
      </c>
      <c r="Q664" s="333">
        <v>71634.942186028231</v>
      </c>
      <c r="R664" s="330">
        <v>24223.042828924801</v>
      </c>
      <c r="S664" s="330">
        <v>9890.0143055335775</v>
      </c>
      <c r="T664" s="332">
        <v>0.75691759261628377</v>
      </c>
      <c r="U664" s="330">
        <v>0.9580587783504575</v>
      </c>
      <c r="V664" s="330">
        <v>0.99116165394095135</v>
      </c>
      <c r="W664" s="330">
        <v>0.99997594599093453</v>
      </c>
      <c r="X664" s="330">
        <v>0.8519647729784916</v>
      </c>
      <c r="Y664" s="330">
        <v>0</v>
      </c>
      <c r="Z664" s="331">
        <v>0</v>
      </c>
      <c r="AA664" s="235"/>
      <c r="AB664" s="335">
        <v>105452.41437609302</v>
      </c>
      <c r="AC664" s="336">
        <v>4.3600317537321134</v>
      </c>
      <c r="AD664" s="337">
        <v>86809.042760892888</v>
      </c>
      <c r="AE664" s="336">
        <v>3.9491177413513379</v>
      </c>
      <c r="AF664" s="337">
        <v>18643.371615200129</v>
      </c>
      <c r="AG664" s="338">
        <v>0.41091401238077552</v>
      </c>
      <c r="AH664" s="235"/>
      <c r="AI664" s="208">
        <f t="shared" si="74"/>
        <v>4036577.7516694148</v>
      </c>
      <c r="AJ664" s="208">
        <f t="shared" si="75"/>
        <v>3664852.8115228782</v>
      </c>
      <c r="AK664" s="208">
        <f t="shared" si="76"/>
        <v>371724.94014653662</v>
      </c>
      <c r="AL664" s="235"/>
      <c r="AM664" s="52">
        <f t="shared" si="58"/>
        <v>1</v>
      </c>
      <c r="AN664" s="52">
        <f t="shared" si="59"/>
        <v>0</v>
      </c>
      <c r="AO664" s="52">
        <f t="shared" si="60"/>
        <v>1</v>
      </c>
      <c r="AP664" s="235"/>
      <c r="AQ664" s="28"/>
      <c r="AR664" s="28"/>
      <c r="AS664" s="28"/>
      <c r="AT664" s="28"/>
      <c r="AU664" s="235"/>
      <c r="AV664" s="360">
        <f t="shared" si="77"/>
        <v>4036577.7516694148</v>
      </c>
      <c r="AW664" s="235"/>
      <c r="AX664" s="355"/>
      <c r="AY664" s="344"/>
      <c r="AZ664" s="14">
        <f t="shared" si="79"/>
        <v>18643.371615200129</v>
      </c>
      <c r="BA664" s="14">
        <f t="shared" si="78"/>
        <v>0.41091401238077552</v>
      </c>
      <c r="BB664" s="14">
        <f t="shared" si="61"/>
        <v>45370.493712743373</v>
      </c>
      <c r="BC664" s="344"/>
      <c r="BD664" s="344"/>
      <c r="BE664" s="344"/>
      <c r="BF664" s="344"/>
      <c r="BG664" s="344"/>
      <c r="BH664" s="344"/>
      <c r="BI664" s="344"/>
      <c r="BJ664" s="344"/>
      <c r="BK664" s="344"/>
      <c r="BL664" s="344"/>
      <c r="BM664" s="344"/>
      <c r="BN664" s="344"/>
      <c r="BO664" s="344"/>
      <c r="BP664" s="344"/>
      <c r="BQ664" s="344"/>
      <c r="BR664" s="344"/>
      <c r="BS664" s="344"/>
      <c r="BT664" s="344"/>
      <c r="BU664" s="344"/>
      <c r="BV664" s="344"/>
      <c r="BW664" s="344"/>
      <c r="BX664" s="344"/>
      <c r="BY664" s="344"/>
      <c r="BZ664" s="344"/>
      <c r="CA664" s="344"/>
      <c r="CB664" s="28"/>
      <c r="CC664" s="28"/>
      <c r="CD664" s="28"/>
      <c r="CE664" s="28"/>
      <c r="CF664" s="28"/>
      <c r="CG664" s="28"/>
      <c r="CH664" s="28"/>
      <c r="CI664" s="28"/>
      <c r="CJ664" s="28"/>
      <c r="CK664" s="28"/>
      <c r="CL664" s="28"/>
      <c r="CM664" s="28"/>
      <c r="CN664" s="28"/>
      <c r="CO664" s="28"/>
      <c r="CP664" s="28"/>
      <c r="CQ664" s="28"/>
      <c r="CR664" s="28"/>
      <c r="CS664" s="28"/>
      <c r="CT664" s="28"/>
      <c r="CU664" s="28"/>
      <c r="CV664" s="28"/>
      <c r="CW664" s="28"/>
    </row>
    <row r="665" spans="1:101" ht="14.25" customHeight="1" x14ac:dyDescent="0.2">
      <c r="A665" s="328"/>
      <c r="B665" s="52">
        <v>0.16364741638517077</v>
      </c>
      <c r="C665" s="330">
        <v>5.1272884005818427E-2</v>
      </c>
      <c r="D665" s="330">
        <v>1.4523461174802521E-2</v>
      </c>
      <c r="E665" s="330">
        <v>1.8704598935821548E-2</v>
      </c>
      <c r="F665" s="331">
        <v>0.76720456836585538</v>
      </c>
      <c r="G665" s="94">
        <v>0.40625045055128473</v>
      </c>
      <c r="H665" s="330">
        <v>0.56347829757352841</v>
      </c>
      <c r="I665" s="330">
        <v>2.7945783951309977E-2</v>
      </c>
      <c r="J665" s="330">
        <v>0.9999992823296614</v>
      </c>
      <c r="K665" s="330">
        <v>0.76852348325302222</v>
      </c>
      <c r="L665" s="332">
        <v>11193.836664837658</v>
      </c>
      <c r="M665" s="330">
        <v>0</v>
      </c>
      <c r="N665" s="330">
        <v>16302.707380153377</v>
      </c>
      <c r="O665" s="330">
        <v>1264.2965485795421</v>
      </c>
      <c r="P665" s="330">
        <v>34379.692402650515</v>
      </c>
      <c r="Q665" s="333">
        <v>119564.80590361218</v>
      </c>
      <c r="R665" s="330">
        <v>24550.449968704655</v>
      </c>
      <c r="S665" s="330">
        <v>6980.6480815713066</v>
      </c>
      <c r="T665" s="332">
        <v>0.99762373296695395</v>
      </c>
      <c r="U665" s="330">
        <v>0.9999937617431448</v>
      </c>
      <c r="V665" s="330">
        <v>0.99362596982357954</v>
      </c>
      <c r="W665" s="330">
        <v>0.9997282674521295</v>
      </c>
      <c r="X665" s="330">
        <v>0.45020902918161093</v>
      </c>
      <c r="Y665" s="330">
        <v>0</v>
      </c>
      <c r="Z665" s="331">
        <v>0</v>
      </c>
      <c r="AA665" s="235"/>
      <c r="AB665" s="335">
        <v>69365.178682224971</v>
      </c>
      <c r="AC665" s="336">
        <v>2.6467049220578094</v>
      </c>
      <c r="AD665" s="337">
        <v>65494.420898821176</v>
      </c>
      <c r="AE665" s="336">
        <v>2.3802987678819285</v>
      </c>
      <c r="AF665" s="337">
        <v>3870.7577834037947</v>
      </c>
      <c r="AG665" s="338">
        <v>0.26640615417588087</v>
      </c>
      <c r="AH665" s="235"/>
      <c r="AI665" s="208">
        <f t="shared" si="74"/>
        <v>2445004.497272694</v>
      </c>
      <c r="AJ665" s="208">
        <f t="shared" si="75"/>
        <v>2195789.4085890111</v>
      </c>
      <c r="AK665" s="208">
        <f t="shared" si="76"/>
        <v>249215.08868368305</v>
      </c>
      <c r="AL665" s="235"/>
      <c r="AM665" s="52">
        <f t="shared" si="58"/>
        <v>1</v>
      </c>
      <c r="AN665" s="52">
        <f t="shared" si="59"/>
        <v>0</v>
      </c>
      <c r="AO665" s="52">
        <f t="shared" si="60"/>
        <v>1</v>
      </c>
      <c r="AP665" s="235"/>
      <c r="AQ665" s="28"/>
      <c r="AR665" s="28"/>
      <c r="AS665" s="28"/>
      <c r="AT665" s="28"/>
      <c r="AU665" s="235"/>
      <c r="AV665" s="360">
        <f t="shared" si="77"/>
        <v>2445004.497272694</v>
      </c>
      <c r="AW665" s="235"/>
      <c r="AX665" s="355"/>
      <c r="AY665" s="344"/>
      <c r="AZ665" s="14">
        <f t="shared" si="79"/>
        <v>3870.7577834037947</v>
      </c>
      <c r="BA665" s="14">
        <f t="shared" si="78"/>
        <v>0.26640615417588087</v>
      </c>
      <c r="BB665" s="14">
        <f t="shared" si="61"/>
        <v>14529.535908725018</v>
      </c>
      <c r="BC665" s="344"/>
      <c r="BD665" s="344"/>
      <c r="BE665" s="344"/>
      <c r="BF665" s="344"/>
      <c r="BG665" s="344"/>
      <c r="BH665" s="344"/>
      <c r="BI665" s="344"/>
      <c r="BJ665" s="344"/>
      <c r="BK665" s="344"/>
      <c r="BL665" s="344"/>
      <c r="BM665" s="344"/>
      <c r="BN665" s="344"/>
      <c r="BO665" s="344"/>
      <c r="BP665" s="344"/>
      <c r="BQ665" s="344"/>
      <c r="BR665" s="344"/>
      <c r="BS665" s="344"/>
      <c r="BT665" s="344"/>
      <c r="BU665" s="344"/>
      <c r="BV665" s="344"/>
      <c r="BW665" s="344"/>
      <c r="BX665" s="344"/>
      <c r="BY665" s="344"/>
      <c r="BZ665" s="344"/>
      <c r="CA665" s="344"/>
      <c r="CB665" s="28"/>
      <c r="CC665" s="28"/>
      <c r="CD665" s="28"/>
      <c r="CE665" s="28"/>
      <c r="CF665" s="28"/>
      <c r="CG665" s="28"/>
      <c r="CH665" s="28"/>
      <c r="CI665" s="28"/>
      <c r="CJ665" s="28"/>
      <c r="CK665" s="28"/>
      <c r="CL665" s="28"/>
      <c r="CM665" s="28"/>
      <c r="CN665" s="28"/>
      <c r="CO665" s="28"/>
      <c r="CP665" s="28"/>
      <c r="CQ665" s="28"/>
      <c r="CR665" s="28"/>
      <c r="CS665" s="28"/>
      <c r="CT665" s="28"/>
      <c r="CU665" s="28"/>
      <c r="CV665" s="28"/>
      <c r="CW665" s="28"/>
    </row>
    <row r="666" spans="1:101" ht="14.25" customHeight="1" x14ac:dyDescent="0.2">
      <c r="A666" s="328"/>
      <c r="B666" s="52">
        <v>0.14287288849883178</v>
      </c>
      <c r="C666" s="330">
        <v>0.20919833065094784</v>
      </c>
      <c r="D666" s="330">
        <v>2.3147241145059616E-2</v>
      </c>
      <c r="E666" s="330">
        <v>1.6953904335828995E-2</v>
      </c>
      <c r="F666" s="331">
        <v>0.78740431490585727</v>
      </c>
      <c r="G666" s="94">
        <v>0.41576627115104536</v>
      </c>
      <c r="H666" s="330">
        <v>0.1774719132560231</v>
      </c>
      <c r="I666" s="330">
        <v>1.4637270780485699E-2</v>
      </c>
      <c r="J666" s="330">
        <v>0.99959683789755838</v>
      </c>
      <c r="K666" s="330">
        <v>0.75806914706389994</v>
      </c>
      <c r="L666" s="332">
        <v>12142.080724777672</v>
      </c>
      <c r="M666" s="330">
        <v>0</v>
      </c>
      <c r="N666" s="330">
        <v>9463.2831885574651</v>
      </c>
      <c r="O666" s="330">
        <v>1469.97846644939</v>
      </c>
      <c r="P666" s="330">
        <v>46626.511092279376</v>
      </c>
      <c r="Q666" s="333">
        <v>76871.981777666093</v>
      </c>
      <c r="R666" s="330">
        <v>21335.051693319256</v>
      </c>
      <c r="S666" s="330">
        <v>10704.376839390103</v>
      </c>
      <c r="T666" s="332">
        <v>0.20234079117743628</v>
      </c>
      <c r="U666" s="330">
        <v>0.50598124386255983</v>
      </c>
      <c r="V666" s="330">
        <v>0.87062265493646473</v>
      </c>
      <c r="W666" s="330">
        <v>0.99962372146656042</v>
      </c>
      <c r="X666" s="330">
        <v>0.98006319200641356</v>
      </c>
      <c r="Y666" s="330">
        <v>0</v>
      </c>
      <c r="Z666" s="331">
        <v>0</v>
      </c>
      <c r="AA666" s="235"/>
      <c r="AB666" s="335">
        <v>103697.18250766472</v>
      </c>
      <c r="AC666" s="336">
        <v>4.669237721036601</v>
      </c>
      <c r="AD666" s="337">
        <v>90078.828167506217</v>
      </c>
      <c r="AE666" s="336">
        <v>4.6358688756387547</v>
      </c>
      <c r="AF666" s="337">
        <v>13618.354340158505</v>
      </c>
      <c r="AG666" s="338">
        <v>3.3368845397846236E-2</v>
      </c>
      <c r="AH666" s="235"/>
      <c r="AI666" s="208">
        <f t="shared" si="74"/>
        <v>4332078.6524771061</v>
      </c>
      <c r="AJ666" s="208">
        <f t="shared" si="75"/>
        <v>4313996.6036893101</v>
      </c>
      <c r="AK666" s="208">
        <f t="shared" si="76"/>
        <v>18082.048787795418</v>
      </c>
      <c r="AL666" s="235"/>
      <c r="AM666" s="52">
        <f t="shared" si="58"/>
        <v>1</v>
      </c>
      <c r="AN666" s="52">
        <f t="shared" si="59"/>
        <v>0</v>
      </c>
      <c r="AO666" s="52">
        <f t="shared" si="60"/>
        <v>1</v>
      </c>
      <c r="AP666" s="235"/>
      <c r="AQ666" s="28"/>
      <c r="AR666" s="28"/>
      <c r="AS666" s="28"/>
      <c r="AT666" s="28"/>
      <c r="AU666" s="235"/>
      <c r="AV666" s="360">
        <f t="shared" si="77"/>
        <v>4332078.6524771061</v>
      </c>
      <c r="AW666" s="235"/>
      <c r="AX666" s="355"/>
      <c r="AY666" s="344"/>
      <c r="AZ666" s="14">
        <f t="shared" si="79"/>
        <v>13618.354340158505</v>
      </c>
      <c r="BA666" s="14">
        <f t="shared" si="78"/>
        <v>3.3368845397846236E-2</v>
      </c>
      <c r="BB666" s="14">
        <f t="shared" si="61"/>
        <v>408115.83912452334</v>
      </c>
      <c r="BC666" s="344"/>
      <c r="BD666" s="344"/>
      <c r="BE666" s="344"/>
      <c r="BF666" s="344"/>
      <c r="BG666" s="344"/>
      <c r="BH666" s="344"/>
      <c r="BI666" s="344"/>
      <c r="BJ666" s="344"/>
      <c r="BK666" s="344"/>
      <c r="BL666" s="344"/>
      <c r="BM666" s="344"/>
      <c r="BN666" s="344"/>
      <c r="BO666" s="344"/>
      <c r="BP666" s="344"/>
      <c r="BQ666" s="344"/>
      <c r="BR666" s="344"/>
      <c r="BS666" s="344"/>
      <c r="BT666" s="344"/>
      <c r="BU666" s="344"/>
      <c r="BV666" s="344"/>
      <c r="BW666" s="344"/>
      <c r="BX666" s="344"/>
      <c r="BY666" s="344"/>
      <c r="BZ666" s="344"/>
      <c r="CA666" s="344"/>
      <c r="CB666" s="28"/>
      <c r="CC666" s="28"/>
      <c r="CD666" s="28"/>
      <c r="CE666" s="28"/>
      <c r="CF666" s="28"/>
      <c r="CG666" s="28"/>
      <c r="CH666" s="28"/>
      <c r="CI666" s="28"/>
      <c r="CJ666" s="28"/>
      <c r="CK666" s="28"/>
      <c r="CL666" s="28"/>
      <c r="CM666" s="28"/>
      <c r="CN666" s="28"/>
      <c r="CO666" s="28"/>
      <c r="CP666" s="28"/>
      <c r="CQ666" s="28"/>
      <c r="CR666" s="28"/>
      <c r="CS666" s="28"/>
      <c r="CT666" s="28"/>
      <c r="CU666" s="28"/>
      <c r="CV666" s="28"/>
      <c r="CW666" s="28"/>
    </row>
    <row r="667" spans="1:101" ht="14.25" customHeight="1" x14ac:dyDescent="0.2">
      <c r="A667" s="328"/>
      <c r="B667" s="52">
        <v>0.16307213312211233</v>
      </c>
      <c r="C667" s="330">
        <v>0.6044860429476695</v>
      </c>
      <c r="D667" s="330">
        <v>1.0547219595995109E-2</v>
      </c>
      <c r="E667" s="330">
        <v>9.0157542114289568E-3</v>
      </c>
      <c r="F667" s="331">
        <v>0.80792232231255501</v>
      </c>
      <c r="G667" s="94">
        <v>0.44095769300106513</v>
      </c>
      <c r="H667" s="330">
        <v>0.26072102330067098</v>
      </c>
      <c r="I667" s="330">
        <v>3.3140005899648051E-2</v>
      </c>
      <c r="J667" s="330">
        <v>0.97316958361580186</v>
      </c>
      <c r="K667" s="330">
        <v>0.79638512532280226</v>
      </c>
      <c r="L667" s="332">
        <v>12287.557717427677</v>
      </c>
      <c r="M667" s="330">
        <v>0</v>
      </c>
      <c r="N667" s="330">
        <v>16872.00014819856</v>
      </c>
      <c r="O667" s="330">
        <v>1248.9586107623945</v>
      </c>
      <c r="P667" s="330">
        <v>42578.617079972937</v>
      </c>
      <c r="Q667" s="333">
        <v>114719.6547923436</v>
      </c>
      <c r="R667" s="330">
        <v>13829.755441013285</v>
      </c>
      <c r="S667" s="330">
        <v>6042.1300865549547</v>
      </c>
      <c r="T667" s="332">
        <v>0.98694897069544929</v>
      </c>
      <c r="U667" s="330">
        <v>0.16062677433335673</v>
      </c>
      <c r="V667" s="330">
        <v>0.98120381857834482</v>
      </c>
      <c r="W667" s="330">
        <v>0.97254346082340426</v>
      </c>
      <c r="X667" s="330">
        <v>0.96614540678137439</v>
      </c>
      <c r="Y667" s="330">
        <v>0</v>
      </c>
      <c r="Z667" s="331">
        <v>0</v>
      </c>
      <c r="AA667" s="235"/>
      <c r="AB667" s="335">
        <v>66438.004312538935</v>
      </c>
      <c r="AC667" s="336">
        <v>5.0337139229072205</v>
      </c>
      <c r="AD667" s="337">
        <v>56369.286730557615</v>
      </c>
      <c r="AE667" s="336">
        <v>4.6962810768437553</v>
      </c>
      <c r="AF667" s="337">
        <v>10068.71758198132</v>
      </c>
      <c r="AG667" s="338">
        <v>0.33743284606346524</v>
      </c>
      <c r="AH667" s="235"/>
      <c r="AI667" s="208">
        <f t="shared" si="74"/>
        <v>4715590.2224493213</v>
      </c>
      <c r="AJ667" s="208">
        <f t="shared" si="75"/>
        <v>4405097.7362710098</v>
      </c>
      <c r="AK667" s="208">
        <f t="shared" si="76"/>
        <v>310492.48617831065</v>
      </c>
      <c r="AL667" s="235"/>
      <c r="AM667" s="52">
        <f t="shared" si="58"/>
        <v>1</v>
      </c>
      <c r="AN667" s="52">
        <f t="shared" si="59"/>
        <v>0</v>
      </c>
      <c r="AO667" s="52">
        <f t="shared" si="60"/>
        <v>1</v>
      </c>
      <c r="AP667" s="235"/>
      <c r="AQ667" s="28"/>
      <c r="AR667" s="28"/>
      <c r="AS667" s="28"/>
      <c r="AT667" s="28"/>
      <c r="AU667" s="235"/>
      <c r="AV667" s="360">
        <f t="shared" si="77"/>
        <v>4715590.2224493213</v>
      </c>
      <c r="AW667" s="235"/>
      <c r="AX667" s="355"/>
      <c r="AY667" s="344"/>
      <c r="AZ667" s="14">
        <f t="shared" si="79"/>
        <v>10068.71758198132</v>
      </c>
      <c r="BA667" s="14">
        <f t="shared" si="78"/>
        <v>0.33743284606346524</v>
      </c>
      <c r="BB667" s="14">
        <f t="shared" si="61"/>
        <v>29839.174518557596</v>
      </c>
      <c r="BC667" s="344"/>
      <c r="BD667" s="344"/>
      <c r="BE667" s="344"/>
      <c r="BF667" s="344"/>
      <c r="BG667" s="344"/>
      <c r="BH667" s="344"/>
      <c r="BI667" s="344"/>
      <c r="BJ667" s="344"/>
      <c r="BK667" s="344"/>
      <c r="BL667" s="344"/>
      <c r="BM667" s="344"/>
      <c r="BN667" s="344"/>
      <c r="BO667" s="344"/>
      <c r="BP667" s="344"/>
      <c r="BQ667" s="344"/>
      <c r="BR667" s="344"/>
      <c r="BS667" s="344"/>
      <c r="BT667" s="344"/>
      <c r="BU667" s="344"/>
      <c r="BV667" s="344"/>
      <c r="BW667" s="344"/>
      <c r="BX667" s="344"/>
      <c r="BY667" s="344"/>
      <c r="BZ667" s="344"/>
      <c r="CA667" s="344"/>
      <c r="CB667" s="28"/>
      <c r="CC667" s="28"/>
      <c r="CD667" s="28"/>
      <c r="CE667" s="28"/>
      <c r="CF667" s="28"/>
      <c r="CG667" s="28"/>
      <c r="CH667" s="28"/>
      <c r="CI667" s="28"/>
      <c r="CJ667" s="28"/>
      <c r="CK667" s="28"/>
      <c r="CL667" s="28"/>
      <c r="CM667" s="28"/>
      <c r="CN667" s="28"/>
      <c r="CO667" s="28"/>
      <c r="CP667" s="28"/>
      <c r="CQ667" s="28"/>
      <c r="CR667" s="28"/>
      <c r="CS667" s="28"/>
      <c r="CT667" s="28"/>
      <c r="CU667" s="28"/>
      <c r="CV667" s="28"/>
      <c r="CW667" s="28"/>
    </row>
    <row r="668" spans="1:101" ht="14.25" customHeight="1" x14ac:dyDescent="0.2">
      <c r="A668" s="328"/>
      <c r="B668" s="52">
        <v>0.16764517256887923</v>
      </c>
      <c r="C668" s="330">
        <v>0.35872365668667283</v>
      </c>
      <c r="D668" s="330">
        <v>9.9362134650790562E-3</v>
      </c>
      <c r="E668" s="330">
        <v>1.4046194720645508E-2</v>
      </c>
      <c r="F668" s="331">
        <v>0.82069953168206045</v>
      </c>
      <c r="G668" s="94">
        <v>0.37874868963726144</v>
      </c>
      <c r="H668" s="330">
        <v>0.87243955324265565</v>
      </c>
      <c r="I668" s="330">
        <v>1.0642166977876656E-2</v>
      </c>
      <c r="J668" s="330">
        <v>0.98090770791912085</v>
      </c>
      <c r="K668" s="330">
        <v>0.70458708343410958</v>
      </c>
      <c r="L668" s="332">
        <v>9180.1690884049203</v>
      </c>
      <c r="M668" s="330">
        <v>0</v>
      </c>
      <c r="N668" s="330">
        <v>13384.129083665082</v>
      </c>
      <c r="O668" s="330">
        <v>1289.8055870694975</v>
      </c>
      <c r="P668" s="330">
        <v>37496.097498140378</v>
      </c>
      <c r="Q668" s="333">
        <v>120869.74239082589</v>
      </c>
      <c r="R668" s="330">
        <v>26507.877268735763</v>
      </c>
      <c r="S668" s="330">
        <v>11684.805873630312</v>
      </c>
      <c r="T668" s="332">
        <v>0.848273325409173</v>
      </c>
      <c r="U668" s="330">
        <v>0.99970778133013016</v>
      </c>
      <c r="V668" s="330">
        <v>0.99187486689799054</v>
      </c>
      <c r="W668" s="330">
        <v>0.10358288573500933</v>
      </c>
      <c r="X668" s="330">
        <v>0.99292363759753721</v>
      </c>
      <c r="Y668" s="330">
        <v>0</v>
      </c>
      <c r="Z668" s="331">
        <v>0</v>
      </c>
      <c r="AA668" s="235"/>
      <c r="AB668" s="335">
        <v>114102.51378101562</v>
      </c>
      <c r="AC668" s="336">
        <v>5.0061529347565559</v>
      </c>
      <c r="AD668" s="337">
        <v>98230.954725299089</v>
      </c>
      <c r="AE668" s="336">
        <v>4.3831357186246702</v>
      </c>
      <c r="AF668" s="337">
        <v>15871.559055716527</v>
      </c>
      <c r="AG668" s="338">
        <v>0.62301721613188565</v>
      </c>
      <c r="AH668" s="235"/>
      <c r="AI668" s="208">
        <f t="shared" si="74"/>
        <v>4641742.7742377119</v>
      </c>
      <c r="AJ668" s="208">
        <f t="shared" si="75"/>
        <v>4065747.9779681377</v>
      </c>
      <c r="AK668" s="208">
        <f t="shared" si="76"/>
        <v>575994.7962695749</v>
      </c>
      <c r="AL668" s="235"/>
      <c r="AM668" s="52">
        <f t="shared" si="58"/>
        <v>1</v>
      </c>
      <c r="AN668" s="52">
        <f t="shared" si="59"/>
        <v>0</v>
      </c>
      <c r="AO668" s="52">
        <f t="shared" si="60"/>
        <v>1</v>
      </c>
      <c r="AP668" s="235"/>
      <c r="AQ668" s="28"/>
      <c r="AR668" s="28"/>
      <c r="AS668" s="28"/>
      <c r="AT668" s="28"/>
      <c r="AU668" s="235"/>
      <c r="AV668" s="360">
        <f t="shared" si="77"/>
        <v>4641742.7742377119</v>
      </c>
      <c r="AW668" s="235"/>
      <c r="AX668" s="355"/>
      <c r="AY668" s="344"/>
      <c r="AZ668" s="14">
        <f t="shared" si="79"/>
        <v>15871.559055716527</v>
      </c>
      <c r="BA668" s="14">
        <f t="shared" si="78"/>
        <v>0.62301721613188565</v>
      </c>
      <c r="BB668" s="14">
        <f t="shared" si="61"/>
        <v>25475.313754984098</v>
      </c>
      <c r="BC668" s="344"/>
      <c r="BD668" s="344"/>
      <c r="BE668" s="344"/>
      <c r="BF668" s="344"/>
      <c r="BG668" s="344"/>
      <c r="BH668" s="344"/>
      <c r="BI668" s="344"/>
      <c r="BJ668" s="344"/>
      <c r="BK668" s="344"/>
      <c r="BL668" s="344"/>
      <c r="BM668" s="344"/>
      <c r="BN668" s="344"/>
      <c r="BO668" s="344"/>
      <c r="BP668" s="344"/>
      <c r="BQ668" s="344"/>
      <c r="BR668" s="344"/>
      <c r="BS668" s="344"/>
      <c r="BT668" s="344"/>
      <c r="BU668" s="344"/>
      <c r="BV668" s="344"/>
      <c r="BW668" s="344"/>
      <c r="BX668" s="344"/>
      <c r="BY668" s="344"/>
      <c r="BZ668" s="344"/>
      <c r="CA668" s="344"/>
      <c r="CB668" s="28"/>
      <c r="CC668" s="28"/>
      <c r="CD668" s="28"/>
      <c r="CE668" s="28"/>
      <c r="CF668" s="28"/>
      <c r="CG668" s="28"/>
      <c r="CH668" s="28"/>
      <c r="CI668" s="28"/>
      <c r="CJ668" s="28"/>
      <c r="CK668" s="28"/>
      <c r="CL668" s="28"/>
      <c r="CM668" s="28"/>
      <c r="CN668" s="28"/>
      <c r="CO668" s="28"/>
      <c r="CP668" s="28"/>
      <c r="CQ668" s="28"/>
      <c r="CR668" s="28"/>
      <c r="CS668" s="28"/>
      <c r="CT668" s="28"/>
      <c r="CU668" s="28"/>
      <c r="CV668" s="28"/>
      <c r="CW668" s="28"/>
    </row>
    <row r="669" spans="1:101" ht="14.25" customHeight="1" x14ac:dyDescent="0.2">
      <c r="A669" s="328"/>
      <c r="B669" s="52">
        <v>0.17250719075821619</v>
      </c>
      <c r="C669" s="330">
        <v>0.45997332811783032</v>
      </c>
      <c r="D669" s="330">
        <v>1.1533723416687387E-2</v>
      </c>
      <c r="E669" s="330">
        <v>1.575129797756869E-2</v>
      </c>
      <c r="F669" s="331">
        <v>0.77890913391321537</v>
      </c>
      <c r="G669" s="94">
        <v>0.38433748601486883</v>
      </c>
      <c r="H669" s="330">
        <v>0.9624726090075798</v>
      </c>
      <c r="I669" s="330">
        <v>1.5304021271189515E-2</v>
      </c>
      <c r="J669" s="330">
        <v>0.94414307900008632</v>
      </c>
      <c r="K669" s="330">
        <v>0.74037040844242219</v>
      </c>
      <c r="L669" s="332">
        <v>9339.6958474106195</v>
      </c>
      <c r="M669" s="330">
        <v>0</v>
      </c>
      <c r="N669" s="330">
        <v>21321.348150376507</v>
      </c>
      <c r="O669" s="330">
        <v>1171.3711522369415</v>
      </c>
      <c r="P669" s="330">
        <v>50862.97649977087</v>
      </c>
      <c r="Q669" s="333">
        <v>82727.488714182778</v>
      </c>
      <c r="R669" s="330">
        <v>31446.616813120523</v>
      </c>
      <c r="S669" s="330">
        <v>14357.214691689005</v>
      </c>
      <c r="T669" s="332">
        <v>0.99859716341632665</v>
      </c>
      <c r="U669" s="330">
        <v>0.41810091782914399</v>
      </c>
      <c r="V669" s="330">
        <v>0.99669950812138264</v>
      </c>
      <c r="W669" s="330">
        <v>0.16717172753161322</v>
      </c>
      <c r="X669" s="330">
        <v>0.99691014267454658</v>
      </c>
      <c r="Y669" s="330">
        <v>0</v>
      </c>
      <c r="Z669" s="331">
        <v>0</v>
      </c>
      <c r="AA669" s="235"/>
      <c r="AB669" s="335">
        <v>132210.86598784357</v>
      </c>
      <c r="AC669" s="336">
        <v>5.2445799865138216</v>
      </c>
      <c r="AD669" s="337">
        <v>126946.57781153527</v>
      </c>
      <c r="AE669" s="336">
        <v>4.4632719573098116</v>
      </c>
      <c r="AF669" s="337">
        <v>5264.2881763082987</v>
      </c>
      <c r="AG669" s="338">
        <v>0.78130802920400999</v>
      </c>
      <c r="AH669" s="235"/>
      <c r="AI669" s="208">
        <f t="shared" si="74"/>
        <v>4850140.1212002868</v>
      </c>
      <c r="AJ669" s="208">
        <f t="shared" si="75"/>
        <v>4113161.7816327857</v>
      </c>
      <c r="AK669" s="208">
        <f t="shared" si="76"/>
        <v>736978.33956750121</v>
      </c>
      <c r="AL669" s="235"/>
      <c r="AM669" s="52">
        <f t="shared" si="58"/>
        <v>1</v>
      </c>
      <c r="AN669" s="52">
        <f t="shared" si="59"/>
        <v>0</v>
      </c>
      <c r="AO669" s="52">
        <f t="shared" si="60"/>
        <v>1</v>
      </c>
      <c r="AP669" s="235"/>
      <c r="AQ669" s="28"/>
      <c r="AR669" s="28"/>
      <c r="AS669" s="28"/>
      <c r="AT669" s="28"/>
      <c r="AU669" s="235"/>
      <c r="AV669" s="360">
        <f t="shared" si="77"/>
        <v>4850140.1212002868</v>
      </c>
      <c r="AW669" s="235"/>
      <c r="AX669" s="355"/>
      <c r="AY669" s="344"/>
      <c r="AZ669" s="14">
        <f t="shared" si="79"/>
        <v>5264.2881763082987</v>
      </c>
      <c r="BA669" s="14">
        <f t="shared" si="78"/>
        <v>0.78130802920400999</v>
      </c>
      <c r="BB669" s="14">
        <f t="shared" si="61"/>
        <v>6737.7884003976142</v>
      </c>
      <c r="BC669" s="344"/>
      <c r="BD669" s="344"/>
      <c r="BE669" s="344"/>
      <c r="BF669" s="344"/>
      <c r="BG669" s="344"/>
      <c r="BH669" s="344"/>
      <c r="BI669" s="344"/>
      <c r="BJ669" s="344"/>
      <c r="BK669" s="344"/>
      <c r="BL669" s="344"/>
      <c r="BM669" s="344"/>
      <c r="BN669" s="344"/>
      <c r="BO669" s="344"/>
      <c r="BP669" s="344"/>
      <c r="BQ669" s="344"/>
      <c r="BR669" s="344"/>
      <c r="BS669" s="344"/>
      <c r="BT669" s="344"/>
      <c r="BU669" s="344"/>
      <c r="BV669" s="344"/>
      <c r="BW669" s="344"/>
      <c r="BX669" s="344"/>
      <c r="BY669" s="344"/>
      <c r="BZ669" s="344"/>
      <c r="CA669" s="344"/>
      <c r="CB669" s="28"/>
      <c r="CC669" s="28"/>
      <c r="CD669" s="28"/>
      <c r="CE669" s="28"/>
      <c r="CF669" s="28"/>
      <c r="CG669" s="28"/>
      <c r="CH669" s="28"/>
      <c r="CI669" s="28"/>
      <c r="CJ669" s="28"/>
      <c r="CK669" s="28"/>
      <c r="CL669" s="28"/>
      <c r="CM669" s="28"/>
      <c r="CN669" s="28"/>
      <c r="CO669" s="28"/>
      <c r="CP669" s="28"/>
      <c r="CQ669" s="28"/>
      <c r="CR669" s="28"/>
      <c r="CS669" s="28"/>
      <c r="CT669" s="28"/>
      <c r="CU669" s="28"/>
      <c r="CV669" s="28"/>
      <c r="CW669" s="28"/>
    </row>
    <row r="670" spans="1:101" ht="14.25" customHeight="1" x14ac:dyDescent="0.2">
      <c r="A670" s="328"/>
      <c r="B670" s="52">
        <v>0.13043104151461463</v>
      </c>
      <c r="C670" s="330">
        <v>0.12550522509526463</v>
      </c>
      <c r="D670" s="330">
        <v>2.1618947483154294E-2</v>
      </c>
      <c r="E670" s="330">
        <v>9.1859015256124457E-3</v>
      </c>
      <c r="F670" s="331">
        <v>0.79004239258563924</v>
      </c>
      <c r="G670" s="94">
        <v>0.36739369625776375</v>
      </c>
      <c r="H670" s="330">
        <v>7.1990404036679487E-2</v>
      </c>
      <c r="I670" s="330">
        <v>1.6353447944240096E-2</v>
      </c>
      <c r="J670" s="330">
        <v>1</v>
      </c>
      <c r="K670" s="330">
        <v>0.77666709376157506</v>
      </c>
      <c r="L670" s="332">
        <v>18204.338871685915</v>
      </c>
      <c r="M670" s="330">
        <v>0</v>
      </c>
      <c r="N670" s="330">
        <v>15180.639749494298</v>
      </c>
      <c r="O670" s="330">
        <v>908.15718127670175</v>
      </c>
      <c r="P670" s="330">
        <v>45519.084272499269</v>
      </c>
      <c r="Q670" s="333">
        <v>89846.557181354758</v>
      </c>
      <c r="R670" s="330">
        <v>23774.930864463888</v>
      </c>
      <c r="S670" s="330">
        <v>7855.976687106745</v>
      </c>
      <c r="T670" s="332">
        <v>0.43015582716845269</v>
      </c>
      <c r="U670" s="330">
        <v>0.89484407800474108</v>
      </c>
      <c r="V670" s="330">
        <v>0.98168360060022486</v>
      </c>
      <c r="W670" s="330">
        <v>0.64573699137733021</v>
      </c>
      <c r="X670" s="330">
        <v>0.40056825232789256</v>
      </c>
      <c r="Y670" s="330">
        <v>0</v>
      </c>
      <c r="Z670" s="331">
        <v>0</v>
      </c>
      <c r="AA670" s="235"/>
      <c r="AB670" s="335">
        <v>85570.874044917349</v>
      </c>
      <c r="AC670" s="336">
        <v>2.1103201837307606</v>
      </c>
      <c r="AD670" s="337">
        <v>67350.997315967077</v>
      </c>
      <c r="AE670" s="336">
        <v>2.1377185579797398</v>
      </c>
      <c r="AF670" s="337">
        <v>18219.876728950272</v>
      </c>
      <c r="AG670" s="338">
        <v>-2.7398374248979174E-2</v>
      </c>
      <c r="AH670" s="235"/>
      <c r="AI670" s="208">
        <f t="shared" si="74"/>
        <v>1919233.3004993054</v>
      </c>
      <c r="AJ670" s="208">
        <f t="shared" si="75"/>
        <v>1963481.6327647858</v>
      </c>
      <c r="AK670" s="208">
        <f t="shared" si="76"/>
        <v>-44248.332265480487</v>
      </c>
      <c r="AL670" s="235"/>
      <c r="AM670" s="52">
        <f t="shared" si="58"/>
        <v>0</v>
      </c>
      <c r="AN670" s="52">
        <f t="shared" si="59"/>
        <v>1</v>
      </c>
      <c r="AO670" s="52">
        <f t="shared" si="60"/>
        <v>0</v>
      </c>
      <c r="AP670" s="235"/>
      <c r="AQ670" s="28"/>
      <c r="AR670" s="28"/>
      <c r="AS670" s="28"/>
      <c r="AT670" s="28"/>
      <c r="AU670" s="235"/>
      <c r="AV670" s="360">
        <f t="shared" si="77"/>
        <v>1963481.6327647858</v>
      </c>
      <c r="AW670" s="235"/>
      <c r="AX670" s="355"/>
      <c r="AY670" s="344"/>
      <c r="AZ670" s="14">
        <f t="shared" si="79"/>
        <v>18219.876728950272</v>
      </c>
      <c r="BA670" s="14">
        <f t="shared" si="78"/>
        <v>-2.7398374248979174E-2</v>
      </c>
      <c r="BB670" s="14">
        <f t="shared" si="61"/>
        <v>-664998.46171088493</v>
      </c>
      <c r="BC670" s="344"/>
      <c r="BD670" s="344"/>
      <c r="BE670" s="344"/>
      <c r="BF670" s="344"/>
      <c r="BG670" s="344"/>
      <c r="BH670" s="344"/>
      <c r="BI670" s="344"/>
      <c r="BJ670" s="344"/>
      <c r="BK670" s="344"/>
      <c r="BL670" s="344"/>
      <c r="BM670" s="344"/>
      <c r="BN670" s="344"/>
      <c r="BO670" s="344"/>
      <c r="BP670" s="344"/>
      <c r="BQ670" s="344"/>
      <c r="BR670" s="344"/>
      <c r="BS670" s="344"/>
      <c r="BT670" s="344"/>
      <c r="BU670" s="344"/>
      <c r="BV670" s="344"/>
      <c r="BW670" s="344"/>
      <c r="BX670" s="344"/>
      <c r="BY670" s="344"/>
      <c r="BZ670" s="344"/>
      <c r="CA670" s="344"/>
      <c r="CB670" s="28"/>
      <c r="CC670" s="28"/>
      <c r="CD670" s="28"/>
      <c r="CE670" s="28"/>
      <c r="CF670" s="28"/>
      <c r="CG670" s="28"/>
      <c r="CH670" s="28"/>
      <c r="CI670" s="28"/>
      <c r="CJ670" s="28"/>
      <c r="CK670" s="28"/>
      <c r="CL670" s="28"/>
      <c r="CM670" s="28"/>
      <c r="CN670" s="28"/>
      <c r="CO670" s="28"/>
      <c r="CP670" s="28"/>
      <c r="CQ670" s="28"/>
      <c r="CR670" s="28"/>
      <c r="CS670" s="28"/>
      <c r="CT670" s="28"/>
      <c r="CU670" s="28"/>
      <c r="CV670" s="28"/>
      <c r="CW670" s="28"/>
    </row>
    <row r="671" spans="1:101" ht="14.25" customHeight="1" x14ac:dyDescent="0.2">
      <c r="A671" s="328"/>
      <c r="B671" s="52">
        <v>0.2138119952855384</v>
      </c>
      <c r="C671" s="330">
        <v>0.61243749952484472</v>
      </c>
      <c r="D671" s="330">
        <v>1.4273401937789853E-2</v>
      </c>
      <c r="E671" s="330">
        <v>1.0969056658833369E-2</v>
      </c>
      <c r="F671" s="331">
        <v>0.75032747798995858</v>
      </c>
      <c r="G671" s="94">
        <v>0.38986817879966473</v>
      </c>
      <c r="H671" s="330">
        <v>0.24195390486698862</v>
      </c>
      <c r="I671" s="330">
        <v>2.3571211384764035E-2</v>
      </c>
      <c r="J671" s="330">
        <v>0.99999999998776934</v>
      </c>
      <c r="K671" s="330">
        <v>0.76671620398930318</v>
      </c>
      <c r="L671" s="332">
        <v>12438.52607762753</v>
      </c>
      <c r="M671" s="330">
        <v>0</v>
      </c>
      <c r="N671" s="330">
        <v>18890.345422655686</v>
      </c>
      <c r="O671" s="330">
        <v>966.88448699319076</v>
      </c>
      <c r="P671" s="330">
        <v>49787.121655810683</v>
      </c>
      <c r="Q671" s="333">
        <v>90228.6889439324</v>
      </c>
      <c r="R671" s="330">
        <v>26506.384257802481</v>
      </c>
      <c r="S671" s="330">
        <v>6111.8971196446855</v>
      </c>
      <c r="T671" s="332">
        <v>0.97617623419944022</v>
      </c>
      <c r="U671" s="330">
        <v>0.646668006796702</v>
      </c>
      <c r="V671" s="330">
        <v>0.6728555181777145</v>
      </c>
      <c r="W671" s="330">
        <v>0.99359755871272659</v>
      </c>
      <c r="X671" s="330">
        <v>0.75624649056037585</v>
      </c>
      <c r="Y671" s="330">
        <v>0</v>
      </c>
      <c r="Z671" s="331">
        <v>0</v>
      </c>
      <c r="AA671" s="235"/>
      <c r="AB671" s="335">
        <v>65606.451362370019</v>
      </c>
      <c r="AC671" s="336">
        <v>3.4304761003037334</v>
      </c>
      <c r="AD671" s="337">
        <v>54715.368226239123</v>
      </c>
      <c r="AE671" s="336">
        <v>3.5624211964019201</v>
      </c>
      <c r="AF671" s="337">
        <v>10891.083136130896</v>
      </c>
      <c r="AG671" s="338">
        <v>-0.13194509609818672</v>
      </c>
      <c r="AH671" s="235"/>
      <c r="AI671" s="208">
        <f t="shared" si="74"/>
        <v>3193345.8439261769</v>
      </c>
      <c r="AJ671" s="208">
        <f t="shared" si="75"/>
        <v>3329584.7683555852</v>
      </c>
      <c r="AK671" s="208">
        <f t="shared" si="76"/>
        <v>-136238.92442940827</v>
      </c>
      <c r="AL671" s="235"/>
      <c r="AM671" s="52">
        <f t="shared" si="58"/>
        <v>0</v>
      </c>
      <c r="AN671" s="52">
        <f t="shared" si="59"/>
        <v>1</v>
      </c>
      <c r="AO671" s="52">
        <f t="shared" si="60"/>
        <v>0</v>
      </c>
      <c r="AP671" s="235"/>
      <c r="AQ671" s="28"/>
      <c r="AR671" s="28"/>
      <c r="AS671" s="28"/>
      <c r="AT671" s="28"/>
      <c r="AU671" s="235"/>
      <c r="AV671" s="360">
        <f t="shared" si="77"/>
        <v>3329584.7683555852</v>
      </c>
      <c r="AW671" s="235"/>
      <c r="AX671" s="355"/>
      <c r="AY671" s="344"/>
      <c r="AZ671" s="14">
        <f t="shared" si="79"/>
        <v>10891.083136130896</v>
      </c>
      <c r="BA671" s="14">
        <f t="shared" si="78"/>
        <v>-0.13194509609818672</v>
      </c>
      <c r="BB671" s="14">
        <f t="shared" si="61"/>
        <v>-82542.538208667596</v>
      </c>
      <c r="BC671" s="344"/>
      <c r="BD671" s="344"/>
      <c r="BE671" s="344"/>
      <c r="BF671" s="344"/>
      <c r="BG671" s="344"/>
      <c r="BH671" s="344"/>
      <c r="BI671" s="344"/>
      <c r="BJ671" s="344"/>
      <c r="BK671" s="344"/>
      <c r="BL671" s="344"/>
      <c r="BM671" s="344"/>
      <c r="BN671" s="344"/>
      <c r="BO671" s="344"/>
      <c r="BP671" s="344"/>
      <c r="BQ671" s="344"/>
      <c r="BR671" s="344"/>
      <c r="BS671" s="344"/>
      <c r="BT671" s="344"/>
      <c r="BU671" s="344"/>
      <c r="BV671" s="344"/>
      <c r="BW671" s="344"/>
      <c r="BX671" s="344"/>
      <c r="BY671" s="344"/>
      <c r="BZ671" s="344"/>
      <c r="CA671" s="344"/>
      <c r="CB671" s="28"/>
      <c r="CC671" s="28"/>
      <c r="CD671" s="28"/>
      <c r="CE671" s="28"/>
      <c r="CF671" s="28"/>
      <c r="CG671" s="28"/>
      <c r="CH671" s="28"/>
      <c r="CI671" s="28"/>
      <c r="CJ671" s="28"/>
      <c r="CK671" s="28"/>
      <c r="CL671" s="28"/>
      <c r="CM671" s="28"/>
      <c r="CN671" s="28"/>
      <c r="CO671" s="28"/>
      <c r="CP671" s="28"/>
      <c r="CQ671" s="28"/>
      <c r="CR671" s="28"/>
      <c r="CS671" s="28"/>
      <c r="CT671" s="28"/>
      <c r="CU671" s="28"/>
      <c r="CV671" s="28"/>
      <c r="CW671" s="28"/>
    </row>
    <row r="672" spans="1:101" ht="14.25" customHeight="1" x14ac:dyDescent="0.2">
      <c r="A672" s="328"/>
      <c r="B672" s="52">
        <v>0.17867317725502152</v>
      </c>
      <c r="C672" s="330">
        <v>0.41634836415140086</v>
      </c>
      <c r="D672" s="330">
        <v>1.8469327370815192E-2</v>
      </c>
      <c r="E672" s="330">
        <v>8.3861535980425984E-3</v>
      </c>
      <c r="F672" s="331">
        <v>0.78767944615872909</v>
      </c>
      <c r="G672" s="94">
        <v>0.38735644955226428</v>
      </c>
      <c r="H672" s="330">
        <v>0.26993075656134358</v>
      </c>
      <c r="I672" s="330">
        <v>1.2576888359743736E-2</v>
      </c>
      <c r="J672" s="330">
        <v>0.99079549710273285</v>
      </c>
      <c r="K672" s="330">
        <v>0.77846312698729658</v>
      </c>
      <c r="L672" s="332">
        <v>13282.044783626821</v>
      </c>
      <c r="M672" s="330">
        <v>0</v>
      </c>
      <c r="N672" s="330">
        <v>19062.299686036869</v>
      </c>
      <c r="O672" s="330">
        <v>1098.0153797765406</v>
      </c>
      <c r="P672" s="330">
        <v>47502.410615219116</v>
      </c>
      <c r="Q672" s="333">
        <v>87498.486322008001</v>
      </c>
      <c r="R672" s="330">
        <v>24971.355528408007</v>
      </c>
      <c r="S672" s="330">
        <v>8185.5027204940789</v>
      </c>
      <c r="T672" s="332">
        <v>0.78699759517483447</v>
      </c>
      <c r="U672" s="330">
        <v>0.87858098598579715</v>
      </c>
      <c r="V672" s="330">
        <v>0.94137143757442465</v>
      </c>
      <c r="W672" s="330">
        <v>0.46372393087860209</v>
      </c>
      <c r="X672" s="330">
        <v>0.99730538406498481</v>
      </c>
      <c r="Y672" s="330">
        <v>0</v>
      </c>
      <c r="Z672" s="331">
        <v>0</v>
      </c>
      <c r="AA672" s="235"/>
      <c r="AB672" s="335">
        <v>84816.616066427508</v>
      </c>
      <c r="AC672" s="336">
        <v>4.8045817167711462</v>
      </c>
      <c r="AD672" s="337">
        <v>72182.304859479176</v>
      </c>
      <c r="AE672" s="336">
        <v>4.755673064931413</v>
      </c>
      <c r="AF672" s="337">
        <v>12634.311206948332</v>
      </c>
      <c r="AG672" s="338">
        <v>4.8908651839733253E-2</v>
      </c>
      <c r="AH672" s="235"/>
      <c r="AI672" s="208">
        <f t="shared" si="74"/>
        <v>4479536.0148661612</v>
      </c>
      <c r="AJ672" s="208">
        <f t="shared" si="75"/>
        <v>4445707.1068253629</v>
      </c>
      <c r="AK672" s="208">
        <f t="shared" si="76"/>
        <v>33828.908040798255</v>
      </c>
      <c r="AL672" s="235"/>
      <c r="AM672" s="52">
        <f t="shared" si="58"/>
        <v>1</v>
      </c>
      <c r="AN672" s="52">
        <f t="shared" si="59"/>
        <v>0</v>
      </c>
      <c r="AO672" s="52">
        <f t="shared" si="60"/>
        <v>1</v>
      </c>
      <c r="AP672" s="235"/>
      <c r="AQ672" s="28"/>
      <c r="AR672" s="28"/>
      <c r="AS672" s="28"/>
      <c r="AT672" s="28"/>
      <c r="AU672" s="235"/>
      <c r="AV672" s="360">
        <f t="shared" si="77"/>
        <v>4479536.0148661612</v>
      </c>
      <c r="AW672" s="235"/>
      <c r="AX672" s="355"/>
      <c r="AY672" s="344"/>
      <c r="AZ672" s="14">
        <f t="shared" si="79"/>
        <v>12634.311206948332</v>
      </c>
      <c r="BA672" s="14">
        <f t="shared" si="78"/>
        <v>4.8908651839733253E-2</v>
      </c>
      <c r="BB672" s="14">
        <f t="shared" si="61"/>
        <v>258324.66714374354</v>
      </c>
      <c r="BC672" s="344"/>
      <c r="BD672" s="344"/>
      <c r="BE672" s="344"/>
      <c r="BF672" s="344"/>
      <c r="BG672" s="344"/>
      <c r="BH672" s="344"/>
      <c r="BI672" s="344"/>
      <c r="BJ672" s="344"/>
      <c r="BK672" s="344"/>
      <c r="BL672" s="344"/>
      <c r="BM672" s="344"/>
      <c r="BN672" s="344"/>
      <c r="BO672" s="344"/>
      <c r="BP672" s="344"/>
      <c r="BQ672" s="344"/>
      <c r="BR672" s="344"/>
      <c r="BS672" s="344"/>
      <c r="BT672" s="344"/>
      <c r="BU672" s="344"/>
      <c r="BV672" s="344"/>
      <c r="BW672" s="344"/>
      <c r="BX672" s="344"/>
      <c r="BY672" s="344"/>
      <c r="BZ672" s="344"/>
      <c r="CA672" s="344"/>
      <c r="CB672" s="28"/>
      <c r="CC672" s="28"/>
      <c r="CD672" s="28"/>
      <c r="CE672" s="28"/>
      <c r="CF672" s="28"/>
      <c r="CG672" s="28"/>
      <c r="CH672" s="28"/>
      <c r="CI672" s="28"/>
      <c r="CJ672" s="28"/>
      <c r="CK672" s="28"/>
      <c r="CL672" s="28"/>
      <c r="CM672" s="28"/>
      <c r="CN672" s="28"/>
      <c r="CO672" s="28"/>
      <c r="CP672" s="28"/>
      <c r="CQ672" s="28"/>
      <c r="CR672" s="28"/>
      <c r="CS672" s="28"/>
      <c r="CT672" s="28"/>
      <c r="CU672" s="28"/>
      <c r="CV672" s="28"/>
      <c r="CW672" s="28"/>
    </row>
    <row r="673" spans="1:101" ht="14.25" customHeight="1" x14ac:dyDescent="0.2">
      <c r="A673" s="328"/>
      <c r="B673" s="52">
        <v>0.15644911762160343</v>
      </c>
      <c r="C673" s="330">
        <v>0.1566476445240782</v>
      </c>
      <c r="D673" s="330">
        <v>7.8968258304391928E-3</v>
      </c>
      <c r="E673" s="330">
        <v>1.5871893222560884E-2</v>
      </c>
      <c r="F673" s="331">
        <v>0.77054210883972418</v>
      </c>
      <c r="G673" s="94">
        <v>0.38601045302990361</v>
      </c>
      <c r="H673" s="330">
        <v>0.54354617402720917</v>
      </c>
      <c r="I673" s="330">
        <v>4.9006574248670609E-2</v>
      </c>
      <c r="J673" s="330">
        <v>1</v>
      </c>
      <c r="K673" s="330">
        <v>0.82221599238096299</v>
      </c>
      <c r="L673" s="332">
        <v>12777.648379617089</v>
      </c>
      <c r="M673" s="330">
        <v>0</v>
      </c>
      <c r="N673" s="330">
        <v>22313.845207671238</v>
      </c>
      <c r="O673" s="330">
        <v>1012.9790282539798</v>
      </c>
      <c r="P673" s="330">
        <v>45691.359029837302</v>
      </c>
      <c r="Q673" s="333">
        <v>97398.631762353209</v>
      </c>
      <c r="R673" s="330">
        <v>35217.677374444786</v>
      </c>
      <c r="S673" s="330">
        <v>6858.3906935282057</v>
      </c>
      <c r="T673" s="332">
        <v>0.94808725564582974</v>
      </c>
      <c r="U673" s="330">
        <v>0.98785197258787472</v>
      </c>
      <c r="V673" s="330">
        <v>0.92608812134443497</v>
      </c>
      <c r="W673" s="330">
        <v>0.99987870274419632</v>
      </c>
      <c r="X673" s="330">
        <v>0.96092100292858118</v>
      </c>
      <c r="Y673" s="330">
        <v>0</v>
      </c>
      <c r="Z673" s="331">
        <v>0</v>
      </c>
      <c r="AA673" s="235"/>
      <c r="AB673" s="335">
        <v>70631.996760686845</v>
      </c>
      <c r="AC673" s="336">
        <v>4.5984560436925932</v>
      </c>
      <c r="AD673" s="337">
        <v>71165.650885831667</v>
      </c>
      <c r="AE673" s="336">
        <v>5.1593405437716191</v>
      </c>
      <c r="AF673" s="337">
        <v>-533.65412514482159</v>
      </c>
      <c r="AG673" s="338">
        <v>-0.5608845000790259</v>
      </c>
      <c r="AH673" s="235"/>
      <c r="AI673" s="208">
        <f t="shared" si="74"/>
        <v>4297901.2447472764</v>
      </c>
      <c r="AJ673" s="208">
        <f t="shared" si="75"/>
        <v>4830207.8656972069</v>
      </c>
      <c r="AK673" s="208">
        <f t="shared" si="76"/>
        <v>-532306.62094992981</v>
      </c>
      <c r="AL673" s="235"/>
      <c r="AM673" s="52">
        <f t="shared" si="58"/>
        <v>0</v>
      </c>
      <c r="AN673" s="52">
        <f t="shared" si="59"/>
        <v>1</v>
      </c>
      <c r="AO673" s="52">
        <f t="shared" si="60"/>
        <v>0</v>
      </c>
      <c r="AP673" s="235"/>
      <c r="AQ673" s="28"/>
      <c r="AR673" s="28"/>
      <c r="AS673" s="28"/>
      <c r="AT673" s="28"/>
      <c r="AU673" s="235"/>
      <c r="AV673" s="360">
        <f t="shared" si="77"/>
        <v>4830207.8656972069</v>
      </c>
      <c r="AW673" s="235"/>
      <c r="AX673" s="355"/>
      <c r="AY673" s="344"/>
      <c r="AZ673" s="14">
        <f t="shared" si="79"/>
        <v>-533.65412514482159</v>
      </c>
      <c r="BA673" s="14">
        <f t="shared" si="78"/>
        <v>-0.5608845000790259</v>
      </c>
      <c r="BB673" s="14">
        <f t="shared" si="61"/>
        <v>951.45101187433829</v>
      </c>
      <c r="BC673" s="344"/>
      <c r="BD673" s="344"/>
      <c r="BE673" s="344"/>
      <c r="BF673" s="344"/>
      <c r="BG673" s="344"/>
      <c r="BH673" s="344"/>
      <c r="BI673" s="344"/>
      <c r="BJ673" s="344"/>
      <c r="BK673" s="344"/>
      <c r="BL673" s="344"/>
      <c r="BM673" s="344"/>
      <c r="BN673" s="344"/>
      <c r="BO673" s="344"/>
      <c r="BP673" s="344"/>
      <c r="BQ673" s="344"/>
      <c r="BR673" s="344"/>
      <c r="BS673" s="344"/>
      <c r="BT673" s="344"/>
      <c r="BU673" s="344"/>
      <c r="BV673" s="344"/>
      <c r="BW673" s="344"/>
      <c r="BX673" s="344"/>
      <c r="BY673" s="344"/>
      <c r="BZ673" s="344"/>
      <c r="CA673" s="344"/>
      <c r="CB673" s="28"/>
      <c r="CC673" s="28"/>
      <c r="CD673" s="28"/>
      <c r="CE673" s="28"/>
      <c r="CF673" s="28"/>
      <c r="CG673" s="28"/>
      <c r="CH673" s="28"/>
      <c r="CI673" s="28"/>
      <c r="CJ673" s="28"/>
      <c r="CK673" s="28"/>
      <c r="CL673" s="28"/>
      <c r="CM673" s="28"/>
      <c r="CN673" s="28"/>
      <c r="CO673" s="28"/>
      <c r="CP673" s="28"/>
      <c r="CQ673" s="28"/>
      <c r="CR673" s="28"/>
      <c r="CS673" s="28"/>
      <c r="CT673" s="28"/>
      <c r="CU673" s="28"/>
      <c r="CV673" s="28"/>
      <c r="CW673" s="28"/>
    </row>
    <row r="674" spans="1:101" ht="14.25" customHeight="1" x14ac:dyDescent="0.2">
      <c r="A674" s="328"/>
      <c r="B674" s="52">
        <v>0.16675714910000439</v>
      </c>
      <c r="C674" s="330">
        <v>0.72074142806054775</v>
      </c>
      <c r="D674" s="330">
        <v>1.6640091813412083E-2</v>
      </c>
      <c r="E674" s="330">
        <v>1.0757685434378999E-2</v>
      </c>
      <c r="F674" s="331">
        <v>0.7768579290801334</v>
      </c>
      <c r="G674" s="94">
        <v>0.39779694974432933</v>
      </c>
      <c r="H674" s="330">
        <v>0.2736972709853841</v>
      </c>
      <c r="I674" s="330">
        <v>2.6228273183314776E-2</v>
      </c>
      <c r="J674" s="330">
        <v>0.99999999999999989</v>
      </c>
      <c r="K674" s="330">
        <v>0.76704109388993347</v>
      </c>
      <c r="L674" s="332">
        <v>15685.150615261631</v>
      </c>
      <c r="M674" s="330">
        <v>0</v>
      </c>
      <c r="N674" s="330">
        <v>20869.499629285237</v>
      </c>
      <c r="O674" s="330">
        <v>1861.5816844378242</v>
      </c>
      <c r="P674" s="330">
        <v>30775.784292827691</v>
      </c>
      <c r="Q674" s="333">
        <v>76305.449674332544</v>
      </c>
      <c r="R674" s="330">
        <v>24543.551658448621</v>
      </c>
      <c r="S674" s="330">
        <v>8702.3125574950227</v>
      </c>
      <c r="T674" s="332">
        <v>0.97400052219877264</v>
      </c>
      <c r="U674" s="330">
        <v>0.99951615694586704</v>
      </c>
      <c r="V674" s="330">
        <v>0.88823858687106849</v>
      </c>
      <c r="W674" s="330">
        <v>0.54319527000210321</v>
      </c>
      <c r="X674" s="330">
        <v>0.99637971545633619</v>
      </c>
      <c r="Y674" s="330">
        <v>0</v>
      </c>
      <c r="Z674" s="331">
        <v>0</v>
      </c>
      <c r="AA674" s="235"/>
      <c r="AB674" s="335">
        <v>91706.785773220254</v>
      </c>
      <c r="AC674" s="336">
        <v>4.6761465363806298</v>
      </c>
      <c r="AD674" s="337">
        <v>76493.493503049191</v>
      </c>
      <c r="AE674" s="336">
        <v>4.6201457170026465</v>
      </c>
      <c r="AF674" s="337">
        <v>15213.292270171063</v>
      </c>
      <c r="AG674" s="338">
        <v>5.6000819377983291E-2</v>
      </c>
      <c r="AH674" s="235"/>
      <c r="AI674" s="208">
        <f t="shared" si="74"/>
        <v>4350632.423788378</v>
      </c>
      <c r="AJ674" s="208">
        <f t="shared" si="75"/>
        <v>4312644.9376494652</v>
      </c>
      <c r="AK674" s="208">
        <f t="shared" si="76"/>
        <v>37987.48613891306</v>
      </c>
      <c r="AL674" s="235"/>
      <c r="AM674" s="52">
        <f t="shared" si="58"/>
        <v>1</v>
      </c>
      <c r="AN674" s="52">
        <f t="shared" si="59"/>
        <v>0</v>
      </c>
      <c r="AO674" s="52">
        <f t="shared" si="60"/>
        <v>1</v>
      </c>
      <c r="AP674" s="235"/>
      <c r="AQ674" s="28"/>
      <c r="AR674" s="28"/>
      <c r="AS674" s="28"/>
      <c r="AT674" s="28"/>
      <c r="AU674" s="235"/>
      <c r="AV674" s="360">
        <f t="shared" si="77"/>
        <v>4350632.423788378</v>
      </c>
      <c r="AW674" s="235"/>
      <c r="AX674" s="355"/>
      <c r="AY674" s="344"/>
      <c r="AZ674" s="14">
        <f t="shared" si="79"/>
        <v>15213.292270171063</v>
      </c>
      <c r="BA674" s="14">
        <f t="shared" si="78"/>
        <v>5.6000819377983291E-2</v>
      </c>
      <c r="BB674" s="14">
        <f t="shared" si="61"/>
        <v>271661.95850613154</v>
      </c>
      <c r="BC674" s="344"/>
      <c r="BD674" s="344"/>
      <c r="BE674" s="344"/>
      <c r="BF674" s="344"/>
      <c r="BG674" s="344"/>
      <c r="BH674" s="344"/>
      <c r="BI674" s="344"/>
      <c r="BJ674" s="344"/>
      <c r="BK674" s="344"/>
      <c r="BL674" s="344"/>
      <c r="BM674" s="344"/>
      <c r="BN674" s="344"/>
      <c r="BO674" s="344"/>
      <c r="BP674" s="344"/>
      <c r="BQ674" s="344"/>
      <c r="BR674" s="344"/>
      <c r="BS674" s="344"/>
      <c r="BT674" s="344"/>
      <c r="BU674" s="344"/>
      <c r="BV674" s="344"/>
      <c r="BW674" s="344"/>
      <c r="BX674" s="344"/>
      <c r="BY674" s="344"/>
      <c r="BZ674" s="344"/>
      <c r="CA674" s="344"/>
      <c r="CB674" s="28"/>
      <c r="CC674" s="28"/>
      <c r="CD674" s="28"/>
      <c r="CE674" s="28"/>
      <c r="CF674" s="28"/>
      <c r="CG674" s="28"/>
      <c r="CH674" s="28"/>
      <c r="CI674" s="28"/>
      <c r="CJ674" s="28"/>
      <c r="CK674" s="28"/>
      <c r="CL674" s="28"/>
      <c r="CM674" s="28"/>
      <c r="CN674" s="28"/>
      <c r="CO674" s="28"/>
      <c r="CP674" s="28"/>
      <c r="CQ674" s="28"/>
      <c r="CR674" s="28"/>
      <c r="CS674" s="28"/>
      <c r="CT674" s="28"/>
      <c r="CU674" s="28"/>
      <c r="CV674" s="28"/>
      <c r="CW674" s="28"/>
    </row>
    <row r="675" spans="1:101" ht="14.25" customHeight="1" x14ac:dyDescent="0.2">
      <c r="A675" s="328"/>
      <c r="B675" s="52">
        <v>0.18164603131292201</v>
      </c>
      <c r="C675" s="330">
        <v>0.67798098501222892</v>
      </c>
      <c r="D675" s="330">
        <v>9.0571203580306799E-3</v>
      </c>
      <c r="E675" s="330">
        <v>2.4216209859517668E-2</v>
      </c>
      <c r="F675" s="331">
        <v>0.78891240043955513</v>
      </c>
      <c r="G675" s="94">
        <v>0.35290239422682296</v>
      </c>
      <c r="H675" s="330">
        <v>0.74736088782435584</v>
      </c>
      <c r="I675" s="330">
        <v>2.6585070587105464E-2</v>
      </c>
      <c r="J675" s="330">
        <v>0.9994072089451439</v>
      </c>
      <c r="K675" s="330">
        <v>0.7557892079888191</v>
      </c>
      <c r="L675" s="332">
        <v>17739.177679219985</v>
      </c>
      <c r="M675" s="330">
        <v>0</v>
      </c>
      <c r="N675" s="330">
        <v>15586.59075493075</v>
      </c>
      <c r="O675" s="330">
        <v>1237.8850273862338</v>
      </c>
      <c r="P675" s="330">
        <v>49728.173791225134</v>
      </c>
      <c r="Q675" s="333">
        <v>96072.169623197376</v>
      </c>
      <c r="R675" s="330">
        <v>17346.473744649113</v>
      </c>
      <c r="S675" s="330">
        <v>5765.4593863658811</v>
      </c>
      <c r="T675" s="332">
        <v>0.9945902760175227</v>
      </c>
      <c r="U675" s="330">
        <v>0.91713408408539632</v>
      </c>
      <c r="V675" s="330">
        <v>0.41708302239737893</v>
      </c>
      <c r="W675" s="330">
        <v>0.94172866527094934</v>
      </c>
      <c r="X675" s="330">
        <v>0.90949844360583532</v>
      </c>
      <c r="Y675" s="330">
        <v>0</v>
      </c>
      <c r="Z675" s="331">
        <v>0</v>
      </c>
      <c r="AA675" s="235"/>
      <c r="AB675" s="335">
        <v>69071.343646751644</v>
      </c>
      <c r="AC675" s="336">
        <v>4.369211241738836</v>
      </c>
      <c r="AD675" s="337">
        <v>53275.413034174489</v>
      </c>
      <c r="AE675" s="336">
        <v>4.3985698702248293</v>
      </c>
      <c r="AF675" s="337">
        <v>15795.930612577155</v>
      </c>
      <c r="AG675" s="338">
        <v>-2.9358628485993243E-2</v>
      </c>
      <c r="AH675" s="235"/>
      <c r="AI675" s="208">
        <f t="shared" si="74"/>
        <v>4081679.3360051424</v>
      </c>
      <c r="AJ675" s="208">
        <f t="shared" si="75"/>
        <v>4125365.9636794133</v>
      </c>
      <c r="AK675" s="208">
        <f t="shared" si="76"/>
        <v>-43686.627674270734</v>
      </c>
      <c r="AL675" s="235"/>
      <c r="AM675" s="52">
        <f t="shared" si="58"/>
        <v>0</v>
      </c>
      <c r="AN675" s="52">
        <f t="shared" si="59"/>
        <v>1</v>
      </c>
      <c r="AO675" s="52">
        <f t="shared" si="60"/>
        <v>0</v>
      </c>
      <c r="AP675" s="235"/>
      <c r="AQ675" s="28"/>
      <c r="AR675" s="28"/>
      <c r="AS675" s="28"/>
      <c r="AT675" s="28"/>
      <c r="AU675" s="235"/>
      <c r="AV675" s="360">
        <f t="shared" si="77"/>
        <v>4125365.9636794133</v>
      </c>
      <c r="AW675" s="235"/>
      <c r="AX675" s="355"/>
      <c r="AY675" s="344"/>
      <c r="AZ675" s="14">
        <f t="shared" si="79"/>
        <v>15795.930612577155</v>
      </c>
      <c r="BA675" s="14">
        <f t="shared" si="78"/>
        <v>-2.9358628485993243E-2</v>
      </c>
      <c r="BB675" s="14">
        <f t="shared" si="61"/>
        <v>-538033.66939001461</v>
      </c>
      <c r="BC675" s="344"/>
      <c r="BD675" s="344"/>
      <c r="BE675" s="344"/>
      <c r="BF675" s="344"/>
      <c r="BG675" s="344"/>
      <c r="BH675" s="344"/>
      <c r="BI675" s="344"/>
      <c r="BJ675" s="344"/>
      <c r="BK675" s="344"/>
      <c r="BL675" s="344"/>
      <c r="BM675" s="344"/>
      <c r="BN675" s="344"/>
      <c r="BO675" s="344"/>
      <c r="BP675" s="344"/>
      <c r="BQ675" s="344"/>
      <c r="BR675" s="344"/>
      <c r="BS675" s="344"/>
      <c r="BT675" s="344"/>
      <c r="BU675" s="344"/>
      <c r="BV675" s="344"/>
      <c r="BW675" s="344"/>
      <c r="BX675" s="344"/>
      <c r="BY675" s="344"/>
      <c r="BZ675" s="344"/>
      <c r="CA675" s="344"/>
      <c r="CB675" s="28"/>
      <c r="CC675" s="28"/>
      <c r="CD675" s="28"/>
      <c r="CE675" s="28"/>
      <c r="CF675" s="28"/>
      <c r="CG675" s="28"/>
      <c r="CH675" s="28"/>
      <c r="CI675" s="28"/>
      <c r="CJ675" s="28"/>
      <c r="CK675" s="28"/>
      <c r="CL675" s="28"/>
      <c r="CM675" s="28"/>
      <c r="CN675" s="28"/>
      <c r="CO675" s="28"/>
      <c r="CP675" s="28"/>
      <c r="CQ675" s="28"/>
      <c r="CR675" s="28"/>
      <c r="CS675" s="28"/>
      <c r="CT675" s="28"/>
      <c r="CU675" s="28"/>
      <c r="CV675" s="28"/>
      <c r="CW675" s="28"/>
    </row>
    <row r="676" spans="1:101" ht="14.25" customHeight="1" x14ac:dyDescent="0.2">
      <c r="A676" s="328"/>
      <c r="B676" s="52">
        <v>0.14871855111841731</v>
      </c>
      <c r="C676" s="330">
        <v>0.85262977446300092</v>
      </c>
      <c r="D676" s="330">
        <v>1.0195235468358994E-2</v>
      </c>
      <c r="E676" s="330">
        <v>7.2891445958601303E-3</v>
      </c>
      <c r="F676" s="331">
        <v>0.81280563783802018</v>
      </c>
      <c r="G676" s="94">
        <v>0.44935777794862641</v>
      </c>
      <c r="H676" s="330">
        <v>0.25197839627825774</v>
      </c>
      <c r="I676" s="330">
        <v>2.15420494890326E-2</v>
      </c>
      <c r="J676" s="330">
        <v>1</v>
      </c>
      <c r="K676" s="330">
        <v>0.73133363394427664</v>
      </c>
      <c r="L676" s="332">
        <v>13091.007947694805</v>
      </c>
      <c r="M676" s="330">
        <v>0</v>
      </c>
      <c r="N676" s="330">
        <v>20445.981787970341</v>
      </c>
      <c r="O676" s="330">
        <v>958.40566438077303</v>
      </c>
      <c r="P676" s="330">
        <v>54804.550042879302</v>
      </c>
      <c r="Q676" s="333">
        <v>138464.49034699035</v>
      </c>
      <c r="R676" s="330">
        <v>27885.614902328343</v>
      </c>
      <c r="S676" s="330">
        <v>7852.073844796003</v>
      </c>
      <c r="T676" s="332">
        <v>0.99463763617696088</v>
      </c>
      <c r="U676" s="330">
        <v>0.55779534910427275</v>
      </c>
      <c r="V676" s="330">
        <v>0.71726563133148058</v>
      </c>
      <c r="W676" s="330">
        <v>0.9997953741968173</v>
      </c>
      <c r="X676" s="330">
        <v>0.92431816363884611</v>
      </c>
      <c r="Y676" s="330">
        <v>0</v>
      </c>
      <c r="Z676" s="331">
        <v>0</v>
      </c>
      <c r="AA676" s="235"/>
      <c r="AB676" s="335">
        <v>85469.233363419029</v>
      </c>
      <c r="AC676" s="336">
        <v>4.7772089163900047</v>
      </c>
      <c r="AD676" s="337">
        <v>67442.971231291987</v>
      </c>
      <c r="AE676" s="336">
        <v>4.0968297316355207</v>
      </c>
      <c r="AF676" s="337">
        <v>18026.262132127042</v>
      </c>
      <c r="AG676" s="338">
        <v>0.680379184754484</v>
      </c>
      <c r="AH676" s="235"/>
      <c r="AI676" s="208">
        <f t="shared" si="74"/>
        <v>4452879.2372070858</v>
      </c>
      <c r="AJ676" s="208">
        <f t="shared" si="75"/>
        <v>3824545.2738224524</v>
      </c>
      <c r="AK676" s="208">
        <f t="shared" si="76"/>
        <v>628333.96338463272</v>
      </c>
      <c r="AL676" s="235"/>
      <c r="AM676" s="52">
        <f t="shared" si="58"/>
        <v>1</v>
      </c>
      <c r="AN676" s="52">
        <f t="shared" si="59"/>
        <v>0</v>
      </c>
      <c r="AO676" s="52">
        <f t="shared" si="60"/>
        <v>1</v>
      </c>
      <c r="AP676" s="235"/>
      <c r="AQ676" s="28"/>
      <c r="AR676" s="28"/>
      <c r="AS676" s="28"/>
      <c r="AT676" s="28"/>
      <c r="AU676" s="235"/>
      <c r="AV676" s="360">
        <f t="shared" si="77"/>
        <v>4452879.2372070858</v>
      </c>
      <c r="AW676" s="235"/>
      <c r="AX676" s="355"/>
      <c r="AY676" s="344"/>
      <c r="AZ676" s="14">
        <f t="shared" si="79"/>
        <v>18026.262132127042</v>
      </c>
      <c r="BA676" s="14">
        <f t="shared" si="78"/>
        <v>0.680379184754484</v>
      </c>
      <c r="BB676" s="14">
        <f t="shared" si="61"/>
        <v>26494.435068044961</v>
      </c>
      <c r="BC676" s="344"/>
      <c r="BD676" s="344"/>
      <c r="BE676" s="344"/>
      <c r="BF676" s="344"/>
      <c r="BG676" s="344"/>
      <c r="BH676" s="344"/>
      <c r="BI676" s="344"/>
      <c r="BJ676" s="344"/>
      <c r="BK676" s="344"/>
      <c r="BL676" s="344"/>
      <c r="BM676" s="344"/>
      <c r="BN676" s="344"/>
      <c r="BO676" s="344"/>
      <c r="BP676" s="344"/>
      <c r="BQ676" s="344"/>
      <c r="BR676" s="344"/>
      <c r="BS676" s="344"/>
      <c r="BT676" s="344"/>
      <c r="BU676" s="344"/>
      <c r="BV676" s="344"/>
      <c r="BW676" s="344"/>
      <c r="BX676" s="344"/>
      <c r="BY676" s="344"/>
      <c r="BZ676" s="344"/>
      <c r="CA676" s="344"/>
      <c r="CB676" s="28"/>
      <c r="CC676" s="28"/>
      <c r="CD676" s="28"/>
      <c r="CE676" s="28"/>
      <c r="CF676" s="28"/>
      <c r="CG676" s="28"/>
      <c r="CH676" s="28"/>
      <c r="CI676" s="28"/>
      <c r="CJ676" s="28"/>
      <c r="CK676" s="28"/>
      <c r="CL676" s="28"/>
      <c r="CM676" s="28"/>
      <c r="CN676" s="28"/>
      <c r="CO676" s="28"/>
      <c r="CP676" s="28"/>
      <c r="CQ676" s="28"/>
      <c r="CR676" s="28"/>
      <c r="CS676" s="28"/>
      <c r="CT676" s="28"/>
      <c r="CU676" s="28"/>
      <c r="CV676" s="28"/>
      <c r="CW676" s="28"/>
    </row>
    <row r="677" spans="1:101" ht="14.25" customHeight="1" x14ac:dyDescent="0.2">
      <c r="A677" s="328"/>
      <c r="B677" s="52">
        <v>0.15186334996507242</v>
      </c>
      <c r="C677" s="330">
        <v>6.7261348448046125E-3</v>
      </c>
      <c r="D677" s="330">
        <v>2.5633567020371339E-2</v>
      </c>
      <c r="E677" s="330">
        <v>1.0069649987016515E-2</v>
      </c>
      <c r="F677" s="331">
        <v>0.77030440652592491</v>
      </c>
      <c r="G677" s="94">
        <v>0.40457620320271193</v>
      </c>
      <c r="H677" s="330">
        <v>0.34125702552067244</v>
      </c>
      <c r="I677" s="330">
        <v>1.3222732251106695E-2</v>
      </c>
      <c r="J677" s="330">
        <v>0.9403714602532518</v>
      </c>
      <c r="K677" s="330">
        <v>0.7567585084550259</v>
      </c>
      <c r="L677" s="332">
        <v>10231.571617724234</v>
      </c>
      <c r="M677" s="330">
        <v>0</v>
      </c>
      <c r="N677" s="330">
        <v>19790.000771000097</v>
      </c>
      <c r="O677" s="330">
        <v>1184.3958245807041</v>
      </c>
      <c r="P677" s="330">
        <v>41640.480744089262</v>
      </c>
      <c r="Q677" s="333">
        <v>57128.33900449043</v>
      </c>
      <c r="R677" s="330">
        <v>23592.743567539652</v>
      </c>
      <c r="S677" s="330">
        <v>7382.5417901634692</v>
      </c>
      <c r="T677" s="332">
        <v>0.98908844684290642</v>
      </c>
      <c r="U677" s="330">
        <v>0.99221152047753614</v>
      </c>
      <c r="V677" s="330">
        <v>0.9753393738771956</v>
      </c>
      <c r="W677" s="330">
        <v>0.84343826673192868</v>
      </c>
      <c r="X677" s="330">
        <v>0.19438727264460304</v>
      </c>
      <c r="Y677" s="330">
        <v>0</v>
      </c>
      <c r="Z677" s="331">
        <v>0</v>
      </c>
      <c r="AA677" s="235"/>
      <c r="AB677" s="335">
        <v>71686.748003834597</v>
      </c>
      <c r="AC677" s="336">
        <v>1.0570213468278267</v>
      </c>
      <c r="AD677" s="337">
        <v>64262.180220883638</v>
      </c>
      <c r="AE677" s="336">
        <v>1.2820422483711227</v>
      </c>
      <c r="AF677" s="337">
        <v>7424.5677829509586</v>
      </c>
      <c r="AG677" s="338">
        <v>-0.22502090154329601</v>
      </c>
      <c r="AH677" s="235"/>
      <c r="AI677" s="208">
        <f t="shared" si="74"/>
        <v>932483.53148260072</v>
      </c>
      <c r="AJ677" s="208">
        <f t="shared" si="75"/>
        <v>1153677.9557316829</v>
      </c>
      <c r="AK677" s="208">
        <f t="shared" si="76"/>
        <v>-221194.42424908219</v>
      </c>
      <c r="AL677" s="235"/>
      <c r="AM677" s="52">
        <f t="shared" si="58"/>
        <v>0</v>
      </c>
      <c r="AN677" s="52">
        <f t="shared" si="59"/>
        <v>1</v>
      </c>
      <c r="AO677" s="52">
        <f t="shared" si="60"/>
        <v>0</v>
      </c>
      <c r="AP677" s="235"/>
      <c r="AQ677" s="28"/>
      <c r="AR677" s="28"/>
      <c r="AS677" s="28"/>
      <c r="AT677" s="28"/>
      <c r="AU677" s="235"/>
      <c r="AV677" s="360">
        <f t="shared" si="77"/>
        <v>1153677.9557316829</v>
      </c>
      <c r="AW677" s="235"/>
      <c r="AX677" s="355"/>
      <c r="AY677" s="344"/>
      <c r="AZ677" s="14">
        <f t="shared" si="79"/>
        <v>7424.5677829509586</v>
      </c>
      <c r="BA677" s="14">
        <f t="shared" si="78"/>
        <v>-0.22502090154329601</v>
      </c>
      <c r="BB677" s="14">
        <f t="shared" si="61"/>
        <v>-32995.013938838063</v>
      </c>
      <c r="BC677" s="344"/>
      <c r="BD677" s="344"/>
      <c r="BE677" s="344"/>
      <c r="BF677" s="344"/>
      <c r="BG677" s="344"/>
      <c r="BH677" s="344"/>
      <c r="BI677" s="344"/>
      <c r="BJ677" s="344"/>
      <c r="BK677" s="344"/>
      <c r="BL677" s="344"/>
      <c r="BM677" s="344"/>
      <c r="BN677" s="344"/>
      <c r="BO677" s="344"/>
      <c r="BP677" s="344"/>
      <c r="BQ677" s="344"/>
      <c r="BR677" s="344"/>
      <c r="BS677" s="344"/>
      <c r="BT677" s="344"/>
      <c r="BU677" s="344"/>
      <c r="BV677" s="344"/>
      <c r="BW677" s="344"/>
      <c r="BX677" s="344"/>
      <c r="BY677" s="344"/>
      <c r="BZ677" s="344"/>
      <c r="CA677" s="344"/>
      <c r="CB677" s="28"/>
      <c r="CC677" s="28"/>
      <c r="CD677" s="28"/>
      <c r="CE677" s="28"/>
      <c r="CF677" s="28"/>
      <c r="CG677" s="28"/>
      <c r="CH677" s="28"/>
      <c r="CI677" s="28"/>
      <c r="CJ677" s="28"/>
      <c r="CK677" s="28"/>
      <c r="CL677" s="28"/>
      <c r="CM677" s="28"/>
      <c r="CN677" s="28"/>
      <c r="CO677" s="28"/>
      <c r="CP677" s="28"/>
      <c r="CQ677" s="28"/>
      <c r="CR677" s="28"/>
      <c r="CS677" s="28"/>
      <c r="CT677" s="28"/>
      <c r="CU677" s="28"/>
      <c r="CV677" s="28"/>
      <c r="CW677" s="28"/>
    </row>
    <row r="678" spans="1:101" ht="14.25" customHeight="1" x14ac:dyDescent="0.2">
      <c r="A678" s="328"/>
      <c r="B678" s="52">
        <v>0.15994185052234888</v>
      </c>
      <c r="C678" s="330">
        <v>0.2286285917765328</v>
      </c>
      <c r="D678" s="330">
        <v>9.4818722689095445E-3</v>
      </c>
      <c r="E678" s="330">
        <v>8.4090743079053704E-3</v>
      </c>
      <c r="F678" s="331">
        <v>0.77698148778990295</v>
      </c>
      <c r="G678" s="94">
        <v>0.39597205139227737</v>
      </c>
      <c r="H678" s="330">
        <v>0.42993142334640783</v>
      </c>
      <c r="I678" s="330">
        <v>4.4899787182373641E-2</v>
      </c>
      <c r="J678" s="330">
        <v>5.346920975737527E-4</v>
      </c>
      <c r="K678" s="330">
        <v>0.77992374656372054</v>
      </c>
      <c r="L678" s="332">
        <v>8651.4588176440047</v>
      </c>
      <c r="M678" s="330">
        <v>0</v>
      </c>
      <c r="N678" s="330">
        <v>15602.15431653403</v>
      </c>
      <c r="O678" s="330">
        <v>1588.5362756414861</v>
      </c>
      <c r="P678" s="330">
        <v>48447.921019887093</v>
      </c>
      <c r="Q678" s="333">
        <v>66030.257528360307</v>
      </c>
      <c r="R678" s="330">
        <v>31689.156605609045</v>
      </c>
      <c r="S678" s="330">
        <v>5665.355761392696</v>
      </c>
      <c r="T678" s="332">
        <v>0.93318572948385725</v>
      </c>
      <c r="U678" s="330">
        <v>0.98386213012944124</v>
      </c>
      <c r="V678" s="330">
        <v>0.99747424122032347</v>
      </c>
      <c r="W678" s="330">
        <v>0.96405009414068332</v>
      </c>
      <c r="X678" s="330">
        <v>0.53610132259459253</v>
      </c>
      <c r="Y678" s="330">
        <v>0</v>
      </c>
      <c r="Z678" s="331">
        <v>0</v>
      </c>
      <c r="AA678" s="235"/>
      <c r="AB678" s="335">
        <v>57402.828673703574</v>
      </c>
      <c r="AC678" s="336">
        <v>2.6183749783963557</v>
      </c>
      <c r="AD678" s="337">
        <v>54501.387910017256</v>
      </c>
      <c r="AE678" s="336">
        <v>2.9350168250228501</v>
      </c>
      <c r="AF678" s="337">
        <v>2901.440763686318</v>
      </c>
      <c r="AG678" s="338">
        <v>-0.31664184662649442</v>
      </c>
      <c r="AH678" s="235"/>
      <c r="AI678" s="208">
        <f t="shared" si="74"/>
        <v>2430053.4008028344</v>
      </c>
      <c r="AJ678" s="208">
        <f t="shared" si="75"/>
        <v>2733764.5958616901</v>
      </c>
      <c r="AK678" s="208">
        <f t="shared" si="76"/>
        <v>-303711.19505885598</v>
      </c>
      <c r="AL678" s="235"/>
      <c r="AM678" s="52">
        <f t="shared" si="58"/>
        <v>0</v>
      </c>
      <c r="AN678" s="52">
        <f t="shared" si="59"/>
        <v>1</v>
      </c>
      <c r="AO678" s="52">
        <f t="shared" si="60"/>
        <v>0</v>
      </c>
      <c r="AP678" s="235"/>
      <c r="AQ678" s="28"/>
      <c r="AR678" s="28"/>
      <c r="AS678" s="28"/>
      <c r="AT678" s="28"/>
      <c r="AU678" s="235"/>
      <c r="AV678" s="360">
        <f t="shared" si="77"/>
        <v>2733764.5958616901</v>
      </c>
      <c r="AW678" s="235"/>
      <c r="AX678" s="355"/>
      <c r="AY678" s="344"/>
      <c r="AZ678" s="14">
        <f t="shared" si="79"/>
        <v>2901.440763686318</v>
      </c>
      <c r="BA678" s="14">
        <f t="shared" si="78"/>
        <v>-0.31664184662649442</v>
      </c>
      <c r="BB678" s="14">
        <f t="shared" si="61"/>
        <v>-9163.1627171149321</v>
      </c>
      <c r="BC678" s="344"/>
      <c r="BD678" s="344"/>
      <c r="BE678" s="344"/>
      <c r="BF678" s="344"/>
      <c r="BG678" s="344"/>
      <c r="BH678" s="344"/>
      <c r="BI678" s="344"/>
      <c r="BJ678" s="344"/>
      <c r="BK678" s="344"/>
      <c r="BL678" s="344"/>
      <c r="BM678" s="344"/>
      <c r="BN678" s="344"/>
      <c r="BO678" s="344"/>
      <c r="BP678" s="344"/>
      <c r="BQ678" s="344"/>
      <c r="BR678" s="344"/>
      <c r="BS678" s="344"/>
      <c r="BT678" s="344"/>
      <c r="BU678" s="344"/>
      <c r="BV678" s="344"/>
      <c r="BW678" s="344"/>
      <c r="BX678" s="344"/>
      <c r="BY678" s="344"/>
      <c r="BZ678" s="344"/>
      <c r="CA678" s="344"/>
      <c r="CB678" s="28"/>
      <c r="CC678" s="28"/>
      <c r="CD678" s="28"/>
      <c r="CE678" s="28"/>
      <c r="CF678" s="28"/>
      <c r="CG678" s="28"/>
      <c r="CH678" s="28"/>
      <c r="CI678" s="28"/>
      <c r="CJ678" s="28"/>
      <c r="CK678" s="28"/>
      <c r="CL678" s="28"/>
      <c r="CM678" s="28"/>
      <c r="CN678" s="28"/>
      <c r="CO678" s="28"/>
      <c r="CP678" s="28"/>
      <c r="CQ678" s="28"/>
      <c r="CR678" s="28"/>
      <c r="CS678" s="28"/>
      <c r="CT678" s="28"/>
      <c r="CU678" s="28"/>
      <c r="CV678" s="28"/>
      <c r="CW678" s="28"/>
    </row>
    <row r="679" spans="1:101" ht="14.25" customHeight="1" x14ac:dyDescent="0.2">
      <c r="A679" s="328"/>
      <c r="B679" s="52">
        <v>0.15639279031885397</v>
      </c>
      <c r="C679" s="330">
        <v>0.67231600338993958</v>
      </c>
      <c r="D679" s="330">
        <v>1.6316717077786702E-2</v>
      </c>
      <c r="E679" s="330">
        <v>5.5908226857025725E-3</v>
      </c>
      <c r="F679" s="331">
        <v>0.80026614111081373</v>
      </c>
      <c r="G679" s="94">
        <v>0.37590434636532688</v>
      </c>
      <c r="H679" s="330">
        <v>0.33205280306184903</v>
      </c>
      <c r="I679" s="330">
        <v>8.5122032072702906E-3</v>
      </c>
      <c r="J679" s="330">
        <v>0.99995865177064291</v>
      </c>
      <c r="K679" s="330">
        <v>0.77183921128532029</v>
      </c>
      <c r="L679" s="332">
        <v>12764.633132783794</v>
      </c>
      <c r="M679" s="330">
        <v>0</v>
      </c>
      <c r="N679" s="330">
        <v>15317.508347603305</v>
      </c>
      <c r="O679" s="330">
        <v>1347.0025546359693</v>
      </c>
      <c r="P679" s="330">
        <v>51650.214722342491</v>
      </c>
      <c r="Q679" s="333">
        <v>96166.697566938718</v>
      </c>
      <c r="R679" s="330">
        <v>25688.910507676621</v>
      </c>
      <c r="S679" s="330">
        <v>9969.5379195888054</v>
      </c>
      <c r="T679" s="332">
        <v>0.99999139763447076</v>
      </c>
      <c r="U679" s="330">
        <v>0.97540273509503073</v>
      </c>
      <c r="V679" s="330">
        <v>0.55866371645623936</v>
      </c>
      <c r="W679" s="330">
        <v>0.98282223697743221</v>
      </c>
      <c r="X679" s="330">
        <v>0.99042362626851277</v>
      </c>
      <c r="Y679" s="330">
        <v>0</v>
      </c>
      <c r="Z679" s="331">
        <v>0</v>
      </c>
      <c r="AA679" s="235"/>
      <c r="AB679" s="335">
        <v>101539.52688606628</v>
      </c>
      <c r="AC679" s="336">
        <v>5.0165554538681096</v>
      </c>
      <c r="AD679" s="337">
        <v>86838.329884986524</v>
      </c>
      <c r="AE679" s="336">
        <v>5.0416398919553851</v>
      </c>
      <c r="AF679" s="337">
        <v>14701.197001079752</v>
      </c>
      <c r="AG679" s="338">
        <v>-2.5084438087275451E-2</v>
      </c>
      <c r="AH679" s="235"/>
      <c r="AI679" s="208">
        <f t="shared" si="74"/>
        <v>4664188.1542886375</v>
      </c>
      <c r="AJ679" s="208">
        <f t="shared" si="75"/>
        <v>4702719.5674726292</v>
      </c>
      <c r="AK679" s="208">
        <f t="shared" si="76"/>
        <v>-38531.413183991433</v>
      </c>
      <c r="AL679" s="235"/>
      <c r="AM679" s="52">
        <f t="shared" si="58"/>
        <v>0</v>
      </c>
      <c r="AN679" s="52">
        <f t="shared" si="59"/>
        <v>1</v>
      </c>
      <c r="AO679" s="52">
        <f t="shared" si="60"/>
        <v>0</v>
      </c>
      <c r="AP679" s="235"/>
      <c r="AQ679" s="28"/>
      <c r="AR679" s="28"/>
      <c r="AS679" s="28"/>
      <c r="AT679" s="28"/>
      <c r="AU679" s="235"/>
      <c r="AV679" s="360">
        <f t="shared" si="77"/>
        <v>4702719.5674726292</v>
      </c>
      <c r="AW679" s="235"/>
      <c r="AX679" s="355"/>
      <c r="AY679" s="344"/>
      <c r="AZ679" s="14">
        <f t="shared" si="79"/>
        <v>14701.197001079752</v>
      </c>
      <c r="BA679" s="14">
        <f t="shared" si="78"/>
        <v>-2.5084438087275451E-2</v>
      </c>
      <c r="BB679" s="14">
        <f t="shared" si="61"/>
        <v>-586068.42018666584</v>
      </c>
      <c r="BC679" s="344"/>
      <c r="BD679" s="344"/>
      <c r="BE679" s="344"/>
      <c r="BF679" s="344"/>
      <c r="BG679" s="344"/>
      <c r="BH679" s="344"/>
      <c r="BI679" s="344"/>
      <c r="BJ679" s="344"/>
      <c r="BK679" s="344"/>
      <c r="BL679" s="344"/>
      <c r="BM679" s="344"/>
      <c r="BN679" s="344"/>
      <c r="BO679" s="344"/>
      <c r="BP679" s="344"/>
      <c r="BQ679" s="344"/>
      <c r="BR679" s="344"/>
      <c r="BS679" s="344"/>
      <c r="BT679" s="344"/>
      <c r="BU679" s="344"/>
      <c r="BV679" s="344"/>
      <c r="BW679" s="344"/>
      <c r="BX679" s="344"/>
      <c r="BY679" s="344"/>
      <c r="BZ679" s="344"/>
      <c r="CA679" s="344"/>
      <c r="CB679" s="28"/>
      <c r="CC679" s="28"/>
      <c r="CD679" s="28"/>
      <c r="CE679" s="28"/>
      <c r="CF679" s="28"/>
      <c r="CG679" s="28"/>
      <c r="CH679" s="28"/>
      <c r="CI679" s="28"/>
      <c r="CJ679" s="28"/>
      <c r="CK679" s="28"/>
      <c r="CL679" s="28"/>
      <c r="CM679" s="28"/>
      <c r="CN679" s="28"/>
      <c r="CO679" s="28"/>
      <c r="CP679" s="28"/>
      <c r="CQ679" s="28"/>
      <c r="CR679" s="28"/>
      <c r="CS679" s="28"/>
      <c r="CT679" s="28"/>
      <c r="CU679" s="28"/>
      <c r="CV679" s="28"/>
      <c r="CW679" s="28"/>
    </row>
    <row r="680" spans="1:101" ht="14.25" customHeight="1" x14ac:dyDescent="0.2">
      <c r="A680" s="328"/>
      <c r="B680" s="52">
        <v>0.16689986762477338</v>
      </c>
      <c r="C680" s="330">
        <v>0.17569793915146767</v>
      </c>
      <c r="D680" s="330">
        <v>1.6603170010390467E-2</v>
      </c>
      <c r="E680" s="330">
        <v>1.6240473654879017E-2</v>
      </c>
      <c r="F680" s="331">
        <v>0.77913673954315443</v>
      </c>
      <c r="G680" s="94">
        <v>0.41371397050138625</v>
      </c>
      <c r="H680" s="330">
        <v>0.57119777826790286</v>
      </c>
      <c r="I680" s="330">
        <v>3.1513483656361641E-2</v>
      </c>
      <c r="J680" s="330">
        <v>0.94000205722656882</v>
      </c>
      <c r="K680" s="330">
        <v>0.74194858256911755</v>
      </c>
      <c r="L680" s="332">
        <v>13108.24012130753</v>
      </c>
      <c r="M680" s="330">
        <v>0</v>
      </c>
      <c r="N680" s="330">
        <v>13504.833140228213</v>
      </c>
      <c r="O680" s="330">
        <v>987.84288001353104</v>
      </c>
      <c r="P680" s="330">
        <v>65151.356772272331</v>
      </c>
      <c r="Q680" s="333">
        <v>106512.94546138053</v>
      </c>
      <c r="R680" s="330">
        <v>24090.660602372085</v>
      </c>
      <c r="S680" s="330">
        <v>8518.9236994832554</v>
      </c>
      <c r="T680" s="332">
        <v>0.80524124728699453</v>
      </c>
      <c r="U680" s="330">
        <v>0.73065787988410258</v>
      </c>
      <c r="V680" s="330">
        <v>0.9999989694706074</v>
      </c>
      <c r="W680" s="330">
        <v>0.99903251065940979</v>
      </c>
      <c r="X680" s="330">
        <v>0.9203815449783983</v>
      </c>
      <c r="Y680" s="330">
        <v>0</v>
      </c>
      <c r="Z680" s="331">
        <v>0</v>
      </c>
      <c r="AA680" s="235"/>
      <c r="AB680" s="335">
        <v>85505.78241179786</v>
      </c>
      <c r="AC680" s="336">
        <v>4.5053144422269655</v>
      </c>
      <c r="AD680" s="337">
        <v>76157.8733679383</v>
      </c>
      <c r="AE680" s="336">
        <v>4.2183046854769302</v>
      </c>
      <c r="AF680" s="337">
        <v>9347.9090438595595</v>
      </c>
      <c r="AG680" s="338">
        <v>0.28700975675003537</v>
      </c>
      <c r="AH680" s="235"/>
      <c r="AI680" s="208">
        <f t="shared" si="74"/>
        <v>4194542.937703819</v>
      </c>
      <c r="AJ680" s="208">
        <f t="shared" si="75"/>
        <v>3931231.5778351454</v>
      </c>
      <c r="AK680" s="208">
        <f t="shared" si="76"/>
        <v>263311.35986867402</v>
      </c>
      <c r="AL680" s="235"/>
      <c r="AM680" s="52">
        <f t="shared" si="58"/>
        <v>1</v>
      </c>
      <c r="AN680" s="52">
        <f t="shared" si="59"/>
        <v>0</v>
      </c>
      <c r="AO680" s="52">
        <f t="shared" si="60"/>
        <v>1</v>
      </c>
      <c r="AP680" s="235"/>
      <c r="AQ680" s="28"/>
      <c r="AR680" s="28"/>
      <c r="AS680" s="28"/>
      <c r="AT680" s="28"/>
      <c r="AU680" s="235"/>
      <c r="AV680" s="360">
        <f t="shared" si="77"/>
        <v>4194542.937703819</v>
      </c>
      <c r="AW680" s="235"/>
      <c r="AX680" s="355"/>
      <c r="AY680" s="344"/>
      <c r="AZ680" s="14">
        <f t="shared" si="79"/>
        <v>9347.9090438595595</v>
      </c>
      <c r="BA680" s="14">
        <f t="shared" si="78"/>
        <v>0.28700975675003537</v>
      </c>
      <c r="BB680" s="14">
        <f t="shared" si="61"/>
        <v>32570.004412779977</v>
      </c>
      <c r="BC680" s="344"/>
      <c r="BD680" s="344"/>
      <c r="BE680" s="344"/>
      <c r="BF680" s="344"/>
      <c r="BG680" s="344"/>
      <c r="BH680" s="344"/>
      <c r="BI680" s="344"/>
      <c r="BJ680" s="344"/>
      <c r="BK680" s="344"/>
      <c r="BL680" s="344"/>
      <c r="BM680" s="344"/>
      <c r="BN680" s="344"/>
      <c r="BO680" s="344"/>
      <c r="BP680" s="344"/>
      <c r="BQ680" s="344"/>
      <c r="BR680" s="344"/>
      <c r="BS680" s="344"/>
      <c r="BT680" s="344"/>
      <c r="BU680" s="344"/>
      <c r="BV680" s="344"/>
      <c r="BW680" s="344"/>
      <c r="BX680" s="344"/>
      <c r="BY680" s="344"/>
      <c r="BZ680" s="344"/>
      <c r="CA680" s="344"/>
      <c r="CB680" s="28"/>
      <c r="CC680" s="28"/>
      <c r="CD680" s="28"/>
      <c r="CE680" s="28"/>
      <c r="CF680" s="28"/>
      <c r="CG680" s="28"/>
      <c r="CH680" s="28"/>
      <c r="CI680" s="28"/>
      <c r="CJ680" s="28"/>
      <c r="CK680" s="28"/>
      <c r="CL680" s="28"/>
      <c r="CM680" s="28"/>
      <c r="CN680" s="28"/>
      <c r="CO680" s="28"/>
      <c r="CP680" s="28"/>
      <c r="CQ680" s="28"/>
      <c r="CR680" s="28"/>
      <c r="CS680" s="28"/>
      <c r="CT680" s="28"/>
      <c r="CU680" s="28"/>
      <c r="CV680" s="28"/>
      <c r="CW680" s="28"/>
    </row>
    <row r="681" spans="1:101" ht="14.25" customHeight="1" x14ac:dyDescent="0.2">
      <c r="A681" s="328"/>
      <c r="B681" s="52">
        <v>0.1589517292451319</v>
      </c>
      <c r="C681" s="330">
        <v>0.13553605095510571</v>
      </c>
      <c r="D681" s="330">
        <v>2.9664693453214985E-2</v>
      </c>
      <c r="E681" s="330">
        <v>7.4819339520441133E-3</v>
      </c>
      <c r="F681" s="331">
        <v>0.76894009406388508</v>
      </c>
      <c r="G681" s="94">
        <v>0.37293144374479664</v>
      </c>
      <c r="H681" s="330">
        <v>0.8026803091542617</v>
      </c>
      <c r="I681" s="330">
        <v>2.0334589894214772E-2</v>
      </c>
      <c r="J681" s="330">
        <v>0.99994515342181589</v>
      </c>
      <c r="K681" s="330">
        <v>0.70593573873003912</v>
      </c>
      <c r="L681" s="332">
        <v>12662.097704769321</v>
      </c>
      <c r="M681" s="330">
        <v>0</v>
      </c>
      <c r="N681" s="330">
        <v>16392.466813493182</v>
      </c>
      <c r="O681" s="330">
        <v>1103.8614537358369</v>
      </c>
      <c r="P681" s="330">
        <v>36550.599739286976</v>
      </c>
      <c r="Q681" s="333">
        <v>105362.46697377114</v>
      </c>
      <c r="R681" s="330">
        <v>20182.554691124453</v>
      </c>
      <c r="S681" s="330">
        <v>7244.9911526696123</v>
      </c>
      <c r="T681" s="332">
        <v>0.56236801104356771</v>
      </c>
      <c r="U681" s="330">
        <v>0.99999728530597176</v>
      </c>
      <c r="V681" s="330">
        <v>0.96605960615965814</v>
      </c>
      <c r="W681" s="330">
        <v>0.99987185357805775</v>
      </c>
      <c r="X681" s="330">
        <v>0.95667710347946966</v>
      </c>
      <c r="Y681" s="330">
        <v>0</v>
      </c>
      <c r="Z681" s="331">
        <v>0</v>
      </c>
      <c r="AA681" s="235"/>
      <c r="AB681" s="335">
        <v>73554.348718492663</v>
      </c>
      <c r="AC681" s="336">
        <v>4.6788352790648027</v>
      </c>
      <c r="AD681" s="337">
        <v>62436.434089380418</v>
      </c>
      <c r="AE681" s="336">
        <v>4.4042532660797686</v>
      </c>
      <c r="AF681" s="337">
        <v>11117.914629112245</v>
      </c>
      <c r="AG681" s="338">
        <v>0.27458201298503404</v>
      </c>
      <c r="AH681" s="235"/>
      <c r="AI681" s="208">
        <f t="shared" si="74"/>
        <v>4371339.1663930705</v>
      </c>
      <c r="AJ681" s="208">
        <f t="shared" si="75"/>
        <v>4121604.1686863997</v>
      </c>
      <c r="AK681" s="208">
        <f t="shared" si="76"/>
        <v>249734.99770667008</v>
      </c>
      <c r="AL681" s="235"/>
      <c r="AM681" s="52">
        <f t="shared" si="58"/>
        <v>1</v>
      </c>
      <c r="AN681" s="52">
        <f t="shared" si="59"/>
        <v>0</v>
      </c>
      <c r="AO681" s="52">
        <f t="shared" si="60"/>
        <v>1</v>
      </c>
      <c r="AP681" s="235"/>
      <c r="AQ681" s="28"/>
      <c r="AR681" s="28"/>
      <c r="AS681" s="28"/>
      <c r="AT681" s="28"/>
      <c r="AU681" s="235"/>
      <c r="AV681" s="360">
        <f t="shared" si="77"/>
        <v>4371339.1663930705</v>
      </c>
      <c r="AW681" s="235"/>
      <c r="AX681" s="355"/>
      <c r="AY681" s="344"/>
      <c r="AZ681" s="14">
        <f t="shared" si="79"/>
        <v>11117.914629112245</v>
      </c>
      <c r="BA681" s="14">
        <f t="shared" si="78"/>
        <v>0.27458201298503404</v>
      </c>
      <c r="BB681" s="14">
        <f t="shared" si="61"/>
        <v>40490.323849866385</v>
      </c>
      <c r="BC681" s="344"/>
      <c r="BD681" s="344"/>
      <c r="BE681" s="344"/>
      <c r="BF681" s="344"/>
      <c r="BG681" s="344"/>
      <c r="BH681" s="344"/>
      <c r="BI681" s="344"/>
      <c r="BJ681" s="344"/>
      <c r="BK681" s="344"/>
      <c r="BL681" s="344"/>
      <c r="BM681" s="344"/>
      <c r="BN681" s="344"/>
      <c r="BO681" s="344"/>
      <c r="BP681" s="344"/>
      <c r="BQ681" s="344"/>
      <c r="BR681" s="344"/>
      <c r="BS681" s="344"/>
      <c r="BT681" s="344"/>
      <c r="BU681" s="344"/>
      <c r="BV681" s="344"/>
      <c r="BW681" s="344"/>
      <c r="BX681" s="344"/>
      <c r="BY681" s="344"/>
      <c r="BZ681" s="344"/>
      <c r="CA681" s="344"/>
      <c r="CB681" s="28"/>
      <c r="CC681" s="28"/>
      <c r="CD681" s="28"/>
      <c r="CE681" s="28"/>
      <c r="CF681" s="28"/>
      <c r="CG681" s="28"/>
      <c r="CH681" s="28"/>
      <c r="CI681" s="28"/>
      <c r="CJ681" s="28"/>
      <c r="CK681" s="28"/>
      <c r="CL681" s="28"/>
      <c r="CM681" s="28"/>
      <c r="CN681" s="28"/>
      <c r="CO681" s="28"/>
      <c r="CP681" s="28"/>
      <c r="CQ681" s="28"/>
      <c r="CR681" s="28"/>
      <c r="CS681" s="28"/>
      <c r="CT681" s="28"/>
      <c r="CU681" s="28"/>
      <c r="CV681" s="28"/>
      <c r="CW681" s="28"/>
    </row>
    <row r="682" spans="1:101" ht="14.25" customHeight="1" x14ac:dyDescent="0.2">
      <c r="A682" s="328"/>
      <c r="B682" s="52">
        <v>0.18697518417844761</v>
      </c>
      <c r="C682" s="330">
        <v>0.72891158404562373</v>
      </c>
      <c r="D682" s="330">
        <v>4.6848830269429808E-3</v>
      </c>
      <c r="E682" s="330">
        <v>1.6536875824581743E-2</v>
      </c>
      <c r="F682" s="331">
        <v>0.8355361057897418</v>
      </c>
      <c r="G682" s="94">
        <v>0.3659741978562433</v>
      </c>
      <c r="H682" s="330">
        <v>0.7245954025134258</v>
      </c>
      <c r="I682" s="330">
        <v>1.3316846518311543E-2</v>
      </c>
      <c r="J682" s="330">
        <v>0.99999999991011945</v>
      </c>
      <c r="K682" s="330">
        <v>0.77240128100967631</v>
      </c>
      <c r="L682" s="332">
        <v>12663.739635639167</v>
      </c>
      <c r="M682" s="330">
        <v>0</v>
      </c>
      <c r="N682" s="330">
        <v>25780.156452415562</v>
      </c>
      <c r="O682" s="330">
        <v>1271.0202802201447</v>
      </c>
      <c r="P682" s="330">
        <v>45009.95167653606</v>
      </c>
      <c r="Q682" s="333">
        <v>85869.412614432265</v>
      </c>
      <c r="R682" s="330">
        <v>32039.085049266163</v>
      </c>
      <c r="S682" s="330">
        <v>8305.3292544202195</v>
      </c>
      <c r="T682" s="332">
        <v>0.42301037902832672</v>
      </c>
      <c r="U682" s="330">
        <v>0.73725910134479999</v>
      </c>
      <c r="V682" s="330">
        <v>0.98913379168471316</v>
      </c>
      <c r="W682" s="330">
        <v>0.11547526796152104</v>
      </c>
      <c r="X682" s="330">
        <v>0.99542256469761403</v>
      </c>
      <c r="Y682" s="330">
        <v>0</v>
      </c>
      <c r="Z682" s="331">
        <v>0</v>
      </c>
      <c r="AA682" s="235"/>
      <c r="AB682" s="335">
        <v>91812.519872137767</v>
      </c>
      <c r="AC682" s="336">
        <v>5.2563996613137931</v>
      </c>
      <c r="AD682" s="337">
        <v>78566.91418958838</v>
      </c>
      <c r="AE682" s="336">
        <v>4.9800600774613972</v>
      </c>
      <c r="AF682" s="337">
        <v>13245.605682549387</v>
      </c>
      <c r="AG682" s="338">
        <v>0.27633958385239588</v>
      </c>
      <c r="AH682" s="235"/>
      <c r="AI682" s="208">
        <f t="shared" si="74"/>
        <v>4901767.1583759664</v>
      </c>
      <c r="AJ682" s="208">
        <f t="shared" si="75"/>
        <v>4652490.1593987392</v>
      </c>
      <c r="AK682" s="208">
        <f t="shared" si="76"/>
        <v>249276.9989772267</v>
      </c>
      <c r="AL682" s="235"/>
      <c r="AM682" s="52">
        <f t="shared" si="58"/>
        <v>1</v>
      </c>
      <c r="AN682" s="52">
        <f t="shared" si="59"/>
        <v>0</v>
      </c>
      <c r="AO682" s="52">
        <f t="shared" si="60"/>
        <v>1</v>
      </c>
      <c r="AP682" s="235"/>
      <c r="AQ682" s="28"/>
      <c r="AR682" s="28"/>
      <c r="AS682" s="28"/>
      <c r="AT682" s="28"/>
      <c r="AU682" s="235"/>
      <c r="AV682" s="360">
        <f t="shared" si="77"/>
        <v>4901767.1583759664</v>
      </c>
      <c r="AW682" s="235"/>
      <c r="AX682" s="355"/>
      <c r="AY682" s="344"/>
      <c r="AZ682" s="14">
        <f t="shared" si="79"/>
        <v>13245.605682549387</v>
      </c>
      <c r="BA682" s="14">
        <f t="shared" si="78"/>
        <v>0.27633958385239588</v>
      </c>
      <c r="BB682" s="14">
        <f t="shared" si="61"/>
        <v>47932.35011030631</v>
      </c>
      <c r="BC682" s="344"/>
      <c r="BD682" s="344"/>
      <c r="BE682" s="344"/>
      <c r="BF682" s="344"/>
      <c r="BG682" s="344"/>
      <c r="BH682" s="344"/>
      <c r="BI682" s="344"/>
      <c r="BJ682" s="344"/>
      <c r="BK682" s="344"/>
      <c r="BL682" s="344"/>
      <c r="BM682" s="344"/>
      <c r="BN682" s="344"/>
      <c r="BO682" s="344"/>
      <c r="BP682" s="344"/>
      <c r="BQ682" s="344"/>
      <c r="BR682" s="344"/>
      <c r="BS682" s="344"/>
      <c r="BT682" s="344"/>
      <c r="BU682" s="344"/>
      <c r="BV682" s="344"/>
      <c r="BW682" s="344"/>
      <c r="BX682" s="344"/>
      <c r="BY682" s="344"/>
      <c r="BZ682" s="344"/>
      <c r="CA682" s="344"/>
      <c r="CB682" s="28"/>
      <c r="CC682" s="28"/>
      <c r="CD682" s="28"/>
      <c r="CE682" s="28"/>
      <c r="CF682" s="28"/>
      <c r="CG682" s="28"/>
      <c r="CH682" s="28"/>
      <c r="CI682" s="28"/>
      <c r="CJ682" s="28"/>
      <c r="CK682" s="28"/>
      <c r="CL682" s="28"/>
      <c r="CM682" s="28"/>
      <c r="CN682" s="28"/>
      <c r="CO682" s="28"/>
      <c r="CP682" s="28"/>
      <c r="CQ682" s="28"/>
      <c r="CR682" s="28"/>
      <c r="CS682" s="28"/>
      <c r="CT682" s="28"/>
      <c r="CU682" s="28"/>
      <c r="CV682" s="28"/>
      <c r="CW682" s="28"/>
    </row>
    <row r="683" spans="1:101" ht="14.25" customHeight="1" x14ac:dyDescent="0.2">
      <c r="A683" s="328"/>
      <c r="B683" s="52">
        <v>0.11593314739280487</v>
      </c>
      <c r="C683" s="330">
        <v>0.68884567942887509</v>
      </c>
      <c r="D683" s="330">
        <v>9.1519118380286434E-3</v>
      </c>
      <c r="E683" s="330">
        <v>2.2685534801696772E-2</v>
      </c>
      <c r="F683" s="331">
        <v>0.80429162267070176</v>
      </c>
      <c r="G683" s="94">
        <v>0.38482892999127838</v>
      </c>
      <c r="H683" s="330">
        <v>0.57830373191617468</v>
      </c>
      <c r="I683" s="330">
        <v>1.0579089353553969E-2</v>
      </c>
      <c r="J683" s="330">
        <v>0.99999005458060519</v>
      </c>
      <c r="K683" s="330">
        <v>0.76402077865646412</v>
      </c>
      <c r="L683" s="332">
        <v>12880.736632663211</v>
      </c>
      <c r="M683" s="330">
        <v>0</v>
      </c>
      <c r="N683" s="330">
        <v>19180.717874406208</v>
      </c>
      <c r="O683" s="330">
        <v>1875.5666590319161</v>
      </c>
      <c r="P683" s="330">
        <v>45775.856293564982</v>
      </c>
      <c r="Q683" s="333">
        <v>95255.368631089339</v>
      </c>
      <c r="R683" s="330">
        <v>24080.604266468112</v>
      </c>
      <c r="S683" s="330">
        <v>8966.8220821140112</v>
      </c>
      <c r="T683" s="332">
        <v>0.37325506430031807</v>
      </c>
      <c r="U683" s="330">
        <v>0.92740024046613723</v>
      </c>
      <c r="V683" s="330">
        <v>0.8888405255383921</v>
      </c>
      <c r="W683" s="330">
        <v>0.9510542522587272</v>
      </c>
      <c r="X683" s="330">
        <v>0.99887622392453812</v>
      </c>
      <c r="Y683" s="330">
        <v>0</v>
      </c>
      <c r="Z683" s="331">
        <v>0</v>
      </c>
      <c r="AA683" s="235"/>
      <c r="AB683" s="335">
        <v>92516.880363565258</v>
      </c>
      <c r="AC683" s="336">
        <v>5.0434815612366819</v>
      </c>
      <c r="AD683" s="337">
        <v>80261.873548726129</v>
      </c>
      <c r="AE683" s="336">
        <v>4.6125578993727849</v>
      </c>
      <c r="AF683" s="337">
        <v>12255.006814839129</v>
      </c>
      <c r="AG683" s="338">
        <v>0.43092366186389697</v>
      </c>
      <c r="AH683" s="235"/>
      <c r="AI683" s="208">
        <f t="shared" si="74"/>
        <v>4698790.6028112825</v>
      </c>
      <c r="AJ683" s="208">
        <f t="shared" si="75"/>
        <v>4301668.1308554187</v>
      </c>
      <c r="AK683" s="208">
        <f t="shared" si="76"/>
        <v>397122.471955863</v>
      </c>
      <c r="AL683" s="235"/>
      <c r="AM683" s="52">
        <f t="shared" si="58"/>
        <v>1</v>
      </c>
      <c r="AN683" s="52">
        <f t="shared" si="59"/>
        <v>0</v>
      </c>
      <c r="AO683" s="52">
        <f t="shared" si="60"/>
        <v>1</v>
      </c>
      <c r="AP683" s="235"/>
      <c r="AQ683" s="28"/>
      <c r="AR683" s="28"/>
      <c r="AS683" s="28"/>
      <c r="AT683" s="28"/>
      <c r="AU683" s="235"/>
      <c r="AV683" s="360">
        <f t="shared" si="77"/>
        <v>4698790.6028112825</v>
      </c>
      <c r="AW683" s="235"/>
      <c r="AX683" s="355"/>
      <c r="AY683" s="344"/>
      <c r="AZ683" s="14">
        <f t="shared" si="79"/>
        <v>12255.006814839129</v>
      </c>
      <c r="BA683" s="14">
        <f t="shared" si="78"/>
        <v>0.43092366186389697</v>
      </c>
      <c r="BB683" s="14">
        <f t="shared" si="61"/>
        <v>28438.927585994927</v>
      </c>
      <c r="BC683" s="344"/>
      <c r="BD683" s="344"/>
      <c r="BE683" s="344"/>
      <c r="BF683" s="344"/>
      <c r="BG683" s="344"/>
      <c r="BH683" s="344"/>
      <c r="BI683" s="344"/>
      <c r="BJ683" s="344"/>
      <c r="BK683" s="344"/>
      <c r="BL683" s="344"/>
      <c r="BM683" s="344"/>
      <c r="BN683" s="344"/>
      <c r="BO683" s="344"/>
      <c r="BP683" s="344"/>
      <c r="BQ683" s="344"/>
      <c r="BR683" s="344"/>
      <c r="BS683" s="344"/>
      <c r="BT683" s="344"/>
      <c r="BU683" s="344"/>
      <c r="BV683" s="344"/>
      <c r="BW683" s="344"/>
      <c r="BX683" s="344"/>
      <c r="BY683" s="344"/>
      <c r="BZ683" s="344"/>
      <c r="CA683" s="344"/>
      <c r="CB683" s="28"/>
      <c r="CC683" s="28"/>
      <c r="CD683" s="28"/>
      <c r="CE683" s="28"/>
      <c r="CF683" s="28"/>
      <c r="CG683" s="28"/>
      <c r="CH683" s="28"/>
      <c r="CI683" s="28"/>
      <c r="CJ683" s="28"/>
      <c r="CK683" s="28"/>
      <c r="CL683" s="28"/>
      <c r="CM683" s="28"/>
      <c r="CN683" s="28"/>
      <c r="CO683" s="28"/>
      <c r="CP683" s="28"/>
      <c r="CQ683" s="28"/>
      <c r="CR683" s="28"/>
      <c r="CS683" s="28"/>
      <c r="CT683" s="28"/>
      <c r="CU683" s="28"/>
      <c r="CV683" s="28"/>
      <c r="CW683" s="28"/>
    </row>
    <row r="684" spans="1:101" ht="14.25" customHeight="1" x14ac:dyDescent="0.2">
      <c r="A684" s="328"/>
      <c r="B684" s="52">
        <v>0.13465446211280249</v>
      </c>
      <c r="C684" s="330">
        <v>0.33189378718760321</v>
      </c>
      <c r="D684" s="330">
        <v>1.8635282445118584E-2</v>
      </c>
      <c r="E684" s="330">
        <v>6.9791132299361304E-3</v>
      </c>
      <c r="F684" s="331">
        <v>0.80525518275695029</v>
      </c>
      <c r="G684" s="94">
        <v>0.400098344221411</v>
      </c>
      <c r="H684" s="330">
        <v>2.0567711252316278E-2</v>
      </c>
      <c r="I684" s="330">
        <v>1.6145320127646801E-2</v>
      </c>
      <c r="J684" s="330">
        <v>1</v>
      </c>
      <c r="K684" s="330">
        <v>0.78634799545355938</v>
      </c>
      <c r="L684" s="332">
        <v>11100.887218943297</v>
      </c>
      <c r="M684" s="330">
        <v>0</v>
      </c>
      <c r="N684" s="330">
        <v>16405.849653274105</v>
      </c>
      <c r="O684" s="330">
        <v>1274.7806148667441</v>
      </c>
      <c r="P684" s="330">
        <v>42742.363487459406</v>
      </c>
      <c r="Q684" s="333">
        <v>112822.49788517856</v>
      </c>
      <c r="R684" s="330">
        <v>26126.081845392608</v>
      </c>
      <c r="S684" s="330">
        <v>10474.13890982488</v>
      </c>
      <c r="T684" s="332">
        <v>0.60759471110876562</v>
      </c>
      <c r="U684" s="330">
        <v>0.94056808542712622</v>
      </c>
      <c r="V684" s="330">
        <v>0.89625580134591376</v>
      </c>
      <c r="W684" s="330">
        <v>0.12591486856960796</v>
      </c>
      <c r="X684" s="330">
        <v>0.74090471879011344</v>
      </c>
      <c r="Y684" s="330">
        <v>0</v>
      </c>
      <c r="Z684" s="331">
        <v>0</v>
      </c>
      <c r="AA684" s="235"/>
      <c r="AB684" s="335">
        <v>103235.29665528721</v>
      </c>
      <c r="AC684" s="336">
        <v>3.7568908486209045</v>
      </c>
      <c r="AD684" s="337">
        <v>90274.290213677814</v>
      </c>
      <c r="AE684" s="336">
        <v>3.933625290833116</v>
      </c>
      <c r="AF684" s="337">
        <v>12961.006441609396</v>
      </c>
      <c r="AG684" s="338">
        <v>-0.17673444221221146</v>
      </c>
      <c r="AH684" s="235"/>
      <c r="AI684" s="208">
        <f t="shared" si="74"/>
        <v>3465811.0095345723</v>
      </c>
      <c r="AJ684" s="208">
        <f t="shared" si="75"/>
        <v>3646669.7360777822</v>
      </c>
      <c r="AK684" s="208">
        <f t="shared" si="76"/>
        <v>-180858.72654321027</v>
      </c>
      <c r="AL684" s="235"/>
      <c r="AM684" s="52">
        <f t="shared" si="58"/>
        <v>0</v>
      </c>
      <c r="AN684" s="52">
        <f t="shared" si="59"/>
        <v>1</v>
      </c>
      <c r="AO684" s="52">
        <f t="shared" si="60"/>
        <v>0</v>
      </c>
      <c r="AP684" s="235"/>
      <c r="AQ684" s="28"/>
      <c r="AR684" s="28"/>
      <c r="AS684" s="28"/>
      <c r="AT684" s="28"/>
      <c r="AU684" s="235"/>
      <c r="AV684" s="360">
        <f t="shared" si="77"/>
        <v>3646669.7360777822</v>
      </c>
      <c r="AW684" s="235"/>
      <c r="AX684" s="355"/>
      <c r="AY684" s="344"/>
      <c r="AZ684" s="14">
        <f t="shared" si="79"/>
        <v>12961.006441609396</v>
      </c>
      <c r="BA684" s="14">
        <f t="shared" si="78"/>
        <v>-0.17673444221221146</v>
      </c>
      <c r="BB684" s="14">
        <f t="shared" si="61"/>
        <v>-73336.05311661122</v>
      </c>
      <c r="BC684" s="344"/>
      <c r="BD684" s="344"/>
      <c r="BE684" s="344"/>
      <c r="BF684" s="344"/>
      <c r="BG684" s="344"/>
      <c r="BH684" s="344"/>
      <c r="BI684" s="344"/>
      <c r="BJ684" s="344"/>
      <c r="BK684" s="344"/>
      <c r="BL684" s="344"/>
      <c r="BM684" s="344"/>
      <c r="BN684" s="344"/>
      <c r="BO684" s="344"/>
      <c r="BP684" s="344"/>
      <c r="BQ684" s="344"/>
      <c r="BR684" s="344"/>
      <c r="BS684" s="344"/>
      <c r="BT684" s="344"/>
      <c r="BU684" s="344"/>
      <c r="BV684" s="344"/>
      <c r="BW684" s="344"/>
      <c r="BX684" s="344"/>
      <c r="BY684" s="344"/>
      <c r="BZ684" s="344"/>
      <c r="CA684" s="344"/>
      <c r="CB684" s="28"/>
      <c r="CC684" s="28"/>
      <c r="CD684" s="28"/>
      <c r="CE684" s="28"/>
      <c r="CF684" s="28"/>
      <c r="CG684" s="28"/>
      <c r="CH684" s="28"/>
      <c r="CI684" s="28"/>
      <c r="CJ684" s="28"/>
      <c r="CK684" s="28"/>
      <c r="CL684" s="28"/>
      <c r="CM684" s="28"/>
      <c r="CN684" s="28"/>
      <c r="CO684" s="28"/>
      <c r="CP684" s="28"/>
      <c r="CQ684" s="28"/>
      <c r="CR684" s="28"/>
      <c r="CS684" s="28"/>
      <c r="CT684" s="28"/>
      <c r="CU684" s="28"/>
      <c r="CV684" s="28"/>
      <c r="CW684" s="28"/>
    </row>
    <row r="685" spans="1:101" ht="14.25" customHeight="1" x14ac:dyDescent="0.2">
      <c r="A685" s="328"/>
      <c r="B685" s="52">
        <v>0.17006841215314839</v>
      </c>
      <c r="C685" s="330">
        <v>0.62361864811261192</v>
      </c>
      <c r="D685" s="330">
        <v>6.2538771074705816E-3</v>
      </c>
      <c r="E685" s="330">
        <v>1.3493876891464619E-2</v>
      </c>
      <c r="F685" s="331">
        <v>0.79012833002438698</v>
      </c>
      <c r="G685" s="94">
        <v>0.42202534610342035</v>
      </c>
      <c r="H685" s="330">
        <v>0.29776666393059831</v>
      </c>
      <c r="I685" s="330">
        <v>2.5028930727996612E-2</v>
      </c>
      <c r="J685" s="330">
        <v>0.99997739071592251</v>
      </c>
      <c r="K685" s="330">
        <v>0.76655082614914882</v>
      </c>
      <c r="L685" s="332">
        <v>9696.6739593697257</v>
      </c>
      <c r="M685" s="330">
        <v>0</v>
      </c>
      <c r="N685" s="330">
        <v>20717.926849543492</v>
      </c>
      <c r="O685" s="330">
        <v>932.00379758467102</v>
      </c>
      <c r="P685" s="330">
        <v>38714.666899011587</v>
      </c>
      <c r="Q685" s="333">
        <v>91046.766275550253</v>
      </c>
      <c r="R685" s="330">
        <v>20367.312403681772</v>
      </c>
      <c r="S685" s="330">
        <v>10220.970215431433</v>
      </c>
      <c r="T685" s="332">
        <v>5.1029698337867566E-2</v>
      </c>
      <c r="U685" s="330">
        <v>0.97331378343477137</v>
      </c>
      <c r="V685" s="330">
        <v>0.66559236846257119</v>
      </c>
      <c r="W685" s="330">
        <v>5.4038403008745815E-2</v>
      </c>
      <c r="X685" s="330">
        <v>0.23975376808810434</v>
      </c>
      <c r="Y685" s="330">
        <v>0</v>
      </c>
      <c r="Z685" s="331">
        <v>0</v>
      </c>
      <c r="AA685" s="235"/>
      <c r="AB685" s="335">
        <v>98777.096433637416</v>
      </c>
      <c r="AC685" s="336">
        <v>1.1546365933909615</v>
      </c>
      <c r="AD685" s="337">
        <v>88690.41809906991</v>
      </c>
      <c r="AE685" s="336">
        <v>1.2444329856174634</v>
      </c>
      <c r="AF685" s="337">
        <v>10086.678334567507</v>
      </c>
      <c r="AG685" s="338">
        <v>-8.9796392226501931E-2</v>
      </c>
      <c r="AH685" s="235"/>
      <c r="AI685" s="208">
        <f t="shared" si="74"/>
        <v>998127.66728777601</v>
      </c>
      <c r="AJ685" s="208">
        <f t="shared" si="75"/>
        <v>1093520.9182375204</v>
      </c>
      <c r="AK685" s="208">
        <f t="shared" si="76"/>
        <v>-95393.250949744339</v>
      </c>
      <c r="AL685" s="235"/>
      <c r="AM685" s="52">
        <f t="shared" si="58"/>
        <v>0</v>
      </c>
      <c r="AN685" s="52">
        <f t="shared" si="59"/>
        <v>1</v>
      </c>
      <c r="AO685" s="52">
        <f t="shared" si="60"/>
        <v>0</v>
      </c>
      <c r="AP685" s="235"/>
      <c r="AQ685" s="28"/>
      <c r="AR685" s="28"/>
      <c r="AS685" s="28"/>
      <c r="AT685" s="28"/>
      <c r="AU685" s="235"/>
      <c r="AV685" s="360">
        <f t="shared" si="77"/>
        <v>1093520.9182375204</v>
      </c>
      <c r="AW685" s="235"/>
      <c r="AX685" s="355"/>
      <c r="AY685" s="344"/>
      <c r="AZ685" s="14">
        <f t="shared" si="79"/>
        <v>10086.678334567507</v>
      </c>
      <c r="BA685" s="14">
        <f t="shared" si="78"/>
        <v>-8.9796392226501931E-2</v>
      </c>
      <c r="BB685" s="14">
        <f t="shared" si="61"/>
        <v>-112328.32505258033</v>
      </c>
      <c r="BC685" s="344"/>
      <c r="BD685" s="344"/>
      <c r="BE685" s="344"/>
      <c r="BF685" s="344"/>
      <c r="BG685" s="344"/>
      <c r="BH685" s="344"/>
      <c r="BI685" s="344"/>
      <c r="BJ685" s="344"/>
      <c r="BK685" s="344"/>
      <c r="BL685" s="344"/>
      <c r="BM685" s="344"/>
      <c r="BN685" s="344"/>
      <c r="BO685" s="344"/>
      <c r="BP685" s="344"/>
      <c r="BQ685" s="344"/>
      <c r="BR685" s="344"/>
      <c r="BS685" s="344"/>
      <c r="BT685" s="344"/>
      <c r="BU685" s="344"/>
      <c r="BV685" s="344"/>
      <c r="BW685" s="344"/>
      <c r="BX685" s="344"/>
      <c r="BY685" s="344"/>
      <c r="BZ685" s="344"/>
      <c r="CA685" s="344"/>
      <c r="CB685" s="28"/>
      <c r="CC685" s="28"/>
      <c r="CD685" s="28"/>
      <c r="CE685" s="28"/>
      <c r="CF685" s="28"/>
      <c r="CG685" s="28"/>
      <c r="CH685" s="28"/>
      <c r="CI685" s="28"/>
      <c r="CJ685" s="28"/>
      <c r="CK685" s="28"/>
      <c r="CL685" s="28"/>
      <c r="CM685" s="28"/>
      <c r="CN685" s="28"/>
      <c r="CO685" s="28"/>
      <c r="CP685" s="28"/>
      <c r="CQ685" s="28"/>
      <c r="CR685" s="28"/>
      <c r="CS685" s="28"/>
      <c r="CT685" s="28"/>
      <c r="CU685" s="28"/>
      <c r="CV685" s="28"/>
      <c r="CW685" s="28"/>
    </row>
    <row r="686" spans="1:101" ht="14.25" customHeight="1" x14ac:dyDescent="0.2">
      <c r="A686" s="328"/>
      <c r="B686" s="52">
        <v>0.1432206951269657</v>
      </c>
      <c r="C686" s="330">
        <v>0.65727336458890973</v>
      </c>
      <c r="D686" s="330">
        <v>1.119589183348634E-2</v>
      </c>
      <c r="E686" s="330">
        <v>1.2397146148940592E-2</v>
      </c>
      <c r="F686" s="331">
        <v>0.7709744731434276</v>
      </c>
      <c r="G686" s="94">
        <v>0.42066875236140344</v>
      </c>
      <c r="H686" s="330">
        <v>0.10840152347886237</v>
      </c>
      <c r="I686" s="330">
        <v>1.9645201331454087E-2</v>
      </c>
      <c r="J686" s="330">
        <v>0.99998392182015228</v>
      </c>
      <c r="K686" s="330">
        <v>0.80679219559121751</v>
      </c>
      <c r="L686" s="332">
        <v>10841.040846838392</v>
      </c>
      <c r="M686" s="330">
        <v>0</v>
      </c>
      <c r="N686" s="330">
        <v>13573.639900780192</v>
      </c>
      <c r="O686" s="330">
        <v>1241.1146952936954</v>
      </c>
      <c r="P686" s="330">
        <v>47357.318953625538</v>
      </c>
      <c r="Q686" s="333">
        <v>89868.564984615921</v>
      </c>
      <c r="R686" s="330">
        <v>33318.235491930165</v>
      </c>
      <c r="S686" s="330">
        <v>10105.644661441276</v>
      </c>
      <c r="T686" s="332">
        <v>0.90803149888717627</v>
      </c>
      <c r="U686" s="330">
        <v>0.87942255810511372</v>
      </c>
      <c r="V686" s="330">
        <v>0.99960678937406588</v>
      </c>
      <c r="W686" s="330">
        <v>0.99799791477351474</v>
      </c>
      <c r="X686" s="330">
        <v>0.64502185899430264</v>
      </c>
      <c r="Y686" s="330">
        <v>0</v>
      </c>
      <c r="Z686" s="331">
        <v>0</v>
      </c>
      <c r="AA686" s="235"/>
      <c r="AB686" s="335">
        <v>97909.630612607056</v>
      </c>
      <c r="AC686" s="336">
        <v>3.2334631668185723</v>
      </c>
      <c r="AD686" s="337">
        <v>90932.189281299157</v>
      </c>
      <c r="AE686" s="336">
        <v>3.4359898031472977</v>
      </c>
      <c r="AF686" s="337">
        <v>6977.4413313078985</v>
      </c>
      <c r="AG686" s="338">
        <v>-0.20252663632872547</v>
      </c>
      <c r="AH686" s="235"/>
      <c r="AI686" s="208">
        <f t="shared" si="74"/>
        <v>2973880.3778650365</v>
      </c>
      <c r="AJ686" s="208">
        <f t="shared" si="75"/>
        <v>3173258.1237086337</v>
      </c>
      <c r="AK686" s="208">
        <f t="shared" si="76"/>
        <v>-199377.74584359711</v>
      </c>
      <c r="AL686" s="235"/>
      <c r="AM686" s="52">
        <f t="shared" si="58"/>
        <v>0</v>
      </c>
      <c r="AN686" s="52">
        <f t="shared" si="59"/>
        <v>1</v>
      </c>
      <c r="AO686" s="52">
        <f t="shared" si="60"/>
        <v>0</v>
      </c>
      <c r="AP686" s="235"/>
      <c r="AQ686" s="28"/>
      <c r="AR686" s="28"/>
      <c r="AS686" s="28"/>
      <c r="AT686" s="28"/>
      <c r="AU686" s="235"/>
      <c r="AV686" s="360">
        <f t="shared" si="77"/>
        <v>3173258.1237086337</v>
      </c>
      <c r="AW686" s="235"/>
      <c r="AX686" s="355"/>
      <c r="AY686" s="344"/>
      <c r="AZ686" s="14">
        <f t="shared" si="79"/>
        <v>6977.4413313078985</v>
      </c>
      <c r="BA686" s="14">
        <f t="shared" si="78"/>
        <v>-0.20252663632872547</v>
      </c>
      <c r="BB686" s="14">
        <f t="shared" si="61"/>
        <v>-34451.968678246645</v>
      </c>
      <c r="BC686" s="344"/>
      <c r="BD686" s="344"/>
      <c r="BE686" s="344"/>
      <c r="BF686" s="344"/>
      <c r="BG686" s="344"/>
      <c r="BH686" s="344"/>
      <c r="BI686" s="344"/>
      <c r="BJ686" s="344"/>
      <c r="BK686" s="344"/>
      <c r="BL686" s="344"/>
      <c r="BM686" s="344"/>
      <c r="BN686" s="344"/>
      <c r="BO686" s="344"/>
      <c r="BP686" s="344"/>
      <c r="BQ686" s="344"/>
      <c r="BR686" s="344"/>
      <c r="BS686" s="344"/>
      <c r="BT686" s="344"/>
      <c r="BU686" s="344"/>
      <c r="BV686" s="344"/>
      <c r="BW686" s="344"/>
      <c r="BX686" s="344"/>
      <c r="BY686" s="344"/>
      <c r="BZ686" s="344"/>
      <c r="CA686" s="344"/>
      <c r="CB686" s="28"/>
      <c r="CC686" s="28"/>
      <c r="CD686" s="28"/>
      <c r="CE686" s="28"/>
      <c r="CF686" s="28"/>
      <c r="CG686" s="28"/>
      <c r="CH686" s="28"/>
      <c r="CI686" s="28"/>
      <c r="CJ686" s="28"/>
      <c r="CK686" s="28"/>
      <c r="CL686" s="28"/>
      <c r="CM686" s="28"/>
      <c r="CN686" s="28"/>
      <c r="CO686" s="28"/>
      <c r="CP686" s="28"/>
      <c r="CQ686" s="28"/>
      <c r="CR686" s="28"/>
      <c r="CS686" s="28"/>
      <c r="CT686" s="28"/>
      <c r="CU686" s="28"/>
      <c r="CV686" s="28"/>
      <c r="CW686" s="28"/>
    </row>
    <row r="687" spans="1:101" ht="14.25" customHeight="1" x14ac:dyDescent="0.2">
      <c r="A687" s="328"/>
      <c r="B687" s="52">
        <v>0.21926826923534803</v>
      </c>
      <c r="C687" s="330">
        <v>0.43949214276447046</v>
      </c>
      <c r="D687" s="330">
        <v>1.462126981273526E-2</v>
      </c>
      <c r="E687" s="330">
        <v>9.249450361401847E-3</v>
      </c>
      <c r="F687" s="331">
        <v>0.76983323330864706</v>
      </c>
      <c r="G687" s="94">
        <v>0.34953860425680111</v>
      </c>
      <c r="H687" s="330">
        <v>0.59464859257765235</v>
      </c>
      <c r="I687" s="330">
        <v>1.1236280687228997E-2</v>
      </c>
      <c r="J687" s="330">
        <v>0.99967101734874009</v>
      </c>
      <c r="K687" s="330">
        <v>0.7452909169260612</v>
      </c>
      <c r="L687" s="332">
        <v>11975.058701304937</v>
      </c>
      <c r="M687" s="330">
        <v>0</v>
      </c>
      <c r="N687" s="330">
        <v>20120.177631014405</v>
      </c>
      <c r="O687" s="330">
        <v>828.65074133100973</v>
      </c>
      <c r="P687" s="330">
        <v>33218.438717260855</v>
      </c>
      <c r="Q687" s="333">
        <v>87631.123482118783</v>
      </c>
      <c r="R687" s="330">
        <v>23457.931716728159</v>
      </c>
      <c r="S687" s="330">
        <v>9934.0261558264392</v>
      </c>
      <c r="T687" s="332">
        <v>0.22053713678716461</v>
      </c>
      <c r="U687" s="330">
        <v>0.5000237775698354</v>
      </c>
      <c r="V687" s="330">
        <v>0.48857165643457851</v>
      </c>
      <c r="W687" s="330">
        <v>0.96151764699134645</v>
      </c>
      <c r="X687" s="330">
        <v>0.99968195246722158</v>
      </c>
      <c r="Y687" s="330">
        <v>0</v>
      </c>
      <c r="Z687" s="331">
        <v>0</v>
      </c>
      <c r="AA687" s="235"/>
      <c r="AB687" s="335">
        <v>96767.401610257642</v>
      </c>
      <c r="AC687" s="336">
        <v>4.7030338756661765</v>
      </c>
      <c r="AD687" s="337">
        <v>85155.975813276862</v>
      </c>
      <c r="AE687" s="336">
        <v>4.6313064073878403</v>
      </c>
      <c r="AF687" s="337">
        <v>11611.42579698078</v>
      </c>
      <c r="AG687" s="338">
        <v>7.1727468278336204E-2</v>
      </c>
      <c r="AH687" s="235"/>
      <c r="AI687" s="208">
        <f t="shared" si="74"/>
        <v>4371114.7802726096</v>
      </c>
      <c r="AJ687" s="208">
        <f t="shared" si="75"/>
        <v>4314585.1112051709</v>
      </c>
      <c r="AK687" s="208">
        <f t="shared" si="76"/>
        <v>56529.669067438619</v>
      </c>
      <c r="AL687" s="235"/>
      <c r="AM687" s="52">
        <f t="shared" si="58"/>
        <v>1</v>
      </c>
      <c r="AN687" s="52">
        <f t="shared" si="59"/>
        <v>0</v>
      </c>
      <c r="AO687" s="52">
        <f t="shared" si="60"/>
        <v>1</v>
      </c>
      <c r="AP687" s="235"/>
      <c r="AQ687" s="28"/>
      <c r="AR687" s="28"/>
      <c r="AS687" s="28"/>
      <c r="AT687" s="28"/>
      <c r="AU687" s="235"/>
      <c r="AV687" s="360">
        <f t="shared" si="77"/>
        <v>4371114.7802726096</v>
      </c>
      <c r="AW687" s="235"/>
      <c r="AX687" s="355"/>
      <c r="AY687" s="344"/>
      <c r="AZ687" s="14">
        <f t="shared" si="79"/>
        <v>11611.42579698078</v>
      </c>
      <c r="BA687" s="14">
        <f t="shared" si="78"/>
        <v>7.1727468278336204E-2</v>
      </c>
      <c r="BB687" s="14">
        <f t="shared" si="61"/>
        <v>161882.5545594751</v>
      </c>
      <c r="BC687" s="344"/>
      <c r="BD687" s="344"/>
      <c r="BE687" s="344"/>
      <c r="BF687" s="344"/>
      <c r="BG687" s="344"/>
      <c r="BH687" s="344"/>
      <c r="BI687" s="344"/>
      <c r="BJ687" s="344"/>
      <c r="BK687" s="344"/>
      <c r="BL687" s="344"/>
      <c r="BM687" s="344"/>
      <c r="BN687" s="344"/>
      <c r="BO687" s="344"/>
      <c r="BP687" s="344"/>
      <c r="BQ687" s="344"/>
      <c r="BR687" s="344"/>
      <c r="BS687" s="344"/>
      <c r="BT687" s="344"/>
      <c r="BU687" s="344"/>
      <c r="BV687" s="344"/>
      <c r="BW687" s="344"/>
      <c r="BX687" s="344"/>
      <c r="BY687" s="344"/>
      <c r="BZ687" s="344"/>
      <c r="CA687" s="344"/>
      <c r="CB687" s="28"/>
      <c r="CC687" s="28"/>
      <c r="CD687" s="28"/>
      <c r="CE687" s="28"/>
      <c r="CF687" s="28"/>
      <c r="CG687" s="28"/>
      <c r="CH687" s="28"/>
      <c r="CI687" s="28"/>
      <c r="CJ687" s="28"/>
      <c r="CK687" s="28"/>
      <c r="CL687" s="28"/>
      <c r="CM687" s="28"/>
      <c r="CN687" s="28"/>
      <c r="CO687" s="28"/>
      <c r="CP687" s="28"/>
      <c r="CQ687" s="28"/>
      <c r="CR687" s="28"/>
      <c r="CS687" s="28"/>
      <c r="CT687" s="28"/>
      <c r="CU687" s="28"/>
      <c r="CV687" s="28"/>
      <c r="CW687" s="28"/>
    </row>
    <row r="688" spans="1:101" ht="14.25" customHeight="1" x14ac:dyDescent="0.2">
      <c r="A688" s="328"/>
      <c r="B688" s="52">
        <v>0.12467316341309446</v>
      </c>
      <c r="C688" s="330">
        <v>0.35038721121218652</v>
      </c>
      <c r="D688" s="330">
        <v>1.6719805888089079E-2</v>
      </c>
      <c r="E688" s="330">
        <v>1.7974201889095709E-2</v>
      </c>
      <c r="F688" s="331">
        <v>0.79535301287384885</v>
      </c>
      <c r="G688" s="94">
        <v>0.38663133728334764</v>
      </c>
      <c r="H688" s="330">
        <v>0.24364073880344941</v>
      </c>
      <c r="I688" s="330">
        <v>3.4845833588400765E-2</v>
      </c>
      <c r="J688" s="330">
        <v>0.99999999706132736</v>
      </c>
      <c r="K688" s="330">
        <v>0.77008720706622225</v>
      </c>
      <c r="L688" s="332">
        <v>8362.3547459066722</v>
      </c>
      <c r="M688" s="330">
        <v>0</v>
      </c>
      <c r="N688" s="330">
        <v>14548.615740202291</v>
      </c>
      <c r="O688" s="330">
        <v>1718.7837275451539</v>
      </c>
      <c r="P688" s="330">
        <v>63316.694125411756</v>
      </c>
      <c r="Q688" s="333">
        <v>108423.45857030236</v>
      </c>
      <c r="R688" s="330">
        <v>24807.392121942044</v>
      </c>
      <c r="S688" s="330">
        <v>7713.6819691367737</v>
      </c>
      <c r="T688" s="332">
        <v>0.85404221496703359</v>
      </c>
      <c r="U688" s="330">
        <v>0.83987958590998413</v>
      </c>
      <c r="V688" s="330">
        <v>0.74244174361757187</v>
      </c>
      <c r="W688" s="330">
        <v>0.26713349849786783</v>
      </c>
      <c r="X688" s="330">
        <v>0.13670074862955336</v>
      </c>
      <c r="Y688" s="330">
        <v>0</v>
      </c>
      <c r="Z688" s="331">
        <v>0</v>
      </c>
      <c r="AA688" s="235"/>
      <c r="AB688" s="335">
        <v>75726.430528041747</v>
      </c>
      <c r="AC688" s="336">
        <v>0.98160493085355194</v>
      </c>
      <c r="AD688" s="337">
        <v>69292.564847354253</v>
      </c>
      <c r="AE688" s="336">
        <v>1.0024465922785155</v>
      </c>
      <c r="AF688" s="337">
        <v>6433.8656806874933</v>
      </c>
      <c r="AG688" s="338">
        <v>-2.0841661424963576E-2</v>
      </c>
      <c r="AH688" s="235"/>
      <c r="AI688" s="208">
        <f t="shared" si="74"/>
        <v>856798.25378283253</v>
      </c>
      <c r="AJ688" s="208">
        <f t="shared" si="75"/>
        <v>883031.69781723549</v>
      </c>
      <c r="AK688" s="208">
        <f t="shared" si="76"/>
        <v>-26233.444034402892</v>
      </c>
      <c r="AL688" s="235"/>
      <c r="AM688" s="52">
        <f t="shared" si="58"/>
        <v>0</v>
      </c>
      <c r="AN688" s="52">
        <f t="shared" si="59"/>
        <v>1</v>
      </c>
      <c r="AO688" s="52">
        <f t="shared" si="60"/>
        <v>0</v>
      </c>
      <c r="AP688" s="235"/>
      <c r="AQ688" s="28"/>
      <c r="AR688" s="28"/>
      <c r="AS688" s="28"/>
      <c r="AT688" s="28"/>
      <c r="AU688" s="235"/>
      <c r="AV688" s="360">
        <f t="shared" si="77"/>
        <v>883031.69781723549</v>
      </c>
      <c r="AW688" s="235"/>
      <c r="AX688" s="355"/>
      <c r="AY688" s="344"/>
      <c r="AZ688" s="14">
        <f t="shared" si="79"/>
        <v>6433.8656806874933</v>
      </c>
      <c r="BA688" s="14">
        <f t="shared" si="78"/>
        <v>-2.0841661424963576E-2</v>
      </c>
      <c r="BB688" s="14">
        <f t="shared" si="61"/>
        <v>-308702.14948320691</v>
      </c>
      <c r="BC688" s="344"/>
      <c r="BD688" s="344"/>
      <c r="BE688" s="344"/>
      <c r="BF688" s="344"/>
      <c r="BG688" s="344"/>
      <c r="BH688" s="344"/>
      <c r="BI688" s="344"/>
      <c r="BJ688" s="344"/>
      <c r="BK688" s="344"/>
      <c r="BL688" s="344"/>
      <c r="BM688" s="344"/>
      <c r="BN688" s="344"/>
      <c r="BO688" s="344"/>
      <c r="BP688" s="344"/>
      <c r="BQ688" s="344"/>
      <c r="BR688" s="344"/>
      <c r="BS688" s="344"/>
      <c r="BT688" s="344"/>
      <c r="BU688" s="344"/>
      <c r="BV688" s="344"/>
      <c r="BW688" s="344"/>
      <c r="BX688" s="344"/>
      <c r="BY688" s="344"/>
      <c r="BZ688" s="344"/>
      <c r="CA688" s="344"/>
      <c r="CB688" s="28"/>
      <c r="CC688" s="28"/>
      <c r="CD688" s="28"/>
      <c r="CE688" s="28"/>
      <c r="CF688" s="28"/>
      <c r="CG688" s="28"/>
      <c r="CH688" s="28"/>
      <c r="CI688" s="28"/>
      <c r="CJ688" s="28"/>
      <c r="CK688" s="28"/>
      <c r="CL688" s="28"/>
      <c r="CM688" s="28"/>
      <c r="CN688" s="28"/>
      <c r="CO688" s="28"/>
      <c r="CP688" s="28"/>
      <c r="CQ688" s="28"/>
      <c r="CR688" s="28"/>
      <c r="CS688" s="28"/>
      <c r="CT688" s="28"/>
      <c r="CU688" s="28"/>
      <c r="CV688" s="28"/>
      <c r="CW688" s="28"/>
    </row>
    <row r="689" spans="1:101" ht="14.25" customHeight="1" x14ac:dyDescent="0.2">
      <c r="A689" s="328"/>
      <c r="B689" s="52">
        <v>0.19138769221700014</v>
      </c>
      <c r="C689" s="330">
        <v>0.47755133466295885</v>
      </c>
      <c r="D689" s="330">
        <v>1.1626306807781794E-2</v>
      </c>
      <c r="E689" s="330">
        <v>8.0574010038606814E-3</v>
      </c>
      <c r="F689" s="331">
        <v>0.77694008500797151</v>
      </c>
      <c r="G689" s="94">
        <v>0.36519675512263122</v>
      </c>
      <c r="H689" s="330">
        <v>0.12650960483596915</v>
      </c>
      <c r="I689" s="330">
        <v>5.9249071221324223E-3</v>
      </c>
      <c r="J689" s="330">
        <v>1.5279347603871419E-2</v>
      </c>
      <c r="K689" s="330">
        <v>0.76725785574669614</v>
      </c>
      <c r="L689" s="332">
        <v>15871.522269601395</v>
      </c>
      <c r="M689" s="330">
        <v>0</v>
      </c>
      <c r="N689" s="330">
        <v>19354.783492031227</v>
      </c>
      <c r="O689" s="330">
        <v>971.26955876148179</v>
      </c>
      <c r="P689" s="330">
        <v>39075.303343168576</v>
      </c>
      <c r="Q689" s="333">
        <v>76129.160023745877</v>
      </c>
      <c r="R689" s="330">
        <v>29263.87364159467</v>
      </c>
      <c r="S689" s="330">
        <v>10863.517812253793</v>
      </c>
      <c r="T689" s="332">
        <v>0.99456252720969851</v>
      </c>
      <c r="U689" s="330">
        <v>0.9604894458460087</v>
      </c>
      <c r="V689" s="330">
        <v>0.93784702864543501</v>
      </c>
      <c r="W689" s="330">
        <v>0.90321308773801556</v>
      </c>
      <c r="X689" s="330">
        <v>0.6596821465239272</v>
      </c>
      <c r="Y689" s="330">
        <v>0</v>
      </c>
      <c r="Z689" s="331">
        <v>0</v>
      </c>
      <c r="AA689" s="235"/>
      <c r="AB689" s="335">
        <v>109477.33732124878</v>
      </c>
      <c r="AC689" s="336">
        <v>3.2970325080195839</v>
      </c>
      <c r="AD689" s="337">
        <v>91341.700158872831</v>
      </c>
      <c r="AE689" s="336">
        <v>3.3041832809816709</v>
      </c>
      <c r="AF689" s="337">
        <v>18135.637162375948</v>
      </c>
      <c r="AG689" s="338">
        <v>-7.1507729620869931E-3</v>
      </c>
      <c r="AH689" s="235"/>
      <c r="AI689" s="208">
        <f t="shared" si="74"/>
        <v>3022703.5452973559</v>
      </c>
      <c r="AJ689" s="208">
        <f t="shared" si="75"/>
        <v>3047632.4167737146</v>
      </c>
      <c r="AK689" s="208">
        <f t="shared" si="76"/>
        <v>-24928.871476358592</v>
      </c>
      <c r="AL689" s="235"/>
      <c r="AM689" s="52">
        <f t="shared" si="58"/>
        <v>0</v>
      </c>
      <c r="AN689" s="52">
        <f t="shared" si="59"/>
        <v>1</v>
      </c>
      <c r="AO689" s="52">
        <f t="shared" si="60"/>
        <v>0</v>
      </c>
      <c r="AP689" s="235"/>
      <c r="AQ689" s="28"/>
      <c r="AR689" s="28"/>
      <c r="AS689" s="28"/>
      <c r="AT689" s="28"/>
      <c r="AU689" s="235"/>
      <c r="AV689" s="360">
        <f t="shared" si="77"/>
        <v>3047632.4167737146</v>
      </c>
      <c r="AW689" s="235"/>
      <c r="AX689" s="355"/>
      <c r="AY689" s="344"/>
      <c r="AZ689" s="14">
        <f t="shared" si="79"/>
        <v>18135.637162375948</v>
      </c>
      <c r="BA689" s="14">
        <f t="shared" si="78"/>
        <v>-7.1507729620869931E-3</v>
      </c>
      <c r="BB689" s="14">
        <f t="shared" si="61"/>
        <v>-2536178.572376735</v>
      </c>
      <c r="BC689" s="344"/>
      <c r="BD689" s="344"/>
      <c r="BE689" s="344"/>
      <c r="BF689" s="344"/>
      <c r="BG689" s="344"/>
      <c r="BH689" s="344"/>
      <c r="BI689" s="344"/>
      <c r="BJ689" s="344"/>
      <c r="BK689" s="344"/>
      <c r="BL689" s="344"/>
      <c r="BM689" s="344"/>
      <c r="BN689" s="344"/>
      <c r="BO689" s="344"/>
      <c r="BP689" s="344"/>
      <c r="BQ689" s="344"/>
      <c r="BR689" s="344"/>
      <c r="BS689" s="344"/>
      <c r="BT689" s="344"/>
      <c r="BU689" s="344"/>
      <c r="BV689" s="344"/>
      <c r="BW689" s="344"/>
      <c r="BX689" s="344"/>
      <c r="BY689" s="344"/>
      <c r="BZ689" s="344"/>
      <c r="CA689" s="344"/>
      <c r="CB689" s="28"/>
      <c r="CC689" s="28"/>
      <c r="CD689" s="28"/>
      <c r="CE689" s="28"/>
      <c r="CF689" s="28"/>
      <c r="CG689" s="28"/>
      <c r="CH689" s="28"/>
      <c r="CI689" s="28"/>
      <c r="CJ689" s="28"/>
      <c r="CK689" s="28"/>
      <c r="CL689" s="28"/>
      <c r="CM689" s="28"/>
      <c r="CN689" s="28"/>
      <c r="CO689" s="28"/>
      <c r="CP689" s="28"/>
      <c r="CQ689" s="28"/>
      <c r="CR689" s="28"/>
      <c r="CS689" s="28"/>
      <c r="CT689" s="28"/>
      <c r="CU689" s="28"/>
      <c r="CV689" s="28"/>
      <c r="CW689" s="28"/>
    </row>
    <row r="690" spans="1:101" ht="14.25" customHeight="1" x14ac:dyDescent="0.2">
      <c r="A690" s="328"/>
      <c r="B690" s="52">
        <v>0.18222354162140697</v>
      </c>
      <c r="C690" s="330">
        <v>0.10908211690054512</v>
      </c>
      <c r="D690" s="330">
        <v>2.2766425451100858E-2</v>
      </c>
      <c r="E690" s="330">
        <v>2.3054668880324036E-2</v>
      </c>
      <c r="F690" s="331">
        <v>0.78951168882243483</v>
      </c>
      <c r="G690" s="94">
        <v>0.35859920901911191</v>
      </c>
      <c r="H690" s="330">
        <v>0.30114779229080013</v>
      </c>
      <c r="I690" s="330">
        <v>3.2863082901853913E-2</v>
      </c>
      <c r="J690" s="330">
        <v>1</v>
      </c>
      <c r="K690" s="330">
        <v>0.77722927174492018</v>
      </c>
      <c r="L690" s="332">
        <v>8538.3403893450795</v>
      </c>
      <c r="M690" s="330">
        <v>0</v>
      </c>
      <c r="N690" s="330">
        <v>26730.358822944236</v>
      </c>
      <c r="O690" s="330">
        <v>958.18439113576005</v>
      </c>
      <c r="P690" s="330">
        <v>54970.242106496538</v>
      </c>
      <c r="Q690" s="333">
        <v>122018.96464712809</v>
      </c>
      <c r="R690" s="330">
        <v>17210.425551890741</v>
      </c>
      <c r="S690" s="330">
        <v>9699.3055878606847</v>
      </c>
      <c r="T690" s="332">
        <v>0.85039609772904934</v>
      </c>
      <c r="U690" s="330">
        <v>0.96863918784085201</v>
      </c>
      <c r="V690" s="330">
        <v>0.95506332226386437</v>
      </c>
      <c r="W690" s="330">
        <v>5.1374648383971551E-3</v>
      </c>
      <c r="X690" s="330">
        <v>0.94715185050707196</v>
      </c>
      <c r="Y690" s="330">
        <v>0</v>
      </c>
      <c r="Z690" s="331">
        <v>0</v>
      </c>
      <c r="AA690" s="235"/>
      <c r="AB690" s="335">
        <v>91745.773040216241</v>
      </c>
      <c r="AC690" s="336">
        <v>5.0176757540985868</v>
      </c>
      <c r="AD690" s="337">
        <v>85462.286507967903</v>
      </c>
      <c r="AE690" s="336">
        <v>4.6742709080874221</v>
      </c>
      <c r="AF690" s="337">
        <v>6283.4865322483383</v>
      </c>
      <c r="AG690" s="338">
        <v>0.34340484601116472</v>
      </c>
      <c r="AH690" s="235"/>
      <c r="AI690" s="208">
        <f t="shared" si="74"/>
        <v>4675046.1933534406</v>
      </c>
      <c r="AJ690" s="208">
        <f t="shared" si="75"/>
        <v>4355095.0761750834</v>
      </c>
      <c r="AK690" s="208">
        <f t="shared" si="76"/>
        <v>319951.11717835814</v>
      </c>
      <c r="AL690" s="235"/>
      <c r="AM690" s="52">
        <f t="shared" si="58"/>
        <v>1</v>
      </c>
      <c r="AN690" s="52">
        <f t="shared" si="59"/>
        <v>0</v>
      </c>
      <c r="AO690" s="52">
        <f t="shared" si="60"/>
        <v>1</v>
      </c>
      <c r="AP690" s="235"/>
      <c r="AQ690" s="28"/>
      <c r="AR690" s="28"/>
      <c r="AS690" s="28"/>
      <c r="AT690" s="28"/>
      <c r="AU690" s="235"/>
      <c r="AV690" s="360">
        <f t="shared" si="77"/>
        <v>4675046.1933534406</v>
      </c>
      <c r="AW690" s="235"/>
      <c r="AX690" s="355"/>
      <c r="AY690" s="344"/>
      <c r="AZ690" s="14">
        <f t="shared" si="79"/>
        <v>6283.4865322483383</v>
      </c>
      <c r="BA690" s="14">
        <f t="shared" si="78"/>
        <v>0.34340484601116472</v>
      </c>
      <c r="BB690" s="14">
        <f t="shared" si="61"/>
        <v>18297.605887728361</v>
      </c>
      <c r="BC690" s="344"/>
      <c r="BD690" s="344"/>
      <c r="BE690" s="344"/>
      <c r="BF690" s="344"/>
      <c r="BG690" s="344"/>
      <c r="BH690" s="344"/>
      <c r="BI690" s="344"/>
      <c r="BJ690" s="344"/>
      <c r="BK690" s="344"/>
      <c r="BL690" s="344"/>
      <c r="BM690" s="344"/>
      <c r="BN690" s="344"/>
      <c r="BO690" s="344"/>
      <c r="BP690" s="344"/>
      <c r="BQ690" s="344"/>
      <c r="BR690" s="344"/>
      <c r="BS690" s="344"/>
      <c r="BT690" s="344"/>
      <c r="BU690" s="344"/>
      <c r="BV690" s="344"/>
      <c r="BW690" s="344"/>
      <c r="BX690" s="344"/>
      <c r="BY690" s="344"/>
      <c r="BZ690" s="344"/>
      <c r="CA690" s="344"/>
      <c r="CB690" s="28"/>
      <c r="CC690" s="28"/>
      <c r="CD690" s="28"/>
      <c r="CE690" s="28"/>
      <c r="CF690" s="28"/>
      <c r="CG690" s="28"/>
      <c r="CH690" s="28"/>
      <c r="CI690" s="28"/>
      <c r="CJ690" s="28"/>
      <c r="CK690" s="28"/>
      <c r="CL690" s="28"/>
      <c r="CM690" s="28"/>
      <c r="CN690" s="28"/>
      <c r="CO690" s="28"/>
      <c r="CP690" s="28"/>
      <c r="CQ690" s="28"/>
      <c r="CR690" s="28"/>
      <c r="CS690" s="28"/>
      <c r="CT690" s="28"/>
      <c r="CU690" s="28"/>
      <c r="CV690" s="28"/>
      <c r="CW690" s="28"/>
    </row>
    <row r="691" spans="1:101" ht="14.25" customHeight="1" x14ac:dyDescent="0.2">
      <c r="A691" s="328"/>
      <c r="B691" s="52">
        <v>0.19909277423102989</v>
      </c>
      <c r="C691" s="330">
        <v>0.63383233871612665</v>
      </c>
      <c r="D691" s="330">
        <v>2.3632875026406985E-2</v>
      </c>
      <c r="E691" s="330">
        <v>1.0615647008631515E-2</v>
      </c>
      <c r="F691" s="331">
        <v>0.79820576571991841</v>
      </c>
      <c r="G691" s="94">
        <v>0.43652557341992404</v>
      </c>
      <c r="H691" s="330">
        <v>0.33922727987362228</v>
      </c>
      <c r="I691" s="330">
        <v>1.8997594671431584E-2</v>
      </c>
      <c r="J691" s="330">
        <v>0.9836075029618383</v>
      </c>
      <c r="K691" s="330">
        <v>0.70942458619566573</v>
      </c>
      <c r="L691" s="332">
        <v>11252.017098845528</v>
      </c>
      <c r="M691" s="330">
        <v>0</v>
      </c>
      <c r="N691" s="330">
        <v>16374.64669197856</v>
      </c>
      <c r="O691" s="330">
        <v>1432.4361873398243</v>
      </c>
      <c r="P691" s="330">
        <v>24374.404740630085</v>
      </c>
      <c r="Q691" s="333">
        <v>121899.4722911061</v>
      </c>
      <c r="R691" s="330">
        <v>20030.347653121611</v>
      </c>
      <c r="S691" s="330">
        <v>9743.1693737180703</v>
      </c>
      <c r="T691" s="332">
        <v>0.81187264359663458</v>
      </c>
      <c r="U691" s="330">
        <v>0.97712115083373696</v>
      </c>
      <c r="V691" s="330">
        <v>5.4836908174039627E-2</v>
      </c>
      <c r="W691" s="330">
        <v>0.86499143630843933</v>
      </c>
      <c r="X691" s="330">
        <v>0.93659163127202483</v>
      </c>
      <c r="Y691" s="330">
        <v>0</v>
      </c>
      <c r="Z691" s="331">
        <v>0</v>
      </c>
      <c r="AA691" s="235"/>
      <c r="AB691" s="335">
        <v>98097.816730271559</v>
      </c>
      <c r="AC691" s="336">
        <v>4.5164220700462092</v>
      </c>
      <c r="AD691" s="337">
        <v>79158.389521539662</v>
      </c>
      <c r="AE691" s="336">
        <v>4.2385688207998902</v>
      </c>
      <c r="AF691" s="337">
        <v>18939.427208731897</v>
      </c>
      <c r="AG691" s="338">
        <v>0.27785324924631905</v>
      </c>
      <c r="AH691" s="235"/>
      <c r="AI691" s="208">
        <f t="shared" si="74"/>
        <v>4192503.1498136274</v>
      </c>
      <c r="AJ691" s="208">
        <f t="shared" si="75"/>
        <v>3947481.9902383559</v>
      </c>
      <c r="AK691" s="208">
        <f t="shared" si="76"/>
        <v>245021.15957527119</v>
      </c>
      <c r="AL691" s="235"/>
      <c r="AM691" s="52">
        <f t="shared" si="58"/>
        <v>1</v>
      </c>
      <c r="AN691" s="52">
        <f t="shared" si="59"/>
        <v>0</v>
      </c>
      <c r="AO691" s="52">
        <f t="shared" si="60"/>
        <v>1</v>
      </c>
      <c r="AP691" s="235"/>
      <c r="AQ691" s="28"/>
      <c r="AR691" s="28"/>
      <c r="AS691" s="28"/>
      <c r="AT691" s="28"/>
      <c r="AU691" s="235"/>
      <c r="AV691" s="360">
        <f t="shared" si="77"/>
        <v>4192503.1498136274</v>
      </c>
      <c r="AW691" s="235"/>
      <c r="AX691" s="355"/>
      <c r="AY691" s="344"/>
      <c r="AZ691" s="14">
        <f t="shared" si="79"/>
        <v>18939.427208731897</v>
      </c>
      <c r="BA691" s="14">
        <f t="shared" si="78"/>
        <v>0.27785324924631905</v>
      </c>
      <c r="BB691" s="14">
        <f t="shared" si="61"/>
        <v>68163.418135671862</v>
      </c>
      <c r="BC691" s="344"/>
      <c r="BD691" s="344"/>
      <c r="BE691" s="344"/>
      <c r="BF691" s="344"/>
      <c r="BG691" s="344"/>
      <c r="BH691" s="344"/>
      <c r="BI691" s="344"/>
      <c r="BJ691" s="344"/>
      <c r="BK691" s="344"/>
      <c r="BL691" s="344"/>
      <c r="BM691" s="344"/>
      <c r="BN691" s="344"/>
      <c r="BO691" s="344"/>
      <c r="BP691" s="344"/>
      <c r="BQ691" s="344"/>
      <c r="BR691" s="344"/>
      <c r="BS691" s="344"/>
      <c r="BT691" s="344"/>
      <c r="BU691" s="344"/>
      <c r="BV691" s="344"/>
      <c r="BW691" s="344"/>
      <c r="BX691" s="344"/>
      <c r="BY691" s="344"/>
      <c r="BZ691" s="344"/>
      <c r="CA691" s="344"/>
      <c r="CB691" s="28"/>
      <c r="CC691" s="28"/>
      <c r="CD691" s="28"/>
      <c r="CE691" s="28"/>
      <c r="CF691" s="28"/>
      <c r="CG691" s="28"/>
      <c r="CH691" s="28"/>
      <c r="CI691" s="28"/>
      <c r="CJ691" s="28"/>
      <c r="CK691" s="28"/>
      <c r="CL691" s="28"/>
      <c r="CM691" s="28"/>
      <c r="CN691" s="28"/>
      <c r="CO691" s="28"/>
      <c r="CP691" s="28"/>
      <c r="CQ691" s="28"/>
      <c r="CR691" s="28"/>
      <c r="CS691" s="28"/>
      <c r="CT691" s="28"/>
      <c r="CU691" s="28"/>
      <c r="CV691" s="28"/>
      <c r="CW691" s="28"/>
    </row>
    <row r="692" spans="1:101" ht="14.25" customHeight="1" x14ac:dyDescent="0.2">
      <c r="A692" s="328"/>
      <c r="B692" s="52">
        <v>0.15280281717687882</v>
      </c>
      <c r="C692" s="330">
        <v>0.84943331316343751</v>
      </c>
      <c r="D692" s="330">
        <v>2.1153110375345618E-2</v>
      </c>
      <c r="E692" s="330">
        <v>2.3577605710446981E-2</v>
      </c>
      <c r="F692" s="331">
        <v>0.78656462299145535</v>
      </c>
      <c r="G692" s="94">
        <v>0.38158514748811762</v>
      </c>
      <c r="H692" s="330">
        <v>0.67878996235833644</v>
      </c>
      <c r="I692" s="330">
        <v>1.512822178123076E-2</v>
      </c>
      <c r="J692" s="330">
        <v>0.6963429942212952</v>
      </c>
      <c r="K692" s="330">
        <v>0.71522437800835703</v>
      </c>
      <c r="L692" s="332">
        <v>16387.953470177163</v>
      </c>
      <c r="M692" s="330">
        <v>0</v>
      </c>
      <c r="N692" s="330">
        <v>20019.586910175862</v>
      </c>
      <c r="O692" s="330">
        <v>866.76444624885175</v>
      </c>
      <c r="P692" s="330">
        <v>52500.846910248518</v>
      </c>
      <c r="Q692" s="333">
        <v>69351.553912776362</v>
      </c>
      <c r="R692" s="330">
        <v>24917.903345705847</v>
      </c>
      <c r="S692" s="330">
        <v>8997.2361665829103</v>
      </c>
      <c r="T692" s="332">
        <v>0.99995574931562647</v>
      </c>
      <c r="U692" s="330">
        <v>0.62932988715946325</v>
      </c>
      <c r="V692" s="330">
        <v>0.99745603243077419</v>
      </c>
      <c r="W692" s="330">
        <v>0.50312176386684926</v>
      </c>
      <c r="X692" s="330">
        <v>0.92111210684530187</v>
      </c>
      <c r="Y692" s="330">
        <v>0</v>
      </c>
      <c r="Z692" s="331">
        <v>0</v>
      </c>
      <c r="AA692" s="235"/>
      <c r="AB692" s="335">
        <v>95928.258336139465</v>
      </c>
      <c r="AC692" s="336">
        <v>4.906363220956278</v>
      </c>
      <c r="AD692" s="337">
        <v>76557.223495793412</v>
      </c>
      <c r="AE692" s="336">
        <v>4.1565440842850814</v>
      </c>
      <c r="AF692" s="337">
        <v>19371.034840346052</v>
      </c>
      <c r="AG692" s="338">
        <v>0.7498191366711966</v>
      </c>
      <c r="AH692" s="235"/>
      <c r="AI692" s="208">
        <f t="shared" si="74"/>
        <v>4565116.8015723238</v>
      </c>
      <c r="AJ692" s="208">
        <f t="shared" si="75"/>
        <v>3872159.6565750339</v>
      </c>
      <c r="AK692" s="208">
        <f t="shared" si="76"/>
        <v>692957.14499729068</v>
      </c>
      <c r="AL692" s="235"/>
      <c r="AM692" s="52">
        <f t="shared" si="58"/>
        <v>1</v>
      </c>
      <c r="AN692" s="52">
        <f t="shared" si="59"/>
        <v>0</v>
      </c>
      <c r="AO692" s="52">
        <f t="shared" si="60"/>
        <v>1</v>
      </c>
      <c r="AP692" s="235"/>
      <c r="AQ692" s="28"/>
      <c r="AR692" s="28"/>
      <c r="AS692" s="28"/>
      <c r="AT692" s="28"/>
      <c r="AU692" s="235"/>
      <c r="AV692" s="360">
        <f t="shared" si="77"/>
        <v>4565116.8015723238</v>
      </c>
      <c r="AW692" s="235"/>
      <c r="AX692" s="355"/>
      <c r="AY692" s="344"/>
      <c r="AZ692" s="14">
        <f t="shared" si="79"/>
        <v>19371.034840346052</v>
      </c>
      <c r="BA692" s="14">
        <f t="shared" si="78"/>
        <v>0.7498191366711966</v>
      </c>
      <c r="BB692" s="14">
        <f t="shared" si="61"/>
        <v>25834.276418101676</v>
      </c>
      <c r="BC692" s="344"/>
      <c r="BD692" s="344"/>
      <c r="BE692" s="344"/>
      <c r="BF692" s="344"/>
      <c r="BG692" s="344"/>
      <c r="BH692" s="344"/>
      <c r="BI692" s="344"/>
      <c r="BJ692" s="344"/>
      <c r="BK692" s="344"/>
      <c r="BL692" s="344"/>
      <c r="BM692" s="344"/>
      <c r="BN692" s="344"/>
      <c r="BO692" s="344"/>
      <c r="BP692" s="344"/>
      <c r="BQ692" s="344"/>
      <c r="BR692" s="344"/>
      <c r="BS692" s="344"/>
      <c r="BT692" s="344"/>
      <c r="BU692" s="344"/>
      <c r="BV692" s="344"/>
      <c r="BW692" s="344"/>
      <c r="BX692" s="344"/>
      <c r="BY692" s="344"/>
      <c r="BZ692" s="344"/>
      <c r="CA692" s="344"/>
      <c r="CB692" s="28"/>
      <c r="CC692" s="28"/>
      <c r="CD692" s="28"/>
      <c r="CE692" s="28"/>
      <c r="CF692" s="28"/>
      <c r="CG692" s="28"/>
      <c r="CH692" s="28"/>
      <c r="CI692" s="28"/>
      <c r="CJ692" s="28"/>
      <c r="CK692" s="28"/>
      <c r="CL692" s="28"/>
      <c r="CM692" s="28"/>
      <c r="CN692" s="28"/>
      <c r="CO692" s="28"/>
      <c r="CP692" s="28"/>
      <c r="CQ692" s="28"/>
      <c r="CR692" s="28"/>
      <c r="CS692" s="28"/>
      <c r="CT692" s="28"/>
      <c r="CU692" s="28"/>
      <c r="CV692" s="28"/>
      <c r="CW692" s="28"/>
    </row>
    <row r="693" spans="1:101" ht="14.25" customHeight="1" x14ac:dyDescent="0.2">
      <c r="A693" s="328"/>
      <c r="B693" s="52">
        <v>0.14208300776342339</v>
      </c>
      <c r="C693" s="330">
        <v>1.1268325812404015E-2</v>
      </c>
      <c r="D693" s="330">
        <v>1.2400631478150922E-2</v>
      </c>
      <c r="E693" s="330">
        <v>1.4255352356216095E-2</v>
      </c>
      <c r="F693" s="331">
        <v>0.8234714185608587</v>
      </c>
      <c r="G693" s="94">
        <v>0.34878668960491244</v>
      </c>
      <c r="H693" s="330">
        <v>1.919738379774396E-2</v>
      </c>
      <c r="I693" s="330">
        <v>2.315394536427362E-2</v>
      </c>
      <c r="J693" s="330">
        <v>0.94691048105074183</v>
      </c>
      <c r="K693" s="330">
        <v>0.73522350992148489</v>
      </c>
      <c r="L693" s="332">
        <v>15998.706024389203</v>
      </c>
      <c r="M693" s="330">
        <v>0</v>
      </c>
      <c r="N693" s="330">
        <v>19406.527784386555</v>
      </c>
      <c r="O693" s="330">
        <v>1385.9124339860798</v>
      </c>
      <c r="P693" s="330">
        <v>33693.294653584708</v>
      </c>
      <c r="Q693" s="333">
        <v>78543.89529743095</v>
      </c>
      <c r="R693" s="330">
        <v>22881.451056467486</v>
      </c>
      <c r="S693" s="330">
        <v>9034.655407976963</v>
      </c>
      <c r="T693" s="332">
        <v>0.99965384057245532</v>
      </c>
      <c r="U693" s="330">
        <v>0.83156898221606512</v>
      </c>
      <c r="V693" s="330">
        <v>0.98642617153161927</v>
      </c>
      <c r="W693" s="330">
        <v>0.99074221960959452</v>
      </c>
      <c r="X693" s="330">
        <v>0.99997995881247681</v>
      </c>
      <c r="Y693" s="330">
        <v>0</v>
      </c>
      <c r="Z693" s="331">
        <v>0</v>
      </c>
      <c r="AA693" s="235"/>
      <c r="AB693" s="335">
        <v>96209.981596483849</v>
      </c>
      <c r="AC693" s="336">
        <v>5.5587435382922639</v>
      </c>
      <c r="AD693" s="337">
        <v>72957.600612180599</v>
      </c>
      <c r="AE693" s="336">
        <v>4.692271416922166</v>
      </c>
      <c r="AF693" s="337">
        <v>23252.38098430325</v>
      </c>
      <c r="AG693" s="338">
        <v>0.86647212137009788</v>
      </c>
      <c r="AH693" s="235"/>
      <c r="AI693" s="208">
        <f t="shared" si="74"/>
        <v>5184596.379781167</v>
      </c>
      <c r="AJ693" s="208">
        <f t="shared" si="75"/>
        <v>4384700.245463877</v>
      </c>
      <c r="AK693" s="208">
        <f t="shared" si="76"/>
        <v>799896.13431728981</v>
      </c>
      <c r="AL693" s="235"/>
      <c r="AM693" s="52">
        <f t="shared" si="58"/>
        <v>1</v>
      </c>
      <c r="AN693" s="52">
        <f t="shared" si="59"/>
        <v>0</v>
      </c>
      <c r="AO693" s="52">
        <f t="shared" si="60"/>
        <v>1</v>
      </c>
      <c r="AP693" s="235"/>
      <c r="AQ693" s="28"/>
      <c r="AR693" s="28"/>
      <c r="AS693" s="28"/>
      <c r="AT693" s="28"/>
      <c r="AU693" s="235"/>
      <c r="AV693" s="360">
        <f t="shared" si="77"/>
        <v>5184596.379781167</v>
      </c>
      <c r="AW693" s="235"/>
      <c r="AX693" s="355"/>
      <c r="AY693" s="344"/>
      <c r="AZ693" s="14">
        <f t="shared" si="79"/>
        <v>23252.38098430325</v>
      </c>
      <c r="BA693" s="14">
        <f t="shared" si="78"/>
        <v>0.86647212137009788</v>
      </c>
      <c r="BB693" s="14">
        <f t="shared" si="61"/>
        <v>26835.694318168855</v>
      </c>
      <c r="BC693" s="344"/>
      <c r="BD693" s="344"/>
      <c r="BE693" s="344"/>
      <c r="BF693" s="344"/>
      <c r="BG693" s="344"/>
      <c r="BH693" s="344"/>
      <c r="BI693" s="344"/>
      <c r="BJ693" s="344"/>
      <c r="BK693" s="344"/>
      <c r="BL693" s="344"/>
      <c r="BM693" s="344"/>
      <c r="BN693" s="344"/>
      <c r="BO693" s="344"/>
      <c r="BP693" s="344"/>
      <c r="BQ693" s="344"/>
      <c r="BR693" s="344"/>
      <c r="BS693" s="344"/>
      <c r="BT693" s="344"/>
      <c r="BU693" s="344"/>
      <c r="BV693" s="344"/>
      <c r="BW693" s="344"/>
      <c r="BX693" s="344"/>
      <c r="BY693" s="344"/>
      <c r="BZ693" s="344"/>
      <c r="CA693" s="344"/>
      <c r="CB693" s="28"/>
      <c r="CC693" s="28"/>
      <c r="CD693" s="28"/>
      <c r="CE693" s="28"/>
      <c r="CF693" s="28"/>
      <c r="CG693" s="28"/>
      <c r="CH693" s="28"/>
      <c r="CI693" s="28"/>
      <c r="CJ693" s="28"/>
      <c r="CK693" s="28"/>
      <c r="CL693" s="28"/>
      <c r="CM693" s="28"/>
      <c r="CN693" s="28"/>
      <c r="CO693" s="28"/>
      <c r="CP693" s="28"/>
      <c r="CQ693" s="28"/>
      <c r="CR693" s="28"/>
      <c r="CS693" s="28"/>
      <c r="CT693" s="28"/>
      <c r="CU693" s="28"/>
      <c r="CV693" s="28"/>
      <c r="CW693" s="28"/>
    </row>
    <row r="694" spans="1:101" ht="14.25" customHeight="1" x14ac:dyDescent="0.2">
      <c r="A694" s="328"/>
      <c r="B694" s="52">
        <v>0.18511892574468014</v>
      </c>
      <c r="C694" s="330">
        <v>0.65311413403369112</v>
      </c>
      <c r="D694" s="330">
        <v>1.0221979889407437E-2</v>
      </c>
      <c r="E694" s="330">
        <v>1.3955443439136678E-2</v>
      </c>
      <c r="F694" s="331">
        <v>0.75904765480861169</v>
      </c>
      <c r="G694" s="94">
        <v>0.38943496746054285</v>
      </c>
      <c r="H694" s="330">
        <v>0.15049923661479975</v>
      </c>
      <c r="I694" s="330">
        <v>2.1952772304370205E-2</v>
      </c>
      <c r="J694" s="330">
        <v>0.99999987329318052</v>
      </c>
      <c r="K694" s="330">
        <v>0.81701164888651978</v>
      </c>
      <c r="L694" s="332">
        <v>9146.2505726934869</v>
      </c>
      <c r="M694" s="330">
        <v>0</v>
      </c>
      <c r="N694" s="330">
        <v>18737.872054043055</v>
      </c>
      <c r="O694" s="330">
        <v>1104.1626191677312</v>
      </c>
      <c r="P694" s="330">
        <v>48840.241648193973</v>
      </c>
      <c r="Q694" s="333">
        <v>92145.96910285209</v>
      </c>
      <c r="R694" s="330">
        <v>24360.630611920995</v>
      </c>
      <c r="S694" s="330">
        <v>10673.50790042478</v>
      </c>
      <c r="T694" s="332">
        <v>0.95523149645464434</v>
      </c>
      <c r="U694" s="330">
        <v>0.61599632131211257</v>
      </c>
      <c r="V694" s="330">
        <v>0.51909541267608694</v>
      </c>
      <c r="W694" s="330">
        <v>0.95977093445763906</v>
      </c>
      <c r="X694" s="330">
        <v>0.65282831954708409</v>
      </c>
      <c r="Y694" s="330">
        <v>0</v>
      </c>
      <c r="Z694" s="331">
        <v>0</v>
      </c>
      <c r="AA694" s="235"/>
      <c r="AB694" s="335">
        <v>99413.323837777003</v>
      </c>
      <c r="AC694" s="336">
        <v>3.0804376659946309</v>
      </c>
      <c r="AD694" s="337">
        <v>96908.371283648987</v>
      </c>
      <c r="AE694" s="336">
        <v>3.3174837727022233</v>
      </c>
      <c r="AF694" s="337">
        <v>2504.9525541280163</v>
      </c>
      <c r="AG694" s="338">
        <v>-0.23704610670759241</v>
      </c>
      <c r="AH694" s="235"/>
      <c r="AI694" s="208">
        <f t="shared" si="74"/>
        <v>2827002.4588571223</v>
      </c>
      <c r="AJ694" s="208">
        <f t="shared" si="75"/>
        <v>3054701.2127834633</v>
      </c>
      <c r="AK694" s="208">
        <f t="shared" si="76"/>
        <v>-227698.75392634081</v>
      </c>
      <c r="AL694" s="235"/>
      <c r="AM694" s="52">
        <f t="shared" si="58"/>
        <v>0</v>
      </c>
      <c r="AN694" s="52">
        <f t="shared" si="59"/>
        <v>1</v>
      </c>
      <c r="AO694" s="52">
        <f t="shared" si="60"/>
        <v>0</v>
      </c>
      <c r="AP694" s="235"/>
      <c r="AQ694" s="28"/>
      <c r="AR694" s="28"/>
      <c r="AS694" s="28"/>
      <c r="AT694" s="28"/>
      <c r="AU694" s="235"/>
      <c r="AV694" s="360">
        <f t="shared" si="77"/>
        <v>3054701.2127834633</v>
      </c>
      <c r="AW694" s="235"/>
      <c r="AX694" s="355"/>
      <c r="AY694" s="344"/>
      <c r="AZ694" s="14">
        <f t="shared" si="79"/>
        <v>2504.9525541280163</v>
      </c>
      <c r="BA694" s="14">
        <f t="shared" si="78"/>
        <v>-0.23704610670759241</v>
      </c>
      <c r="BB694" s="14">
        <f t="shared" si="61"/>
        <v>-10567.364252128358</v>
      </c>
      <c r="BC694" s="344"/>
      <c r="BD694" s="344"/>
      <c r="BE694" s="344"/>
      <c r="BF694" s="344"/>
      <c r="BG694" s="344"/>
      <c r="BH694" s="344"/>
      <c r="BI694" s="344"/>
      <c r="BJ694" s="344"/>
      <c r="BK694" s="344"/>
      <c r="BL694" s="344"/>
      <c r="BM694" s="344"/>
      <c r="BN694" s="344"/>
      <c r="BO694" s="344"/>
      <c r="BP694" s="344"/>
      <c r="BQ694" s="344"/>
      <c r="BR694" s="344"/>
      <c r="BS694" s="344"/>
      <c r="BT694" s="344"/>
      <c r="BU694" s="344"/>
      <c r="BV694" s="344"/>
      <c r="BW694" s="344"/>
      <c r="BX694" s="344"/>
      <c r="BY694" s="344"/>
      <c r="BZ694" s="344"/>
      <c r="CA694" s="344"/>
      <c r="CB694" s="28"/>
      <c r="CC694" s="28"/>
      <c r="CD694" s="28"/>
      <c r="CE694" s="28"/>
      <c r="CF694" s="28"/>
      <c r="CG694" s="28"/>
      <c r="CH694" s="28"/>
      <c r="CI694" s="28"/>
      <c r="CJ694" s="28"/>
      <c r="CK694" s="28"/>
      <c r="CL694" s="28"/>
      <c r="CM694" s="28"/>
      <c r="CN694" s="28"/>
      <c r="CO694" s="28"/>
      <c r="CP694" s="28"/>
      <c r="CQ694" s="28"/>
      <c r="CR694" s="28"/>
      <c r="CS694" s="28"/>
      <c r="CT694" s="28"/>
      <c r="CU694" s="28"/>
      <c r="CV694" s="28"/>
      <c r="CW694" s="28"/>
    </row>
    <row r="695" spans="1:101" ht="14.25" customHeight="1" x14ac:dyDescent="0.2">
      <c r="A695" s="328"/>
      <c r="B695" s="52">
        <v>0.18588693476631657</v>
      </c>
      <c r="C695" s="330">
        <v>0.75320028289788499</v>
      </c>
      <c r="D695" s="330">
        <v>5.5983851417787103E-3</v>
      </c>
      <c r="E695" s="330">
        <v>1.5193987046991153E-2</v>
      </c>
      <c r="F695" s="331">
        <v>0.76575681733057133</v>
      </c>
      <c r="G695" s="94">
        <v>0.41956988459836797</v>
      </c>
      <c r="H695" s="330">
        <v>0.94324019914057211</v>
      </c>
      <c r="I695" s="330">
        <v>1.2683716620057257E-2</v>
      </c>
      <c r="J695" s="330">
        <v>3.6232575175317199E-6</v>
      </c>
      <c r="K695" s="330">
        <v>0.74081992837687105</v>
      </c>
      <c r="L695" s="332">
        <v>15117.35908900464</v>
      </c>
      <c r="M695" s="330">
        <v>0</v>
      </c>
      <c r="N695" s="330">
        <v>20498.732890011448</v>
      </c>
      <c r="O695" s="330">
        <v>1015.2354429712184</v>
      </c>
      <c r="P695" s="330">
        <v>62635.989641544002</v>
      </c>
      <c r="Q695" s="333">
        <v>70487.267334639721</v>
      </c>
      <c r="R695" s="330">
        <v>24742.979670000954</v>
      </c>
      <c r="S695" s="330">
        <v>7362.1310381753137</v>
      </c>
      <c r="T695" s="332">
        <v>0.93628091175045458</v>
      </c>
      <c r="U695" s="330">
        <v>0.99991033795123263</v>
      </c>
      <c r="V695" s="330">
        <v>0.87055283847531428</v>
      </c>
      <c r="W695" s="330">
        <v>0.78215730517569249</v>
      </c>
      <c r="X695" s="330">
        <v>0.87806095567587283</v>
      </c>
      <c r="Y695" s="330">
        <v>0</v>
      </c>
      <c r="Z695" s="331">
        <v>0</v>
      </c>
      <c r="AA695" s="235"/>
      <c r="AB695" s="335">
        <v>79343.424452475432</v>
      </c>
      <c r="AC695" s="336">
        <v>4.4258389819414852</v>
      </c>
      <c r="AD695" s="337">
        <v>69096.494271101299</v>
      </c>
      <c r="AE695" s="336">
        <v>4.1600375291489025</v>
      </c>
      <c r="AF695" s="337">
        <v>10246.930181374133</v>
      </c>
      <c r="AG695" s="338">
        <v>0.26580145279258272</v>
      </c>
      <c r="AH695" s="235"/>
      <c r="AI695" s="208">
        <f t="shared" si="74"/>
        <v>4125203.6083919359</v>
      </c>
      <c r="AJ695" s="208">
        <f t="shared" si="75"/>
        <v>3882939.158420356</v>
      </c>
      <c r="AK695" s="208">
        <f t="shared" si="76"/>
        <v>242264.44997157945</v>
      </c>
      <c r="AL695" s="235"/>
      <c r="AM695" s="52">
        <f t="shared" si="58"/>
        <v>1</v>
      </c>
      <c r="AN695" s="52">
        <f t="shared" si="59"/>
        <v>0</v>
      </c>
      <c r="AO695" s="52">
        <f t="shared" si="60"/>
        <v>1</v>
      </c>
      <c r="AP695" s="235"/>
      <c r="AQ695" s="28"/>
      <c r="AR695" s="28"/>
      <c r="AS695" s="28"/>
      <c r="AT695" s="28"/>
      <c r="AU695" s="235"/>
      <c r="AV695" s="360">
        <f t="shared" si="77"/>
        <v>4125203.6083919359</v>
      </c>
      <c r="AW695" s="235"/>
      <c r="AX695" s="355"/>
      <c r="AY695" s="344"/>
      <c r="AZ695" s="14">
        <f t="shared" si="79"/>
        <v>10246.930181374133</v>
      </c>
      <c r="BA695" s="14">
        <f t="shared" si="78"/>
        <v>0.26580145279258272</v>
      </c>
      <c r="BB695" s="14">
        <f t="shared" si="61"/>
        <v>38551.069129672105</v>
      </c>
      <c r="BC695" s="344"/>
      <c r="BD695" s="344"/>
      <c r="BE695" s="344"/>
      <c r="BF695" s="344"/>
      <c r="BG695" s="344"/>
      <c r="BH695" s="344"/>
      <c r="BI695" s="344"/>
      <c r="BJ695" s="344"/>
      <c r="BK695" s="344"/>
      <c r="BL695" s="344"/>
      <c r="BM695" s="344"/>
      <c r="BN695" s="344"/>
      <c r="BO695" s="344"/>
      <c r="BP695" s="344"/>
      <c r="BQ695" s="344"/>
      <c r="BR695" s="344"/>
      <c r="BS695" s="344"/>
      <c r="BT695" s="344"/>
      <c r="BU695" s="344"/>
      <c r="BV695" s="344"/>
      <c r="BW695" s="344"/>
      <c r="BX695" s="344"/>
      <c r="BY695" s="344"/>
      <c r="BZ695" s="344"/>
      <c r="CA695" s="344"/>
      <c r="CB695" s="28"/>
      <c r="CC695" s="28"/>
      <c r="CD695" s="28"/>
      <c r="CE695" s="28"/>
      <c r="CF695" s="28"/>
      <c r="CG695" s="28"/>
      <c r="CH695" s="28"/>
      <c r="CI695" s="28"/>
      <c r="CJ695" s="28"/>
      <c r="CK695" s="28"/>
      <c r="CL695" s="28"/>
      <c r="CM695" s="28"/>
      <c r="CN695" s="28"/>
      <c r="CO695" s="28"/>
      <c r="CP695" s="28"/>
      <c r="CQ695" s="28"/>
      <c r="CR695" s="28"/>
      <c r="CS695" s="28"/>
      <c r="CT695" s="28"/>
      <c r="CU695" s="28"/>
      <c r="CV695" s="28"/>
      <c r="CW695" s="28"/>
    </row>
    <row r="696" spans="1:101" ht="14.25" customHeight="1" x14ac:dyDescent="0.2">
      <c r="A696" s="328"/>
      <c r="B696" s="52">
        <v>0.13907126466481992</v>
      </c>
      <c r="C696" s="330">
        <v>6.2919467293988895E-2</v>
      </c>
      <c r="D696" s="330">
        <v>1.519148084016464E-2</v>
      </c>
      <c r="E696" s="330">
        <v>1.1111042227345297E-2</v>
      </c>
      <c r="F696" s="331">
        <v>0.7939130960256473</v>
      </c>
      <c r="G696" s="94">
        <v>0.35696446710335444</v>
      </c>
      <c r="H696" s="330">
        <v>0.14321928935262723</v>
      </c>
      <c r="I696" s="330">
        <v>2.7180731206892794E-2</v>
      </c>
      <c r="J696" s="330">
        <v>0.9963405018817183</v>
      </c>
      <c r="K696" s="330">
        <v>0.75773074111969574</v>
      </c>
      <c r="L696" s="332">
        <v>9637.3349859654227</v>
      </c>
      <c r="M696" s="330">
        <v>0</v>
      </c>
      <c r="N696" s="330">
        <v>18427.241979589911</v>
      </c>
      <c r="O696" s="330">
        <v>2135.2462131311022</v>
      </c>
      <c r="P696" s="330">
        <v>47103.784427865474</v>
      </c>
      <c r="Q696" s="333">
        <v>58783.484701748712</v>
      </c>
      <c r="R696" s="330">
        <v>24946.389411180375</v>
      </c>
      <c r="S696" s="330">
        <v>6843.5385567648118</v>
      </c>
      <c r="T696" s="332">
        <v>0.99975861018186807</v>
      </c>
      <c r="U696" s="330">
        <v>0.71128302278103184</v>
      </c>
      <c r="V696" s="330">
        <v>0.9810601235874663</v>
      </c>
      <c r="W696" s="330">
        <v>0.74106732967232714</v>
      </c>
      <c r="X696" s="330">
        <v>0.93928783515422443</v>
      </c>
      <c r="Y696" s="330">
        <v>0</v>
      </c>
      <c r="Z696" s="331">
        <v>0</v>
      </c>
      <c r="AA696" s="235"/>
      <c r="AB696" s="335">
        <v>68582.960808728734</v>
      </c>
      <c r="AC696" s="336">
        <v>4.6994119827556675</v>
      </c>
      <c r="AD696" s="337">
        <v>58869.415458737516</v>
      </c>
      <c r="AE696" s="336">
        <v>4.3232804276645496</v>
      </c>
      <c r="AF696" s="337">
        <v>9713.5453499912182</v>
      </c>
      <c r="AG696" s="338">
        <v>0.37613155509111795</v>
      </c>
      <c r="AH696" s="235"/>
      <c r="AI696" s="208">
        <f t="shared" si="74"/>
        <v>4395858.4228091557</v>
      </c>
      <c r="AJ696" s="208">
        <f t="shared" si="75"/>
        <v>4048246.9908225848</v>
      </c>
      <c r="AK696" s="208">
        <f t="shared" si="76"/>
        <v>347611.43198657082</v>
      </c>
      <c r="AL696" s="235"/>
      <c r="AM696" s="52">
        <f t="shared" si="58"/>
        <v>1</v>
      </c>
      <c r="AN696" s="52">
        <f t="shared" si="59"/>
        <v>0</v>
      </c>
      <c r="AO696" s="52">
        <f t="shared" si="60"/>
        <v>1</v>
      </c>
      <c r="AP696" s="235"/>
      <c r="AQ696" s="28"/>
      <c r="AR696" s="28"/>
      <c r="AS696" s="28"/>
      <c r="AT696" s="28"/>
      <c r="AU696" s="235"/>
      <c r="AV696" s="360">
        <f t="shared" si="77"/>
        <v>4395858.4228091557</v>
      </c>
      <c r="AW696" s="235"/>
      <c r="AX696" s="355"/>
      <c r="AY696" s="344"/>
      <c r="AZ696" s="14">
        <f t="shared" si="79"/>
        <v>9713.5453499912182</v>
      </c>
      <c r="BA696" s="14">
        <f t="shared" si="78"/>
        <v>0.37613155509111795</v>
      </c>
      <c r="BB696" s="14">
        <f t="shared" si="61"/>
        <v>25824.861590349978</v>
      </c>
      <c r="BC696" s="344"/>
      <c r="BD696" s="344"/>
      <c r="BE696" s="344"/>
      <c r="BF696" s="344"/>
      <c r="BG696" s="344"/>
      <c r="BH696" s="344"/>
      <c r="BI696" s="344"/>
      <c r="BJ696" s="344"/>
      <c r="BK696" s="344"/>
      <c r="BL696" s="344"/>
      <c r="BM696" s="344"/>
      <c r="BN696" s="344"/>
      <c r="BO696" s="344"/>
      <c r="BP696" s="344"/>
      <c r="BQ696" s="344"/>
      <c r="BR696" s="344"/>
      <c r="BS696" s="344"/>
      <c r="BT696" s="344"/>
      <c r="BU696" s="344"/>
      <c r="BV696" s="344"/>
      <c r="BW696" s="344"/>
      <c r="BX696" s="344"/>
      <c r="BY696" s="344"/>
      <c r="BZ696" s="344"/>
      <c r="CA696" s="344"/>
      <c r="CB696" s="28"/>
      <c r="CC696" s="28"/>
      <c r="CD696" s="28"/>
      <c r="CE696" s="28"/>
      <c r="CF696" s="28"/>
      <c r="CG696" s="28"/>
      <c r="CH696" s="28"/>
      <c r="CI696" s="28"/>
      <c r="CJ696" s="28"/>
      <c r="CK696" s="28"/>
      <c r="CL696" s="28"/>
      <c r="CM696" s="28"/>
      <c r="CN696" s="28"/>
      <c r="CO696" s="28"/>
      <c r="CP696" s="28"/>
      <c r="CQ696" s="28"/>
      <c r="CR696" s="28"/>
      <c r="CS696" s="28"/>
      <c r="CT696" s="28"/>
      <c r="CU696" s="28"/>
      <c r="CV696" s="28"/>
      <c r="CW696" s="28"/>
    </row>
    <row r="697" spans="1:101" ht="14.25" customHeight="1" x14ac:dyDescent="0.2">
      <c r="A697" s="328"/>
      <c r="B697" s="52">
        <v>0.17723337241655079</v>
      </c>
      <c r="C697" s="330">
        <v>0.60441584734342113</v>
      </c>
      <c r="D697" s="330">
        <v>1.6208672719360773E-2</v>
      </c>
      <c r="E697" s="330">
        <v>1.7743125869916665E-2</v>
      </c>
      <c r="F697" s="331">
        <v>0.78992631524403378</v>
      </c>
      <c r="G697" s="94">
        <v>0.41477365295171331</v>
      </c>
      <c r="H697" s="330">
        <v>0.96195750499763633</v>
      </c>
      <c r="I697" s="330">
        <v>5.6330586410927475E-2</v>
      </c>
      <c r="J697" s="330">
        <v>0.99999998416711511</v>
      </c>
      <c r="K697" s="330">
        <v>0.762488453246572</v>
      </c>
      <c r="L697" s="332">
        <v>10069.494167181263</v>
      </c>
      <c r="M697" s="330">
        <v>0</v>
      </c>
      <c r="N697" s="330">
        <v>22563.971145053201</v>
      </c>
      <c r="O697" s="330">
        <v>1249.0619937786491</v>
      </c>
      <c r="P697" s="330">
        <v>32323.059603278751</v>
      </c>
      <c r="Q697" s="333">
        <v>60012.537439731081</v>
      </c>
      <c r="R697" s="330">
        <v>23043.440538393988</v>
      </c>
      <c r="S697" s="330">
        <v>11254.901423341027</v>
      </c>
      <c r="T697" s="332">
        <v>0.79026888831849507</v>
      </c>
      <c r="U697" s="330">
        <v>0.99997074487032278</v>
      </c>
      <c r="V697" s="330">
        <v>0.99613249809957094</v>
      </c>
      <c r="W697" s="330">
        <v>0.27694066931265726</v>
      </c>
      <c r="X697" s="330">
        <v>0.57688212930416627</v>
      </c>
      <c r="Y697" s="330">
        <v>0</v>
      </c>
      <c r="Z697" s="331">
        <v>0</v>
      </c>
      <c r="AA697" s="235"/>
      <c r="AB697" s="335">
        <v>108341.01202212935</v>
      </c>
      <c r="AC697" s="336">
        <v>2.8465588408410789</v>
      </c>
      <c r="AD697" s="337">
        <v>104296.90686100181</v>
      </c>
      <c r="AE697" s="336">
        <v>3.0795109469068245</v>
      </c>
      <c r="AF697" s="337">
        <v>4044.1051611275325</v>
      </c>
      <c r="AG697" s="338">
        <v>-0.23295210606574557</v>
      </c>
      <c r="AH697" s="235"/>
      <c r="AI697" s="208">
        <f t="shared" si="74"/>
        <v>2595889.8867768957</v>
      </c>
      <c r="AJ697" s="208">
        <f t="shared" si="75"/>
        <v>2821238.4927004818</v>
      </c>
      <c r="AK697" s="208">
        <f t="shared" si="76"/>
        <v>-225348.60592358583</v>
      </c>
      <c r="AL697" s="235"/>
      <c r="AM697" s="52">
        <f t="shared" si="58"/>
        <v>0</v>
      </c>
      <c r="AN697" s="52">
        <f t="shared" si="59"/>
        <v>1</v>
      </c>
      <c r="AO697" s="52">
        <f t="shared" si="60"/>
        <v>0</v>
      </c>
      <c r="AP697" s="235"/>
      <c r="AQ697" s="28"/>
      <c r="AR697" s="28"/>
      <c r="AS697" s="28"/>
      <c r="AT697" s="28"/>
      <c r="AU697" s="235"/>
      <c r="AV697" s="360">
        <f t="shared" si="77"/>
        <v>2821238.4927004818</v>
      </c>
      <c r="AW697" s="235"/>
      <c r="AX697" s="355"/>
      <c r="AY697" s="344"/>
      <c r="AZ697" s="14">
        <f t="shared" si="79"/>
        <v>4044.1051611275325</v>
      </c>
      <c r="BA697" s="14">
        <f t="shared" si="78"/>
        <v>-0.23295210606574557</v>
      </c>
      <c r="BB697" s="14">
        <f t="shared" si="61"/>
        <v>-17360.242967651786</v>
      </c>
      <c r="BC697" s="344"/>
      <c r="BD697" s="344"/>
      <c r="BE697" s="344"/>
      <c r="BF697" s="344"/>
      <c r="BG697" s="344"/>
      <c r="BH697" s="344"/>
      <c r="BI697" s="344"/>
      <c r="BJ697" s="344"/>
      <c r="BK697" s="344"/>
      <c r="BL697" s="344"/>
      <c r="BM697" s="344"/>
      <c r="BN697" s="344"/>
      <c r="BO697" s="344"/>
      <c r="BP697" s="344"/>
      <c r="BQ697" s="344"/>
      <c r="BR697" s="344"/>
      <c r="BS697" s="344"/>
      <c r="BT697" s="344"/>
      <c r="BU697" s="344"/>
      <c r="BV697" s="344"/>
      <c r="BW697" s="344"/>
      <c r="BX697" s="344"/>
      <c r="BY697" s="344"/>
      <c r="BZ697" s="344"/>
      <c r="CA697" s="344"/>
      <c r="CB697" s="28"/>
      <c r="CC697" s="28"/>
      <c r="CD697" s="28"/>
      <c r="CE697" s="28"/>
      <c r="CF697" s="28"/>
      <c r="CG697" s="28"/>
      <c r="CH697" s="28"/>
      <c r="CI697" s="28"/>
      <c r="CJ697" s="28"/>
      <c r="CK697" s="28"/>
      <c r="CL697" s="28"/>
      <c r="CM697" s="28"/>
      <c r="CN697" s="28"/>
      <c r="CO697" s="28"/>
      <c r="CP697" s="28"/>
      <c r="CQ697" s="28"/>
      <c r="CR697" s="28"/>
      <c r="CS697" s="28"/>
      <c r="CT697" s="28"/>
      <c r="CU697" s="28"/>
      <c r="CV697" s="28"/>
      <c r="CW697" s="28"/>
    </row>
    <row r="698" spans="1:101" ht="14.25" customHeight="1" x14ac:dyDescent="0.2">
      <c r="A698" s="328"/>
      <c r="B698" s="52">
        <v>0.15865064211754518</v>
      </c>
      <c r="C698" s="330">
        <v>4.7371161828243864E-2</v>
      </c>
      <c r="D698" s="330">
        <v>8.8012878972756614E-3</v>
      </c>
      <c r="E698" s="330">
        <v>1.2616308271701246E-2</v>
      </c>
      <c r="F698" s="331">
        <v>0.79964603235617782</v>
      </c>
      <c r="G698" s="94">
        <v>0.42987808732536759</v>
      </c>
      <c r="H698" s="330">
        <v>0.71635605132871749</v>
      </c>
      <c r="I698" s="330">
        <v>1.8234616867371156E-2</v>
      </c>
      <c r="J698" s="330">
        <v>0.87424592179965577</v>
      </c>
      <c r="K698" s="330">
        <v>0.79454931259807737</v>
      </c>
      <c r="L698" s="332">
        <v>12561.199263625213</v>
      </c>
      <c r="M698" s="330">
        <v>0</v>
      </c>
      <c r="N698" s="330">
        <v>17763.389573177086</v>
      </c>
      <c r="O698" s="330">
        <v>1300.4650882854826</v>
      </c>
      <c r="P698" s="330">
        <v>60450.035594993351</v>
      </c>
      <c r="Q698" s="333">
        <v>114285.50906669923</v>
      </c>
      <c r="R698" s="330">
        <v>29743.854137699949</v>
      </c>
      <c r="S698" s="330">
        <v>9674.8963812584552</v>
      </c>
      <c r="T698" s="332">
        <v>0.66001087316391494</v>
      </c>
      <c r="U698" s="330">
        <v>0.95207140367258636</v>
      </c>
      <c r="V698" s="330">
        <v>0.60805181910216843</v>
      </c>
      <c r="W698" s="330">
        <v>0.8752064240231614</v>
      </c>
      <c r="X698" s="330">
        <v>0.98809189928732555</v>
      </c>
      <c r="Y698" s="330">
        <v>0</v>
      </c>
      <c r="Z698" s="331">
        <v>0</v>
      </c>
      <c r="AA698" s="235"/>
      <c r="AB698" s="335">
        <v>96174.106230302059</v>
      </c>
      <c r="AC698" s="336">
        <v>4.9249996325535355</v>
      </c>
      <c r="AD698" s="337">
        <v>93487.326803238087</v>
      </c>
      <c r="AE698" s="336">
        <v>5.1131856204167327</v>
      </c>
      <c r="AF698" s="337">
        <v>2686.7794270639715</v>
      </c>
      <c r="AG698" s="338">
        <v>-0.18818598786319729</v>
      </c>
      <c r="AH698" s="235"/>
      <c r="AI698" s="208">
        <f t="shared" si="74"/>
        <v>4582575.5446955571</v>
      </c>
      <c r="AJ698" s="208">
        <f t="shared" si="75"/>
        <v>4764039.0125926584</v>
      </c>
      <c r="AK698" s="208">
        <f t="shared" si="76"/>
        <v>-181463.46789710139</v>
      </c>
      <c r="AL698" s="235"/>
      <c r="AM698" s="52">
        <f t="shared" si="58"/>
        <v>0</v>
      </c>
      <c r="AN698" s="52">
        <f t="shared" si="59"/>
        <v>1</v>
      </c>
      <c r="AO698" s="52">
        <f t="shared" si="60"/>
        <v>0</v>
      </c>
      <c r="AP698" s="235"/>
      <c r="AQ698" s="28"/>
      <c r="AR698" s="28"/>
      <c r="AS698" s="28"/>
      <c r="AT698" s="28"/>
      <c r="AU698" s="235"/>
      <c r="AV698" s="360">
        <f t="shared" si="77"/>
        <v>4764039.0125926584</v>
      </c>
      <c r="AW698" s="235"/>
      <c r="AX698" s="355"/>
      <c r="AY698" s="344"/>
      <c r="AZ698" s="14">
        <f t="shared" si="79"/>
        <v>2686.7794270639715</v>
      </c>
      <c r="BA698" s="14">
        <f t="shared" si="78"/>
        <v>-0.18818598786319729</v>
      </c>
      <c r="BB698" s="14">
        <f t="shared" si="61"/>
        <v>-14277.255483108225</v>
      </c>
      <c r="BC698" s="344"/>
      <c r="BD698" s="344"/>
      <c r="BE698" s="344"/>
      <c r="BF698" s="344"/>
      <c r="BG698" s="344"/>
      <c r="BH698" s="344"/>
      <c r="BI698" s="344"/>
      <c r="BJ698" s="344"/>
      <c r="BK698" s="344"/>
      <c r="BL698" s="344"/>
      <c r="BM698" s="344"/>
      <c r="BN698" s="344"/>
      <c r="BO698" s="344"/>
      <c r="BP698" s="344"/>
      <c r="BQ698" s="344"/>
      <c r="BR698" s="344"/>
      <c r="BS698" s="344"/>
      <c r="BT698" s="344"/>
      <c r="BU698" s="344"/>
      <c r="BV698" s="344"/>
      <c r="BW698" s="344"/>
      <c r="BX698" s="344"/>
      <c r="BY698" s="344"/>
      <c r="BZ698" s="344"/>
      <c r="CA698" s="344"/>
      <c r="CB698" s="28"/>
      <c r="CC698" s="28"/>
      <c r="CD698" s="28"/>
      <c r="CE698" s="28"/>
      <c r="CF698" s="28"/>
      <c r="CG698" s="28"/>
      <c r="CH698" s="28"/>
      <c r="CI698" s="28"/>
      <c r="CJ698" s="28"/>
      <c r="CK698" s="28"/>
      <c r="CL698" s="28"/>
      <c r="CM698" s="28"/>
      <c r="CN698" s="28"/>
      <c r="CO698" s="28"/>
      <c r="CP698" s="28"/>
      <c r="CQ698" s="28"/>
      <c r="CR698" s="28"/>
      <c r="CS698" s="28"/>
      <c r="CT698" s="28"/>
      <c r="CU698" s="28"/>
      <c r="CV698" s="28"/>
      <c r="CW698" s="28"/>
    </row>
    <row r="699" spans="1:101" ht="14.25" customHeight="1" x14ac:dyDescent="0.2">
      <c r="A699" s="328"/>
      <c r="B699" s="52">
        <v>0.11848679531700311</v>
      </c>
      <c r="C699" s="330">
        <v>0.21352403809066814</v>
      </c>
      <c r="D699" s="330">
        <v>8.5911229942519634E-3</v>
      </c>
      <c r="E699" s="330">
        <v>1.5085882731515121E-2</v>
      </c>
      <c r="F699" s="331">
        <v>0.80297969718848039</v>
      </c>
      <c r="G699" s="94">
        <v>0.3824612890625963</v>
      </c>
      <c r="H699" s="330">
        <v>4.9800254886157832E-3</v>
      </c>
      <c r="I699" s="330">
        <v>9.0359543699343615E-3</v>
      </c>
      <c r="J699" s="330">
        <v>0.99999998403292656</v>
      </c>
      <c r="K699" s="330">
        <v>0.70792348894408841</v>
      </c>
      <c r="L699" s="332">
        <v>12940.627823595396</v>
      </c>
      <c r="M699" s="330">
        <v>0</v>
      </c>
      <c r="N699" s="330">
        <v>17604.321952794802</v>
      </c>
      <c r="O699" s="330">
        <v>1362.9980603663248</v>
      </c>
      <c r="P699" s="330">
        <v>38628.070093347844</v>
      </c>
      <c r="Q699" s="333">
        <v>87567.162682153386</v>
      </c>
      <c r="R699" s="330">
        <v>33039.20964855358</v>
      </c>
      <c r="S699" s="330">
        <v>9733.2340128953201</v>
      </c>
      <c r="T699" s="332">
        <v>0.39282300240978768</v>
      </c>
      <c r="U699" s="330">
        <v>0.76100423257164462</v>
      </c>
      <c r="V699" s="330">
        <v>0.27234339861651252</v>
      </c>
      <c r="W699" s="330">
        <v>0.99252784608054523</v>
      </c>
      <c r="X699" s="330">
        <v>0.15758281775731761</v>
      </c>
      <c r="Y699" s="330">
        <v>0</v>
      </c>
      <c r="Z699" s="331">
        <v>0</v>
      </c>
      <c r="AA699" s="235"/>
      <c r="AB699" s="335">
        <v>97898.907293921991</v>
      </c>
      <c r="AC699" s="336">
        <v>0.77254944526034297</v>
      </c>
      <c r="AD699" s="337">
        <v>75047.306372094536</v>
      </c>
      <c r="AE699" s="336">
        <v>0.82557329074381836</v>
      </c>
      <c r="AF699" s="337">
        <v>22851.600921827456</v>
      </c>
      <c r="AG699" s="338">
        <v>-5.3023845483475385E-2</v>
      </c>
      <c r="AH699" s="235"/>
      <c r="AI699" s="208">
        <f t="shared" si="74"/>
        <v>636023.06570340379</v>
      </c>
      <c r="AJ699" s="208">
        <f t="shared" si="75"/>
        <v>709247.31983453291</v>
      </c>
      <c r="AK699" s="208">
        <f t="shared" si="76"/>
        <v>-73224.25413112907</v>
      </c>
      <c r="AL699" s="235"/>
      <c r="AM699" s="52">
        <f t="shared" si="58"/>
        <v>0</v>
      </c>
      <c r="AN699" s="52">
        <f t="shared" si="59"/>
        <v>1</v>
      </c>
      <c r="AO699" s="52">
        <f t="shared" si="60"/>
        <v>0</v>
      </c>
      <c r="AP699" s="235"/>
      <c r="AQ699" s="28"/>
      <c r="AR699" s="28"/>
      <c r="AS699" s="28"/>
      <c r="AT699" s="28"/>
      <c r="AU699" s="235"/>
      <c r="AV699" s="360">
        <f t="shared" si="77"/>
        <v>709247.31983453291</v>
      </c>
      <c r="AW699" s="235"/>
      <c r="AX699" s="355"/>
      <c r="AY699" s="344"/>
      <c r="AZ699" s="14">
        <f t="shared" si="79"/>
        <v>22851.600921827456</v>
      </c>
      <c r="BA699" s="14">
        <f t="shared" si="78"/>
        <v>-5.3023845483475385E-2</v>
      </c>
      <c r="BB699" s="14">
        <f t="shared" si="61"/>
        <v>-430968.38249781495</v>
      </c>
      <c r="BC699" s="344"/>
      <c r="BD699" s="344"/>
      <c r="BE699" s="344"/>
      <c r="BF699" s="344"/>
      <c r="BG699" s="344"/>
      <c r="BH699" s="344"/>
      <c r="BI699" s="344"/>
      <c r="BJ699" s="344"/>
      <c r="BK699" s="344"/>
      <c r="BL699" s="344"/>
      <c r="BM699" s="344"/>
      <c r="BN699" s="344"/>
      <c r="BO699" s="344"/>
      <c r="BP699" s="344"/>
      <c r="BQ699" s="344"/>
      <c r="BR699" s="344"/>
      <c r="BS699" s="344"/>
      <c r="BT699" s="344"/>
      <c r="BU699" s="344"/>
      <c r="BV699" s="344"/>
      <c r="BW699" s="344"/>
      <c r="BX699" s="344"/>
      <c r="BY699" s="344"/>
      <c r="BZ699" s="344"/>
      <c r="CA699" s="344"/>
      <c r="CB699" s="28"/>
      <c r="CC699" s="28"/>
      <c r="CD699" s="28"/>
      <c r="CE699" s="28"/>
      <c r="CF699" s="28"/>
      <c r="CG699" s="28"/>
      <c r="CH699" s="28"/>
      <c r="CI699" s="28"/>
      <c r="CJ699" s="28"/>
      <c r="CK699" s="28"/>
      <c r="CL699" s="28"/>
      <c r="CM699" s="28"/>
      <c r="CN699" s="28"/>
      <c r="CO699" s="28"/>
      <c r="CP699" s="28"/>
      <c r="CQ699" s="28"/>
      <c r="CR699" s="28"/>
      <c r="CS699" s="28"/>
      <c r="CT699" s="28"/>
      <c r="CU699" s="28"/>
      <c r="CV699" s="28"/>
      <c r="CW699" s="28"/>
    </row>
    <row r="700" spans="1:101" ht="14.25" customHeight="1" x14ac:dyDescent="0.2">
      <c r="A700" s="328"/>
      <c r="B700" s="52">
        <v>0.17402142708482049</v>
      </c>
      <c r="C700" s="330">
        <v>0.88508218267804928</v>
      </c>
      <c r="D700" s="330">
        <v>1.5616707462228985E-2</v>
      </c>
      <c r="E700" s="330">
        <v>1.1997337515796699E-2</v>
      </c>
      <c r="F700" s="331">
        <v>0.80428562567274686</v>
      </c>
      <c r="G700" s="94">
        <v>0.37623724060854902</v>
      </c>
      <c r="H700" s="330">
        <v>0.38705332616406141</v>
      </c>
      <c r="I700" s="330">
        <v>2.900443804279138E-3</v>
      </c>
      <c r="J700" s="330">
        <v>0.99843874879276151</v>
      </c>
      <c r="K700" s="330">
        <v>0.72823876225368711</v>
      </c>
      <c r="L700" s="332">
        <v>10508.406795014113</v>
      </c>
      <c r="M700" s="330">
        <v>0</v>
      </c>
      <c r="N700" s="330">
        <v>17642.312779170516</v>
      </c>
      <c r="O700" s="330">
        <v>1192.7620970027926</v>
      </c>
      <c r="P700" s="330">
        <v>45959.849071542958</v>
      </c>
      <c r="Q700" s="333">
        <v>100516.00361621409</v>
      </c>
      <c r="R700" s="330">
        <v>23586.893585054422</v>
      </c>
      <c r="S700" s="330">
        <v>7692.5668900590099</v>
      </c>
      <c r="T700" s="332">
        <v>0.998865899882039</v>
      </c>
      <c r="U700" s="330">
        <v>0.83872889198223455</v>
      </c>
      <c r="V700" s="330">
        <v>0.91208550502382912</v>
      </c>
      <c r="W700" s="330">
        <v>0.78703528223369223</v>
      </c>
      <c r="X700" s="330">
        <v>0.74036859921023546</v>
      </c>
      <c r="Y700" s="330">
        <v>0</v>
      </c>
      <c r="Z700" s="331">
        <v>0</v>
      </c>
      <c r="AA700" s="235"/>
      <c r="AB700" s="335">
        <v>81018.496473095322</v>
      </c>
      <c r="AC700" s="336">
        <v>3.5976914145548555</v>
      </c>
      <c r="AD700" s="337">
        <v>64192.011763014991</v>
      </c>
      <c r="AE700" s="336">
        <v>3.2675572784272964</v>
      </c>
      <c r="AF700" s="337">
        <v>16826.484710080331</v>
      </c>
      <c r="AG700" s="338">
        <v>0.33013413612755915</v>
      </c>
      <c r="AH700" s="235"/>
      <c r="AI700" s="208">
        <f t="shared" si="74"/>
        <v>3336788.3473540172</v>
      </c>
      <c r="AJ700" s="208">
        <f t="shared" si="75"/>
        <v>3039987.4027429167</v>
      </c>
      <c r="AK700" s="208">
        <f t="shared" si="76"/>
        <v>296800.94461110089</v>
      </c>
      <c r="AL700" s="235"/>
      <c r="AM700" s="52">
        <f t="shared" si="58"/>
        <v>1</v>
      </c>
      <c r="AN700" s="52">
        <f t="shared" si="59"/>
        <v>0</v>
      </c>
      <c r="AO700" s="52">
        <f t="shared" si="60"/>
        <v>1</v>
      </c>
      <c r="AP700" s="235"/>
      <c r="AQ700" s="28"/>
      <c r="AR700" s="28"/>
      <c r="AS700" s="28"/>
      <c r="AT700" s="28"/>
      <c r="AU700" s="235"/>
      <c r="AV700" s="360">
        <f t="shared" si="77"/>
        <v>3336788.3473540172</v>
      </c>
      <c r="AW700" s="235"/>
      <c r="AX700" s="355"/>
      <c r="AY700" s="344"/>
      <c r="AZ700" s="14">
        <f t="shared" si="79"/>
        <v>16826.484710080331</v>
      </c>
      <c r="BA700" s="14">
        <f t="shared" si="78"/>
        <v>0.33013413612755915</v>
      </c>
      <c r="BB700" s="14">
        <f t="shared" si="61"/>
        <v>50968.630228468151</v>
      </c>
      <c r="BC700" s="344"/>
      <c r="BD700" s="344"/>
      <c r="BE700" s="344"/>
      <c r="BF700" s="344"/>
      <c r="BG700" s="344"/>
      <c r="BH700" s="344"/>
      <c r="BI700" s="344"/>
      <c r="BJ700" s="344"/>
      <c r="BK700" s="344"/>
      <c r="BL700" s="344"/>
      <c r="BM700" s="344"/>
      <c r="BN700" s="344"/>
      <c r="BO700" s="344"/>
      <c r="BP700" s="344"/>
      <c r="BQ700" s="344"/>
      <c r="BR700" s="344"/>
      <c r="BS700" s="344"/>
      <c r="BT700" s="344"/>
      <c r="BU700" s="344"/>
      <c r="BV700" s="344"/>
      <c r="BW700" s="344"/>
      <c r="BX700" s="344"/>
      <c r="BY700" s="344"/>
      <c r="BZ700" s="344"/>
      <c r="CA700" s="344"/>
      <c r="CB700" s="28"/>
      <c r="CC700" s="28"/>
      <c r="CD700" s="28"/>
      <c r="CE700" s="28"/>
      <c r="CF700" s="28"/>
      <c r="CG700" s="28"/>
      <c r="CH700" s="28"/>
      <c r="CI700" s="28"/>
      <c r="CJ700" s="28"/>
      <c r="CK700" s="28"/>
      <c r="CL700" s="28"/>
      <c r="CM700" s="28"/>
      <c r="CN700" s="28"/>
      <c r="CO700" s="28"/>
      <c r="CP700" s="28"/>
      <c r="CQ700" s="28"/>
      <c r="CR700" s="28"/>
      <c r="CS700" s="28"/>
      <c r="CT700" s="28"/>
      <c r="CU700" s="28"/>
      <c r="CV700" s="28"/>
      <c r="CW700" s="28"/>
    </row>
    <row r="701" spans="1:101" ht="14.25" customHeight="1" x14ac:dyDescent="0.2">
      <c r="A701" s="328"/>
      <c r="B701" s="52">
        <v>0.1522401578529867</v>
      </c>
      <c r="C701" s="330">
        <v>0.3437743253081682</v>
      </c>
      <c r="D701" s="330">
        <v>1.2530110027558859E-2</v>
      </c>
      <c r="E701" s="330">
        <v>1.4257025857607712E-2</v>
      </c>
      <c r="F701" s="331">
        <v>0.77819039003510404</v>
      </c>
      <c r="G701" s="94">
        <v>0.49445338402034666</v>
      </c>
      <c r="H701" s="330">
        <v>0.62569795392196226</v>
      </c>
      <c r="I701" s="330">
        <v>1.4002580763737876E-2</v>
      </c>
      <c r="J701" s="330">
        <v>0.98908248116096298</v>
      </c>
      <c r="K701" s="330">
        <v>0.75409129198114122</v>
      </c>
      <c r="L701" s="332">
        <v>11174.038658480611</v>
      </c>
      <c r="M701" s="330">
        <v>0</v>
      </c>
      <c r="N701" s="330">
        <v>17857.7487115361</v>
      </c>
      <c r="O701" s="330">
        <v>1270.3637742130709</v>
      </c>
      <c r="P701" s="330">
        <v>52177.209920698224</v>
      </c>
      <c r="Q701" s="333">
        <v>83898.663710240959</v>
      </c>
      <c r="R701" s="330">
        <v>26220.52174844933</v>
      </c>
      <c r="S701" s="330">
        <v>8396.5607502906096</v>
      </c>
      <c r="T701" s="332">
        <v>0.99999947650554044</v>
      </c>
      <c r="U701" s="330">
        <v>0.76254315592090005</v>
      </c>
      <c r="V701" s="330">
        <v>0.98317199331224259</v>
      </c>
      <c r="W701" s="330">
        <v>0.91221733542481465</v>
      </c>
      <c r="X701" s="330">
        <v>0.60226944164849472</v>
      </c>
      <c r="Y701" s="330">
        <v>0</v>
      </c>
      <c r="Z701" s="331">
        <v>0</v>
      </c>
      <c r="AA701" s="235"/>
      <c r="AB701" s="335">
        <v>83020.855484801796</v>
      </c>
      <c r="AC701" s="336">
        <v>2.8327352053699371</v>
      </c>
      <c r="AD701" s="337">
        <v>77697.228590695217</v>
      </c>
      <c r="AE701" s="336">
        <v>2.7950948843966326</v>
      </c>
      <c r="AF701" s="337">
        <v>5323.6268941065791</v>
      </c>
      <c r="AG701" s="338">
        <v>3.7640320973304497E-2</v>
      </c>
      <c r="AH701" s="235"/>
      <c r="AI701" s="208">
        <f t="shared" si="74"/>
        <v>2608077.5896166386</v>
      </c>
      <c r="AJ701" s="208">
        <f t="shared" si="75"/>
        <v>2577642.9115861058</v>
      </c>
      <c r="AK701" s="208">
        <f t="shared" si="76"/>
        <v>30434.67803053269</v>
      </c>
      <c r="AL701" s="235"/>
      <c r="AM701" s="52">
        <f t="shared" si="58"/>
        <v>1</v>
      </c>
      <c r="AN701" s="52">
        <f t="shared" si="59"/>
        <v>0</v>
      </c>
      <c r="AO701" s="52">
        <f t="shared" si="60"/>
        <v>1</v>
      </c>
      <c r="AP701" s="235"/>
      <c r="AQ701" s="28"/>
      <c r="AR701" s="28"/>
      <c r="AS701" s="28"/>
      <c r="AT701" s="28"/>
      <c r="AU701" s="235"/>
      <c r="AV701" s="360">
        <f t="shared" si="77"/>
        <v>2608077.5896166386</v>
      </c>
      <c r="AW701" s="235"/>
      <c r="AX701" s="355"/>
      <c r="AY701" s="344"/>
      <c r="AZ701" s="14">
        <f t="shared" si="79"/>
        <v>5323.6268941065791</v>
      </c>
      <c r="BA701" s="14">
        <f t="shared" si="78"/>
        <v>3.7640320973304497E-2</v>
      </c>
      <c r="BB701" s="14">
        <f t="shared" si="61"/>
        <v>141434.15243143743</v>
      </c>
      <c r="BC701" s="344"/>
      <c r="BD701" s="344"/>
      <c r="BE701" s="344"/>
      <c r="BF701" s="344"/>
      <c r="BG701" s="344"/>
      <c r="BH701" s="344"/>
      <c r="BI701" s="344"/>
      <c r="BJ701" s="344"/>
      <c r="BK701" s="344"/>
      <c r="BL701" s="344"/>
      <c r="BM701" s="344"/>
      <c r="BN701" s="344"/>
      <c r="BO701" s="344"/>
      <c r="BP701" s="344"/>
      <c r="BQ701" s="344"/>
      <c r="BR701" s="344"/>
      <c r="BS701" s="344"/>
      <c r="BT701" s="344"/>
      <c r="BU701" s="344"/>
      <c r="BV701" s="344"/>
      <c r="BW701" s="344"/>
      <c r="BX701" s="344"/>
      <c r="BY701" s="344"/>
      <c r="BZ701" s="344"/>
      <c r="CA701" s="344"/>
      <c r="CB701" s="28"/>
      <c r="CC701" s="28"/>
      <c r="CD701" s="28"/>
      <c r="CE701" s="28"/>
      <c r="CF701" s="28"/>
      <c r="CG701" s="28"/>
      <c r="CH701" s="28"/>
      <c r="CI701" s="28"/>
      <c r="CJ701" s="28"/>
      <c r="CK701" s="28"/>
      <c r="CL701" s="28"/>
      <c r="CM701" s="28"/>
      <c r="CN701" s="28"/>
      <c r="CO701" s="28"/>
      <c r="CP701" s="28"/>
      <c r="CQ701" s="28"/>
      <c r="CR701" s="28"/>
      <c r="CS701" s="28"/>
      <c r="CT701" s="28"/>
      <c r="CU701" s="28"/>
      <c r="CV701" s="28"/>
      <c r="CW701" s="28"/>
    </row>
    <row r="702" spans="1:101" ht="14.25" customHeight="1" x14ac:dyDescent="0.2">
      <c r="A702" s="328"/>
      <c r="B702" s="52">
        <v>0.15532753174584094</v>
      </c>
      <c r="C702" s="330">
        <v>1.9911053450888137E-2</v>
      </c>
      <c r="D702" s="330">
        <v>2.4101670600815028E-2</v>
      </c>
      <c r="E702" s="330">
        <v>3.1631806982327815E-2</v>
      </c>
      <c r="F702" s="331">
        <v>0.80203568981101547</v>
      </c>
      <c r="G702" s="94">
        <v>0.47573196371282789</v>
      </c>
      <c r="H702" s="330">
        <v>0.62931734945743456</v>
      </c>
      <c r="I702" s="330">
        <v>2.9759826810094481E-2</v>
      </c>
      <c r="J702" s="330">
        <v>0.9995080248757755</v>
      </c>
      <c r="K702" s="330">
        <v>0.73535147717170224</v>
      </c>
      <c r="L702" s="332">
        <v>11609.423846972173</v>
      </c>
      <c r="M702" s="330">
        <v>0</v>
      </c>
      <c r="N702" s="330">
        <v>15313.299643692237</v>
      </c>
      <c r="O702" s="330">
        <v>1318.3896746658827</v>
      </c>
      <c r="P702" s="330">
        <v>49558.1770918478</v>
      </c>
      <c r="Q702" s="333">
        <v>123406.65574693897</v>
      </c>
      <c r="R702" s="330">
        <v>23206.189711750158</v>
      </c>
      <c r="S702" s="330">
        <v>7484.7801597512689</v>
      </c>
      <c r="T702" s="332">
        <v>0.99277014344563796</v>
      </c>
      <c r="U702" s="330">
        <v>0.63185259845782682</v>
      </c>
      <c r="V702" s="330">
        <v>3.3372682314533678E-2</v>
      </c>
      <c r="W702" s="330">
        <v>0.98557187370524024</v>
      </c>
      <c r="X702" s="330">
        <v>0.99918108789192073</v>
      </c>
      <c r="Y702" s="330">
        <v>0</v>
      </c>
      <c r="Z702" s="331">
        <v>0</v>
      </c>
      <c r="AA702" s="235"/>
      <c r="AB702" s="335">
        <v>76775.884323367194</v>
      </c>
      <c r="AC702" s="336">
        <v>4.8436227884311558</v>
      </c>
      <c r="AD702" s="337">
        <v>69103.830210665605</v>
      </c>
      <c r="AE702" s="336">
        <v>4.612084400325549</v>
      </c>
      <c r="AF702" s="337">
        <v>7672.0541127015895</v>
      </c>
      <c r="AG702" s="338">
        <v>0.23153838810560678</v>
      </c>
      <c r="AH702" s="235"/>
      <c r="AI702" s="208">
        <f t="shared" si="74"/>
        <v>4524665.7646862315</v>
      </c>
      <c r="AJ702" s="208">
        <f t="shared" si="75"/>
        <v>4312376.3500986062</v>
      </c>
      <c r="AK702" s="208">
        <f t="shared" si="76"/>
        <v>212289.41458762487</v>
      </c>
      <c r="AL702" s="235"/>
      <c r="AM702" s="52">
        <f t="shared" si="58"/>
        <v>1</v>
      </c>
      <c r="AN702" s="52">
        <f t="shared" si="59"/>
        <v>0</v>
      </c>
      <c r="AO702" s="52">
        <f t="shared" si="60"/>
        <v>1</v>
      </c>
      <c r="AP702" s="235"/>
      <c r="AQ702" s="28"/>
      <c r="AR702" s="28"/>
      <c r="AS702" s="28"/>
      <c r="AT702" s="28"/>
      <c r="AU702" s="235"/>
      <c r="AV702" s="360">
        <f t="shared" si="77"/>
        <v>4524665.7646862315</v>
      </c>
      <c r="AW702" s="235"/>
      <c r="AX702" s="355"/>
      <c r="AY702" s="344"/>
      <c r="AZ702" s="14">
        <f t="shared" si="79"/>
        <v>7672.0541127015895</v>
      </c>
      <c r="BA702" s="14">
        <f t="shared" si="78"/>
        <v>0.23153838810560678</v>
      </c>
      <c r="BB702" s="14">
        <f t="shared" si="61"/>
        <v>33135.12793914025</v>
      </c>
      <c r="BC702" s="344"/>
      <c r="BD702" s="344"/>
      <c r="BE702" s="344"/>
      <c r="BF702" s="344"/>
      <c r="BG702" s="344"/>
      <c r="BH702" s="344"/>
      <c r="BI702" s="344"/>
      <c r="BJ702" s="344"/>
      <c r="BK702" s="344"/>
      <c r="BL702" s="344"/>
      <c r="BM702" s="344"/>
      <c r="BN702" s="344"/>
      <c r="BO702" s="344"/>
      <c r="BP702" s="344"/>
      <c r="BQ702" s="344"/>
      <c r="BR702" s="344"/>
      <c r="BS702" s="344"/>
      <c r="BT702" s="344"/>
      <c r="BU702" s="344"/>
      <c r="BV702" s="344"/>
      <c r="BW702" s="344"/>
      <c r="BX702" s="344"/>
      <c r="BY702" s="344"/>
      <c r="BZ702" s="344"/>
      <c r="CA702" s="344"/>
      <c r="CB702" s="28"/>
      <c r="CC702" s="28"/>
      <c r="CD702" s="28"/>
      <c r="CE702" s="28"/>
      <c r="CF702" s="28"/>
      <c r="CG702" s="28"/>
      <c r="CH702" s="28"/>
      <c r="CI702" s="28"/>
      <c r="CJ702" s="28"/>
      <c r="CK702" s="28"/>
      <c r="CL702" s="28"/>
      <c r="CM702" s="28"/>
      <c r="CN702" s="28"/>
      <c r="CO702" s="28"/>
      <c r="CP702" s="28"/>
      <c r="CQ702" s="28"/>
      <c r="CR702" s="28"/>
      <c r="CS702" s="28"/>
      <c r="CT702" s="28"/>
      <c r="CU702" s="28"/>
      <c r="CV702" s="28"/>
      <c r="CW702" s="28"/>
    </row>
    <row r="703" spans="1:101" ht="14.25" customHeight="1" x14ac:dyDescent="0.2">
      <c r="A703" s="328"/>
      <c r="B703" s="52">
        <v>0.13466849168666689</v>
      </c>
      <c r="C703" s="330">
        <v>0.73730724660367053</v>
      </c>
      <c r="D703" s="330">
        <v>9.1316292300386154E-3</v>
      </c>
      <c r="E703" s="330">
        <v>9.6862931694889857E-3</v>
      </c>
      <c r="F703" s="331">
        <v>0.75574180733935903</v>
      </c>
      <c r="G703" s="94">
        <v>0.39059254553521716</v>
      </c>
      <c r="H703" s="330">
        <v>0.2090305062292645</v>
      </c>
      <c r="I703" s="330">
        <v>2.7029428933945332E-2</v>
      </c>
      <c r="J703" s="330">
        <v>0.8596393132774055</v>
      </c>
      <c r="K703" s="330">
        <v>0.7682640415482398</v>
      </c>
      <c r="L703" s="332">
        <v>11538.474785810668</v>
      </c>
      <c r="M703" s="330">
        <v>0</v>
      </c>
      <c r="N703" s="330">
        <v>18011.807187220056</v>
      </c>
      <c r="O703" s="330">
        <v>1203.9029298742219</v>
      </c>
      <c r="P703" s="330">
        <v>41938.634204215916</v>
      </c>
      <c r="Q703" s="333">
        <v>102939.22563566513</v>
      </c>
      <c r="R703" s="330">
        <v>18439.531946496762</v>
      </c>
      <c r="S703" s="330">
        <v>8624.204943672763</v>
      </c>
      <c r="T703" s="332">
        <v>0.57958696793111353</v>
      </c>
      <c r="U703" s="330">
        <v>0.96769039649103505</v>
      </c>
      <c r="V703" s="330">
        <v>0.97328707906768452</v>
      </c>
      <c r="W703" s="330">
        <v>0.67836645322657807</v>
      </c>
      <c r="X703" s="330">
        <v>0.56151346876127484</v>
      </c>
      <c r="Y703" s="330">
        <v>0</v>
      </c>
      <c r="Z703" s="331">
        <v>0</v>
      </c>
      <c r="AA703" s="235"/>
      <c r="AB703" s="335">
        <v>83601.452541852675</v>
      </c>
      <c r="AC703" s="336">
        <v>2.8833985448407029</v>
      </c>
      <c r="AD703" s="337">
        <v>74811.016109760516</v>
      </c>
      <c r="AE703" s="336">
        <v>2.9278057291086741</v>
      </c>
      <c r="AF703" s="337">
        <v>8790.4364320921595</v>
      </c>
      <c r="AG703" s="338">
        <v>-4.4407184267971189E-2</v>
      </c>
      <c r="AH703" s="235"/>
      <c r="AI703" s="208">
        <f t="shared" si="74"/>
        <v>2655627.1650568149</v>
      </c>
      <c r="AJ703" s="208">
        <f t="shared" si="75"/>
        <v>2706604.4265434798</v>
      </c>
      <c r="AK703" s="208">
        <f t="shared" si="76"/>
        <v>-50977.261486664793</v>
      </c>
      <c r="AL703" s="235"/>
      <c r="AM703" s="52">
        <f t="shared" si="58"/>
        <v>0</v>
      </c>
      <c r="AN703" s="52">
        <f t="shared" si="59"/>
        <v>1</v>
      </c>
      <c r="AO703" s="52">
        <f t="shared" si="60"/>
        <v>0</v>
      </c>
      <c r="AP703" s="235"/>
      <c r="AQ703" s="28"/>
      <c r="AR703" s="28"/>
      <c r="AS703" s="28"/>
      <c r="AT703" s="28"/>
      <c r="AU703" s="235"/>
      <c r="AV703" s="360">
        <f t="shared" si="77"/>
        <v>2706604.4265434798</v>
      </c>
      <c r="AW703" s="235"/>
      <c r="AX703" s="355"/>
      <c r="AY703" s="344"/>
      <c r="AZ703" s="14">
        <f t="shared" si="79"/>
        <v>8790.4364320921595</v>
      </c>
      <c r="BA703" s="14">
        <f t="shared" si="78"/>
        <v>-4.4407184267971189E-2</v>
      </c>
      <c r="BB703" s="14">
        <f t="shared" si="61"/>
        <v>-197950.77253822389</v>
      </c>
      <c r="BC703" s="344"/>
      <c r="BD703" s="344"/>
      <c r="BE703" s="344"/>
      <c r="BF703" s="344"/>
      <c r="BG703" s="344"/>
      <c r="BH703" s="344"/>
      <c r="BI703" s="344"/>
      <c r="BJ703" s="344"/>
      <c r="BK703" s="344"/>
      <c r="BL703" s="344"/>
      <c r="BM703" s="344"/>
      <c r="BN703" s="344"/>
      <c r="BO703" s="344"/>
      <c r="BP703" s="344"/>
      <c r="BQ703" s="344"/>
      <c r="BR703" s="344"/>
      <c r="BS703" s="344"/>
      <c r="BT703" s="344"/>
      <c r="BU703" s="344"/>
      <c r="BV703" s="344"/>
      <c r="BW703" s="344"/>
      <c r="BX703" s="344"/>
      <c r="BY703" s="344"/>
      <c r="BZ703" s="344"/>
      <c r="CA703" s="344"/>
      <c r="CB703" s="28"/>
      <c r="CC703" s="28"/>
      <c r="CD703" s="28"/>
      <c r="CE703" s="28"/>
      <c r="CF703" s="28"/>
      <c r="CG703" s="28"/>
      <c r="CH703" s="28"/>
      <c r="CI703" s="28"/>
      <c r="CJ703" s="28"/>
      <c r="CK703" s="28"/>
      <c r="CL703" s="28"/>
      <c r="CM703" s="28"/>
      <c r="CN703" s="28"/>
      <c r="CO703" s="28"/>
      <c r="CP703" s="28"/>
      <c r="CQ703" s="28"/>
      <c r="CR703" s="28"/>
      <c r="CS703" s="28"/>
      <c r="CT703" s="28"/>
      <c r="CU703" s="28"/>
      <c r="CV703" s="28"/>
      <c r="CW703" s="28"/>
    </row>
    <row r="704" spans="1:101" ht="14.25" customHeight="1" x14ac:dyDescent="0.2">
      <c r="A704" s="328"/>
      <c r="B704" s="52">
        <v>0.15876576244847246</v>
      </c>
      <c r="C704" s="330">
        <v>0.17940007147423739</v>
      </c>
      <c r="D704" s="330">
        <v>1.0846411362778152E-2</v>
      </c>
      <c r="E704" s="330">
        <v>1.9867004567738711E-2</v>
      </c>
      <c r="F704" s="331">
        <v>0.8102612065452981</v>
      </c>
      <c r="G704" s="94">
        <v>0.39250535875749831</v>
      </c>
      <c r="H704" s="330">
        <v>0.58231486384321185</v>
      </c>
      <c r="I704" s="330">
        <v>6.5063302010763491E-2</v>
      </c>
      <c r="J704" s="330">
        <v>0.99999999999480582</v>
      </c>
      <c r="K704" s="330">
        <v>0.75125486328682989</v>
      </c>
      <c r="L704" s="332">
        <v>7269.3613068401683</v>
      </c>
      <c r="M704" s="330">
        <v>0</v>
      </c>
      <c r="N704" s="330">
        <v>22939.441715883295</v>
      </c>
      <c r="O704" s="330">
        <v>1378.0973646897191</v>
      </c>
      <c r="P704" s="330">
        <v>43127.770055549168</v>
      </c>
      <c r="Q704" s="333">
        <v>123487.62890109922</v>
      </c>
      <c r="R704" s="330">
        <v>25755.563404263372</v>
      </c>
      <c r="S704" s="330">
        <v>8175.2363898642052</v>
      </c>
      <c r="T704" s="332">
        <v>0.83925923136903569</v>
      </c>
      <c r="U704" s="330">
        <v>0.84953893219370369</v>
      </c>
      <c r="V704" s="330">
        <v>0.99375128018615366</v>
      </c>
      <c r="W704" s="330">
        <v>0.93279016894771849</v>
      </c>
      <c r="X704" s="330">
        <v>0.93201386566851752</v>
      </c>
      <c r="Y704" s="330">
        <v>0</v>
      </c>
      <c r="Z704" s="331">
        <v>0</v>
      </c>
      <c r="AA704" s="235"/>
      <c r="AB704" s="335">
        <v>79521.153072598012</v>
      </c>
      <c r="AC704" s="336">
        <v>5.091174528503605</v>
      </c>
      <c r="AD704" s="337">
        <v>76911.281376679282</v>
      </c>
      <c r="AE704" s="336">
        <v>4.3132879613087294</v>
      </c>
      <c r="AF704" s="337">
        <v>2609.8716959187295</v>
      </c>
      <c r="AG704" s="338">
        <v>0.77788656719487559</v>
      </c>
      <c r="AH704" s="235"/>
      <c r="AI704" s="208">
        <f t="shared" si="74"/>
        <v>4757094.6490058266</v>
      </c>
      <c r="AJ704" s="208">
        <f t="shared" si="75"/>
        <v>4020712.2818666133</v>
      </c>
      <c r="AK704" s="208">
        <f t="shared" si="76"/>
        <v>736382.36713921314</v>
      </c>
      <c r="AL704" s="235"/>
      <c r="AM704" s="52">
        <f t="shared" si="58"/>
        <v>1</v>
      </c>
      <c r="AN704" s="52">
        <f t="shared" si="59"/>
        <v>0</v>
      </c>
      <c r="AO704" s="52">
        <f t="shared" si="60"/>
        <v>1</v>
      </c>
      <c r="AP704" s="235"/>
      <c r="AQ704" s="28"/>
      <c r="AR704" s="28"/>
      <c r="AS704" s="28"/>
      <c r="AT704" s="28"/>
      <c r="AU704" s="235"/>
      <c r="AV704" s="360">
        <f t="shared" si="77"/>
        <v>4757094.6490058266</v>
      </c>
      <c r="AW704" s="235"/>
      <c r="AX704" s="355"/>
      <c r="AY704" s="344"/>
      <c r="AZ704" s="14">
        <f t="shared" si="79"/>
        <v>2609.8716959187295</v>
      </c>
      <c r="BA704" s="14">
        <f t="shared" si="78"/>
        <v>0.77788656719487559</v>
      </c>
      <c r="BB704" s="14">
        <f t="shared" si="61"/>
        <v>3355.0800412072244</v>
      </c>
      <c r="BC704" s="344"/>
      <c r="BD704" s="344"/>
      <c r="BE704" s="344"/>
      <c r="BF704" s="344"/>
      <c r="BG704" s="344"/>
      <c r="BH704" s="344"/>
      <c r="BI704" s="344"/>
      <c r="BJ704" s="344"/>
      <c r="BK704" s="344"/>
      <c r="BL704" s="344"/>
      <c r="BM704" s="344"/>
      <c r="BN704" s="344"/>
      <c r="BO704" s="344"/>
      <c r="BP704" s="344"/>
      <c r="BQ704" s="344"/>
      <c r="BR704" s="344"/>
      <c r="BS704" s="344"/>
      <c r="BT704" s="344"/>
      <c r="BU704" s="344"/>
      <c r="BV704" s="344"/>
      <c r="BW704" s="344"/>
      <c r="BX704" s="344"/>
      <c r="BY704" s="344"/>
      <c r="BZ704" s="344"/>
      <c r="CA704" s="344"/>
      <c r="CB704" s="28"/>
      <c r="CC704" s="28"/>
      <c r="CD704" s="28"/>
      <c r="CE704" s="28"/>
      <c r="CF704" s="28"/>
      <c r="CG704" s="28"/>
      <c r="CH704" s="28"/>
      <c r="CI704" s="28"/>
      <c r="CJ704" s="28"/>
      <c r="CK704" s="28"/>
      <c r="CL704" s="28"/>
      <c r="CM704" s="28"/>
      <c r="CN704" s="28"/>
      <c r="CO704" s="28"/>
      <c r="CP704" s="28"/>
      <c r="CQ704" s="28"/>
      <c r="CR704" s="28"/>
      <c r="CS704" s="28"/>
      <c r="CT704" s="28"/>
      <c r="CU704" s="28"/>
      <c r="CV704" s="28"/>
      <c r="CW704" s="28"/>
    </row>
    <row r="705" spans="1:101" ht="14.25" customHeight="1" x14ac:dyDescent="0.2">
      <c r="A705" s="328"/>
      <c r="B705" s="52">
        <v>0.18574566342166177</v>
      </c>
      <c r="C705" s="330">
        <v>0.54638235421084258</v>
      </c>
      <c r="D705" s="330">
        <v>6.248816390622647E-3</v>
      </c>
      <c r="E705" s="330">
        <v>8.0006058712887591E-3</v>
      </c>
      <c r="F705" s="331">
        <v>0.78068487404867837</v>
      </c>
      <c r="G705" s="94">
        <v>0.44245112620950022</v>
      </c>
      <c r="H705" s="330">
        <v>1.3057930156881237E-3</v>
      </c>
      <c r="I705" s="330">
        <v>6.2298660435275849E-3</v>
      </c>
      <c r="J705" s="330">
        <v>0.9961224345982681</v>
      </c>
      <c r="K705" s="330">
        <v>0.7784166267705539</v>
      </c>
      <c r="L705" s="332">
        <v>12828.283697887993</v>
      </c>
      <c r="M705" s="330">
        <v>0</v>
      </c>
      <c r="N705" s="330">
        <v>16716.142226970613</v>
      </c>
      <c r="O705" s="330">
        <v>1356.8597797998264</v>
      </c>
      <c r="P705" s="330">
        <v>36304.813864429554</v>
      </c>
      <c r="Q705" s="333">
        <v>131687.66340776521</v>
      </c>
      <c r="R705" s="330">
        <v>25503.40900004375</v>
      </c>
      <c r="S705" s="330">
        <v>9217.4946688746968</v>
      </c>
      <c r="T705" s="332">
        <v>0.34905789778936952</v>
      </c>
      <c r="U705" s="330">
        <v>0.86962864476731172</v>
      </c>
      <c r="V705" s="330">
        <v>0.66823099153629095</v>
      </c>
      <c r="W705" s="330">
        <v>0.99425405252226318</v>
      </c>
      <c r="X705" s="330">
        <v>0.22731145032984257</v>
      </c>
      <c r="Y705" s="330">
        <v>0</v>
      </c>
      <c r="Z705" s="331">
        <v>0</v>
      </c>
      <c r="AA705" s="235"/>
      <c r="AB705" s="335">
        <v>93043.446042493</v>
      </c>
      <c r="AC705" s="336">
        <v>1.1176439322481229</v>
      </c>
      <c r="AD705" s="337">
        <v>78159.095501075019</v>
      </c>
      <c r="AE705" s="336">
        <v>1.3897699401420653</v>
      </c>
      <c r="AF705" s="337">
        <v>14884.350541417982</v>
      </c>
      <c r="AG705" s="338">
        <v>-0.27212600789394248</v>
      </c>
      <c r="AH705" s="235"/>
      <c r="AI705" s="208">
        <f t="shared" si="74"/>
        <v>968718.28959322372</v>
      </c>
      <c r="AJ705" s="208">
        <f t="shared" si="75"/>
        <v>1242122.3476338871</v>
      </c>
      <c r="AK705" s="208">
        <f t="shared" si="76"/>
        <v>-273404.05804066337</v>
      </c>
      <c r="AL705" s="235"/>
      <c r="AM705" s="52">
        <f t="shared" si="58"/>
        <v>0</v>
      </c>
      <c r="AN705" s="52">
        <f t="shared" si="59"/>
        <v>1</v>
      </c>
      <c r="AO705" s="52">
        <f t="shared" si="60"/>
        <v>0</v>
      </c>
      <c r="AP705" s="235"/>
      <c r="AQ705" s="28"/>
      <c r="AR705" s="28"/>
      <c r="AS705" s="28"/>
      <c r="AT705" s="28"/>
      <c r="AU705" s="235"/>
      <c r="AV705" s="360">
        <f t="shared" si="77"/>
        <v>1242122.3476338871</v>
      </c>
      <c r="AW705" s="235"/>
      <c r="AX705" s="355"/>
      <c r="AY705" s="344"/>
      <c r="AZ705" s="14">
        <f t="shared" si="79"/>
        <v>14884.350541417982</v>
      </c>
      <c r="BA705" s="14">
        <f t="shared" si="78"/>
        <v>-0.27212600789394248</v>
      </c>
      <c r="BB705" s="14">
        <f t="shared" si="61"/>
        <v>-54696.538036228281</v>
      </c>
      <c r="BC705" s="344"/>
      <c r="BD705" s="344"/>
      <c r="BE705" s="344"/>
      <c r="BF705" s="344"/>
      <c r="BG705" s="344"/>
      <c r="BH705" s="344"/>
      <c r="BI705" s="344"/>
      <c r="BJ705" s="344"/>
      <c r="BK705" s="344"/>
      <c r="BL705" s="344"/>
      <c r="BM705" s="344"/>
      <c r="BN705" s="344"/>
      <c r="BO705" s="344"/>
      <c r="BP705" s="344"/>
      <c r="BQ705" s="344"/>
      <c r="BR705" s="344"/>
      <c r="BS705" s="344"/>
      <c r="BT705" s="344"/>
      <c r="BU705" s="344"/>
      <c r="BV705" s="344"/>
      <c r="BW705" s="344"/>
      <c r="BX705" s="344"/>
      <c r="BY705" s="344"/>
      <c r="BZ705" s="344"/>
      <c r="CA705" s="344"/>
      <c r="CB705" s="28"/>
      <c r="CC705" s="28"/>
      <c r="CD705" s="28"/>
      <c r="CE705" s="28"/>
      <c r="CF705" s="28"/>
      <c r="CG705" s="28"/>
      <c r="CH705" s="28"/>
      <c r="CI705" s="28"/>
      <c r="CJ705" s="28"/>
      <c r="CK705" s="28"/>
      <c r="CL705" s="28"/>
      <c r="CM705" s="28"/>
      <c r="CN705" s="28"/>
      <c r="CO705" s="28"/>
      <c r="CP705" s="28"/>
      <c r="CQ705" s="28"/>
      <c r="CR705" s="28"/>
      <c r="CS705" s="28"/>
      <c r="CT705" s="28"/>
      <c r="CU705" s="28"/>
      <c r="CV705" s="28"/>
      <c r="CW705" s="28"/>
    </row>
    <row r="706" spans="1:101" ht="14.25" customHeight="1" x14ac:dyDescent="0.2">
      <c r="A706" s="328"/>
      <c r="B706" s="52">
        <v>0.18089225781193752</v>
      </c>
      <c r="C706" s="330">
        <v>0.46974970160831053</v>
      </c>
      <c r="D706" s="330">
        <v>5.2531612036633849E-3</v>
      </c>
      <c r="E706" s="330">
        <v>1.2126019913576848E-2</v>
      </c>
      <c r="F706" s="331">
        <v>0.78034681240390003</v>
      </c>
      <c r="G706" s="94">
        <v>0.35140284893048856</v>
      </c>
      <c r="H706" s="330">
        <v>0.15461657698742662</v>
      </c>
      <c r="I706" s="330">
        <v>3.1279706158967913E-2</v>
      </c>
      <c r="J706" s="330">
        <v>9.5334621127862174E-2</v>
      </c>
      <c r="K706" s="330">
        <v>0.74091881336235432</v>
      </c>
      <c r="L706" s="332">
        <v>12796.900182565352</v>
      </c>
      <c r="M706" s="330">
        <v>0</v>
      </c>
      <c r="N706" s="330">
        <v>17188.529278102047</v>
      </c>
      <c r="O706" s="330">
        <v>1035.8510747569676</v>
      </c>
      <c r="P706" s="330">
        <v>32306.28864141558</v>
      </c>
      <c r="Q706" s="333">
        <v>116629.6197780324</v>
      </c>
      <c r="R706" s="330">
        <v>21594.562219466487</v>
      </c>
      <c r="S706" s="330">
        <v>14619.813030583222</v>
      </c>
      <c r="T706" s="332">
        <v>0.9520225742109425</v>
      </c>
      <c r="U706" s="330">
        <v>0.21187441180142905</v>
      </c>
      <c r="V706" s="330">
        <v>0.98477017680838319</v>
      </c>
      <c r="W706" s="330">
        <v>0.99960179521750592</v>
      </c>
      <c r="X706" s="330">
        <v>0.99416181672419879</v>
      </c>
      <c r="Y706" s="330">
        <v>0</v>
      </c>
      <c r="Z706" s="331">
        <v>0</v>
      </c>
      <c r="AA706" s="235"/>
      <c r="AB706" s="335">
        <v>137358.16896453415</v>
      </c>
      <c r="AC706" s="336">
        <v>4.9487192663322279</v>
      </c>
      <c r="AD706" s="337">
        <v>119187.63667284512</v>
      </c>
      <c r="AE706" s="336">
        <v>4.5186427842146895</v>
      </c>
      <c r="AF706" s="337">
        <v>18170.532291689029</v>
      </c>
      <c r="AG706" s="338">
        <v>0.43007648211753846</v>
      </c>
      <c r="AH706" s="235"/>
      <c r="AI706" s="208">
        <f t="shared" si="74"/>
        <v>4563925.1340510827</v>
      </c>
      <c r="AJ706" s="208">
        <f t="shared" si="75"/>
        <v>4173523.0083311098</v>
      </c>
      <c r="AK706" s="208">
        <f t="shared" si="76"/>
        <v>390402.12571997254</v>
      </c>
      <c r="AL706" s="235"/>
      <c r="AM706" s="52">
        <f t="shared" si="58"/>
        <v>1</v>
      </c>
      <c r="AN706" s="52">
        <f t="shared" si="59"/>
        <v>0</v>
      </c>
      <c r="AO706" s="52">
        <f t="shared" si="60"/>
        <v>1</v>
      </c>
      <c r="AP706" s="235"/>
      <c r="AQ706" s="28"/>
      <c r="AR706" s="28"/>
      <c r="AS706" s="28"/>
      <c r="AT706" s="28"/>
      <c r="AU706" s="235"/>
      <c r="AV706" s="360">
        <f t="shared" si="77"/>
        <v>4563925.1340510827</v>
      </c>
      <c r="AW706" s="235"/>
      <c r="AX706" s="355"/>
      <c r="AY706" s="344"/>
      <c r="AZ706" s="14">
        <f t="shared" si="79"/>
        <v>18170.532291689029</v>
      </c>
      <c r="BA706" s="14">
        <f t="shared" si="78"/>
        <v>0.43007648211753846</v>
      </c>
      <c r="BB706" s="14">
        <f t="shared" si="61"/>
        <v>42249.537110757621</v>
      </c>
      <c r="BC706" s="344"/>
      <c r="BD706" s="344"/>
      <c r="BE706" s="344"/>
      <c r="BF706" s="344"/>
      <c r="BG706" s="344"/>
      <c r="BH706" s="344"/>
      <c r="BI706" s="344"/>
      <c r="BJ706" s="344"/>
      <c r="BK706" s="344"/>
      <c r="BL706" s="344"/>
      <c r="BM706" s="344"/>
      <c r="BN706" s="344"/>
      <c r="BO706" s="344"/>
      <c r="BP706" s="344"/>
      <c r="BQ706" s="344"/>
      <c r="BR706" s="344"/>
      <c r="BS706" s="344"/>
      <c r="BT706" s="344"/>
      <c r="BU706" s="344"/>
      <c r="BV706" s="344"/>
      <c r="BW706" s="344"/>
      <c r="BX706" s="344"/>
      <c r="BY706" s="344"/>
      <c r="BZ706" s="344"/>
      <c r="CA706" s="344"/>
      <c r="CB706" s="28"/>
      <c r="CC706" s="28"/>
      <c r="CD706" s="28"/>
      <c r="CE706" s="28"/>
      <c r="CF706" s="28"/>
      <c r="CG706" s="28"/>
      <c r="CH706" s="28"/>
      <c r="CI706" s="28"/>
      <c r="CJ706" s="28"/>
      <c r="CK706" s="28"/>
      <c r="CL706" s="28"/>
      <c r="CM706" s="28"/>
      <c r="CN706" s="28"/>
      <c r="CO706" s="28"/>
      <c r="CP706" s="28"/>
      <c r="CQ706" s="28"/>
      <c r="CR706" s="28"/>
      <c r="CS706" s="28"/>
      <c r="CT706" s="28"/>
      <c r="CU706" s="28"/>
      <c r="CV706" s="28"/>
      <c r="CW706" s="28"/>
    </row>
    <row r="707" spans="1:101" ht="14.25" customHeight="1" x14ac:dyDescent="0.2">
      <c r="A707" s="328"/>
      <c r="B707" s="52">
        <v>0.16909121330758481</v>
      </c>
      <c r="C707" s="330">
        <v>0.83020856759615103</v>
      </c>
      <c r="D707" s="330">
        <v>1.3992595941197145E-2</v>
      </c>
      <c r="E707" s="330">
        <v>1.8277645298492406E-2</v>
      </c>
      <c r="F707" s="331">
        <v>0.77608310864527164</v>
      </c>
      <c r="G707" s="94">
        <v>0.38520215606007913</v>
      </c>
      <c r="H707" s="330">
        <v>0.72693884931646346</v>
      </c>
      <c r="I707" s="330">
        <v>4.1866884756037726E-2</v>
      </c>
      <c r="J707" s="330">
        <v>0.99977441674680623</v>
      </c>
      <c r="K707" s="330">
        <v>0.80707800673179697</v>
      </c>
      <c r="L707" s="332">
        <v>14986.63467518401</v>
      </c>
      <c r="M707" s="330">
        <v>0</v>
      </c>
      <c r="N707" s="330">
        <v>14293.036636496847</v>
      </c>
      <c r="O707" s="330">
        <v>2146.7996053040574</v>
      </c>
      <c r="P707" s="330">
        <v>44098.900184821141</v>
      </c>
      <c r="Q707" s="333">
        <v>123652.01192880166</v>
      </c>
      <c r="R707" s="330">
        <v>26607.795341704612</v>
      </c>
      <c r="S707" s="330">
        <v>10538.0087784838</v>
      </c>
      <c r="T707" s="332">
        <v>0.68796763502228919</v>
      </c>
      <c r="U707" s="330">
        <v>0.99692284957291266</v>
      </c>
      <c r="V707" s="330">
        <v>0.99996967588283425</v>
      </c>
      <c r="W707" s="330">
        <v>0.72010713224161926</v>
      </c>
      <c r="X707" s="330">
        <v>0.99999332023067056</v>
      </c>
      <c r="Y707" s="330">
        <v>0</v>
      </c>
      <c r="Z707" s="331">
        <v>0</v>
      </c>
      <c r="AA707" s="235"/>
      <c r="AB707" s="335">
        <v>107143.94325939548</v>
      </c>
      <c r="AC707" s="336">
        <v>5.100662242932481</v>
      </c>
      <c r="AD707" s="337">
        <v>102526.65741309007</v>
      </c>
      <c r="AE707" s="336">
        <v>5.1190562525134018</v>
      </c>
      <c r="AF707" s="337">
        <v>4617.2858463054145</v>
      </c>
      <c r="AG707" s="338">
        <v>-1.8394009580920745E-2</v>
      </c>
      <c r="AH707" s="235"/>
      <c r="AI707" s="208">
        <f t="shared" si="74"/>
        <v>4738485.1875264617</v>
      </c>
      <c r="AJ707" s="208">
        <f t="shared" si="75"/>
        <v>4760576.7824746417</v>
      </c>
      <c r="AK707" s="208">
        <f t="shared" si="76"/>
        <v>-22091.594948180122</v>
      </c>
      <c r="AL707" s="235"/>
      <c r="AM707" s="52">
        <f t="shared" si="58"/>
        <v>0</v>
      </c>
      <c r="AN707" s="52">
        <f t="shared" si="59"/>
        <v>1</v>
      </c>
      <c r="AO707" s="52">
        <f t="shared" si="60"/>
        <v>0</v>
      </c>
      <c r="AP707" s="235"/>
      <c r="AQ707" s="28"/>
      <c r="AR707" s="28"/>
      <c r="AS707" s="28"/>
      <c r="AT707" s="28"/>
      <c r="AU707" s="235"/>
      <c r="AV707" s="360">
        <f t="shared" si="77"/>
        <v>4760576.7824746417</v>
      </c>
      <c r="AW707" s="235"/>
      <c r="AX707" s="355"/>
      <c r="AY707" s="344"/>
      <c r="AZ707" s="14">
        <f t="shared" si="79"/>
        <v>4617.2858463054145</v>
      </c>
      <c r="BA707" s="14">
        <f t="shared" si="78"/>
        <v>-1.8394009580920745E-2</v>
      </c>
      <c r="BB707" s="14">
        <f t="shared" si="61"/>
        <v>-251021.17219155477</v>
      </c>
      <c r="BC707" s="344"/>
      <c r="BD707" s="344"/>
      <c r="BE707" s="344"/>
      <c r="BF707" s="344"/>
      <c r="BG707" s="344"/>
      <c r="BH707" s="344"/>
      <c r="BI707" s="344"/>
      <c r="BJ707" s="344"/>
      <c r="BK707" s="344"/>
      <c r="BL707" s="344"/>
      <c r="BM707" s="344"/>
      <c r="BN707" s="344"/>
      <c r="BO707" s="344"/>
      <c r="BP707" s="344"/>
      <c r="BQ707" s="344"/>
      <c r="BR707" s="344"/>
      <c r="BS707" s="344"/>
      <c r="BT707" s="344"/>
      <c r="BU707" s="344"/>
      <c r="BV707" s="344"/>
      <c r="BW707" s="344"/>
      <c r="BX707" s="344"/>
      <c r="BY707" s="344"/>
      <c r="BZ707" s="344"/>
      <c r="CA707" s="344"/>
      <c r="CB707" s="28"/>
      <c r="CC707" s="28"/>
      <c r="CD707" s="28"/>
      <c r="CE707" s="28"/>
      <c r="CF707" s="28"/>
      <c r="CG707" s="28"/>
      <c r="CH707" s="28"/>
      <c r="CI707" s="28"/>
      <c r="CJ707" s="28"/>
      <c r="CK707" s="28"/>
      <c r="CL707" s="28"/>
      <c r="CM707" s="28"/>
      <c r="CN707" s="28"/>
      <c r="CO707" s="28"/>
      <c r="CP707" s="28"/>
      <c r="CQ707" s="28"/>
      <c r="CR707" s="28"/>
      <c r="CS707" s="28"/>
      <c r="CT707" s="28"/>
      <c r="CU707" s="28"/>
      <c r="CV707" s="28"/>
      <c r="CW707" s="28"/>
    </row>
    <row r="708" spans="1:101" ht="14.25" customHeight="1" x14ac:dyDescent="0.2">
      <c r="A708" s="328"/>
      <c r="B708" s="52">
        <v>0.19712782422463571</v>
      </c>
      <c r="C708" s="330">
        <v>0.76051608766676215</v>
      </c>
      <c r="D708" s="330">
        <v>1.8931706467654963E-2</v>
      </c>
      <c r="E708" s="330">
        <v>2.4021382082997755E-2</v>
      </c>
      <c r="F708" s="331">
        <v>0.78901978638511749</v>
      </c>
      <c r="G708" s="94">
        <v>0.38893538219529061</v>
      </c>
      <c r="H708" s="330">
        <v>0.71130190072214539</v>
      </c>
      <c r="I708" s="330">
        <v>2.1576000235686399E-2</v>
      </c>
      <c r="J708" s="330">
        <v>0.99999986057390777</v>
      </c>
      <c r="K708" s="330">
        <v>0.75093550087038563</v>
      </c>
      <c r="L708" s="332">
        <v>12481.574250202588</v>
      </c>
      <c r="M708" s="330">
        <v>0</v>
      </c>
      <c r="N708" s="330">
        <v>22006.128428987602</v>
      </c>
      <c r="O708" s="330">
        <v>1285.677715819375</v>
      </c>
      <c r="P708" s="330">
        <v>50420.922835972997</v>
      </c>
      <c r="Q708" s="333">
        <v>100792.94038369672</v>
      </c>
      <c r="R708" s="330">
        <v>22873.808404891231</v>
      </c>
      <c r="S708" s="330">
        <v>6179.7787427382154</v>
      </c>
      <c r="T708" s="332">
        <v>0.72862677491723249</v>
      </c>
      <c r="U708" s="330">
        <v>0.95763410608282395</v>
      </c>
      <c r="V708" s="330">
        <v>0.52686723497552124</v>
      </c>
      <c r="W708" s="330">
        <v>0.99999981480498712</v>
      </c>
      <c r="X708" s="330">
        <v>0.45899742303456126</v>
      </c>
      <c r="Y708" s="330">
        <v>0</v>
      </c>
      <c r="Z708" s="331">
        <v>0</v>
      </c>
      <c r="AA708" s="235"/>
      <c r="AB708" s="335">
        <v>68872.018687173346</v>
      </c>
      <c r="AC708" s="336">
        <v>2.3534840259989633</v>
      </c>
      <c r="AD708" s="337">
        <v>58090.662541077167</v>
      </c>
      <c r="AE708" s="336">
        <v>2.3302439450580912</v>
      </c>
      <c r="AF708" s="337">
        <v>10781.356146096179</v>
      </c>
      <c r="AG708" s="338">
        <v>2.3240080940872154E-2</v>
      </c>
      <c r="AH708" s="235"/>
      <c r="AI708" s="208">
        <f t="shared" si="74"/>
        <v>2166937.8060118421</v>
      </c>
      <c r="AJ708" s="208">
        <f t="shared" si="75"/>
        <v>2155641.0852641095</v>
      </c>
      <c r="AK708" s="208">
        <f t="shared" si="76"/>
        <v>11296.720747732368</v>
      </c>
      <c r="AL708" s="235"/>
      <c r="AM708" s="52">
        <f t="shared" si="58"/>
        <v>1</v>
      </c>
      <c r="AN708" s="52">
        <f t="shared" si="59"/>
        <v>0</v>
      </c>
      <c r="AO708" s="52">
        <f t="shared" si="60"/>
        <v>1</v>
      </c>
      <c r="AP708" s="235"/>
      <c r="AQ708" s="28"/>
      <c r="AR708" s="28"/>
      <c r="AS708" s="28"/>
      <c r="AT708" s="28"/>
      <c r="AU708" s="235"/>
      <c r="AV708" s="360">
        <f t="shared" si="77"/>
        <v>2166937.8060118421</v>
      </c>
      <c r="AW708" s="235"/>
      <c r="AX708" s="355"/>
      <c r="AY708" s="344"/>
      <c r="AZ708" s="14">
        <f t="shared" si="79"/>
        <v>10781.356146096179</v>
      </c>
      <c r="BA708" s="14">
        <f t="shared" si="78"/>
        <v>2.3240080940872154E-2</v>
      </c>
      <c r="BB708" s="14">
        <f t="shared" si="61"/>
        <v>463912.1599243267</v>
      </c>
      <c r="BC708" s="344"/>
      <c r="BD708" s="344"/>
      <c r="BE708" s="344"/>
      <c r="BF708" s="344"/>
      <c r="BG708" s="344"/>
      <c r="BH708" s="344"/>
      <c r="BI708" s="344"/>
      <c r="BJ708" s="344"/>
      <c r="BK708" s="344"/>
      <c r="BL708" s="344"/>
      <c r="BM708" s="344"/>
      <c r="BN708" s="344"/>
      <c r="BO708" s="344"/>
      <c r="BP708" s="344"/>
      <c r="BQ708" s="344"/>
      <c r="BR708" s="344"/>
      <c r="BS708" s="344"/>
      <c r="BT708" s="344"/>
      <c r="BU708" s="344"/>
      <c r="BV708" s="344"/>
      <c r="BW708" s="344"/>
      <c r="BX708" s="344"/>
      <c r="BY708" s="344"/>
      <c r="BZ708" s="344"/>
      <c r="CA708" s="344"/>
      <c r="CB708" s="28"/>
      <c r="CC708" s="28"/>
      <c r="CD708" s="28"/>
      <c r="CE708" s="28"/>
      <c r="CF708" s="28"/>
      <c r="CG708" s="28"/>
      <c r="CH708" s="28"/>
      <c r="CI708" s="28"/>
      <c r="CJ708" s="28"/>
      <c r="CK708" s="28"/>
      <c r="CL708" s="28"/>
      <c r="CM708" s="28"/>
      <c r="CN708" s="28"/>
      <c r="CO708" s="28"/>
      <c r="CP708" s="28"/>
      <c r="CQ708" s="28"/>
      <c r="CR708" s="28"/>
      <c r="CS708" s="28"/>
      <c r="CT708" s="28"/>
      <c r="CU708" s="28"/>
      <c r="CV708" s="28"/>
      <c r="CW708" s="28"/>
    </row>
    <row r="709" spans="1:101" ht="14.25" customHeight="1" x14ac:dyDescent="0.2">
      <c r="A709" s="328"/>
      <c r="B709" s="52">
        <v>0.14371803975302103</v>
      </c>
      <c r="C709" s="330">
        <v>0.43580239253255237</v>
      </c>
      <c r="D709" s="330">
        <v>7.8571574471601492E-3</v>
      </c>
      <c r="E709" s="330">
        <v>9.5638844754700383E-3</v>
      </c>
      <c r="F709" s="331">
        <v>0.76960275875790962</v>
      </c>
      <c r="G709" s="94">
        <v>0.41441969596094597</v>
      </c>
      <c r="H709" s="330">
        <v>0.73179613702218527</v>
      </c>
      <c r="I709" s="330">
        <v>1.6923799847675003E-2</v>
      </c>
      <c r="J709" s="330">
        <v>0.99999999999993749</v>
      </c>
      <c r="K709" s="330">
        <v>0.75802447109028026</v>
      </c>
      <c r="L709" s="332">
        <v>7280.9451258790932</v>
      </c>
      <c r="M709" s="330">
        <v>0</v>
      </c>
      <c r="N709" s="330">
        <v>15505.338659848256</v>
      </c>
      <c r="O709" s="330">
        <v>1476.0012030086571</v>
      </c>
      <c r="P709" s="330">
        <v>33087.570247216245</v>
      </c>
      <c r="Q709" s="333">
        <v>98777.504506055004</v>
      </c>
      <c r="R709" s="330">
        <v>25258.396217308105</v>
      </c>
      <c r="S709" s="330">
        <v>10185.158869691186</v>
      </c>
      <c r="T709" s="332">
        <v>0.96292321499645184</v>
      </c>
      <c r="U709" s="330">
        <v>0.1363838898940746</v>
      </c>
      <c r="V709" s="330">
        <v>0.75728486202330403</v>
      </c>
      <c r="W709" s="330">
        <v>0.26086313932869426</v>
      </c>
      <c r="X709" s="330">
        <v>0.93805663948950901</v>
      </c>
      <c r="Y709" s="330">
        <v>0</v>
      </c>
      <c r="Z709" s="331">
        <v>0</v>
      </c>
      <c r="AA709" s="235"/>
      <c r="AB709" s="335">
        <v>93304.178921879444</v>
      </c>
      <c r="AC709" s="336">
        <v>4.7800398098090975</v>
      </c>
      <c r="AD709" s="337">
        <v>92104.511875817509</v>
      </c>
      <c r="AE709" s="336">
        <v>4.3152774431196983</v>
      </c>
      <c r="AF709" s="337">
        <v>1199.6670460619353</v>
      </c>
      <c r="AG709" s="338">
        <v>0.46476236668939919</v>
      </c>
      <c r="AH709" s="235"/>
      <c r="AI709" s="208">
        <f t="shared" si="74"/>
        <v>4447733.6403967636</v>
      </c>
      <c r="AJ709" s="208">
        <f t="shared" si="75"/>
        <v>4007409.0590878958</v>
      </c>
      <c r="AK709" s="208">
        <f t="shared" si="76"/>
        <v>440324.58130886726</v>
      </c>
      <c r="AL709" s="235"/>
      <c r="AM709" s="52">
        <f t="shared" si="58"/>
        <v>1</v>
      </c>
      <c r="AN709" s="52">
        <f t="shared" si="59"/>
        <v>0</v>
      </c>
      <c r="AO709" s="52">
        <f t="shared" si="60"/>
        <v>1</v>
      </c>
      <c r="AP709" s="235"/>
      <c r="AQ709" s="28"/>
      <c r="AR709" s="28"/>
      <c r="AS709" s="28"/>
      <c r="AT709" s="28"/>
      <c r="AU709" s="235"/>
      <c r="AV709" s="360">
        <f t="shared" si="77"/>
        <v>4447733.6403967636</v>
      </c>
      <c r="AW709" s="235"/>
      <c r="AX709" s="355"/>
      <c r="AY709" s="344"/>
      <c r="AZ709" s="14">
        <f t="shared" si="79"/>
        <v>1199.6670460619353</v>
      </c>
      <c r="BA709" s="14">
        <f t="shared" si="78"/>
        <v>0.46476236668939919</v>
      </c>
      <c r="BB709" s="14">
        <f t="shared" si="61"/>
        <v>2581.2482508156108</v>
      </c>
      <c r="BC709" s="344"/>
      <c r="BD709" s="344"/>
      <c r="BE709" s="344"/>
      <c r="BF709" s="344"/>
      <c r="BG709" s="344"/>
      <c r="BH709" s="344"/>
      <c r="BI709" s="344"/>
      <c r="BJ709" s="344"/>
      <c r="BK709" s="344"/>
      <c r="BL709" s="344"/>
      <c r="BM709" s="344"/>
      <c r="BN709" s="344"/>
      <c r="BO709" s="344"/>
      <c r="BP709" s="344"/>
      <c r="BQ709" s="344"/>
      <c r="BR709" s="344"/>
      <c r="BS709" s="344"/>
      <c r="BT709" s="344"/>
      <c r="BU709" s="344"/>
      <c r="BV709" s="344"/>
      <c r="BW709" s="344"/>
      <c r="BX709" s="344"/>
      <c r="BY709" s="344"/>
      <c r="BZ709" s="344"/>
      <c r="CA709" s="344"/>
      <c r="CB709" s="28"/>
      <c r="CC709" s="28"/>
      <c r="CD709" s="28"/>
      <c r="CE709" s="28"/>
      <c r="CF709" s="28"/>
      <c r="CG709" s="28"/>
      <c r="CH709" s="28"/>
      <c r="CI709" s="28"/>
      <c r="CJ709" s="28"/>
      <c r="CK709" s="28"/>
      <c r="CL709" s="28"/>
      <c r="CM709" s="28"/>
      <c r="CN709" s="28"/>
      <c r="CO709" s="28"/>
      <c r="CP709" s="28"/>
      <c r="CQ709" s="28"/>
      <c r="CR709" s="28"/>
      <c r="CS709" s="28"/>
      <c r="CT709" s="28"/>
      <c r="CU709" s="28"/>
      <c r="CV709" s="28"/>
      <c r="CW709" s="28"/>
    </row>
    <row r="710" spans="1:101" ht="14.25" customHeight="1" x14ac:dyDescent="0.2">
      <c r="A710" s="328"/>
      <c r="B710" s="52">
        <v>0.16133984898309894</v>
      </c>
      <c r="C710" s="330">
        <v>0.24217224530054693</v>
      </c>
      <c r="D710" s="330">
        <v>8.2386756671544315E-3</v>
      </c>
      <c r="E710" s="330">
        <v>1.6787794211135298E-2</v>
      </c>
      <c r="F710" s="331">
        <v>0.79868202145903811</v>
      </c>
      <c r="G710" s="94">
        <v>0.3915505642017022</v>
      </c>
      <c r="H710" s="330">
        <v>2.5109516013005786E-2</v>
      </c>
      <c r="I710" s="330">
        <v>1.2456608507361732E-2</v>
      </c>
      <c r="J710" s="330">
        <v>0.99995707271172529</v>
      </c>
      <c r="K710" s="330">
        <v>0.73496372834957391</v>
      </c>
      <c r="L710" s="332">
        <v>11100.840193417433</v>
      </c>
      <c r="M710" s="330">
        <v>0</v>
      </c>
      <c r="N710" s="330">
        <v>20208.541818394777</v>
      </c>
      <c r="O710" s="330">
        <v>1356.717093048733</v>
      </c>
      <c r="P710" s="330">
        <v>48480.007198839354</v>
      </c>
      <c r="Q710" s="333">
        <v>76084.103294638378</v>
      </c>
      <c r="R710" s="330">
        <v>28582.458245553375</v>
      </c>
      <c r="S710" s="330">
        <v>7224.4575111739314</v>
      </c>
      <c r="T710" s="332">
        <v>0.99778763567357454</v>
      </c>
      <c r="U710" s="330">
        <v>0.83478093888860128</v>
      </c>
      <c r="V710" s="330">
        <v>0.9996821998382841</v>
      </c>
      <c r="W710" s="330">
        <v>0.99732627551125452</v>
      </c>
      <c r="X710" s="330">
        <v>0.18370024625980577</v>
      </c>
      <c r="Y710" s="330">
        <v>0</v>
      </c>
      <c r="Z710" s="331">
        <v>0</v>
      </c>
      <c r="AA710" s="235"/>
      <c r="AB710" s="335">
        <v>74458.853431908079</v>
      </c>
      <c r="AC710" s="336">
        <v>1.0637477703087164</v>
      </c>
      <c r="AD710" s="337">
        <v>58528.366160345329</v>
      </c>
      <c r="AE710" s="336">
        <v>0.85193562678815893</v>
      </c>
      <c r="AF710" s="337">
        <v>15930.48727156275</v>
      </c>
      <c r="AG710" s="338">
        <v>0.21181214352055744</v>
      </c>
      <c r="AH710" s="235"/>
      <c r="AI710" s="208">
        <f t="shared" si="74"/>
        <v>936101.52836137253</v>
      </c>
      <c r="AJ710" s="208">
        <f t="shared" si="75"/>
        <v>750810.47928840562</v>
      </c>
      <c r="AK710" s="208">
        <f t="shared" si="76"/>
        <v>185291.04907296682</v>
      </c>
      <c r="AL710" s="235"/>
      <c r="AM710" s="52">
        <f t="shared" si="58"/>
        <v>1</v>
      </c>
      <c r="AN710" s="52">
        <f t="shared" si="59"/>
        <v>0</v>
      </c>
      <c r="AO710" s="52">
        <f t="shared" si="60"/>
        <v>1</v>
      </c>
      <c r="AP710" s="235"/>
      <c r="AQ710" s="28"/>
      <c r="AR710" s="28"/>
      <c r="AS710" s="28"/>
      <c r="AT710" s="28"/>
      <c r="AU710" s="235"/>
      <c r="AV710" s="360">
        <f t="shared" si="77"/>
        <v>936101.52836137253</v>
      </c>
      <c r="AW710" s="235"/>
      <c r="AX710" s="355"/>
      <c r="AY710" s="344"/>
      <c r="AZ710" s="14">
        <f t="shared" si="79"/>
        <v>15930.48727156275</v>
      </c>
      <c r="BA710" s="14">
        <f t="shared" si="78"/>
        <v>0.21181214352055744</v>
      </c>
      <c r="BB710" s="14">
        <f t="shared" si="61"/>
        <v>75210.453030596022</v>
      </c>
      <c r="BC710" s="344"/>
      <c r="BD710" s="344"/>
      <c r="BE710" s="344"/>
      <c r="BF710" s="344"/>
      <c r="BG710" s="344"/>
      <c r="BH710" s="344"/>
      <c r="BI710" s="344"/>
      <c r="BJ710" s="344"/>
      <c r="BK710" s="344"/>
      <c r="BL710" s="344"/>
      <c r="BM710" s="344"/>
      <c r="BN710" s="344"/>
      <c r="BO710" s="344"/>
      <c r="BP710" s="344"/>
      <c r="BQ710" s="344"/>
      <c r="BR710" s="344"/>
      <c r="BS710" s="344"/>
      <c r="BT710" s="344"/>
      <c r="BU710" s="344"/>
      <c r="BV710" s="344"/>
      <c r="BW710" s="344"/>
      <c r="BX710" s="344"/>
      <c r="BY710" s="344"/>
      <c r="BZ710" s="344"/>
      <c r="CA710" s="344"/>
      <c r="CB710" s="28"/>
      <c r="CC710" s="28"/>
      <c r="CD710" s="28"/>
      <c r="CE710" s="28"/>
      <c r="CF710" s="28"/>
      <c r="CG710" s="28"/>
      <c r="CH710" s="28"/>
      <c r="CI710" s="28"/>
      <c r="CJ710" s="28"/>
      <c r="CK710" s="28"/>
      <c r="CL710" s="28"/>
      <c r="CM710" s="28"/>
      <c r="CN710" s="28"/>
      <c r="CO710" s="28"/>
      <c r="CP710" s="28"/>
      <c r="CQ710" s="28"/>
      <c r="CR710" s="28"/>
      <c r="CS710" s="28"/>
      <c r="CT710" s="28"/>
      <c r="CU710" s="28"/>
      <c r="CV710" s="28"/>
      <c r="CW710" s="28"/>
    </row>
    <row r="711" spans="1:101" ht="14.25" customHeight="1" x14ac:dyDescent="0.2">
      <c r="A711" s="328"/>
      <c r="B711" s="52">
        <v>0.153221061649959</v>
      </c>
      <c r="C711" s="330">
        <v>0.4205242024156064</v>
      </c>
      <c r="D711" s="330">
        <v>1.1983189612288964E-2</v>
      </c>
      <c r="E711" s="330">
        <v>1.2863047428604481E-2</v>
      </c>
      <c r="F711" s="331">
        <v>0.7673843762740935</v>
      </c>
      <c r="G711" s="94">
        <v>0.4422070276107144</v>
      </c>
      <c r="H711" s="330">
        <v>0.6749606739671784</v>
      </c>
      <c r="I711" s="330">
        <v>1.2059929006993807E-2</v>
      </c>
      <c r="J711" s="330">
        <v>0.99892243946262116</v>
      </c>
      <c r="K711" s="330">
        <v>0.74690087566233898</v>
      </c>
      <c r="L711" s="332">
        <v>9079.6008572228129</v>
      </c>
      <c r="M711" s="330">
        <v>0</v>
      </c>
      <c r="N711" s="330">
        <v>18641.563488690459</v>
      </c>
      <c r="O711" s="330">
        <v>895.62821804474731</v>
      </c>
      <c r="P711" s="330">
        <v>42465.274741741538</v>
      </c>
      <c r="Q711" s="333">
        <v>69743.95644255259</v>
      </c>
      <c r="R711" s="330">
        <v>31494.140023787128</v>
      </c>
      <c r="S711" s="330">
        <v>8483.8291084095945</v>
      </c>
      <c r="T711" s="332">
        <v>0.99980302597409398</v>
      </c>
      <c r="U711" s="330">
        <v>0.99251849496073286</v>
      </c>
      <c r="V711" s="330">
        <v>0.81413834545052954</v>
      </c>
      <c r="W711" s="330">
        <v>0.9909875954985119</v>
      </c>
      <c r="X711" s="330">
        <v>0.70330961038745687</v>
      </c>
      <c r="Y711" s="330">
        <v>0</v>
      </c>
      <c r="Z711" s="331">
        <v>0</v>
      </c>
      <c r="AA711" s="235"/>
      <c r="AB711" s="335">
        <v>81239.751937299152</v>
      </c>
      <c r="AC711" s="336">
        <v>3.4331021371873574</v>
      </c>
      <c r="AD711" s="337">
        <v>78450.221726902513</v>
      </c>
      <c r="AE711" s="336">
        <v>3.2598591630810292</v>
      </c>
      <c r="AF711" s="337">
        <v>2789.5302103966387</v>
      </c>
      <c r="AG711" s="338">
        <v>0.17324297410632816</v>
      </c>
      <c r="AH711" s="235"/>
      <c r="AI711" s="208">
        <f t="shared" si="74"/>
        <v>3180207.2783906902</v>
      </c>
      <c r="AJ711" s="208">
        <f t="shared" si="75"/>
        <v>3018415.9832000756</v>
      </c>
      <c r="AK711" s="208">
        <f t="shared" si="76"/>
        <v>161791.29519061511</v>
      </c>
      <c r="AL711" s="235"/>
      <c r="AM711" s="52">
        <f t="shared" si="58"/>
        <v>1</v>
      </c>
      <c r="AN711" s="52">
        <f t="shared" si="59"/>
        <v>0</v>
      </c>
      <c r="AO711" s="52">
        <f t="shared" si="60"/>
        <v>1</v>
      </c>
      <c r="AP711" s="235"/>
      <c r="AQ711" s="28"/>
      <c r="AR711" s="28"/>
      <c r="AS711" s="28"/>
      <c r="AT711" s="28"/>
      <c r="AU711" s="235"/>
      <c r="AV711" s="360">
        <f t="shared" si="77"/>
        <v>3180207.2783906902</v>
      </c>
      <c r="AW711" s="235"/>
      <c r="AX711" s="355"/>
      <c r="AY711" s="344"/>
      <c r="AZ711" s="14">
        <f t="shared" si="79"/>
        <v>2789.5302103966387</v>
      </c>
      <c r="BA711" s="14">
        <f t="shared" si="78"/>
        <v>0.17324297410632816</v>
      </c>
      <c r="BB711" s="14">
        <f t="shared" si="61"/>
        <v>16101.837461440486</v>
      </c>
      <c r="BC711" s="344"/>
      <c r="BD711" s="344"/>
      <c r="BE711" s="344"/>
      <c r="BF711" s="344"/>
      <c r="BG711" s="344"/>
      <c r="BH711" s="344"/>
      <c r="BI711" s="344"/>
      <c r="BJ711" s="344"/>
      <c r="BK711" s="344"/>
      <c r="BL711" s="344"/>
      <c r="BM711" s="344"/>
      <c r="BN711" s="344"/>
      <c r="BO711" s="344"/>
      <c r="BP711" s="344"/>
      <c r="BQ711" s="344"/>
      <c r="BR711" s="344"/>
      <c r="BS711" s="344"/>
      <c r="BT711" s="344"/>
      <c r="BU711" s="344"/>
      <c r="BV711" s="344"/>
      <c r="BW711" s="344"/>
      <c r="BX711" s="344"/>
      <c r="BY711" s="344"/>
      <c r="BZ711" s="344"/>
      <c r="CA711" s="344"/>
      <c r="CB711" s="28"/>
      <c r="CC711" s="28"/>
      <c r="CD711" s="28"/>
      <c r="CE711" s="28"/>
      <c r="CF711" s="28"/>
      <c r="CG711" s="28"/>
      <c r="CH711" s="28"/>
      <c r="CI711" s="28"/>
      <c r="CJ711" s="28"/>
      <c r="CK711" s="28"/>
      <c r="CL711" s="28"/>
      <c r="CM711" s="28"/>
      <c r="CN711" s="28"/>
      <c r="CO711" s="28"/>
      <c r="CP711" s="28"/>
      <c r="CQ711" s="28"/>
      <c r="CR711" s="28"/>
      <c r="CS711" s="28"/>
      <c r="CT711" s="28"/>
      <c r="CU711" s="28"/>
      <c r="CV711" s="28"/>
      <c r="CW711" s="28"/>
    </row>
    <row r="712" spans="1:101" ht="14.25" customHeight="1" x14ac:dyDescent="0.2">
      <c r="A712" s="328"/>
      <c r="B712" s="52">
        <v>0.15735611427216248</v>
      </c>
      <c r="C712" s="330">
        <v>0.83609002728575366</v>
      </c>
      <c r="D712" s="330">
        <v>2.1034009835170675E-2</v>
      </c>
      <c r="E712" s="330">
        <v>8.2690342571944114E-3</v>
      </c>
      <c r="F712" s="331">
        <v>0.78772053137241482</v>
      </c>
      <c r="G712" s="94">
        <v>0.37001649824114724</v>
      </c>
      <c r="H712" s="330">
        <v>0.80014686438305704</v>
      </c>
      <c r="I712" s="330">
        <v>9.3346107856865819E-3</v>
      </c>
      <c r="J712" s="330">
        <v>0.99999996761910503</v>
      </c>
      <c r="K712" s="330">
        <v>0.7651182049407278</v>
      </c>
      <c r="L712" s="332">
        <v>9145.2224747259115</v>
      </c>
      <c r="M712" s="330">
        <v>0</v>
      </c>
      <c r="N712" s="330">
        <v>18242.692455112254</v>
      </c>
      <c r="O712" s="330">
        <v>878.43513493705916</v>
      </c>
      <c r="P712" s="330">
        <v>52287.696360727328</v>
      </c>
      <c r="Q712" s="333">
        <v>80980.587556984392</v>
      </c>
      <c r="R712" s="330">
        <v>22630.550183221043</v>
      </c>
      <c r="S712" s="330">
        <v>8097.351568949377</v>
      </c>
      <c r="T712" s="332">
        <v>0.8320589713775336</v>
      </c>
      <c r="U712" s="330">
        <v>0.89598416900333477</v>
      </c>
      <c r="V712" s="330">
        <v>0.18493761464712333</v>
      </c>
      <c r="W712" s="330">
        <v>0.99997666623454351</v>
      </c>
      <c r="X712" s="330">
        <v>0.99999020469196465</v>
      </c>
      <c r="Y712" s="330">
        <v>0</v>
      </c>
      <c r="Z712" s="331">
        <v>0</v>
      </c>
      <c r="AA712" s="235"/>
      <c r="AB712" s="335">
        <v>80979.397870402172</v>
      </c>
      <c r="AC712" s="336">
        <v>4.8524029932201644</v>
      </c>
      <c r="AD712" s="337">
        <v>74035.933116073182</v>
      </c>
      <c r="AE712" s="336">
        <v>4.9660962106182085</v>
      </c>
      <c r="AF712" s="337">
        <v>6943.4647543289902</v>
      </c>
      <c r="AG712" s="338">
        <v>-0.11369321739804406</v>
      </c>
      <c r="AH712" s="235"/>
      <c r="AI712" s="208">
        <f t="shared" si="74"/>
        <v>4528803.4456887543</v>
      </c>
      <c r="AJ712" s="208">
        <f t="shared" si="75"/>
        <v>4643755.4669712251</v>
      </c>
      <c r="AK712" s="208">
        <f t="shared" si="76"/>
        <v>-114952.02128247084</v>
      </c>
      <c r="AL712" s="235"/>
      <c r="AM712" s="52">
        <f t="shared" si="58"/>
        <v>0</v>
      </c>
      <c r="AN712" s="52">
        <f t="shared" si="59"/>
        <v>1</v>
      </c>
      <c r="AO712" s="52">
        <f t="shared" si="60"/>
        <v>0</v>
      </c>
      <c r="AP712" s="235"/>
      <c r="AQ712" s="28"/>
      <c r="AR712" s="28"/>
      <c r="AS712" s="28"/>
      <c r="AT712" s="28"/>
      <c r="AU712" s="235"/>
      <c r="AV712" s="360">
        <f t="shared" si="77"/>
        <v>4643755.4669712251</v>
      </c>
      <c r="AW712" s="235"/>
      <c r="AX712" s="355"/>
      <c r="AY712" s="344"/>
      <c r="AZ712" s="14">
        <f t="shared" si="79"/>
        <v>6943.4647543289902</v>
      </c>
      <c r="BA712" s="14">
        <f t="shared" si="78"/>
        <v>-0.11369321739804406</v>
      </c>
      <c r="BB712" s="14">
        <f t="shared" si="61"/>
        <v>-61071.934748927633</v>
      </c>
      <c r="BC712" s="344"/>
      <c r="BD712" s="344"/>
      <c r="BE712" s="344"/>
      <c r="BF712" s="344"/>
      <c r="BG712" s="344"/>
      <c r="BH712" s="344"/>
      <c r="BI712" s="344"/>
      <c r="BJ712" s="344"/>
      <c r="BK712" s="344"/>
      <c r="BL712" s="344"/>
      <c r="BM712" s="344"/>
      <c r="BN712" s="344"/>
      <c r="BO712" s="344"/>
      <c r="BP712" s="344"/>
      <c r="BQ712" s="344"/>
      <c r="BR712" s="344"/>
      <c r="BS712" s="344"/>
      <c r="BT712" s="344"/>
      <c r="BU712" s="344"/>
      <c r="BV712" s="344"/>
      <c r="BW712" s="344"/>
      <c r="BX712" s="344"/>
      <c r="BY712" s="344"/>
      <c r="BZ712" s="344"/>
      <c r="CA712" s="344"/>
      <c r="CB712" s="28"/>
      <c r="CC712" s="28"/>
      <c r="CD712" s="28"/>
      <c r="CE712" s="28"/>
      <c r="CF712" s="28"/>
      <c r="CG712" s="28"/>
      <c r="CH712" s="28"/>
      <c r="CI712" s="28"/>
      <c r="CJ712" s="28"/>
      <c r="CK712" s="28"/>
      <c r="CL712" s="28"/>
      <c r="CM712" s="28"/>
      <c r="CN712" s="28"/>
      <c r="CO712" s="28"/>
      <c r="CP712" s="28"/>
      <c r="CQ712" s="28"/>
      <c r="CR712" s="28"/>
      <c r="CS712" s="28"/>
      <c r="CT712" s="28"/>
      <c r="CU712" s="28"/>
      <c r="CV712" s="28"/>
      <c r="CW712" s="28"/>
    </row>
    <row r="713" spans="1:101" ht="14.25" customHeight="1" x14ac:dyDescent="0.2">
      <c r="A713" s="328"/>
      <c r="B713" s="52">
        <v>0.14948474052836483</v>
      </c>
      <c r="C713" s="330">
        <v>0.17306557350180074</v>
      </c>
      <c r="D713" s="330">
        <v>8.4333502903290985E-3</v>
      </c>
      <c r="E713" s="330">
        <v>2.8913137802192179E-2</v>
      </c>
      <c r="F713" s="331">
        <v>0.7904437458241198</v>
      </c>
      <c r="G713" s="94">
        <v>0.37842023720427931</v>
      </c>
      <c r="H713" s="330">
        <v>0.68828870015565136</v>
      </c>
      <c r="I713" s="330">
        <v>1.9882842179883453E-2</v>
      </c>
      <c r="J713" s="330">
        <v>0.99999980103945008</v>
      </c>
      <c r="K713" s="330">
        <v>0.79866703274984785</v>
      </c>
      <c r="L713" s="332">
        <v>8272.2922939632062</v>
      </c>
      <c r="M713" s="330">
        <v>0</v>
      </c>
      <c r="N713" s="330">
        <v>20169.053675589326</v>
      </c>
      <c r="O713" s="330">
        <v>1382.9984736729325</v>
      </c>
      <c r="P713" s="330">
        <v>63052.409998686191</v>
      </c>
      <c r="Q713" s="333">
        <v>93062.399488719515</v>
      </c>
      <c r="R713" s="330">
        <v>22943.504846728498</v>
      </c>
      <c r="S713" s="330">
        <v>9306.9435201826236</v>
      </c>
      <c r="T713" s="332">
        <v>0.31408794935988199</v>
      </c>
      <c r="U713" s="330">
        <v>0.45647866240584545</v>
      </c>
      <c r="V713" s="330">
        <v>0.62793360725109071</v>
      </c>
      <c r="W713" s="330">
        <v>0.91022041776074658</v>
      </c>
      <c r="X713" s="330">
        <v>0.97892353432154211</v>
      </c>
      <c r="Y713" s="330">
        <v>0</v>
      </c>
      <c r="Z713" s="331">
        <v>0</v>
      </c>
      <c r="AA713" s="235"/>
      <c r="AB713" s="335">
        <v>88138.486450497061</v>
      </c>
      <c r="AC713" s="336">
        <v>4.7943769864371175</v>
      </c>
      <c r="AD713" s="337">
        <v>87503.544729819463</v>
      </c>
      <c r="AE713" s="336">
        <v>4.907015872111482</v>
      </c>
      <c r="AF713" s="337">
        <v>634.94172067759791</v>
      </c>
      <c r="AG713" s="338">
        <v>-0.11263888567436453</v>
      </c>
      <c r="AH713" s="235"/>
      <c r="AI713" s="208">
        <f t="shared" si="74"/>
        <v>4466519.6506647645</v>
      </c>
      <c r="AJ713" s="208">
        <f t="shared" si="75"/>
        <v>4574161.5337760886</v>
      </c>
      <c r="AK713" s="208">
        <f t="shared" si="76"/>
        <v>-107641.8831113239</v>
      </c>
      <c r="AL713" s="235"/>
      <c r="AM713" s="52">
        <f t="shared" si="58"/>
        <v>0</v>
      </c>
      <c r="AN713" s="52">
        <f t="shared" si="59"/>
        <v>1</v>
      </c>
      <c r="AO713" s="52">
        <f t="shared" si="60"/>
        <v>0</v>
      </c>
      <c r="AP713" s="235"/>
      <c r="AQ713" s="28"/>
      <c r="AR713" s="28"/>
      <c r="AS713" s="28"/>
      <c r="AT713" s="28"/>
      <c r="AU713" s="235"/>
      <c r="AV713" s="360">
        <f t="shared" si="77"/>
        <v>4574161.5337760886</v>
      </c>
      <c r="AW713" s="235"/>
      <c r="AX713" s="355"/>
      <c r="AY713" s="344"/>
      <c r="AZ713" s="14">
        <f t="shared" si="79"/>
        <v>634.94172067759791</v>
      </c>
      <c r="BA713" s="14">
        <f t="shared" si="78"/>
        <v>-0.11263888567436453</v>
      </c>
      <c r="BB713" s="14">
        <f t="shared" si="61"/>
        <v>-5636.9673481429354</v>
      </c>
      <c r="BC713" s="344"/>
      <c r="BD713" s="344"/>
      <c r="BE713" s="344"/>
      <c r="BF713" s="344"/>
      <c r="BG713" s="344"/>
      <c r="BH713" s="344"/>
      <c r="BI713" s="344"/>
      <c r="BJ713" s="344"/>
      <c r="BK713" s="344"/>
      <c r="BL713" s="344"/>
      <c r="BM713" s="344"/>
      <c r="BN713" s="344"/>
      <c r="BO713" s="344"/>
      <c r="BP713" s="344"/>
      <c r="BQ713" s="344"/>
      <c r="BR713" s="344"/>
      <c r="BS713" s="344"/>
      <c r="BT713" s="344"/>
      <c r="BU713" s="344"/>
      <c r="BV713" s="344"/>
      <c r="BW713" s="344"/>
      <c r="BX713" s="344"/>
      <c r="BY713" s="344"/>
      <c r="BZ713" s="344"/>
      <c r="CA713" s="344"/>
      <c r="CB713" s="28"/>
      <c r="CC713" s="28"/>
      <c r="CD713" s="28"/>
      <c r="CE713" s="28"/>
      <c r="CF713" s="28"/>
      <c r="CG713" s="28"/>
      <c r="CH713" s="28"/>
      <c r="CI713" s="28"/>
      <c r="CJ713" s="28"/>
      <c r="CK713" s="28"/>
      <c r="CL713" s="28"/>
      <c r="CM713" s="28"/>
      <c r="CN713" s="28"/>
      <c r="CO713" s="28"/>
      <c r="CP713" s="28"/>
      <c r="CQ713" s="28"/>
      <c r="CR713" s="28"/>
      <c r="CS713" s="28"/>
      <c r="CT713" s="28"/>
      <c r="CU713" s="28"/>
      <c r="CV713" s="28"/>
      <c r="CW713" s="28"/>
    </row>
    <row r="714" spans="1:101" ht="14.25" customHeight="1" x14ac:dyDescent="0.2">
      <c r="A714" s="328"/>
      <c r="B714" s="52">
        <v>0.1322263192647683</v>
      </c>
      <c r="C714" s="330">
        <v>0.12132148345909366</v>
      </c>
      <c r="D714" s="330">
        <v>1.2454673702094151E-2</v>
      </c>
      <c r="E714" s="330">
        <v>1.6668225087549171E-2</v>
      </c>
      <c r="F714" s="331">
        <v>0.80193897085748156</v>
      </c>
      <c r="G714" s="94">
        <v>0.39198208026044368</v>
      </c>
      <c r="H714" s="330">
        <v>0.8427045238971701</v>
      </c>
      <c r="I714" s="330">
        <v>2.5533580982586956E-2</v>
      </c>
      <c r="J714" s="330">
        <v>0.99999999999999978</v>
      </c>
      <c r="K714" s="330">
        <v>0.79173771768826329</v>
      </c>
      <c r="L714" s="332">
        <v>11481.03171695502</v>
      </c>
      <c r="M714" s="330">
        <v>0</v>
      </c>
      <c r="N714" s="330">
        <v>19703.648671219795</v>
      </c>
      <c r="O714" s="330">
        <v>1375.1885529254855</v>
      </c>
      <c r="P714" s="330">
        <v>38652.609569255612</v>
      </c>
      <c r="Q714" s="333">
        <v>110392.57065159237</v>
      </c>
      <c r="R714" s="330">
        <v>30470.060230458294</v>
      </c>
      <c r="S714" s="330">
        <v>10429.510738220819</v>
      </c>
      <c r="T714" s="332">
        <v>0.99826463698053225</v>
      </c>
      <c r="U714" s="330">
        <v>0.94158598252312997</v>
      </c>
      <c r="V714" s="330">
        <v>0.44356673955657999</v>
      </c>
      <c r="W714" s="330">
        <v>0.99982985837791094</v>
      </c>
      <c r="X714" s="330">
        <v>0.47634544879690693</v>
      </c>
      <c r="Y714" s="330">
        <v>0</v>
      </c>
      <c r="Z714" s="331">
        <v>0</v>
      </c>
      <c r="AA714" s="235"/>
      <c r="AB714" s="335">
        <v>102089.27153111271</v>
      </c>
      <c r="AC714" s="336">
        <v>2.5668960200527025</v>
      </c>
      <c r="AD714" s="337">
        <v>100685.50083034499</v>
      </c>
      <c r="AE714" s="336">
        <v>2.6723011640495873</v>
      </c>
      <c r="AF714" s="337">
        <v>1403.7707007677236</v>
      </c>
      <c r="AG714" s="338">
        <v>-0.10540514399688483</v>
      </c>
      <c r="AH714" s="235"/>
      <c r="AI714" s="208">
        <f t="shared" si="74"/>
        <v>2336461.947518955</v>
      </c>
      <c r="AJ714" s="208">
        <f t="shared" si="75"/>
        <v>2438000.6050167629</v>
      </c>
      <c r="AK714" s="208">
        <f t="shared" si="76"/>
        <v>-101538.65749780831</v>
      </c>
      <c r="AL714" s="235"/>
      <c r="AM714" s="52">
        <f t="shared" si="58"/>
        <v>0</v>
      </c>
      <c r="AN714" s="52">
        <f t="shared" si="59"/>
        <v>1</v>
      </c>
      <c r="AO714" s="52">
        <f t="shared" si="60"/>
        <v>0</v>
      </c>
      <c r="AP714" s="235"/>
      <c r="AQ714" s="28"/>
      <c r="AR714" s="28"/>
      <c r="AS714" s="28"/>
      <c r="AT714" s="28"/>
      <c r="AU714" s="235"/>
      <c r="AV714" s="360">
        <f t="shared" si="77"/>
        <v>2438000.6050167629</v>
      </c>
      <c r="AW714" s="235"/>
      <c r="AX714" s="355"/>
      <c r="AY714" s="344"/>
      <c r="AZ714" s="14">
        <f t="shared" si="79"/>
        <v>1403.7707007677236</v>
      </c>
      <c r="BA714" s="14">
        <f t="shared" si="78"/>
        <v>-0.10540514399688483</v>
      </c>
      <c r="BB714" s="14">
        <f t="shared" si="61"/>
        <v>-13317.857625707631</v>
      </c>
      <c r="BC714" s="344"/>
      <c r="BD714" s="344"/>
      <c r="BE714" s="344"/>
      <c r="BF714" s="344"/>
      <c r="BG714" s="344"/>
      <c r="BH714" s="344"/>
      <c r="BI714" s="344"/>
      <c r="BJ714" s="344"/>
      <c r="BK714" s="344"/>
      <c r="BL714" s="344"/>
      <c r="BM714" s="344"/>
      <c r="BN714" s="344"/>
      <c r="BO714" s="344"/>
      <c r="BP714" s="344"/>
      <c r="BQ714" s="344"/>
      <c r="BR714" s="344"/>
      <c r="BS714" s="344"/>
      <c r="BT714" s="344"/>
      <c r="BU714" s="344"/>
      <c r="BV714" s="344"/>
      <c r="BW714" s="344"/>
      <c r="BX714" s="344"/>
      <c r="BY714" s="344"/>
      <c r="BZ714" s="344"/>
      <c r="CA714" s="344"/>
      <c r="CB714" s="28"/>
      <c r="CC714" s="28"/>
      <c r="CD714" s="28"/>
      <c r="CE714" s="28"/>
      <c r="CF714" s="28"/>
      <c r="CG714" s="28"/>
      <c r="CH714" s="28"/>
      <c r="CI714" s="28"/>
      <c r="CJ714" s="28"/>
      <c r="CK714" s="28"/>
      <c r="CL714" s="28"/>
      <c r="CM714" s="28"/>
      <c r="CN714" s="28"/>
      <c r="CO714" s="28"/>
      <c r="CP714" s="28"/>
      <c r="CQ714" s="28"/>
      <c r="CR714" s="28"/>
      <c r="CS714" s="28"/>
      <c r="CT714" s="28"/>
      <c r="CU714" s="28"/>
      <c r="CV714" s="28"/>
      <c r="CW714" s="28"/>
    </row>
    <row r="715" spans="1:101" ht="14.25" customHeight="1" x14ac:dyDescent="0.2">
      <c r="A715" s="328"/>
      <c r="B715" s="52">
        <v>0.1626581687097185</v>
      </c>
      <c r="C715" s="330">
        <v>0.89959888699822521</v>
      </c>
      <c r="D715" s="330">
        <v>2.6397742574291949E-2</v>
      </c>
      <c r="E715" s="330">
        <v>8.8413511694738853E-3</v>
      </c>
      <c r="F715" s="331">
        <v>0.76468485521131557</v>
      </c>
      <c r="G715" s="94">
        <v>0.43002666349829854</v>
      </c>
      <c r="H715" s="330">
        <v>0.38879130739399348</v>
      </c>
      <c r="I715" s="330">
        <v>6.0685579300880817E-3</v>
      </c>
      <c r="J715" s="330">
        <v>0.99998732338600282</v>
      </c>
      <c r="K715" s="330">
        <v>0.78107832007420241</v>
      </c>
      <c r="L715" s="332">
        <v>16141.60419125342</v>
      </c>
      <c r="M715" s="330">
        <v>0</v>
      </c>
      <c r="N715" s="330">
        <v>11514.220957157127</v>
      </c>
      <c r="O715" s="330">
        <v>1230.5770030742515</v>
      </c>
      <c r="P715" s="330">
        <v>51414.26048887962</v>
      </c>
      <c r="Q715" s="333">
        <v>107383.40692572716</v>
      </c>
      <c r="R715" s="330">
        <v>23378.393613787717</v>
      </c>
      <c r="S715" s="330">
        <v>11841.749031754278</v>
      </c>
      <c r="T715" s="332">
        <v>0.45473441109822693</v>
      </c>
      <c r="U715" s="330">
        <v>0.98319344018716437</v>
      </c>
      <c r="V715" s="330">
        <v>0.99854592505205453</v>
      </c>
      <c r="W715" s="330">
        <v>0.96412119808583396</v>
      </c>
      <c r="X715" s="330">
        <v>0.38385729602212604</v>
      </c>
      <c r="Y715" s="330">
        <v>0</v>
      </c>
      <c r="Z715" s="331">
        <v>0</v>
      </c>
      <c r="AA715" s="235"/>
      <c r="AB715" s="335">
        <v>117399.64440539885</v>
      </c>
      <c r="AC715" s="336">
        <v>1.8506676621366587</v>
      </c>
      <c r="AD715" s="337">
        <v>104170.18042776229</v>
      </c>
      <c r="AE715" s="336">
        <v>2.1801958922546305</v>
      </c>
      <c r="AF715" s="337">
        <v>13229.463977636566</v>
      </c>
      <c r="AG715" s="338">
        <v>-0.32952823011797183</v>
      </c>
      <c r="AH715" s="235"/>
      <c r="AI715" s="208">
        <f t="shared" si="74"/>
        <v>1640734.634624427</v>
      </c>
      <c r="AJ715" s="208">
        <f t="shared" si="75"/>
        <v>1967015.9172141368</v>
      </c>
      <c r="AK715" s="208">
        <f t="shared" si="76"/>
        <v>-326281.28258970985</v>
      </c>
      <c r="AL715" s="235"/>
      <c r="AM715" s="52">
        <f t="shared" si="58"/>
        <v>0</v>
      </c>
      <c r="AN715" s="52">
        <f t="shared" si="59"/>
        <v>1</v>
      </c>
      <c r="AO715" s="52">
        <f t="shared" si="60"/>
        <v>0</v>
      </c>
      <c r="AP715" s="235"/>
      <c r="AQ715" s="28"/>
      <c r="AR715" s="28"/>
      <c r="AS715" s="28"/>
      <c r="AT715" s="28"/>
      <c r="AU715" s="235"/>
      <c r="AV715" s="360">
        <f t="shared" si="77"/>
        <v>1967015.9172141368</v>
      </c>
      <c r="AW715" s="235"/>
      <c r="AX715" s="355"/>
      <c r="AY715" s="344"/>
      <c r="AZ715" s="14">
        <f t="shared" si="79"/>
        <v>13229.463977636566</v>
      </c>
      <c r="BA715" s="14">
        <f t="shared" si="78"/>
        <v>-0.32952823011797183</v>
      </c>
      <c r="BB715" s="14">
        <f t="shared" si="61"/>
        <v>-40146.678701549754</v>
      </c>
      <c r="BC715" s="344"/>
      <c r="BD715" s="344"/>
      <c r="BE715" s="344"/>
      <c r="BF715" s="344"/>
      <c r="BG715" s="344"/>
      <c r="BH715" s="344"/>
      <c r="BI715" s="344"/>
      <c r="BJ715" s="344"/>
      <c r="BK715" s="344"/>
      <c r="BL715" s="344"/>
      <c r="BM715" s="344"/>
      <c r="BN715" s="344"/>
      <c r="BO715" s="344"/>
      <c r="BP715" s="344"/>
      <c r="BQ715" s="344"/>
      <c r="BR715" s="344"/>
      <c r="BS715" s="344"/>
      <c r="BT715" s="344"/>
      <c r="BU715" s="344"/>
      <c r="BV715" s="344"/>
      <c r="BW715" s="344"/>
      <c r="BX715" s="344"/>
      <c r="BY715" s="344"/>
      <c r="BZ715" s="344"/>
      <c r="CA715" s="344"/>
      <c r="CB715" s="28"/>
      <c r="CC715" s="28"/>
      <c r="CD715" s="28"/>
      <c r="CE715" s="28"/>
      <c r="CF715" s="28"/>
      <c r="CG715" s="28"/>
      <c r="CH715" s="28"/>
      <c r="CI715" s="28"/>
      <c r="CJ715" s="28"/>
      <c r="CK715" s="28"/>
      <c r="CL715" s="28"/>
      <c r="CM715" s="28"/>
      <c r="CN715" s="28"/>
      <c r="CO715" s="28"/>
      <c r="CP715" s="28"/>
      <c r="CQ715" s="28"/>
      <c r="CR715" s="28"/>
      <c r="CS715" s="28"/>
      <c r="CT715" s="28"/>
      <c r="CU715" s="28"/>
      <c r="CV715" s="28"/>
      <c r="CW715" s="28"/>
    </row>
    <row r="716" spans="1:101" ht="14.25" customHeight="1" x14ac:dyDescent="0.2">
      <c r="A716" s="328"/>
      <c r="B716" s="52">
        <v>0.17326444806162034</v>
      </c>
      <c r="C716" s="330">
        <v>0.40505426508651898</v>
      </c>
      <c r="D716" s="330">
        <v>1.6483570853490392E-2</v>
      </c>
      <c r="E716" s="330">
        <v>2.3356228999052542E-2</v>
      </c>
      <c r="F716" s="331">
        <v>0.7795169112454795</v>
      </c>
      <c r="G716" s="94">
        <v>0.35825522179538322</v>
      </c>
      <c r="H716" s="330">
        <v>0.29234432744035083</v>
      </c>
      <c r="I716" s="330">
        <v>3.7999545381205202E-2</v>
      </c>
      <c r="J716" s="330">
        <v>0.99999939012341454</v>
      </c>
      <c r="K716" s="330">
        <v>0.78044263467508157</v>
      </c>
      <c r="L716" s="332">
        <v>14809.481797467473</v>
      </c>
      <c r="M716" s="330">
        <v>0</v>
      </c>
      <c r="N716" s="330">
        <v>16884.689234709367</v>
      </c>
      <c r="O716" s="330">
        <v>683.03490782725271</v>
      </c>
      <c r="P716" s="330">
        <v>48527.586819429736</v>
      </c>
      <c r="Q716" s="333">
        <v>79913.511698876464</v>
      </c>
      <c r="R716" s="330">
        <v>25903.729835404723</v>
      </c>
      <c r="S716" s="330">
        <v>8603.4448579623695</v>
      </c>
      <c r="T716" s="332">
        <v>0.9865470572596331</v>
      </c>
      <c r="U716" s="330">
        <v>0.98892327883169884</v>
      </c>
      <c r="V716" s="330">
        <v>0.99930359709040095</v>
      </c>
      <c r="W716" s="330">
        <v>0.9914768236893996</v>
      </c>
      <c r="X716" s="330">
        <v>0.85015350000576106</v>
      </c>
      <c r="Y716" s="330">
        <v>0</v>
      </c>
      <c r="Z716" s="331">
        <v>0</v>
      </c>
      <c r="AA716" s="235"/>
      <c r="AB716" s="335">
        <v>88947.720529538652</v>
      </c>
      <c r="AC716" s="336">
        <v>4.0693195527291364</v>
      </c>
      <c r="AD716" s="337">
        <v>77030.642999677933</v>
      </c>
      <c r="AE716" s="336">
        <v>4.4137939203543892</v>
      </c>
      <c r="AF716" s="337">
        <v>11917.077529860719</v>
      </c>
      <c r="AG716" s="338">
        <v>-0.34447436762525285</v>
      </c>
      <c r="AH716" s="235"/>
      <c r="AI716" s="208">
        <f t="shared" si="74"/>
        <v>3776905.8545631408</v>
      </c>
      <c r="AJ716" s="208">
        <f t="shared" si="75"/>
        <v>4116073.5813369919</v>
      </c>
      <c r="AK716" s="208">
        <f t="shared" si="76"/>
        <v>-339167.72677385091</v>
      </c>
      <c r="AL716" s="235"/>
      <c r="AM716" s="52">
        <f t="shared" si="58"/>
        <v>0</v>
      </c>
      <c r="AN716" s="52">
        <f t="shared" si="59"/>
        <v>1</v>
      </c>
      <c r="AO716" s="52">
        <f t="shared" si="60"/>
        <v>0</v>
      </c>
      <c r="AP716" s="235"/>
      <c r="AQ716" s="28"/>
      <c r="AR716" s="28"/>
      <c r="AS716" s="28"/>
      <c r="AT716" s="28"/>
      <c r="AU716" s="235"/>
      <c r="AV716" s="360">
        <f t="shared" si="77"/>
        <v>4116073.5813369919</v>
      </c>
      <c r="AW716" s="235"/>
      <c r="AX716" s="355"/>
      <c r="AY716" s="344"/>
      <c r="AZ716" s="14">
        <f t="shared" si="79"/>
        <v>11917.077529860719</v>
      </c>
      <c r="BA716" s="14">
        <f t="shared" si="78"/>
        <v>-0.34447436762525285</v>
      </c>
      <c r="BB716" s="14">
        <f t="shared" si="61"/>
        <v>-34594.961628103141</v>
      </c>
      <c r="BC716" s="344"/>
      <c r="BD716" s="344"/>
      <c r="BE716" s="344"/>
      <c r="BF716" s="344"/>
      <c r="BG716" s="344"/>
      <c r="BH716" s="344"/>
      <c r="BI716" s="344"/>
      <c r="BJ716" s="344"/>
      <c r="BK716" s="344"/>
      <c r="BL716" s="344"/>
      <c r="BM716" s="344"/>
      <c r="BN716" s="344"/>
      <c r="BO716" s="344"/>
      <c r="BP716" s="344"/>
      <c r="BQ716" s="344"/>
      <c r="BR716" s="344"/>
      <c r="BS716" s="344"/>
      <c r="BT716" s="344"/>
      <c r="BU716" s="344"/>
      <c r="BV716" s="344"/>
      <c r="BW716" s="344"/>
      <c r="BX716" s="344"/>
      <c r="BY716" s="344"/>
      <c r="BZ716" s="344"/>
      <c r="CA716" s="344"/>
      <c r="CB716" s="28"/>
      <c r="CC716" s="28"/>
      <c r="CD716" s="28"/>
      <c r="CE716" s="28"/>
      <c r="CF716" s="28"/>
      <c r="CG716" s="28"/>
      <c r="CH716" s="28"/>
      <c r="CI716" s="28"/>
      <c r="CJ716" s="28"/>
      <c r="CK716" s="28"/>
      <c r="CL716" s="28"/>
      <c r="CM716" s="28"/>
      <c r="CN716" s="28"/>
      <c r="CO716" s="28"/>
      <c r="CP716" s="28"/>
      <c r="CQ716" s="28"/>
      <c r="CR716" s="28"/>
      <c r="CS716" s="28"/>
      <c r="CT716" s="28"/>
      <c r="CU716" s="28"/>
      <c r="CV716" s="28"/>
      <c r="CW716" s="28"/>
    </row>
    <row r="717" spans="1:101" ht="14.25" customHeight="1" x14ac:dyDescent="0.2">
      <c r="A717" s="328"/>
      <c r="B717" s="52">
        <v>0.16251056358159877</v>
      </c>
      <c r="C717" s="330">
        <v>0.79552320332448678</v>
      </c>
      <c r="D717" s="330">
        <v>1.5828242132711723E-2</v>
      </c>
      <c r="E717" s="330">
        <v>1.9769383671959573E-2</v>
      </c>
      <c r="F717" s="331">
        <v>0.81748449515183574</v>
      </c>
      <c r="G717" s="94">
        <v>0.3829735801670478</v>
      </c>
      <c r="H717" s="330">
        <v>0.46610836493346813</v>
      </c>
      <c r="I717" s="330">
        <v>2.6876869951997673E-2</v>
      </c>
      <c r="J717" s="330">
        <v>2.1271944395274162E-2</v>
      </c>
      <c r="K717" s="330">
        <v>0.76074397361352319</v>
      </c>
      <c r="L717" s="332">
        <v>15640.144658748479</v>
      </c>
      <c r="M717" s="330">
        <v>0</v>
      </c>
      <c r="N717" s="330">
        <v>29713.567403126432</v>
      </c>
      <c r="O717" s="330">
        <v>1525.1790330012534</v>
      </c>
      <c r="P717" s="330">
        <v>49657.520197917598</v>
      </c>
      <c r="Q717" s="333">
        <v>93626.758967243572</v>
      </c>
      <c r="R717" s="330">
        <v>21370.542716187447</v>
      </c>
      <c r="S717" s="330">
        <v>9251.9070625352615</v>
      </c>
      <c r="T717" s="332">
        <v>0.64130871482179441</v>
      </c>
      <c r="U717" s="330">
        <v>0.78611678737147139</v>
      </c>
      <c r="V717" s="330">
        <v>0.99997768424430356</v>
      </c>
      <c r="W717" s="330">
        <v>0.15196957987769108</v>
      </c>
      <c r="X717" s="330">
        <v>0.57490415005456175</v>
      </c>
      <c r="Y717" s="330">
        <v>0</v>
      </c>
      <c r="Z717" s="331">
        <v>0</v>
      </c>
      <c r="AA717" s="235"/>
      <c r="AB717" s="335">
        <v>100059.09442957331</v>
      </c>
      <c r="AC717" s="336">
        <v>3.0402953970616453</v>
      </c>
      <c r="AD717" s="337">
        <v>80982.425587499063</v>
      </c>
      <c r="AE717" s="336">
        <v>2.736343525960474</v>
      </c>
      <c r="AF717" s="337">
        <v>19076.668842074243</v>
      </c>
      <c r="AG717" s="338">
        <v>0.30395187110117128</v>
      </c>
      <c r="AH717" s="235"/>
      <c r="AI717" s="208">
        <f t="shared" si="74"/>
        <v>2788221.5327789895</v>
      </c>
      <c r="AJ717" s="208">
        <f t="shared" si="75"/>
        <v>2518543.9240749511</v>
      </c>
      <c r="AK717" s="208">
        <f t="shared" si="76"/>
        <v>269677.60870403849</v>
      </c>
      <c r="AL717" s="235"/>
      <c r="AM717" s="52">
        <f t="shared" si="58"/>
        <v>1</v>
      </c>
      <c r="AN717" s="52">
        <f t="shared" si="59"/>
        <v>0</v>
      </c>
      <c r="AO717" s="52">
        <f t="shared" si="60"/>
        <v>1</v>
      </c>
      <c r="AP717" s="235"/>
      <c r="AQ717" s="28"/>
      <c r="AR717" s="28"/>
      <c r="AS717" s="28"/>
      <c r="AT717" s="28"/>
      <c r="AU717" s="235"/>
      <c r="AV717" s="360">
        <f t="shared" si="77"/>
        <v>2788221.5327789895</v>
      </c>
      <c r="AW717" s="235"/>
      <c r="AX717" s="355"/>
      <c r="AY717" s="344"/>
      <c r="AZ717" s="14">
        <f t="shared" si="79"/>
        <v>19076.668842074243</v>
      </c>
      <c r="BA717" s="14">
        <f t="shared" si="78"/>
        <v>0.30395187110117128</v>
      </c>
      <c r="BB717" s="14">
        <f t="shared" si="61"/>
        <v>62762.136561167994</v>
      </c>
      <c r="BC717" s="344"/>
      <c r="BD717" s="344"/>
      <c r="BE717" s="344"/>
      <c r="BF717" s="344"/>
      <c r="BG717" s="344"/>
      <c r="BH717" s="344"/>
      <c r="BI717" s="344"/>
      <c r="BJ717" s="344"/>
      <c r="BK717" s="344"/>
      <c r="BL717" s="344"/>
      <c r="BM717" s="344"/>
      <c r="BN717" s="344"/>
      <c r="BO717" s="344"/>
      <c r="BP717" s="344"/>
      <c r="BQ717" s="344"/>
      <c r="BR717" s="344"/>
      <c r="BS717" s="344"/>
      <c r="BT717" s="344"/>
      <c r="BU717" s="344"/>
      <c r="BV717" s="344"/>
      <c r="BW717" s="344"/>
      <c r="BX717" s="344"/>
      <c r="BY717" s="344"/>
      <c r="BZ717" s="344"/>
      <c r="CA717" s="344"/>
      <c r="CB717" s="28"/>
      <c r="CC717" s="28"/>
      <c r="CD717" s="28"/>
      <c r="CE717" s="28"/>
      <c r="CF717" s="28"/>
      <c r="CG717" s="28"/>
      <c r="CH717" s="28"/>
      <c r="CI717" s="28"/>
      <c r="CJ717" s="28"/>
      <c r="CK717" s="28"/>
      <c r="CL717" s="28"/>
      <c r="CM717" s="28"/>
      <c r="CN717" s="28"/>
      <c r="CO717" s="28"/>
      <c r="CP717" s="28"/>
      <c r="CQ717" s="28"/>
      <c r="CR717" s="28"/>
      <c r="CS717" s="28"/>
      <c r="CT717" s="28"/>
      <c r="CU717" s="28"/>
      <c r="CV717" s="28"/>
      <c r="CW717" s="28"/>
    </row>
    <row r="718" spans="1:101" ht="14.25" customHeight="1" x14ac:dyDescent="0.2">
      <c r="A718" s="328"/>
      <c r="B718" s="52">
        <v>0.1584944265483578</v>
      </c>
      <c r="C718" s="330">
        <v>0.13315117656540454</v>
      </c>
      <c r="D718" s="330">
        <v>1.3410343657312017E-2</v>
      </c>
      <c r="E718" s="330">
        <v>1.1977079381872448E-2</v>
      </c>
      <c r="F718" s="331">
        <v>0.81034912586496599</v>
      </c>
      <c r="G718" s="94">
        <v>0.33763465585767977</v>
      </c>
      <c r="H718" s="330">
        <v>0.83833424590364047</v>
      </c>
      <c r="I718" s="330">
        <v>2.8607790843133807E-2</v>
      </c>
      <c r="J718" s="330">
        <v>8.0424741727145774E-4</v>
      </c>
      <c r="K718" s="330">
        <v>0.71779784232475718</v>
      </c>
      <c r="L718" s="332">
        <v>8845.8881455931005</v>
      </c>
      <c r="M718" s="330">
        <v>0</v>
      </c>
      <c r="N718" s="330">
        <v>18625.748990216489</v>
      </c>
      <c r="O718" s="330">
        <v>881.27170522403628</v>
      </c>
      <c r="P718" s="330">
        <v>53093.370845676553</v>
      </c>
      <c r="Q718" s="333">
        <v>115761.26818966353</v>
      </c>
      <c r="R718" s="330">
        <v>22910.159678768607</v>
      </c>
      <c r="S718" s="330">
        <v>10463.53339900173</v>
      </c>
      <c r="T718" s="332">
        <v>0.99288566719159987</v>
      </c>
      <c r="U718" s="330">
        <v>0.85036367789027933</v>
      </c>
      <c r="V718" s="330">
        <v>0.99738271259666433</v>
      </c>
      <c r="W718" s="330">
        <v>0.99994343843423794</v>
      </c>
      <c r="X718" s="330">
        <v>0.8103391875348851</v>
      </c>
      <c r="Y718" s="330">
        <v>0</v>
      </c>
      <c r="Z718" s="331">
        <v>0</v>
      </c>
      <c r="AA718" s="235"/>
      <c r="AB718" s="335">
        <v>100708.27221161446</v>
      </c>
      <c r="AC718" s="336">
        <v>3.9800514436666292</v>
      </c>
      <c r="AD718" s="337">
        <v>88344.005381010895</v>
      </c>
      <c r="AE718" s="336">
        <v>3.5506325132204384</v>
      </c>
      <c r="AF718" s="337">
        <v>12364.266830603563</v>
      </c>
      <c r="AG718" s="338">
        <v>0.42941893044619084</v>
      </c>
      <c r="AH718" s="235"/>
      <c r="AI718" s="208">
        <f t="shared" ref="AI718:AI781" si="80">AC718*cRatio-AB718</f>
        <v>3680340.599271683</v>
      </c>
      <c r="AJ718" s="208">
        <f t="shared" ref="AJ718:AJ781" si="81">AE718*cRatio-AD718</f>
        <v>3284756.8821784053</v>
      </c>
      <c r="AK718" s="208">
        <f t="shared" ref="AK718:AK781" si="82">AG718*cRatio-AF718</f>
        <v>395583.71709327772</v>
      </c>
      <c r="AL718" s="235"/>
      <c r="AM718" s="52">
        <f t="shared" si="58"/>
        <v>1</v>
      </c>
      <c r="AN718" s="52">
        <f t="shared" si="59"/>
        <v>0</v>
      </c>
      <c r="AO718" s="52">
        <f t="shared" si="60"/>
        <v>1</v>
      </c>
      <c r="AP718" s="235"/>
      <c r="AQ718" s="28"/>
      <c r="AR718" s="28"/>
      <c r="AS718" s="28"/>
      <c r="AT718" s="28"/>
      <c r="AU718" s="235"/>
      <c r="AV718" s="360">
        <f t="shared" si="77"/>
        <v>3680340.599271683</v>
      </c>
      <c r="AW718" s="235"/>
      <c r="AX718" s="355"/>
      <c r="AY718" s="344"/>
      <c r="AZ718" s="14">
        <f t="shared" si="79"/>
        <v>12364.266830603563</v>
      </c>
      <c r="BA718" s="14">
        <f t="shared" si="78"/>
        <v>0.42941893044619084</v>
      </c>
      <c r="BB718" s="14">
        <f t="shared" si="61"/>
        <v>28793.017619778388</v>
      </c>
      <c r="BC718" s="344"/>
      <c r="BD718" s="344"/>
      <c r="BE718" s="344"/>
      <c r="BF718" s="344"/>
      <c r="BG718" s="344"/>
      <c r="BH718" s="344"/>
      <c r="BI718" s="344"/>
      <c r="BJ718" s="344"/>
      <c r="BK718" s="344"/>
      <c r="BL718" s="344"/>
      <c r="BM718" s="344"/>
      <c r="BN718" s="344"/>
      <c r="BO718" s="344"/>
      <c r="BP718" s="344"/>
      <c r="BQ718" s="344"/>
      <c r="BR718" s="344"/>
      <c r="BS718" s="344"/>
      <c r="BT718" s="344"/>
      <c r="BU718" s="344"/>
      <c r="BV718" s="344"/>
      <c r="BW718" s="344"/>
      <c r="BX718" s="344"/>
      <c r="BY718" s="344"/>
      <c r="BZ718" s="344"/>
      <c r="CA718" s="344"/>
      <c r="CB718" s="28"/>
      <c r="CC718" s="28"/>
      <c r="CD718" s="28"/>
      <c r="CE718" s="28"/>
      <c r="CF718" s="28"/>
      <c r="CG718" s="28"/>
      <c r="CH718" s="28"/>
      <c r="CI718" s="28"/>
      <c r="CJ718" s="28"/>
      <c r="CK718" s="28"/>
      <c r="CL718" s="28"/>
      <c r="CM718" s="28"/>
      <c r="CN718" s="28"/>
      <c r="CO718" s="28"/>
      <c r="CP718" s="28"/>
      <c r="CQ718" s="28"/>
      <c r="CR718" s="28"/>
      <c r="CS718" s="28"/>
      <c r="CT718" s="28"/>
      <c r="CU718" s="28"/>
      <c r="CV718" s="28"/>
      <c r="CW718" s="28"/>
    </row>
    <row r="719" spans="1:101" ht="14.25" customHeight="1" x14ac:dyDescent="0.2">
      <c r="A719" s="328"/>
      <c r="B719" s="52">
        <v>0.15466614731603273</v>
      </c>
      <c r="C719" s="330">
        <v>0.3574172270793543</v>
      </c>
      <c r="D719" s="330">
        <v>1.0950167547367934E-2</v>
      </c>
      <c r="E719" s="330">
        <v>1.2917640806412327E-2</v>
      </c>
      <c r="F719" s="331">
        <v>0.77938419382589352</v>
      </c>
      <c r="G719" s="94">
        <v>0.39205165852585955</v>
      </c>
      <c r="H719" s="330">
        <v>0.86218205003441128</v>
      </c>
      <c r="I719" s="330">
        <v>2.0310755736432706E-2</v>
      </c>
      <c r="J719" s="330">
        <v>0.99999999998816258</v>
      </c>
      <c r="K719" s="330">
        <v>0.70307604011651348</v>
      </c>
      <c r="L719" s="332">
        <v>10276.684879982258</v>
      </c>
      <c r="M719" s="330">
        <v>0</v>
      </c>
      <c r="N719" s="330">
        <v>17046.095284668259</v>
      </c>
      <c r="O719" s="330">
        <v>888.38361055972541</v>
      </c>
      <c r="P719" s="330">
        <v>59082.049811621888</v>
      </c>
      <c r="Q719" s="333">
        <v>103837.13344378503</v>
      </c>
      <c r="R719" s="330">
        <v>25884.880239497452</v>
      </c>
      <c r="S719" s="330">
        <v>10548.178338651831</v>
      </c>
      <c r="T719" s="332">
        <v>0.99739801757322588</v>
      </c>
      <c r="U719" s="330">
        <v>0.45264815891446986</v>
      </c>
      <c r="V719" s="330">
        <v>0.99803565310404174</v>
      </c>
      <c r="W719" s="330">
        <v>0.99806563358353917</v>
      </c>
      <c r="X719" s="330">
        <v>0.98785341832959594</v>
      </c>
      <c r="Y719" s="330">
        <v>0</v>
      </c>
      <c r="Z719" s="331">
        <v>0</v>
      </c>
      <c r="AA719" s="235"/>
      <c r="AB719" s="335">
        <v>100244.88708408184</v>
      </c>
      <c r="AC719" s="336">
        <v>4.7348060231280309</v>
      </c>
      <c r="AD719" s="337">
        <v>90011.546310195525</v>
      </c>
      <c r="AE719" s="336">
        <v>4.2852861020780733</v>
      </c>
      <c r="AF719" s="337">
        <v>10233.340773886317</v>
      </c>
      <c r="AG719" s="338">
        <v>0.44951992104995764</v>
      </c>
      <c r="AH719" s="235"/>
      <c r="AI719" s="208">
        <f t="shared" si="80"/>
        <v>4397820.8348875474</v>
      </c>
      <c r="AJ719" s="208">
        <f t="shared" si="81"/>
        <v>3981010.2506639739</v>
      </c>
      <c r="AK719" s="208">
        <f t="shared" si="82"/>
        <v>416810.58422357345</v>
      </c>
      <c r="AL719" s="235"/>
      <c r="AM719" s="52">
        <f t="shared" si="58"/>
        <v>1</v>
      </c>
      <c r="AN719" s="52">
        <f t="shared" si="59"/>
        <v>0</v>
      </c>
      <c r="AO719" s="52">
        <f t="shared" si="60"/>
        <v>1</v>
      </c>
      <c r="AP719" s="235"/>
      <c r="AQ719" s="28"/>
      <c r="AR719" s="28"/>
      <c r="AS719" s="28"/>
      <c r="AT719" s="28"/>
      <c r="AU719" s="235"/>
      <c r="AV719" s="360">
        <f t="shared" ref="AV719:AV782" si="83">MAX(AI719:AJ719)</f>
        <v>4397820.8348875474</v>
      </c>
      <c r="AW719" s="235"/>
      <c r="AX719" s="355"/>
      <c r="AY719" s="344"/>
      <c r="AZ719" s="14">
        <f t="shared" si="79"/>
        <v>10233.340773886317</v>
      </c>
      <c r="BA719" s="14">
        <f t="shared" ref="BA719:BA782" si="84">AG719</f>
        <v>0.44951992104995764</v>
      </c>
      <c r="BB719" s="14">
        <f t="shared" si="61"/>
        <v>22765.04398288731</v>
      </c>
      <c r="BC719" s="344"/>
      <c r="BD719" s="344"/>
      <c r="BE719" s="344"/>
      <c r="BF719" s="344"/>
      <c r="BG719" s="344"/>
      <c r="BH719" s="344"/>
      <c r="BI719" s="344"/>
      <c r="BJ719" s="344"/>
      <c r="BK719" s="344"/>
      <c r="BL719" s="344"/>
      <c r="BM719" s="344"/>
      <c r="BN719" s="344"/>
      <c r="BO719" s="344"/>
      <c r="BP719" s="344"/>
      <c r="BQ719" s="344"/>
      <c r="BR719" s="344"/>
      <c r="BS719" s="344"/>
      <c r="BT719" s="344"/>
      <c r="BU719" s="344"/>
      <c r="BV719" s="344"/>
      <c r="BW719" s="344"/>
      <c r="BX719" s="344"/>
      <c r="BY719" s="344"/>
      <c r="BZ719" s="344"/>
      <c r="CA719" s="344"/>
      <c r="CB719" s="28"/>
      <c r="CC719" s="28"/>
      <c r="CD719" s="28"/>
      <c r="CE719" s="28"/>
      <c r="CF719" s="28"/>
      <c r="CG719" s="28"/>
      <c r="CH719" s="28"/>
      <c r="CI719" s="28"/>
      <c r="CJ719" s="28"/>
      <c r="CK719" s="28"/>
      <c r="CL719" s="28"/>
      <c r="CM719" s="28"/>
      <c r="CN719" s="28"/>
      <c r="CO719" s="28"/>
      <c r="CP719" s="28"/>
      <c r="CQ719" s="28"/>
      <c r="CR719" s="28"/>
      <c r="CS719" s="28"/>
      <c r="CT719" s="28"/>
      <c r="CU719" s="28"/>
      <c r="CV719" s="28"/>
      <c r="CW719" s="28"/>
    </row>
    <row r="720" spans="1:101" ht="14.25" customHeight="1" x14ac:dyDescent="0.2">
      <c r="A720" s="328"/>
      <c r="B720" s="52">
        <v>0.18098158176283263</v>
      </c>
      <c r="C720" s="330">
        <v>0.17292472551387783</v>
      </c>
      <c r="D720" s="330">
        <v>1.4514884511778514E-2</v>
      </c>
      <c r="E720" s="330">
        <v>1.4254997980233842E-2</v>
      </c>
      <c r="F720" s="331">
        <v>0.79164379133378304</v>
      </c>
      <c r="G720" s="94">
        <v>0.36886495317353324</v>
      </c>
      <c r="H720" s="330">
        <v>0.41964671302040962</v>
      </c>
      <c r="I720" s="330">
        <v>4.8036404730397997E-3</v>
      </c>
      <c r="J720" s="330">
        <v>0.99999997930773299</v>
      </c>
      <c r="K720" s="330">
        <v>0.74719991565106025</v>
      </c>
      <c r="L720" s="332">
        <v>14877.359611217225</v>
      </c>
      <c r="M720" s="330">
        <v>0</v>
      </c>
      <c r="N720" s="330">
        <v>22348.392804067345</v>
      </c>
      <c r="O720" s="330">
        <v>1101.4830933298572</v>
      </c>
      <c r="P720" s="330">
        <v>58739.143873551686</v>
      </c>
      <c r="Q720" s="333">
        <v>121556.26467048036</v>
      </c>
      <c r="R720" s="330">
        <v>21402.516739558836</v>
      </c>
      <c r="S720" s="330">
        <v>13715.575434054086</v>
      </c>
      <c r="T720" s="332">
        <v>0.30564479602155931</v>
      </c>
      <c r="U720" s="330">
        <v>0.92808315327421242</v>
      </c>
      <c r="V720" s="330">
        <v>0.99961500640054024</v>
      </c>
      <c r="W720" s="330">
        <v>0.99990836221657631</v>
      </c>
      <c r="X720" s="330">
        <v>0.72639842156350354</v>
      </c>
      <c r="Y720" s="330">
        <v>0</v>
      </c>
      <c r="Z720" s="331">
        <v>0</v>
      </c>
      <c r="AA720" s="235"/>
      <c r="AB720" s="335">
        <v>132586.98182746232</v>
      </c>
      <c r="AC720" s="336">
        <v>3.4739832399808011</v>
      </c>
      <c r="AD720" s="337">
        <v>114045.59312944092</v>
      </c>
      <c r="AE720" s="336">
        <v>3.5925286088198956</v>
      </c>
      <c r="AF720" s="337">
        <v>18541.388698021401</v>
      </c>
      <c r="AG720" s="338">
        <v>-0.1185453688390945</v>
      </c>
      <c r="AH720" s="235"/>
      <c r="AI720" s="208">
        <f t="shared" si="80"/>
        <v>3167697.0961542986</v>
      </c>
      <c r="AJ720" s="208">
        <f t="shared" si="81"/>
        <v>3298856.5852494598</v>
      </c>
      <c r="AK720" s="208">
        <f t="shared" si="82"/>
        <v>-131159.48909516117</v>
      </c>
      <c r="AL720" s="235"/>
      <c r="AM720" s="52">
        <f t="shared" si="58"/>
        <v>0</v>
      </c>
      <c r="AN720" s="52">
        <f t="shared" si="59"/>
        <v>1</v>
      </c>
      <c r="AO720" s="52">
        <f t="shared" si="60"/>
        <v>0</v>
      </c>
      <c r="AP720" s="235"/>
      <c r="AQ720" s="28"/>
      <c r="AR720" s="28"/>
      <c r="AS720" s="28"/>
      <c r="AT720" s="28"/>
      <c r="AU720" s="235"/>
      <c r="AV720" s="360">
        <f t="shared" si="83"/>
        <v>3298856.5852494598</v>
      </c>
      <c r="AW720" s="235"/>
      <c r="AX720" s="355"/>
      <c r="AY720" s="344"/>
      <c r="AZ720" s="14">
        <f t="shared" ref="AZ720:AZ783" si="85">AF720</f>
        <v>18541.388698021401</v>
      </c>
      <c r="BA720" s="14">
        <f t="shared" si="84"/>
        <v>-0.1185453688390945</v>
      </c>
      <c r="BB720" s="14">
        <f t="shared" si="61"/>
        <v>-156407.53307864969</v>
      </c>
      <c r="BC720" s="344"/>
      <c r="BD720" s="344"/>
      <c r="BE720" s="344"/>
      <c r="BF720" s="344"/>
      <c r="BG720" s="344"/>
      <c r="BH720" s="344"/>
      <c r="BI720" s="344"/>
      <c r="BJ720" s="344"/>
      <c r="BK720" s="344"/>
      <c r="BL720" s="344"/>
      <c r="BM720" s="344"/>
      <c r="BN720" s="344"/>
      <c r="BO720" s="344"/>
      <c r="BP720" s="344"/>
      <c r="BQ720" s="344"/>
      <c r="BR720" s="344"/>
      <c r="BS720" s="344"/>
      <c r="BT720" s="344"/>
      <c r="BU720" s="344"/>
      <c r="BV720" s="344"/>
      <c r="BW720" s="344"/>
      <c r="BX720" s="344"/>
      <c r="BY720" s="344"/>
      <c r="BZ720" s="344"/>
      <c r="CA720" s="344"/>
      <c r="CB720" s="28"/>
      <c r="CC720" s="28"/>
      <c r="CD720" s="28"/>
      <c r="CE720" s="28"/>
      <c r="CF720" s="28"/>
      <c r="CG720" s="28"/>
      <c r="CH720" s="28"/>
      <c r="CI720" s="28"/>
      <c r="CJ720" s="28"/>
      <c r="CK720" s="28"/>
      <c r="CL720" s="28"/>
      <c r="CM720" s="28"/>
      <c r="CN720" s="28"/>
      <c r="CO720" s="28"/>
      <c r="CP720" s="28"/>
      <c r="CQ720" s="28"/>
      <c r="CR720" s="28"/>
      <c r="CS720" s="28"/>
      <c r="CT720" s="28"/>
      <c r="CU720" s="28"/>
      <c r="CV720" s="28"/>
      <c r="CW720" s="28"/>
    </row>
    <row r="721" spans="1:101" ht="14.25" customHeight="1" x14ac:dyDescent="0.2">
      <c r="A721" s="328"/>
      <c r="B721" s="52">
        <v>0.16560996930252314</v>
      </c>
      <c r="C721" s="330">
        <v>1.2362083460297573E-3</v>
      </c>
      <c r="D721" s="330">
        <v>1.2422730928586251E-2</v>
      </c>
      <c r="E721" s="330">
        <v>2.9709990765359406E-2</v>
      </c>
      <c r="F721" s="331">
        <v>0.79767807985134398</v>
      </c>
      <c r="G721" s="94">
        <v>0.40198059581566137</v>
      </c>
      <c r="H721" s="330">
        <v>0.24416679889604226</v>
      </c>
      <c r="I721" s="330">
        <v>8.8991539688957899E-3</v>
      </c>
      <c r="J721" s="330">
        <v>0.83516021779221228</v>
      </c>
      <c r="K721" s="330">
        <v>0.80845249517586626</v>
      </c>
      <c r="L721" s="332">
        <v>15637.445779471895</v>
      </c>
      <c r="M721" s="330">
        <v>0</v>
      </c>
      <c r="N721" s="330">
        <v>21336.353341826711</v>
      </c>
      <c r="O721" s="330">
        <v>1478.2977181146573</v>
      </c>
      <c r="P721" s="330">
        <v>43894.631318719104</v>
      </c>
      <c r="Q721" s="333">
        <v>108955.64797742726</v>
      </c>
      <c r="R721" s="330">
        <v>22315.274645816749</v>
      </c>
      <c r="S721" s="330">
        <v>9227.7385141229406</v>
      </c>
      <c r="T721" s="332">
        <v>0.60387831752673704</v>
      </c>
      <c r="U721" s="330">
        <v>0.83581547319126537</v>
      </c>
      <c r="V721" s="330">
        <v>0.59919603687235445</v>
      </c>
      <c r="W721" s="330">
        <v>0.98654698353814507</v>
      </c>
      <c r="X721" s="330">
        <v>0.91059412796459727</v>
      </c>
      <c r="Y721" s="330">
        <v>0</v>
      </c>
      <c r="Z721" s="331">
        <v>0</v>
      </c>
      <c r="AA721" s="235"/>
      <c r="AB721" s="335">
        <v>95105.048597277535</v>
      </c>
      <c r="AC721" s="336">
        <v>4.4562168962479021</v>
      </c>
      <c r="AD721" s="337">
        <v>83406.760998718077</v>
      </c>
      <c r="AE721" s="336">
        <v>4.5051448175313462</v>
      </c>
      <c r="AF721" s="337">
        <v>11698.287598559458</v>
      </c>
      <c r="AG721" s="338">
        <v>-4.8927921283444142E-2</v>
      </c>
      <c r="AH721" s="235"/>
      <c r="AI721" s="208">
        <f t="shared" si="80"/>
        <v>4138301.0028382293</v>
      </c>
      <c r="AJ721" s="208">
        <f t="shared" si="81"/>
        <v>4196480.8156560604</v>
      </c>
      <c r="AK721" s="208">
        <f t="shared" si="82"/>
        <v>-58179.812817831393</v>
      </c>
      <c r="AL721" s="235"/>
      <c r="AM721" s="52">
        <f t="shared" si="58"/>
        <v>0</v>
      </c>
      <c r="AN721" s="52">
        <f t="shared" si="59"/>
        <v>1</v>
      </c>
      <c r="AO721" s="52">
        <f t="shared" si="60"/>
        <v>0</v>
      </c>
      <c r="AP721" s="235"/>
      <c r="AQ721" s="28"/>
      <c r="AR721" s="28"/>
      <c r="AS721" s="28"/>
      <c r="AT721" s="28"/>
      <c r="AU721" s="235"/>
      <c r="AV721" s="360">
        <f t="shared" si="83"/>
        <v>4196480.8156560604</v>
      </c>
      <c r="AW721" s="235"/>
      <c r="AX721" s="355"/>
      <c r="AY721" s="344"/>
      <c r="AZ721" s="14">
        <f t="shared" si="85"/>
        <v>11698.287598559458</v>
      </c>
      <c r="BA721" s="14">
        <f t="shared" si="84"/>
        <v>-4.8927921283444142E-2</v>
      </c>
      <c r="BB721" s="14">
        <f t="shared" si="61"/>
        <v>-239092.26657699508</v>
      </c>
      <c r="BC721" s="344"/>
      <c r="BD721" s="344"/>
      <c r="BE721" s="344"/>
      <c r="BF721" s="344"/>
      <c r="BG721" s="344"/>
      <c r="BH721" s="344"/>
      <c r="BI721" s="344"/>
      <c r="BJ721" s="344"/>
      <c r="BK721" s="344"/>
      <c r="BL721" s="344"/>
      <c r="BM721" s="344"/>
      <c r="BN721" s="344"/>
      <c r="BO721" s="344"/>
      <c r="BP721" s="344"/>
      <c r="BQ721" s="344"/>
      <c r="BR721" s="344"/>
      <c r="BS721" s="344"/>
      <c r="BT721" s="344"/>
      <c r="BU721" s="344"/>
      <c r="BV721" s="344"/>
      <c r="BW721" s="344"/>
      <c r="BX721" s="344"/>
      <c r="BY721" s="344"/>
      <c r="BZ721" s="344"/>
      <c r="CA721" s="344"/>
      <c r="CB721" s="28"/>
      <c r="CC721" s="28"/>
      <c r="CD721" s="28"/>
      <c r="CE721" s="28"/>
      <c r="CF721" s="28"/>
      <c r="CG721" s="28"/>
      <c r="CH721" s="28"/>
      <c r="CI721" s="28"/>
      <c r="CJ721" s="28"/>
      <c r="CK721" s="28"/>
      <c r="CL721" s="28"/>
      <c r="CM721" s="28"/>
      <c r="CN721" s="28"/>
      <c r="CO721" s="28"/>
      <c r="CP721" s="28"/>
      <c r="CQ721" s="28"/>
      <c r="CR721" s="28"/>
      <c r="CS721" s="28"/>
      <c r="CT721" s="28"/>
      <c r="CU721" s="28"/>
      <c r="CV721" s="28"/>
      <c r="CW721" s="28"/>
    </row>
    <row r="722" spans="1:101" ht="14.25" customHeight="1" x14ac:dyDescent="0.2">
      <c r="A722" s="328"/>
      <c r="B722" s="52">
        <v>0.15441388204858444</v>
      </c>
      <c r="C722" s="330">
        <v>6.2362170417961445E-2</v>
      </c>
      <c r="D722" s="330">
        <v>1.8551815720993958E-2</v>
      </c>
      <c r="E722" s="330">
        <v>1.9970174255193429E-2</v>
      </c>
      <c r="F722" s="331">
        <v>0.79386040627725707</v>
      </c>
      <c r="G722" s="94">
        <v>0.37104354441592541</v>
      </c>
      <c r="H722" s="330">
        <v>0.33897917045674109</v>
      </c>
      <c r="I722" s="330">
        <v>1.4594203776556659E-2</v>
      </c>
      <c r="J722" s="330">
        <v>0.99999732301223831</v>
      </c>
      <c r="K722" s="330">
        <v>0.70991206265881168</v>
      </c>
      <c r="L722" s="332">
        <v>12598.773786155891</v>
      </c>
      <c r="M722" s="330">
        <v>0</v>
      </c>
      <c r="N722" s="330">
        <v>19152.37026691869</v>
      </c>
      <c r="O722" s="330">
        <v>1053.6809409460027</v>
      </c>
      <c r="P722" s="330">
        <v>39962.76551862395</v>
      </c>
      <c r="Q722" s="333">
        <v>119968.98414193002</v>
      </c>
      <c r="R722" s="330">
        <v>26519.902036733718</v>
      </c>
      <c r="S722" s="330">
        <v>11106.866542969919</v>
      </c>
      <c r="T722" s="332">
        <v>0.74635025635593977</v>
      </c>
      <c r="U722" s="330">
        <v>0.61057099705822881</v>
      </c>
      <c r="V722" s="330">
        <v>0.66710838926045712</v>
      </c>
      <c r="W722" s="330">
        <v>0.93916399974882547</v>
      </c>
      <c r="X722" s="330">
        <v>0.93523096713807408</v>
      </c>
      <c r="Y722" s="330">
        <v>0</v>
      </c>
      <c r="Z722" s="331">
        <v>0</v>
      </c>
      <c r="AA722" s="235"/>
      <c r="AB722" s="335">
        <v>107984.406863645</v>
      </c>
      <c r="AC722" s="336">
        <v>4.7182188139185417</v>
      </c>
      <c r="AD722" s="337">
        <v>89271.229959614036</v>
      </c>
      <c r="AE722" s="336">
        <v>4.2325782409625532</v>
      </c>
      <c r="AF722" s="337">
        <v>18713.176904030959</v>
      </c>
      <c r="AG722" s="338">
        <v>0.4856405729559885</v>
      </c>
      <c r="AH722" s="235"/>
      <c r="AI722" s="208">
        <f t="shared" si="80"/>
        <v>4374323.4663589699</v>
      </c>
      <c r="AJ722" s="208">
        <f t="shared" si="81"/>
        <v>3931678.0989548112</v>
      </c>
      <c r="AK722" s="208">
        <f t="shared" si="82"/>
        <v>442645.36740415811</v>
      </c>
      <c r="AL722" s="235"/>
      <c r="AM722" s="52">
        <f t="shared" si="58"/>
        <v>1</v>
      </c>
      <c r="AN722" s="52">
        <f t="shared" si="59"/>
        <v>0</v>
      </c>
      <c r="AO722" s="52">
        <f t="shared" si="60"/>
        <v>1</v>
      </c>
      <c r="AP722" s="235"/>
      <c r="AQ722" s="28"/>
      <c r="AR722" s="28"/>
      <c r="AS722" s="28"/>
      <c r="AT722" s="28"/>
      <c r="AU722" s="235"/>
      <c r="AV722" s="360">
        <f t="shared" si="83"/>
        <v>4374323.4663589699</v>
      </c>
      <c r="AW722" s="235"/>
      <c r="AX722" s="355"/>
      <c r="AY722" s="344"/>
      <c r="AZ722" s="14">
        <f t="shared" si="85"/>
        <v>18713.176904030959</v>
      </c>
      <c r="BA722" s="14">
        <f t="shared" si="84"/>
        <v>0.4856405729559885</v>
      </c>
      <c r="BB722" s="14">
        <f t="shared" si="61"/>
        <v>38532.976744772212</v>
      </c>
      <c r="BC722" s="344"/>
      <c r="BD722" s="344"/>
      <c r="BE722" s="344"/>
      <c r="BF722" s="344"/>
      <c r="BG722" s="344"/>
      <c r="BH722" s="344"/>
      <c r="BI722" s="344"/>
      <c r="BJ722" s="344"/>
      <c r="BK722" s="344"/>
      <c r="BL722" s="344"/>
      <c r="BM722" s="344"/>
      <c r="BN722" s="344"/>
      <c r="BO722" s="344"/>
      <c r="BP722" s="344"/>
      <c r="BQ722" s="344"/>
      <c r="BR722" s="344"/>
      <c r="BS722" s="344"/>
      <c r="BT722" s="344"/>
      <c r="BU722" s="344"/>
      <c r="BV722" s="344"/>
      <c r="BW722" s="344"/>
      <c r="BX722" s="344"/>
      <c r="BY722" s="344"/>
      <c r="BZ722" s="344"/>
      <c r="CA722" s="344"/>
      <c r="CB722" s="28"/>
      <c r="CC722" s="28"/>
      <c r="CD722" s="28"/>
      <c r="CE722" s="28"/>
      <c r="CF722" s="28"/>
      <c r="CG722" s="28"/>
      <c r="CH722" s="28"/>
      <c r="CI722" s="28"/>
      <c r="CJ722" s="28"/>
      <c r="CK722" s="28"/>
      <c r="CL722" s="28"/>
      <c r="CM722" s="28"/>
      <c r="CN722" s="28"/>
      <c r="CO722" s="28"/>
      <c r="CP722" s="28"/>
      <c r="CQ722" s="28"/>
      <c r="CR722" s="28"/>
      <c r="CS722" s="28"/>
      <c r="CT722" s="28"/>
      <c r="CU722" s="28"/>
      <c r="CV722" s="28"/>
      <c r="CW722" s="28"/>
    </row>
    <row r="723" spans="1:101" ht="14.25" customHeight="1" x14ac:dyDescent="0.2">
      <c r="A723" s="328"/>
      <c r="B723" s="52">
        <v>0.2032270077457593</v>
      </c>
      <c r="C723" s="330">
        <v>0.26413171901751004</v>
      </c>
      <c r="D723" s="330">
        <v>1.3535283075953501E-2</v>
      </c>
      <c r="E723" s="330">
        <v>1.5762152623142733E-2</v>
      </c>
      <c r="F723" s="331">
        <v>0.79710850876415329</v>
      </c>
      <c r="G723" s="94">
        <v>0.45639313765941625</v>
      </c>
      <c r="H723" s="330">
        <v>0.13673349957539438</v>
      </c>
      <c r="I723" s="330">
        <v>2.4136636056527272E-2</v>
      </c>
      <c r="J723" s="330">
        <v>0.99999999646388049</v>
      </c>
      <c r="K723" s="330">
        <v>0.76818792112250256</v>
      </c>
      <c r="L723" s="332">
        <v>13638.952901006616</v>
      </c>
      <c r="M723" s="330">
        <v>0</v>
      </c>
      <c r="N723" s="330">
        <v>17684.399197722385</v>
      </c>
      <c r="O723" s="330">
        <v>1166.43788520612</v>
      </c>
      <c r="P723" s="330">
        <v>61099.378361685754</v>
      </c>
      <c r="Q723" s="333">
        <v>116315.77211173448</v>
      </c>
      <c r="R723" s="330">
        <v>23785.386017230918</v>
      </c>
      <c r="S723" s="330">
        <v>8968.8309232082938</v>
      </c>
      <c r="T723" s="332">
        <v>0.51625948732851634</v>
      </c>
      <c r="U723" s="330">
        <v>0.98791367461551904</v>
      </c>
      <c r="V723" s="330">
        <v>0.65203557681508806</v>
      </c>
      <c r="W723" s="330">
        <v>0.91843355438100083</v>
      </c>
      <c r="X723" s="330">
        <v>0.94959644371475893</v>
      </c>
      <c r="Y723" s="330">
        <v>0</v>
      </c>
      <c r="Z723" s="331">
        <v>0</v>
      </c>
      <c r="AA723" s="235"/>
      <c r="AB723" s="335">
        <v>92195.125812242564</v>
      </c>
      <c r="AC723" s="336">
        <v>4.6002926390492185</v>
      </c>
      <c r="AD723" s="337">
        <v>78134.694571375367</v>
      </c>
      <c r="AE723" s="336">
        <v>4.531176525740781</v>
      </c>
      <c r="AF723" s="337">
        <v>14060.431240867198</v>
      </c>
      <c r="AG723" s="338">
        <v>6.9116113308437477E-2</v>
      </c>
      <c r="AH723" s="235"/>
      <c r="AI723" s="208">
        <f t="shared" si="80"/>
        <v>4278082.8812845144</v>
      </c>
      <c r="AJ723" s="208">
        <f t="shared" si="81"/>
        <v>4226483.0048823673</v>
      </c>
      <c r="AK723" s="208">
        <f t="shared" si="82"/>
        <v>51599.876402148409</v>
      </c>
      <c r="AL723" s="235"/>
      <c r="AM723" s="52">
        <f t="shared" si="58"/>
        <v>1</v>
      </c>
      <c r="AN723" s="52">
        <f t="shared" si="59"/>
        <v>0</v>
      </c>
      <c r="AO723" s="52">
        <f t="shared" si="60"/>
        <v>1</v>
      </c>
      <c r="AP723" s="235"/>
      <c r="AQ723" s="28"/>
      <c r="AR723" s="28"/>
      <c r="AS723" s="28"/>
      <c r="AT723" s="28"/>
      <c r="AU723" s="235"/>
      <c r="AV723" s="360">
        <f t="shared" si="83"/>
        <v>4278082.8812845144</v>
      </c>
      <c r="AW723" s="235"/>
      <c r="AX723" s="355"/>
      <c r="AY723" s="344"/>
      <c r="AZ723" s="14">
        <f t="shared" si="85"/>
        <v>14060.431240867198</v>
      </c>
      <c r="BA723" s="14">
        <f t="shared" si="84"/>
        <v>6.9116113308437477E-2</v>
      </c>
      <c r="BB723" s="14">
        <f t="shared" si="61"/>
        <v>203432.03006976299</v>
      </c>
      <c r="BC723" s="344"/>
      <c r="BD723" s="344"/>
      <c r="BE723" s="344"/>
      <c r="BF723" s="344"/>
      <c r="BG723" s="344"/>
      <c r="BH723" s="344"/>
      <c r="BI723" s="344"/>
      <c r="BJ723" s="344"/>
      <c r="BK723" s="344"/>
      <c r="BL723" s="344"/>
      <c r="BM723" s="344"/>
      <c r="BN723" s="344"/>
      <c r="BO723" s="344"/>
      <c r="BP723" s="344"/>
      <c r="BQ723" s="344"/>
      <c r="BR723" s="344"/>
      <c r="BS723" s="344"/>
      <c r="BT723" s="344"/>
      <c r="BU723" s="344"/>
      <c r="BV723" s="344"/>
      <c r="BW723" s="344"/>
      <c r="BX723" s="344"/>
      <c r="BY723" s="344"/>
      <c r="BZ723" s="344"/>
      <c r="CA723" s="344"/>
      <c r="CB723" s="28"/>
      <c r="CC723" s="28"/>
      <c r="CD723" s="28"/>
      <c r="CE723" s="28"/>
      <c r="CF723" s="28"/>
      <c r="CG723" s="28"/>
      <c r="CH723" s="28"/>
      <c r="CI723" s="28"/>
      <c r="CJ723" s="28"/>
      <c r="CK723" s="28"/>
      <c r="CL723" s="28"/>
      <c r="CM723" s="28"/>
      <c r="CN723" s="28"/>
      <c r="CO723" s="28"/>
      <c r="CP723" s="28"/>
      <c r="CQ723" s="28"/>
      <c r="CR723" s="28"/>
      <c r="CS723" s="28"/>
      <c r="CT723" s="28"/>
      <c r="CU723" s="28"/>
      <c r="CV723" s="28"/>
      <c r="CW723" s="28"/>
    </row>
    <row r="724" spans="1:101" ht="14.25" customHeight="1" x14ac:dyDescent="0.2">
      <c r="A724" s="328"/>
      <c r="B724" s="52">
        <v>0.15845992532512965</v>
      </c>
      <c r="C724" s="330">
        <v>0.30338975745969987</v>
      </c>
      <c r="D724" s="330">
        <v>1.0944803633324812E-2</v>
      </c>
      <c r="E724" s="330">
        <v>1.0781201963053154E-2</v>
      </c>
      <c r="F724" s="331">
        <v>0.8105093789933433</v>
      </c>
      <c r="G724" s="94">
        <v>0.38806516491265786</v>
      </c>
      <c r="H724" s="330">
        <v>0.20655122232822484</v>
      </c>
      <c r="I724" s="330">
        <v>1.5355042922939502E-2</v>
      </c>
      <c r="J724" s="330">
        <v>6.9418907966431978E-2</v>
      </c>
      <c r="K724" s="330">
        <v>0.82884309540830226</v>
      </c>
      <c r="L724" s="332">
        <v>13857.632311262721</v>
      </c>
      <c r="M724" s="330">
        <v>0</v>
      </c>
      <c r="N724" s="330">
        <v>14063.254346341399</v>
      </c>
      <c r="O724" s="330">
        <v>1292.0753897451739</v>
      </c>
      <c r="P724" s="330">
        <v>40148.722429134119</v>
      </c>
      <c r="Q724" s="333">
        <v>74200.53978835103</v>
      </c>
      <c r="R724" s="330">
        <v>19903.715022928649</v>
      </c>
      <c r="S724" s="330">
        <v>11715.483150086611</v>
      </c>
      <c r="T724" s="332">
        <v>0.94193398953773266</v>
      </c>
      <c r="U724" s="330">
        <v>0.50817276564998248</v>
      </c>
      <c r="V724" s="330">
        <v>0.99923167907881616</v>
      </c>
      <c r="W724" s="330">
        <v>0.93424889911338327</v>
      </c>
      <c r="X724" s="330">
        <v>0.35417069230600756</v>
      </c>
      <c r="Y724" s="330">
        <v>0</v>
      </c>
      <c r="Z724" s="331">
        <v>0</v>
      </c>
      <c r="AA724" s="235"/>
      <c r="AB724" s="335">
        <v>117047.4513754581</v>
      </c>
      <c r="AC724" s="336">
        <v>2.2751174511536516</v>
      </c>
      <c r="AD724" s="337">
        <v>106776.29763190456</v>
      </c>
      <c r="AE724" s="336">
        <v>2.0051706903162811</v>
      </c>
      <c r="AF724" s="337">
        <v>10271.153743553543</v>
      </c>
      <c r="AG724" s="338">
        <v>0.26994676083737046</v>
      </c>
      <c r="AH724" s="235"/>
      <c r="AI724" s="208">
        <f t="shared" si="80"/>
        <v>2044314.1272205107</v>
      </c>
      <c r="AJ724" s="208">
        <f t="shared" si="81"/>
        <v>1798135.8581685626</v>
      </c>
      <c r="AK724" s="208">
        <f t="shared" si="82"/>
        <v>246178.26905194839</v>
      </c>
      <c r="AL724" s="235"/>
      <c r="AM724" s="52">
        <f t="shared" si="58"/>
        <v>1</v>
      </c>
      <c r="AN724" s="52">
        <f t="shared" si="59"/>
        <v>0</v>
      </c>
      <c r="AO724" s="52">
        <f t="shared" si="60"/>
        <v>1</v>
      </c>
      <c r="AP724" s="235"/>
      <c r="AQ724" s="28"/>
      <c r="AR724" s="28"/>
      <c r="AS724" s="28"/>
      <c r="AT724" s="28"/>
      <c r="AU724" s="235"/>
      <c r="AV724" s="360">
        <f t="shared" si="83"/>
        <v>2044314.1272205107</v>
      </c>
      <c r="AW724" s="235"/>
      <c r="AX724" s="355"/>
      <c r="AY724" s="344"/>
      <c r="AZ724" s="14">
        <f t="shared" si="85"/>
        <v>10271.153743553543</v>
      </c>
      <c r="BA724" s="14">
        <f t="shared" si="84"/>
        <v>0.26994676083737046</v>
      </c>
      <c r="BB724" s="14">
        <f t="shared" si="61"/>
        <v>38048.812705485303</v>
      </c>
      <c r="BC724" s="344"/>
      <c r="BD724" s="344"/>
      <c r="BE724" s="344"/>
      <c r="BF724" s="344"/>
      <c r="BG724" s="344"/>
      <c r="BH724" s="344"/>
      <c r="BI724" s="344"/>
      <c r="BJ724" s="344"/>
      <c r="BK724" s="344"/>
      <c r="BL724" s="344"/>
      <c r="BM724" s="344"/>
      <c r="BN724" s="344"/>
      <c r="BO724" s="344"/>
      <c r="BP724" s="344"/>
      <c r="BQ724" s="344"/>
      <c r="BR724" s="344"/>
      <c r="BS724" s="344"/>
      <c r="BT724" s="344"/>
      <c r="BU724" s="344"/>
      <c r="BV724" s="344"/>
      <c r="BW724" s="344"/>
      <c r="BX724" s="344"/>
      <c r="BY724" s="344"/>
      <c r="BZ724" s="344"/>
      <c r="CA724" s="344"/>
      <c r="CB724" s="28"/>
      <c r="CC724" s="28"/>
      <c r="CD724" s="28"/>
      <c r="CE724" s="28"/>
      <c r="CF724" s="28"/>
      <c r="CG724" s="28"/>
      <c r="CH724" s="28"/>
      <c r="CI724" s="28"/>
      <c r="CJ724" s="28"/>
      <c r="CK724" s="28"/>
      <c r="CL724" s="28"/>
      <c r="CM724" s="28"/>
      <c r="CN724" s="28"/>
      <c r="CO724" s="28"/>
      <c r="CP724" s="28"/>
      <c r="CQ724" s="28"/>
      <c r="CR724" s="28"/>
      <c r="CS724" s="28"/>
      <c r="CT724" s="28"/>
      <c r="CU724" s="28"/>
      <c r="CV724" s="28"/>
      <c r="CW724" s="28"/>
    </row>
    <row r="725" spans="1:101" ht="14.25" customHeight="1" x14ac:dyDescent="0.2">
      <c r="A725" s="328"/>
      <c r="B725" s="52">
        <v>0.1753257625110124</v>
      </c>
      <c r="C725" s="330">
        <v>1.2789740362174836E-2</v>
      </c>
      <c r="D725" s="330">
        <v>6.4478052877338333E-3</v>
      </c>
      <c r="E725" s="330">
        <v>1.0028469265059289E-2</v>
      </c>
      <c r="F725" s="331">
        <v>0.78332360220777952</v>
      </c>
      <c r="G725" s="94">
        <v>0.31928171699605878</v>
      </c>
      <c r="H725" s="330">
        <v>0.16811366123422342</v>
      </c>
      <c r="I725" s="330">
        <v>2.3992033562538762E-2</v>
      </c>
      <c r="J725" s="330">
        <v>0.99079576026923366</v>
      </c>
      <c r="K725" s="330">
        <v>0.74288065623102151</v>
      </c>
      <c r="L725" s="332">
        <v>12113.865765009747</v>
      </c>
      <c r="M725" s="330">
        <v>0</v>
      </c>
      <c r="N725" s="330">
        <v>12335.847083336363</v>
      </c>
      <c r="O725" s="330">
        <v>937.36078672097142</v>
      </c>
      <c r="P725" s="330">
        <v>24572.766298708917</v>
      </c>
      <c r="Q725" s="333">
        <v>127084.51698910554</v>
      </c>
      <c r="R725" s="330">
        <v>29394.250585865699</v>
      </c>
      <c r="S725" s="330">
        <v>9041.2374582849552</v>
      </c>
      <c r="T725" s="332">
        <v>8.8994034292009749E-2</v>
      </c>
      <c r="U725" s="330">
        <v>0.27037601623146806</v>
      </c>
      <c r="V725" s="330">
        <v>0.95183808638086975</v>
      </c>
      <c r="W725" s="330">
        <v>0.98383872291662433</v>
      </c>
      <c r="X725" s="330">
        <v>0.47184893086526597</v>
      </c>
      <c r="Y725" s="330">
        <v>0</v>
      </c>
      <c r="Z725" s="331">
        <v>0</v>
      </c>
      <c r="AA725" s="235"/>
      <c r="AB725" s="335">
        <v>88489.089086045424</v>
      </c>
      <c r="AC725" s="336">
        <v>2.2829851796641241</v>
      </c>
      <c r="AD725" s="337">
        <v>75172.646982994745</v>
      </c>
      <c r="AE725" s="336">
        <v>2.2295734112724332</v>
      </c>
      <c r="AF725" s="337">
        <v>13316.442103050678</v>
      </c>
      <c r="AG725" s="338">
        <v>5.3411768391690817E-2</v>
      </c>
      <c r="AH725" s="235"/>
      <c r="AI725" s="208">
        <f t="shared" si="80"/>
        <v>2080346.8315948723</v>
      </c>
      <c r="AJ725" s="208">
        <f t="shared" si="81"/>
        <v>2042922.0937258168</v>
      </c>
      <c r="AK725" s="208">
        <f t="shared" si="82"/>
        <v>37424.7378690556</v>
      </c>
      <c r="AL725" s="235"/>
      <c r="AM725" s="52">
        <f t="shared" si="58"/>
        <v>1</v>
      </c>
      <c r="AN725" s="52">
        <f t="shared" si="59"/>
        <v>0</v>
      </c>
      <c r="AO725" s="52">
        <f t="shared" si="60"/>
        <v>1</v>
      </c>
      <c r="AP725" s="235"/>
      <c r="AQ725" s="28"/>
      <c r="AR725" s="28"/>
      <c r="AS725" s="28"/>
      <c r="AT725" s="28"/>
      <c r="AU725" s="235"/>
      <c r="AV725" s="360">
        <f t="shared" si="83"/>
        <v>2080346.8315948723</v>
      </c>
      <c r="AW725" s="235"/>
      <c r="AX725" s="355"/>
      <c r="AY725" s="344"/>
      <c r="AZ725" s="14">
        <f t="shared" si="85"/>
        <v>13316.442103050678</v>
      </c>
      <c r="BA725" s="14">
        <f t="shared" si="84"/>
        <v>5.3411768391690817E-2</v>
      </c>
      <c r="BB725" s="14">
        <f t="shared" si="61"/>
        <v>249316.63009911307</v>
      </c>
      <c r="BC725" s="344"/>
      <c r="BD725" s="344"/>
      <c r="BE725" s="344"/>
      <c r="BF725" s="344"/>
      <c r="BG725" s="344"/>
      <c r="BH725" s="344"/>
      <c r="BI725" s="344"/>
      <c r="BJ725" s="344"/>
      <c r="BK725" s="344"/>
      <c r="BL725" s="344"/>
      <c r="BM725" s="344"/>
      <c r="BN725" s="344"/>
      <c r="BO725" s="344"/>
      <c r="BP725" s="344"/>
      <c r="BQ725" s="344"/>
      <c r="BR725" s="344"/>
      <c r="BS725" s="344"/>
      <c r="BT725" s="344"/>
      <c r="BU725" s="344"/>
      <c r="BV725" s="344"/>
      <c r="BW725" s="344"/>
      <c r="BX725" s="344"/>
      <c r="BY725" s="344"/>
      <c r="BZ725" s="344"/>
      <c r="CA725" s="344"/>
      <c r="CB725" s="28"/>
      <c r="CC725" s="28"/>
      <c r="CD725" s="28"/>
      <c r="CE725" s="28"/>
      <c r="CF725" s="28"/>
      <c r="CG725" s="28"/>
      <c r="CH725" s="28"/>
      <c r="CI725" s="28"/>
      <c r="CJ725" s="28"/>
      <c r="CK725" s="28"/>
      <c r="CL725" s="28"/>
      <c r="CM725" s="28"/>
      <c r="CN725" s="28"/>
      <c r="CO725" s="28"/>
      <c r="CP725" s="28"/>
      <c r="CQ725" s="28"/>
      <c r="CR725" s="28"/>
      <c r="CS725" s="28"/>
      <c r="CT725" s="28"/>
      <c r="CU725" s="28"/>
      <c r="CV725" s="28"/>
      <c r="CW725" s="28"/>
    </row>
    <row r="726" spans="1:101" ht="14.25" customHeight="1" x14ac:dyDescent="0.2">
      <c r="A726" s="328"/>
      <c r="B726" s="52">
        <v>0.16207550929240644</v>
      </c>
      <c r="C726" s="330">
        <v>0.49613869797625798</v>
      </c>
      <c r="D726" s="330">
        <v>1.4984235127019518E-2</v>
      </c>
      <c r="E726" s="330">
        <v>1.0668681482421262E-2</v>
      </c>
      <c r="F726" s="331">
        <v>0.77616434115282862</v>
      </c>
      <c r="G726" s="94">
        <v>0.42968961547784601</v>
      </c>
      <c r="H726" s="330">
        <v>0.53666681953716344</v>
      </c>
      <c r="I726" s="330">
        <v>9.0879906283292816E-3</v>
      </c>
      <c r="J726" s="330">
        <v>1.3293717460155534E-2</v>
      </c>
      <c r="K726" s="330">
        <v>0.70636132571218602</v>
      </c>
      <c r="L726" s="332">
        <v>9572.822246812324</v>
      </c>
      <c r="M726" s="330">
        <v>0</v>
      </c>
      <c r="N726" s="330">
        <v>22654.09457031481</v>
      </c>
      <c r="O726" s="330">
        <v>1267.0678774476771</v>
      </c>
      <c r="P726" s="330">
        <v>50208.481063419495</v>
      </c>
      <c r="Q726" s="333">
        <v>100411.86272765427</v>
      </c>
      <c r="R726" s="330">
        <v>28645.373657641994</v>
      </c>
      <c r="S726" s="330">
        <v>10294.204739516696</v>
      </c>
      <c r="T726" s="332">
        <v>0.98976646411069846</v>
      </c>
      <c r="U726" s="330">
        <v>0.84515049880743076</v>
      </c>
      <c r="V726" s="330">
        <v>0.90616406380698988</v>
      </c>
      <c r="W726" s="330">
        <v>0.74206282771940302</v>
      </c>
      <c r="X726" s="330">
        <v>0.73770666575052402</v>
      </c>
      <c r="Y726" s="330">
        <v>0</v>
      </c>
      <c r="Z726" s="331">
        <v>0</v>
      </c>
      <c r="AA726" s="235"/>
      <c r="AB726" s="335">
        <v>98069.838951833808</v>
      </c>
      <c r="AC726" s="336">
        <v>3.6275380989378854</v>
      </c>
      <c r="AD726" s="337">
        <v>85572.809144764222</v>
      </c>
      <c r="AE726" s="336">
        <v>3.2204042147507876</v>
      </c>
      <c r="AF726" s="337">
        <v>12497.029807069586</v>
      </c>
      <c r="AG726" s="338">
        <v>0.40713388418709773</v>
      </c>
      <c r="AH726" s="235"/>
      <c r="AI726" s="208">
        <f t="shared" si="80"/>
        <v>3348091.355039157</v>
      </c>
      <c r="AJ726" s="208">
        <f t="shared" si="81"/>
        <v>2973811.194868484</v>
      </c>
      <c r="AK726" s="208">
        <f t="shared" si="82"/>
        <v>374280.16017067328</v>
      </c>
      <c r="AL726" s="235"/>
      <c r="AM726" s="52">
        <f t="shared" si="58"/>
        <v>1</v>
      </c>
      <c r="AN726" s="52">
        <f t="shared" si="59"/>
        <v>0</v>
      </c>
      <c r="AO726" s="52">
        <f t="shared" si="60"/>
        <v>1</v>
      </c>
      <c r="AP726" s="235"/>
      <c r="AQ726" s="28"/>
      <c r="AR726" s="28"/>
      <c r="AS726" s="28"/>
      <c r="AT726" s="28"/>
      <c r="AU726" s="235"/>
      <c r="AV726" s="360">
        <f t="shared" si="83"/>
        <v>3348091.355039157</v>
      </c>
      <c r="AW726" s="235"/>
      <c r="AX726" s="355"/>
      <c r="AY726" s="344"/>
      <c r="AZ726" s="14">
        <f t="shared" si="85"/>
        <v>12497.029807069586</v>
      </c>
      <c r="BA726" s="14">
        <f t="shared" si="84"/>
        <v>0.40713388418709773</v>
      </c>
      <c r="BB726" s="14">
        <f t="shared" si="61"/>
        <v>30695.135660402553</v>
      </c>
      <c r="BC726" s="344"/>
      <c r="BD726" s="344"/>
      <c r="BE726" s="344"/>
      <c r="BF726" s="344"/>
      <c r="BG726" s="344"/>
      <c r="BH726" s="344"/>
      <c r="BI726" s="344"/>
      <c r="BJ726" s="344"/>
      <c r="BK726" s="344"/>
      <c r="BL726" s="344"/>
      <c r="BM726" s="344"/>
      <c r="BN726" s="344"/>
      <c r="BO726" s="344"/>
      <c r="BP726" s="344"/>
      <c r="BQ726" s="344"/>
      <c r="BR726" s="344"/>
      <c r="BS726" s="344"/>
      <c r="BT726" s="344"/>
      <c r="BU726" s="344"/>
      <c r="BV726" s="344"/>
      <c r="BW726" s="344"/>
      <c r="BX726" s="344"/>
      <c r="BY726" s="344"/>
      <c r="BZ726" s="344"/>
      <c r="CA726" s="344"/>
      <c r="CB726" s="28"/>
      <c r="CC726" s="28"/>
      <c r="CD726" s="28"/>
      <c r="CE726" s="28"/>
      <c r="CF726" s="28"/>
      <c r="CG726" s="28"/>
      <c r="CH726" s="28"/>
      <c r="CI726" s="28"/>
      <c r="CJ726" s="28"/>
      <c r="CK726" s="28"/>
      <c r="CL726" s="28"/>
      <c r="CM726" s="28"/>
      <c r="CN726" s="28"/>
      <c r="CO726" s="28"/>
      <c r="CP726" s="28"/>
      <c r="CQ726" s="28"/>
      <c r="CR726" s="28"/>
      <c r="CS726" s="28"/>
      <c r="CT726" s="28"/>
      <c r="CU726" s="28"/>
      <c r="CV726" s="28"/>
      <c r="CW726" s="28"/>
    </row>
    <row r="727" spans="1:101" ht="14.25" customHeight="1" x14ac:dyDescent="0.2">
      <c r="A727" s="328"/>
      <c r="B727" s="52">
        <v>0.16891204814289451</v>
      </c>
      <c r="C727" s="330">
        <v>0.5747540705303873</v>
      </c>
      <c r="D727" s="330">
        <v>2.5360690464284907E-2</v>
      </c>
      <c r="E727" s="330">
        <v>1.0577342255996788E-2</v>
      </c>
      <c r="F727" s="331">
        <v>0.80810690426396947</v>
      </c>
      <c r="G727" s="94">
        <v>0.40825877356957718</v>
      </c>
      <c r="H727" s="330">
        <v>0.6018111413258409</v>
      </c>
      <c r="I727" s="330">
        <v>6.3566533301882876E-3</v>
      </c>
      <c r="J727" s="330">
        <v>0.99997244566206189</v>
      </c>
      <c r="K727" s="330">
        <v>0.76922370515998362</v>
      </c>
      <c r="L727" s="332">
        <v>10600.739677174453</v>
      </c>
      <c r="M727" s="330">
        <v>0</v>
      </c>
      <c r="N727" s="330">
        <v>21201.902308194683</v>
      </c>
      <c r="O727" s="330">
        <v>985.00885991605321</v>
      </c>
      <c r="P727" s="330">
        <v>46776.356017332953</v>
      </c>
      <c r="Q727" s="333">
        <v>89282.235330829935</v>
      </c>
      <c r="R727" s="330">
        <v>23016.203881468668</v>
      </c>
      <c r="S727" s="330">
        <v>9057.3540827467987</v>
      </c>
      <c r="T727" s="332">
        <v>0.99744045141007764</v>
      </c>
      <c r="U727" s="330">
        <v>0.81877253553177276</v>
      </c>
      <c r="V727" s="330">
        <v>0.74066454848474061</v>
      </c>
      <c r="W727" s="330">
        <v>0.61114464144113878</v>
      </c>
      <c r="X727" s="330">
        <v>0.75684893372332573</v>
      </c>
      <c r="Y727" s="330">
        <v>0</v>
      </c>
      <c r="Z727" s="331">
        <v>0</v>
      </c>
      <c r="AA727" s="235"/>
      <c r="AB727" s="335">
        <v>91932.352166196782</v>
      </c>
      <c r="AC727" s="336">
        <v>3.7410432861954348</v>
      </c>
      <c r="AD727" s="337">
        <v>81229.491463181752</v>
      </c>
      <c r="AE727" s="336">
        <v>3.7538351463279316</v>
      </c>
      <c r="AF727" s="337">
        <v>10702.860703015031</v>
      </c>
      <c r="AG727" s="338">
        <v>-1.279186013249678E-2</v>
      </c>
      <c r="AH727" s="235"/>
      <c r="AI727" s="208">
        <f t="shared" si="80"/>
        <v>3462058.7697194661</v>
      </c>
      <c r="AJ727" s="208">
        <f t="shared" si="81"/>
        <v>3484913.8975483533</v>
      </c>
      <c r="AK727" s="208">
        <f t="shared" si="82"/>
        <v>-22855.127828886973</v>
      </c>
      <c r="AL727" s="235"/>
      <c r="AM727" s="52">
        <f t="shared" si="58"/>
        <v>0</v>
      </c>
      <c r="AN727" s="52">
        <f t="shared" si="59"/>
        <v>1</v>
      </c>
      <c r="AO727" s="52">
        <f t="shared" si="60"/>
        <v>0</v>
      </c>
      <c r="AP727" s="235"/>
      <c r="AQ727" s="28"/>
      <c r="AR727" s="28"/>
      <c r="AS727" s="28"/>
      <c r="AT727" s="28"/>
      <c r="AU727" s="235"/>
      <c r="AV727" s="360">
        <f t="shared" si="83"/>
        <v>3484913.8975483533</v>
      </c>
      <c r="AW727" s="235"/>
      <c r="AX727" s="355"/>
      <c r="AY727" s="344"/>
      <c r="AZ727" s="14">
        <f t="shared" si="85"/>
        <v>10702.860703015031</v>
      </c>
      <c r="BA727" s="14">
        <f t="shared" si="84"/>
        <v>-1.279186013249678E-2</v>
      </c>
      <c r="BB727" s="14">
        <f t="shared" si="61"/>
        <v>-836693.06826027599</v>
      </c>
      <c r="BC727" s="344"/>
      <c r="BD727" s="344"/>
      <c r="BE727" s="344"/>
      <c r="BF727" s="344"/>
      <c r="BG727" s="344"/>
      <c r="BH727" s="344"/>
      <c r="BI727" s="344"/>
      <c r="BJ727" s="344"/>
      <c r="BK727" s="344"/>
      <c r="BL727" s="344"/>
      <c r="BM727" s="344"/>
      <c r="BN727" s="344"/>
      <c r="BO727" s="344"/>
      <c r="BP727" s="344"/>
      <c r="BQ727" s="344"/>
      <c r="BR727" s="344"/>
      <c r="BS727" s="344"/>
      <c r="BT727" s="344"/>
      <c r="BU727" s="344"/>
      <c r="BV727" s="344"/>
      <c r="BW727" s="344"/>
      <c r="BX727" s="344"/>
      <c r="BY727" s="344"/>
      <c r="BZ727" s="344"/>
      <c r="CA727" s="344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</row>
    <row r="728" spans="1:101" ht="14.25" customHeight="1" x14ac:dyDescent="0.2">
      <c r="A728" s="328"/>
      <c r="B728" s="52">
        <v>0.22844407217431484</v>
      </c>
      <c r="C728" s="330">
        <v>0.23139751533239994</v>
      </c>
      <c r="D728" s="330">
        <v>2.865680582047625E-2</v>
      </c>
      <c r="E728" s="330">
        <v>1.5512230657172998E-2</v>
      </c>
      <c r="F728" s="331">
        <v>0.79667973204216169</v>
      </c>
      <c r="G728" s="94">
        <v>0.37251446642152569</v>
      </c>
      <c r="H728" s="330">
        <v>0.63573547429926014</v>
      </c>
      <c r="I728" s="330">
        <v>1.3731321519160466E-2</v>
      </c>
      <c r="J728" s="330">
        <v>1</v>
      </c>
      <c r="K728" s="330">
        <v>0.74965608821623264</v>
      </c>
      <c r="L728" s="332">
        <v>9616.8113818830589</v>
      </c>
      <c r="M728" s="330">
        <v>0</v>
      </c>
      <c r="N728" s="330">
        <v>15622.434321188333</v>
      </c>
      <c r="O728" s="330">
        <v>1106.5981898832381</v>
      </c>
      <c r="P728" s="330">
        <v>37059.851084386239</v>
      </c>
      <c r="Q728" s="333">
        <v>122721.04861165055</v>
      </c>
      <c r="R728" s="330">
        <v>25915.858235625114</v>
      </c>
      <c r="S728" s="330">
        <v>9851.3075588328084</v>
      </c>
      <c r="T728" s="332">
        <v>0.98864539760745884</v>
      </c>
      <c r="U728" s="330">
        <v>0.93639482232591886</v>
      </c>
      <c r="V728" s="330">
        <v>0.99999158542853162</v>
      </c>
      <c r="W728" s="330">
        <v>0.99897525147730837</v>
      </c>
      <c r="X728" s="330">
        <v>0.98357114574774962</v>
      </c>
      <c r="Y728" s="330">
        <v>0</v>
      </c>
      <c r="Z728" s="331">
        <v>0</v>
      </c>
      <c r="AA728" s="235"/>
      <c r="AB728" s="335">
        <v>96270.616138386031</v>
      </c>
      <c r="AC728" s="336">
        <v>4.7402284821842224</v>
      </c>
      <c r="AD728" s="337">
        <v>86644.380410850383</v>
      </c>
      <c r="AE728" s="336">
        <v>4.5902700862173917</v>
      </c>
      <c r="AF728" s="337">
        <v>9626.235727535648</v>
      </c>
      <c r="AG728" s="338">
        <v>0.14995839596683069</v>
      </c>
      <c r="AH728" s="235"/>
      <c r="AI728" s="208">
        <f t="shared" si="80"/>
        <v>4406946.4419366261</v>
      </c>
      <c r="AJ728" s="208">
        <f t="shared" si="81"/>
        <v>4274112.2014956716</v>
      </c>
      <c r="AK728" s="208">
        <f t="shared" si="82"/>
        <v>132834.24044095352</v>
      </c>
      <c r="AL728" s="235"/>
      <c r="AM728" s="52">
        <f t="shared" si="58"/>
        <v>1</v>
      </c>
      <c r="AN728" s="52">
        <f t="shared" si="59"/>
        <v>0</v>
      </c>
      <c r="AO728" s="52">
        <f t="shared" si="60"/>
        <v>1</v>
      </c>
      <c r="AP728" s="235"/>
      <c r="AQ728" s="28"/>
      <c r="AR728" s="28"/>
      <c r="AS728" s="28"/>
      <c r="AT728" s="28"/>
      <c r="AU728" s="235"/>
      <c r="AV728" s="360">
        <f t="shared" si="83"/>
        <v>4406946.4419366261</v>
      </c>
      <c r="AW728" s="235"/>
      <c r="AX728" s="355"/>
      <c r="AY728" s="344"/>
      <c r="AZ728" s="14">
        <f t="shared" si="85"/>
        <v>9626.235727535648</v>
      </c>
      <c r="BA728" s="14">
        <f t="shared" si="84"/>
        <v>0.14995839596683069</v>
      </c>
      <c r="BB728" s="14">
        <f t="shared" si="61"/>
        <v>64192.709354299011</v>
      </c>
      <c r="BC728" s="344"/>
      <c r="BD728" s="344"/>
      <c r="BE728" s="344"/>
      <c r="BF728" s="344"/>
      <c r="BG728" s="344"/>
      <c r="BH728" s="344"/>
      <c r="BI728" s="344"/>
      <c r="BJ728" s="344"/>
      <c r="BK728" s="344"/>
      <c r="BL728" s="344"/>
      <c r="BM728" s="344"/>
      <c r="BN728" s="344"/>
      <c r="BO728" s="344"/>
      <c r="BP728" s="344"/>
      <c r="BQ728" s="344"/>
      <c r="BR728" s="344"/>
      <c r="BS728" s="344"/>
      <c r="BT728" s="344"/>
      <c r="BU728" s="344"/>
      <c r="BV728" s="344"/>
      <c r="BW728" s="344"/>
      <c r="BX728" s="344"/>
      <c r="BY728" s="344"/>
      <c r="BZ728" s="344"/>
      <c r="CA728" s="344"/>
      <c r="CB728" s="28"/>
      <c r="CC728" s="28"/>
      <c r="CD728" s="28"/>
      <c r="CE728" s="28"/>
      <c r="CF728" s="28"/>
      <c r="CG728" s="28"/>
      <c r="CH728" s="28"/>
      <c r="CI728" s="28"/>
      <c r="CJ728" s="28"/>
      <c r="CK728" s="28"/>
      <c r="CL728" s="28"/>
      <c r="CM728" s="28"/>
      <c r="CN728" s="28"/>
      <c r="CO728" s="28"/>
      <c r="CP728" s="28"/>
      <c r="CQ728" s="28"/>
      <c r="CR728" s="28"/>
      <c r="CS728" s="28"/>
      <c r="CT728" s="28"/>
      <c r="CU728" s="28"/>
      <c r="CV728" s="28"/>
      <c r="CW728" s="28"/>
    </row>
    <row r="729" spans="1:101" ht="14.25" customHeight="1" x14ac:dyDescent="0.2">
      <c r="A729" s="328"/>
      <c r="B729" s="52">
        <v>0.12500917844428089</v>
      </c>
      <c r="C729" s="330">
        <v>0.61777273929881182</v>
      </c>
      <c r="D729" s="330">
        <v>1.7195070218196551E-2</v>
      </c>
      <c r="E729" s="330">
        <v>1.2754917261163226E-2</v>
      </c>
      <c r="F729" s="331">
        <v>0.79205116130463937</v>
      </c>
      <c r="G729" s="94">
        <v>0.35945253175503256</v>
      </c>
      <c r="H729" s="330">
        <v>5.6436108435896838E-2</v>
      </c>
      <c r="I729" s="330">
        <v>6.1387293384876258E-3</v>
      </c>
      <c r="J729" s="330">
        <v>3.0084684498157464E-2</v>
      </c>
      <c r="K729" s="330">
        <v>0.71658068608504677</v>
      </c>
      <c r="L729" s="332">
        <v>9875.0901427803201</v>
      </c>
      <c r="M729" s="330">
        <v>0</v>
      </c>
      <c r="N729" s="330">
        <v>12666.296891278002</v>
      </c>
      <c r="O729" s="330">
        <v>1247.8270014326049</v>
      </c>
      <c r="P729" s="330">
        <v>38542.971841296443</v>
      </c>
      <c r="Q729" s="333">
        <v>78213.906833222776</v>
      </c>
      <c r="R729" s="330">
        <v>22179.437611277692</v>
      </c>
      <c r="S729" s="330">
        <v>11594.244832766684</v>
      </c>
      <c r="T729" s="332">
        <v>0.82492732144068237</v>
      </c>
      <c r="U729" s="330">
        <v>0.69507265751410885</v>
      </c>
      <c r="V729" s="330">
        <v>0.90496294075889216</v>
      </c>
      <c r="W729" s="330">
        <v>0.92015353525727295</v>
      </c>
      <c r="X729" s="330">
        <v>0.99743953845342093</v>
      </c>
      <c r="Y729" s="330">
        <v>0</v>
      </c>
      <c r="Z729" s="331">
        <v>0</v>
      </c>
      <c r="AA729" s="235"/>
      <c r="AB729" s="335">
        <v>110460.88481229004</v>
      </c>
      <c r="AC729" s="336">
        <v>4.9819877692738483</v>
      </c>
      <c r="AD729" s="337">
        <v>90259.26956534099</v>
      </c>
      <c r="AE729" s="336">
        <v>4.3961826009760676</v>
      </c>
      <c r="AF729" s="337">
        <v>20201.615246949048</v>
      </c>
      <c r="AG729" s="338">
        <v>0.58580516829778073</v>
      </c>
      <c r="AH729" s="235"/>
      <c r="AI729" s="208">
        <f t="shared" si="80"/>
        <v>4622427.4959978657</v>
      </c>
      <c r="AJ729" s="208">
        <f t="shared" si="81"/>
        <v>4086114.201361923</v>
      </c>
      <c r="AK729" s="208">
        <f t="shared" si="82"/>
        <v>536313.29463594267</v>
      </c>
      <c r="AL729" s="235"/>
      <c r="AM729" s="52">
        <f t="shared" si="58"/>
        <v>1</v>
      </c>
      <c r="AN729" s="52">
        <f t="shared" si="59"/>
        <v>0</v>
      </c>
      <c r="AO729" s="52">
        <f t="shared" si="60"/>
        <v>1</v>
      </c>
      <c r="AP729" s="235"/>
      <c r="AQ729" s="28"/>
      <c r="AR729" s="28"/>
      <c r="AS729" s="28"/>
      <c r="AT729" s="28"/>
      <c r="AU729" s="235"/>
      <c r="AV729" s="360">
        <f t="shared" si="83"/>
        <v>4622427.4959978657</v>
      </c>
      <c r="AW729" s="235"/>
      <c r="AX729" s="355"/>
      <c r="AY729" s="344"/>
      <c r="AZ729" s="14">
        <f t="shared" si="85"/>
        <v>20201.615246949048</v>
      </c>
      <c r="BA729" s="14">
        <f t="shared" si="84"/>
        <v>0.58580516829778073</v>
      </c>
      <c r="BB729" s="14">
        <f t="shared" si="61"/>
        <v>34485.211705541005</v>
      </c>
      <c r="BC729" s="344"/>
      <c r="BD729" s="344"/>
      <c r="BE729" s="344"/>
      <c r="BF729" s="344"/>
      <c r="BG729" s="344"/>
      <c r="BH729" s="344"/>
      <c r="BI729" s="344"/>
      <c r="BJ729" s="344"/>
      <c r="BK729" s="344"/>
      <c r="BL729" s="344"/>
      <c r="BM729" s="344"/>
      <c r="BN729" s="344"/>
      <c r="BO729" s="344"/>
      <c r="BP729" s="344"/>
      <c r="BQ729" s="344"/>
      <c r="BR729" s="344"/>
      <c r="BS729" s="344"/>
      <c r="BT729" s="344"/>
      <c r="BU729" s="344"/>
      <c r="BV729" s="344"/>
      <c r="BW729" s="344"/>
      <c r="BX729" s="344"/>
      <c r="BY729" s="344"/>
      <c r="BZ729" s="344"/>
      <c r="CA729" s="344"/>
      <c r="CB729" s="28"/>
      <c r="CC729" s="28"/>
      <c r="CD729" s="28"/>
      <c r="CE729" s="28"/>
      <c r="CF729" s="28"/>
      <c r="CG729" s="28"/>
      <c r="CH729" s="28"/>
      <c r="CI729" s="28"/>
      <c r="CJ729" s="28"/>
      <c r="CK729" s="28"/>
      <c r="CL729" s="28"/>
      <c r="CM729" s="28"/>
      <c r="CN729" s="28"/>
      <c r="CO729" s="28"/>
      <c r="CP729" s="28"/>
      <c r="CQ729" s="28"/>
      <c r="CR729" s="28"/>
      <c r="CS729" s="28"/>
      <c r="CT729" s="28"/>
      <c r="CU729" s="28"/>
      <c r="CV729" s="28"/>
      <c r="CW729" s="28"/>
    </row>
    <row r="730" spans="1:101" ht="14.25" customHeight="1" x14ac:dyDescent="0.2">
      <c r="A730" s="328"/>
      <c r="B730" s="52">
        <v>0.16151337264101051</v>
      </c>
      <c r="C730" s="330">
        <v>0.39156975034195418</v>
      </c>
      <c r="D730" s="330">
        <v>1.371364035432285E-2</v>
      </c>
      <c r="E730" s="330">
        <v>7.0485934844045977E-3</v>
      </c>
      <c r="F730" s="331">
        <v>0.77068519017357462</v>
      </c>
      <c r="G730" s="94">
        <v>0.41638490340557288</v>
      </c>
      <c r="H730" s="330">
        <v>3.3454612191173988E-2</v>
      </c>
      <c r="I730" s="330">
        <v>4.6329508302786638E-3</v>
      </c>
      <c r="J730" s="330">
        <v>1</v>
      </c>
      <c r="K730" s="330">
        <v>0.76455677034559688</v>
      </c>
      <c r="L730" s="332">
        <v>11148.793363939611</v>
      </c>
      <c r="M730" s="330">
        <v>0</v>
      </c>
      <c r="N730" s="330">
        <v>21357.410024205154</v>
      </c>
      <c r="O730" s="330">
        <v>1072.7770557715808</v>
      </c>
      <c r="P730" s="330">
        <v>55234.237023518413</v>
      </c>
      <c r="Q730" s="333">
        <v>68183.207481840887</v>
      </c>
      <c r="R730" s="330">
        <v>17113.058416134914</v>
      </c>
      <c r="S730" s="330">
        <v>8242.214152014938</v>
      </c>
      <c r="T730" s="332">
        <v>0.99554177481946982</v>
      </c>
      <c r="U730" s="330">
        <v>0.93177388748265388</v>
      </c>
      <c r="V730" s="330">
        <v>0.99011291414854186</v>
      </c>
      <c r="W730" s="330">
        <v>0.55509953566905579</v>
      </c>
      <c r="X730" s="330">
        <v>0.84710138875546304</v>
      </c>
      <c r="Y730" s="330">
        <v>0</v>
      </c>
      <c r="Z730" s="331">
        <v>0</v>
      </c>
      <c r="AA730" s="235"/>
      <c r="AB730" s="335">
        <v>80722.988719956309</v>
      </c>
      <c r="AC730" s="336">
        <v>4.12518815839789</v>
      </c>
      <c r="AD730" s="337">
        <v>68600.542190841617</v>
      </c>
      <c r="AE730" s="336">
        <v>4.1041226978349901</v>
      </c>
      <c r="AF730" s="337">
        <v>12122.446529114692</v>
      </c>
      <c r="AG730" s="338">
        <v>2.1065460562899929E-2</v>
      </c>
      <c r="AH730" s="235"/>
      <c r="AI730" s="208">
        <f t="shared" si="80"/>
        <v>3838205.7617580392</v>
      </c>
      <c r="AJ730" s="208">
        <f t="shared" si="81"/>
        <v>3830316.0207523992</v>
      </c>
      <c r="AK730" s="208">
        <f t="shared" si="82"/>
        <v>7889.7410056402405</v>
      </c>
      <c r="AL730" s="235"/>
      <c r="AM730" s="52">
        <f t="shared" si="58"/>
        <v>1</v>
      </c>
      <c r="AN730" s="52">
        <f t="shared" si="59"/>
        <v>0</v>
      </c>
      <c r="AO730" s="52">
        <f t="shared" si="60"/>
        <v>1</v>
      </c>
      <c r="AP730" s="235"/>
      <c r="AQ730" s="28"/>
      <c r="AR730" s="28"/>
      <c r="AS730" s="28"/>
      <c r="AT730" s="28"/>
      <c r="AU730" s="235"/>
      <c r="AV730" s="360">
        <f t="shared" si="83"/>
        <v>3838205.7617580392</v>
      </c>
      <c r="AW730" s="235"/>
      <c r="AX730" s="355"/>
      <c r="AY730" s="344"/>
      <c r="AZ730" s="14">
        <f t="shared" si="85"/>
        <v>12122.446529114692</v>
      </c>
      <c r="BA730" s="14">
        <f t="shared" si="84"/>
        <v>2.1065460562899929E-2</v>
      </c>
      <c r="BB730" s="14">
        <f t="shared" si="61"/>
        <v>575465.534822652</v>
      </c>
      <c r="BC730" s="344"/>
      <c r="BD730" s="344"/>
      <c r="BE730" s="344"/>
      <c r="BF730" s="344"/>
      <c r="BG730" s="344"/>
      <c r="BH730" s="344"/>
      <c r="BI730" s="344"/>
      <c r="BJ730" s="344"/>
      <c r="BK730" s="344"/>
      <c r="BL730" s="344"/>
      <c r="BM730" s="344"/>
      <c r="BN730" s="344"/>
      <c r="BO730" s="344"/>
      <c r="BP730" s="344"/>
      <c r="BQ730" s="344"/>
      <c r="BR730" s="344"/>
      <c r="BS730" s="344"/>
      <c r="BT730" s="344"/>
      <c r="BU730" s="344"/>
      <c r="BV730" s="344"/>
      <c r="BW730" s="344"/>
      <c r="BX730" s="344"/>
      <c r="BY730" s="344"/>
      <c r="BZ730" s="344"/>
      <c r="CA730" s="344"/>
      <c r="CB730" s="28"/>
      <c r="CC730" s="28"/>
      <c r="CD730" s="28"/>
      <c r="CE730" s="28"/>
      <c r="CF730" s="28"/>
      <c r="CG730" s="28"/>
      <c r="CH730" s="28"/>
      <c r="CI730" s="28"/>
      <c r="CJ730" s="28"/>
      <c r="CK730" s="28"/>
      <c r="CL730" s="28"/>
      <c r="CM730" s="28"/>
      <c r="CN730" s="28"/>
      <c r="CO730" s="28"/>
      <c r="CP730" s="28"/>
      <c r="CQ730" s="28"/>
      <c r="CR730" s="28"/>
      <c r="CS730" s="28"/>
      <c r="CT730" s="28"/>
      <c r="CU730" s="28"/>
      <c r="CV730" s="28"/>
      <c r="CW730" s="28"/>
    </row>
    <row r="731" spans="1:101" ht="14.25" customHeight="1" x14ac:dyDescent="0.2">
      <c r="A731" s="328"/>
      <c r="B731" s="52">
        <v>0.18443083596184595</v>
      </c>
      <c r="C731" s="330">
        <v>0.17731733799783486</v>
      </c>
      <c r="D731" s="330">
        <v>7.3557184119089399E-3</v>
      </c>
      <c r="E731" s="330">
        <v>1.0765299926694135E-2</v>
      </c>
      <c r="F731" s="331">
        <v>0.7886918933977225</v>
      </c>
      <c r="G731" s="94">
        <v>0.42563071642215</v>
      </c>
      <c r="H731" s="330">
        <v>8.3682376771173107E-3</v>
      </c>
      <c r="I731" s="330">
        <v>4.4350364133008292E-3</v>
      </c>
      <c r="J731" s="330">
        <v>7.7247452179802098E-2</v>
      </c>
      <c r="K731" s="330">
        <v>0.74818056914221509</v>
      </c>
      <c r="L731" s="332">
        <v>13273.71557545157</v>
      </c>
      <c r="M731" s="330">
        <v>0</v>
      </c>
      <c r="N731" s="330">
        <v>13834.926998348243</v>
      </c>
      <c r="O731" s="330">
        <v>1412.5673767752837</v>
      </c>
      <c r="P731" s="330">
        <v>71592.593575170278</v>
      </c>
      <c r="Q731" s="333">
        <v>79113.299576202568</v>
      </c>
      <c r="R731" s="330">
        <v>18655.060841399234</v>
      </c>
      <c r="S731" s="330">
        <v>8588.9394257145395</v>
      </c>
      <c r="T731" s="332">
        <v>0.99878343072874443</v>
      </c>
      <c r="U731" s="330">
        <v>0.98365767172301422</v>
      </c>
      <c r="V731" s="330">
        <v>0.99602336715297857</v>
      </c>
      <c r="W731" s="330">
        <v>0.71363514051243038</v>
      </c>
      <c r="X731" s="330">
        <v>0.91163257164014877</v>
      </c>
      <c r="Y731" s="330">
        <v>0</v>
      </c>
      <c r="Z731" s="331">
        <v>0</v>
      </c>
      <c r="AA731" s="235"/>
      <c r="AB731" s="335">
        <v>86946.532700023192</v>
      </c>
      <c r="AC731" s="336">
        <v>4.4271283866081967</v>
      </c>
      <c r="AD731" s="337">
        <v>69795.149740329667</v>
      </c>
      <c r="AE731" s="336">
        <v>4.1501160254858034</v>
      </c>
      <c r="AF731" s="337">
        <v>17151.382959693525</v>
      </c>
      <c r="AG731" s="338">
        <v>0.27701236112239336</v>
      </c>
      <c r="AH731" s="235"/>
      <c r="AI731" s="208">
        <f t="shared" si="80"/>
        <v>4118825.4345777635</v>
      </c>
      <c r="AJ731" s="208">
        <f t="shared" si="81"/>
        <v>3872815.0744711836</v>
      </c>
      <c r="AK731" s="208">
        <f t="shared" si="82"/>
        <v>246010.36010658016</v>
      </c>
      <c r="AL731" s="235"/>
      <c r="AM731" s="52">
        <f t="shared" si="58"/>
        <v>1</v>
      </c>
      <c r="AN731" s="52">
        <f t="shared" si="59"/>
        <v>0</v>
      </c>
      <c r="AO731" s="52">
        <f t="shared" si="60"/>
        <v>1</v>
      </c>
      <c r="AP731" s="235"/>
      <c r="AQ731" s="28"/>
      <c r="AR731" s="28"/>
      <c r="AS731" s="28"/>
      <c r="AT731" s="28"/>
      <c r="AU731" s="235"/>
      <c r="AV731" s="360">
        <f t="shared" si="83"/>
        <v>4118825.4345777635</v>
      </c>
      <c r="AW731" s="235"/>
      <c r="AX731" s="355"/>
      <c r="AY731" s="344"/>
      <c r="AZ731" s="14">
        <f t="shared" si="85"/>
        <v>17151.382959693525</v>
      </c>
      <c r="BA731" s="14">
        <f t="shared" si="84"/>
        <v>0.27701236112239336</v>
      </c>
      <c r="BB731" s="14">
        <f t="shared" si="61"/>
        <v>61915.5870525051</v>
      </c>
      <c r="BC731" s="344"/>
      <c r="BD731" s="344"/>
      <c r="BE731" s="344"/>
      <c r="BF731" s="344"/>
      <c r="BG731" s="344"/>
      <c r="BH731" s="344"/>
      <c r="BI731" s="344"/>
      <c r="BJ731" s="344"/>
      <c r="BK731" s="344"/>
      <c r="BL731" s="344"/>
      <c r="BM731" s="344"/>
      <c r="BN731" s="344"/>
      <c r="BO731" s="344"/>
      <c r="BP731" s="344"/>
      <c r="BQ731" s="344"/>
      <c r="BR731" s="344"/>
      <c r="BS731" s="344"/>
      <c r="BT731" s="344"/>
      <c r="BU731" s="344"/>
      <c r="BV731" s="344"/>
      <c r="BW731" s="344"/>
      <c r="BX731" s="344"/>
      <c r="BY731" s="344"/>
      <c r="BZ731" s="344"/>
      <c r="CA731" s="344"/>
      <c r="CB731" s="28"/>
      <c r="CC731" s="28"/>
      <c r="CD731" s="28"/>
      <c r="CE731" s="28"/>
      <c r="CF731" s="28"/>
      <c r="CG731" s="28"/>
      <c r="CH731" s="28"/>
      <c r="CI731" s="28"/>
      <c r="CJ731" s="28"/>
      <c r="CK731" s="28"/>
      <c r="CL731" s="28"/>
      <c r="CM731" s="28"/>
      <c r="CN731" s="28"/>
      <c r="CO731" s="28"/>
      <c r="CP731" s="28"/>
      <c r="CQ731" s="28"/>
      <c r="CR731" s="28"/>
      <c r="CS731" s="28"/>
      <c r="CT731" s="28"/>
      <c r="CU731" s="28"/>
      <c r="CV731" s="28"/>
      <c r="CW731" s="28"/>
    </row>
    <row r="732" spans="1:101" ht="14.25" customHeight="1" x14ac:dyDescent="0.2">
      <c r="A732" s="328"/>
      <c r="B732" s="52">
        <v>0.17403874715686996</v>
      </c>
      <c r="C732" s="330">
        <v>0.4919394012269912</v>
      </c>
      <c r="D732" s="330">
        <v>1.4450980931279278E-2</v>
      </c>
      <c r="E732" s="330">
        <v>1.4480900073042591E-2</v>
      </c>
      <c r="F732" s="331">
        <v>0.83403924015810171</v>
      </c>
      <c r="G732" s="94">
        <v>0.44322707885894908</v>
      </c>
      <c r="H732" s="330">
        <v>0.59288243064988722</v>
      </c>
      <c r="I732" s="330">
        <v>2.5200873968555082E-2</v>
      </c>
      <c r="J732" s="330">
        <v>3.9483771786962073E-2</v>
      </c>
      <c r="K732" s="330">
        <v>0.71731460244677681</v>
      </c>
      <c r="L732" s="332">
        <v>11258.262037863744</v>
      </c>
      <c r="M732" s="330">
        <v>0</v>
      </c>
      <c r="N732" s="330">
        <v>23714.615312893846</v>
      </c>
      <c r="O732" s="330">
        <v>819.33182721377545</v>
      </c>
      <c r="P732" s="330">
        <v>55100.949258362198</v>
      </c>
      <c r="Q732" s="333">
        <v>103001.70290016755</v>
      </c>
      <c r="R732" s="330">
        <v>20471.117802987093</v>
      </c>
      <c r="S732" s="330">
        <v>8416.7113299715656</v>
      </c>
      <c r="T732" s="332">
        <v>0.99167254585902698</v>
      </c>
      <c r="U732" s="330">
        <v>0.92927229409210077</v>
      </c>
      <c r="V732" s="330">
        <v>0.18034261332821588</v>
      </c>
      <c r="W732" s="330">
        <v>0.61851754504891954</v>
      </c>
      <c r="X732" s="330">
        <v>0.99999493814884866</v>
      </c>
      <c r="Y732" s="330">
        <v>0</v>
      </c>
      <c r="Z732" s="331">
        <v>0</v>
      </c>
      <c r="AA732" s="235"/>
      <c r="AB732" s="335">
        <v>88747.268110482881</v>
      </c>
      <c r="AC732" s="336">
        <v>5.0516936109853248</v>
      </c>
      <c r="AD732" s="337">
        <v>71693.816344492283</v>
      </c>
      <c r="AE732" s="336">
        <v>4.5183671878818146</v>
      </c>
      <c r="AF732" s="337">
        <v>17053.451765990598</v>
      </c>
      <c r="AG732" s="338">
        <v>0.53332642310351019</v>
      </c>
      <c r="AH732" s="235"/>
      <c r="AI732" s="208">
        <f t="shared" si="80"/>
        <v>4710361.6623255759</v>
      </c>
      <c r="AJ732" s="208">
        <f t="shared" si="81"/>
        <v>4220755.0121432319</v>
      </c>
      <c r="AK732" s="208">
        <f t="shared" si="82"/>
        <v>489606.65018234408</v>
      </c>
      <c r="AL732" s="235"/>
      <c r="AM732" s="52">
        <f t="shared" si="58"/>
        <v>1</v>
      </c>
      <c r="AN732" s="52">
        <f t="shared" si="59"/>
        <v>0</v>
      </c>
      <c r="AO732" s="52">
        <f t="shared" si="60"/>
        <v>1</v>
      </c>
      <c r="AP732" s="235"/>
      <c r="AQ732" s="28"/>
      <c r="AR732" s="28"/>
      <c r="AS732" s="28"/>
      <c r="AT732" s="28"/>
      <c r="AU732" s="235"/>
      <c r="AV732" s="360">
        <f t="shared" si="83"/>
        <v>4710361.6623255759</v>
      </c>
      <c r="AW732" s="235"/>
      <c r="AX732" s="355"/>
      <c r="AY732" s="344"/>
      <c r="AZ732" s="14">
        <f t="shared" si="85"/>
        <v>17053.451765990598</v>
      </c>
      <c r="BA732" s="14">
        <f t="shared" si="84"/>
        <v>0.53332642310351019</v>
      </c>
      <c r="BB732" s="14">
        <f t="shared" si="61"/>
        <v>31975.636359349843</v>
      </c>
      <c r="BC732" s="344"/>
      <c r="BD732" s="344"/>
      <c r="BE732" s="344"/>
      <c r="BF732" s="344"/>
      <c r="BG732" s="344"/>
      <c r="BH732" s="344"/>
      <c r="BI732" s="344"/>
      <c r="BJ732" s="344"/>
      <c r="BK732" s="344"/>
      <c r="BL732" s="344"/>
      <c r="BM732" s="344"/>
      <c r="BN732" s="344"/>
      <c r="BO732" s="344"/>
      <c r="BP732" s="344"/>
      <c r="BQ732" s="344"/>
      <c r="BR732" s="344"/>
      <c r="BS732" s="344"/>
      <c r="BT732" s="344"/>
      <c r="BU732" s="344"/>
      <c r="BV732" s="344"/>
      <c r="BW732" s="344"/>
      <c r="BX732" s="344"/>
      <c r="BY732" s="344"/>
      <c r="BZ732" s="344"/>
      <c r="CA732" s="344"/>
      <c r="CB732" s="28"/>
      <c r="CC732" s="28"/>
      <c r="CD732" s="28"/>
      <c r="CE732" s="28"/>
      <c r="CF732" s="28"/>
      <c r="CG732" s="28"/>
      <c r="CH732" s="28"/>
      <c r="CI732" s="28"/>
      <c r="CJ732" s="28"/>
      <c r="CK732" s="28"/>
      <c r="CL732" s="28"/>
      <c r="CM732" s="28"/>
      <c r="CN732" s="28"/>
      <c r="CO732" s="28"/>
      <c r="CP732" s="28"/>
      <c r="CQ732" s="28"/>
      <c r="CR732" s="28"/>
      <c r="CS732" s="28"/>
      <c r="CT732" s="28"/>
      <c r="CU732" s="28"/>
      <c r="CV732" s="28"/>
      <c r="CW732" s="28"/>
    </row>
    <row r="733" spans="1:101" ht="14.25" customHeight="1" x14ac:dyDescent="0.2">
      <c r="A733" s="328"/>
      <c r="B733" s="52">
        <v>0.13121502822189257</v>
      </c>
      <c r="C733" s="330">
        <v>0.11531958560176712</v>
      </c>
      <c r="D733" s="330">
        <v>1.5547562025437833E-2</v>
      </c>
      <c r="E733" s="330">
        <v>1.3341689209503547E-2</v>
      </c>
      <c r="F733" s="331">
        <v>0.79995020903191272</v>
      </c>
      <c r="G733" s="94">
        <v>0.37106608239673572</v>
      </c>
      <c r="H733" s="330">
        <v>7.0929206696180816E-2</v>
      </c>
      <c r="I733" s="330">
        <v>1.9034680974306384E-2</v>
      </c>
      <c r="J733" s="330">
        <v>1</v>
      </c>
      <c r="K733" s="330">
        <v>0.75463687381779454</v>
      </c>
      <c r="L733" s="332">
        <v>13986.238914896285</v>
      </c>
      <c r="M733" s="330">
        <v>0</v>
      </c>
      <c r="N733" s="330">
        <v>13307.407351615404</v>
      </c>
      <c r="O733" s="330">
        <v>1242.5595206292664</v>
      </c>
      <c r="P733" s="330">
        <v>39928.910397388536</v>
      </c>
      <c r="Q733" s="333">
        <v>99451.062671188018</v>
      </c>
      <c r="R733" s="330">
        <v>23218.379733331974</v>
      </c>
      <c r="S733" s="330">
        <v>9902.1569324644679</v>
      </c>
      <c r="T733" s="332">
        <v>0.84821155658762759</v>
      </c>
      <c r="U733" s="330">
        <v>0.94224815682743079</v>
      </c>
      <c r="V733" s="330">
        <v>0.999983541432375</v>
      </c>
      <c r="W733" s="330">
        <v>0.86951681764941791</v>
      </c>
      <c r="X733" s="330">
        <v>0.54041341358944406</v>
      </c>
      <c r="Y733" s="330">
        <v>0</v>
      </c>
      <c r="Z733" s="331">
        <v>0</v>
      </c>
      <c r="AA733" s="235"/>
      <c r="AB733" s="335">
        <v>99709.528594181204</v>
      </c>
      <c r="AC733" s="336">
        <v>2.7233041384172383</v>
      </c>
      <c r="AD733" s="337">
        <v>82347.372948559292</v>
      </c>
      <c r="AE733" s="336">
        <v>2.497518079483295</v>
      </c>
      <c r="AF733" s="337">
        <v>17362.155645621911</v>
      </c>
      <c r="AG733" s="338">
        <v>0.22578605893394332</v>
      </c>
      <c r="AH733" s="235"/>
      <c r="AI733" s="208">
        <f t="shared" si="80"/>
        <v>2487429.4029021948</v>
      </c>
      <c r="AJ733" s="208">
        <f t="shared" si="81"/>
        <v>2290294.8025605706</v>
      </c>
      <c r="AK733" s="208">
        <f t="shared" si="82"/>
        <v>197134.60034162426</v>
      </c>
      <c r="AL733" s="235"/>
      <c r="AM733" s="52">
        <f t="shared" si="58"/>
        <v>1</v>
      </c>
      <c r="AN733" s="52">
        <f t="shared" si="59"/>
        <v>0</v>
      </c>
      <c r="AO733" s="52">
        <f t="shared" si="60"/>
        <v>1</v>
      </c>
      <c r="AP733" s="235"/>
      <c r="AQ733" s="28"/>
      <c r="AR733" s="28"/>
      <c r="AS733" s="28"/>
      <c r="AT733" s="28"/>
      <c r="AU733" s="235"/>
      <c r="AV733" s="360">
        <f t="shared" si="83"/>
        <v>2487429.4029021948</v>
      </c>
      <c r="AW733" s="235"/>
      <c r="AX733" s="355"/>
      <c r="AY733" s="344"/>
      <c r="AZ733" s="14">
        <f t="shared" si="85"/>
        <v>17362.155645621911</v>
      </c>
      <c r="BA733" s="14">
        <f t="shared" si="84"/>
        <v>0.22578605893394332</v>
      </c>
      <c r="BB733" s="14">
        <f t="shared" si="61"/>
        <v>76896.490986192541</v>
      </c>
      <c r="BC733" s="344"/>
      <c r="BD733" s="344"/>
      <c r="BE733" s="344"/>
      <c r="BF733" s="344"/>
      <c r="BG733" s="344"/>
      <c r="BH733" s="344"/>
      <c r="BI733" s="344"/>
      <c r="BJ733" s="344"/>
      <c r="BK733" s="344"/>
      <c r="BL733" s="344"/>
      <c r="BM733" s="344"/>
      <c r="BN733" s="344"/>
      <c r="BO733" s="344"/>
      <c r="BP733" s="344"/>
      <c r="BQ733" s="344"/>
      <c r="BR733" s="344"/>
      <c r="BS733" s="344"/>
      <c r="BT733" s="344"/>
      <c r="BU733" s="344"/>
      <c r="BV733" s="344"/>
      <c r="BW733" s="344"/>
      <c r="BX733" s="344"/>
      <c r="BY733" s="344"/>
      <c r="BZ733" s="344"/>
      <c r="CA733" s="344"/>
      <c r="CB733" s="28"/>
      <c r="CC733" s="28"/>
      <c r="CD733" s="28"/>
      <c r="CE733" s="28"/>
      <c r="CF733" s="28"/>
      <c r="CG733" s="28"/>
      <c r="CH733" s="28"/>
      <c r="CI733" s="28"/>
      <c r="CJ733" s="28"/>
      <c r="CK733" s="28"/>
      <c r="CL733" s="28"/>
      <c r="CM733" s="28"/>
      <c r="CN733" s="28"/>
      <c r="CO733" s="28"/>
      <c r="CP733" s="28"/>
      <c r="CQ733" s="28"/>
      <c r="CR733" s="28"/>
      <c r="CS733" s="28"/>
      <c r="CT733" s="28"/>
      <c r="CU733" s="28"/>
      <c r="CV733" s="28"/>
      <c r="CW733" s="28"/>
    </row>
    <row r="734" spans="1:101" ht="14.25" customHeight="1" x14ac:dyDescent="0.2">
      <c r="A734" s="328"/>
      <c r="B734" s="52">
        <v>0.13103342744519172</v>
      </c>
      <c r="C734" s="330">
        <v>0.57401870879390304</v>
      </c>
      <c r="D734" s="330">
        <v>9.6656129766139725E-3</v>
      </c>
      <c r="E734" s="330">
        <v>1.4102032400048399E-2</v>
      </c>
      <c r="F734" s="331">
        <v>0.80535581543764101</v>
      </c>
      <c r="G734" s="94">
        <v>0.36976197757877244</v>
      </c>
      <c r="H734" s="330">
        <v>0.98534631042313436</v>
      </c>
      <c r="I734" s="330">
        <v>1.6557125665753292E-2</v>
      </c>
      <c r="J734" s="330">
        <v>0.99999593056067626</v>
      </c>
      <c r="K734" s="330">
        <v>0.77517188523457603</v>
      </c>
      <c r="L734" s="332">
        <v>12049.404945477609</v>
      </c>
      <c r="M734" s="330">
        <v>0</v>
      </c>
      <c r="N734" s="330">
        <v>20537.638762138118</v>
      </c>
      <c r="O734" s="330">
        <v>956.934759381552</v>
      </c>
      <c r="P734" s="330">
        <v>42433.469616752336</v>
      </c>
      <c r="Q734" s="333">
        <v>110016.79562273146</v>
      </c>
      <c r="R734" s="330">
        <v>19044.950889494703</v>
      </c>
      <c r="S734" s="330">
        <v>9330.8479115277551</v>
      </c>
      <c r="T734" s="332">
        <v>0.99999989693584801</v>
      </c>
      <c r="U734" s="330">
        <v>0.93266199728901023</v>
      </c>
      <c r="V734" s="330">
        <v>0.8029647020172449</v>
      </c>
      <c r="W734" s="330">
        <v>0.99978905498480697</v>
      </c>
      <c r="X734" s="330">
        <v>0.80874433372808419</v>
      </c>
      <c r="Y734" s="330">
        <v>0</v>
      </c>
      <c r="Z734" s="331">
        <v>0</v>
      </c>
      <c r="AA734" s="235"/>
      <c r="AB734" s="335">
        <v>94389.211819372751</v>
      </c>
      <c r="AC734" s="336">
        <v>4.2681524850178425</v>
      </c>
      <c r="AD734" s="337">
        <v>85922.962222109607</v>
      </c>
      <c r="AE734" s="336">
        <v>3.9270485627864224</v>
      </c>
      <c r="AF734" s="337">
        <v>8466.2495972631441</v>
      </c>
      <c r="AG734" s="338">
        <v>0.34110392223142005</v>
      </c>
      <c r="AH734" s="235"/>
      <c r="AI734" s="208">
        <f t="shared" si="80"/>
        <v>3960355.6489475779</v>
      </c>
      <c r="AJ734" s="208">
        <f t="shared" si="81"/>
        <v>3644773.1724249916</v>
      </c>
      <c r="AK734" s="208">
        <f t="shared" si="82"/>
        <v>315582.47652258596</v>
      </c>
      <c r="AL734" s="235"/>
      <c r="AM734" s="52">
        <f t="shared" si="58"/>
        <v>1</v>
      </c>
      <c r="AN734" s="52">
        <f t="shared" si="59"/>
        <v>0</v>
      </c>
      <c r="AO734" s="52">
        <f t="shared" si="60"/>
        <v>1</v>
      </c>
      <c r="AP734" s="235"/>
      <c r="AQ734" s="28"/>
      <c r="AR734" s="28"/>
      <c r="AS734" s="28"/>
      <c r="AT734" s="28"/>
      <c r="AU734" s="235"/>
      <c r="AV734" s="360">
        <f t="shared" si="83"/>
        <v>3960355.6489475779</v>
      </c>
      <c r="AW734" s="235"/>
      <c r="AX734" s="355"/>
      <c r="AY734" s="344"/>
      <c r="AZ734" s="14">
        <f t="shared" si="85"/>
        <v>8466.2495972631441</v>
      </c>
      <c r="BA734" s="14">
        <f t="shared" si="84"/>
        <v>0.34110392223142005</v>
      </c>
      <c r="BB734" s="14">
        <f t="shared" si="61"/>
        <v>24820.147308418414</v>
      </c>
      <c r="BC734" s="344"/>
      <c r="BD734" s="344"/>
      <c r="BE734" s="344"/>
      <c r="BF734" s="344"/>
      <c r="BG734" s="344"/>
      <c r="BH734" s="344"/>
      <c r="BI734" s="344"/>
      <c r="BJ734" s="344"/>
      <c r="BK734" s="344"/>
      <c r="BL734" s="344"/>
      <c r="BM734" s="344"/>
      <c r="BN734" s="344"/>
      <c r="BO734" s="344"/>
      <c r="BP734" s="344"/>
      <c r="BQ734" s="344"/>
      <c r="BR734" s="344"/>
      <c r="BS734" s="344"/>
      <c r="BT734" s="344"/>
      <c r="BU734" s="344"/>
      <c r="BV734" s="344"/>
      <c r="BW734" s="344"/>
      <c r="BX734" s="344"/>
      <c r="BY734" s="344"/>
      <c r="BZ734" s="344"/>
      <c r="CA734" s="344"/>
      <c r="CB734" s="28"/>
      <c r="CC734" s="28"/>
      <c r="CD734" s="28"/>
      <c r="CE734" s="28"/>
      <c r="CF734" s="28"/>
      <c r="CG734" s="28"/>
      <c r="CH734" s="28"/>
      <c r="CI734" s="28"/>
      <c r="CJ734" s="28"/>
      <c r="CK734" s="28"/>
      <c r="CL734" s="28"/>
      <c r="CM734" s="28"/>
      <c r="CN734" s="28"/>
      <c r="CO734" s="28"/>
      <c r="CP734" s="28"/>
      <c r="CQ734" s="28"/>
      <c r="CR734" s="28"/>
      <c r="CS734" s="28"/>
      <c r="CT734" s="28"/>
      <c r="CU734" s="28"/>
      <c r="CV734" s="28"/>
      <c r="CW734" s="28"/>
    </row>
    <row r="735" spans="1:101" ht="14.25" customHeight="1" x14ac:dyDescent="0.2">
      <c r="A735" s="328"/>
      <c r="B735" s="52">
        <v>0.15698140240982211</v>
      </c>
      <c r="C735" s="330">
        <v>0.76632553665108571</v>
      </c>
      <c r="D735" s="330">
        <v>2.3770177300520001E-2</v>
      </c>
      <c r="E735" s="330">
        <v>1.3027945994764072E-2</v>
      </c>
      <c r="F735" s="331">
        <v>0.79757249022035237</v>
      </c>
      <c r="G735" s="94">
        <v>0.3510295141369737</v>
      </c>
      <c r="H735" s="330">
        <v>0.90392309719180297</v>
      </c>
      <c r="I735" s="330">
        <v>1.5801894277016629E-2</v>
      </c>
      <c r="J735" s="330">
        <v>0.6857303161580518</v>
      </c>
      <c r="K735" s="330">
        <v>0.72123982957912758</v>
      </c>
      <c r="L735" s="332">
        <v>15146.500560829945</v>
      </c>
      <c r="M735" s="330">
        <v>0</v>
      </c>
      <c r="N735" s="330">
        <v>10818.914052805914</v>
      </c>
      <c r="O735" s="330">
        <v>1181.0637678372268</v>
      </c>
      <c r="P735" s="330">
        <v>41001.301574236517</v>
      </c>
      <c r="Q735" s="333">
        <v>99039.294716009463</v>
      </c>
      <c r="R735" s="330">
        <v>16774.487426350224</v>
      </c>
      <c r="S735" s="330">
        <v>8004.0677996788272</v>
      </c>
      <c r="T735" s="332">
        <v>0.3358314015696332</v>
      </c>
      <c r="U735" s="330">
        <v>0.99206622845947412</v>
      </c>
      <c r="V735" s="330">
        <v>0.99996411543347352</v>
      </c>
      <c r="W735" s="330">
        <v>0.6022442827650305</v>
      </c>
      <c r="X735" s="330">
        <v>0.9892084683691692</v>
      </c>
      <c r="Y735" s="330">
        <v>0</v>
      </c>
      <c r="Z735" s="331">
        <v>0</v>
      </c>
      <c r="AA735" s="235"/>
      <c r="AB735" s="335">
        <v>86228.233998059761</v>
      </c>
      <c r="AC735" s="336">
        <v>4.8636507486574958</v>
      </c>
      <c r="AD735" s="337">
        <v>68420.679793476011</v>
      </c>
      <c r="AE735" s="336">
        <v>4.3279067182240354</v>
      </c>
      <c r="AF735" s="337">
        <v>17807.55420458375</v>
      </c>
      <c r="AG735" s="338">
        <v>0.53574403043346042</v>
      </c>
      <c r="AH735" s="235"/>
      <c r="AI735" s="208">
        <f t="shared" si="80"/>
        <v>4534239.9772265609</v>
      </c>
      <c r="AJ735" s="208">
        <f t="shared" si="81"/>
        <v>4043090.7025193577</v>
      </c>
      <c r="AK735" s="208">
        <f t="shared" si="82"/>
        <v>491149.27470720367</v>
      </c>
      <c r="AL735" s="235"/>
      <c r="AM735" s="52">
        <f t="shared" si="58"/>
        <v>1</v>
      </c>
      <c r="AN735" s="52">
        <f t="shared" si="59"/>
        <v>0</v>
      </c>
      <c r="AO735" s="52">
        <f t="shared" si="60"/>
        <v>1</v>
      </c>
      <c r="AP735" s="235"/>
      <c r="AQ735" s="28"/>
      <c r="AR735" s="28"/>
      <c r="AS735" s="28"/>
      <c r="AT735" s="28"/>
      <c r="AU735" s="235"/>
      <c r="AV735" s="360">
        <f t="shared" si="83"/>
        <v>4534239.9772265609</v>
      </c>
      <c r="AW735" s="235"/>
      <c r="AX735" s="355"/>
      <c r="AY735" s="344"/>
      <c r="AZ735" s="14">
        <f t="shared" si="85"/>
        <v>17807.55420458375</v>
      </c>
      <c r="BA735" s="14">
        <f t="shared" si="84"/>
        <v>0.53574403043346042</v>
      </c>
      <c r="BB735" s="14">
        <f t="shared" si="61"/>
        <v>33238.922308058187</v>
      </c>
      <c r="BC735" s="344"/>
      <c r="BD735" s="344"/>
      <c r="BE735" s="344"/>
      <c r="BF735" s="344"/>
      <c r="BG735" s="344"/>
      <c r="BH735" s="344"/>
      <c r="BI735" s="344"/>
      <c r="BJ735" s="344"/>
      <c r="BK735" s="344"/>
      <c r="BL735" s="344"/>
      <c r="BM735" s="344"/>
      <c r="BN735" s="344"/>
      <c r="BO735" s="344"/>
      <c r="BP735" s="344"/>
      <c r="BQ735" s="344"/>
      <c r="BR735" s="344"/>
      <c r="BS735" s="344"/>
      <c r="BT735" s="344"/>
      <c r="BU735" s="344"/>
      <c r="BV735" s="344"/>
      <c r="BW735" s="344"/>
      <c r="BX735" s="344"/>
      <c r="BY735" s="344"/>
      <c r="BZ735" s="344"/>
      <c r="CA735" s="344"/>
      <c r="CB735" s="28"/>
      <c r="CC735" s="28"/>
      <c r="CD735" s="28"/>
      <c r="CE735" s="28"/>
      <c r="CF735" s="28"/>
      <c r="CG735" s="28"/>
      <c r="CH735" s="28"/>
      <c r="CI735" s="28"/>
      <c r="CJ735" s="28"/>
      <c r="CK735" s="28"/>
      <c r="CL735" s="28"/>
      <c r="CM735" s="28"/>
      <c r="CN735" s="28"/>
      <c r="CO735" s="28"/>
      <c r="CP735" s="28"/>
      <c r="CQ735" s="28"/>
      <c r="CR735" s="28"/>
      <c r="CS735" s="28"/>
      <c r="CT735" s="28"/>
      <c r="CU735" s="28"/>
      <c r="CV735" s="28"/>
      <c r="CW735" s="28"/>
    </row>
    <row r="736" spans="1:101" ht="14.25" customHeight="1" x14ac:dyDescent="0.2">
      <c r="A736" s="328"/>
      <c r="B736" s="52">
        <v>0.15641142580635856</v>
      </c>
      <c r="C736" s="330">
        <v>0.318009579461912</v>
      </c>
      <c r="D736" s="330">
        <v>1.9825141600395946E-2</v>
      </c>
      <c r="E736" s="330">
        <v>2.1413304960946067E-2</v>
      </c>
      <c r="F736" s="331">
        <v>0.80824460684769051</v>
      </c>
      <c r="G736" s="94">
        <v>0.38504988890251018</v>
      </c>
      <c r="H736" s="330">
        <v>2.5541039003503244E-2</v>
      </c>
      <c r="I736" s="330">
        <v>2.7289046066622413E-2</v>
      </c>
      <c r="J736" s="330">
        <v>0.99999999364747216</v>
      </c>
      <c r="K736" s="330">
        <v>0.7207089739962238</v>
      </c>
      <c r="L736" s="332">
        <v>13680.788508551845</v>
      </c>
      <c r="M736" s="330">
        <v>0</v>
      </c>
      <c r="N736" s="330">
        <v>14545.297283249018</v>
      </c>
      <c r="O736" s="330">
        <v>934.73284637917459</v>
      </c>
      <c r="P736" s="330">
        <v>37338.590619112125</v>
      </c>
      <c r="Q736" s="333">
        <v>135344.90104753774</v>
      </c>
      <c r="R736" s="330">
        <v>27402.934269227255</v>
      </c>
      <c r="S736" s="330">
        <v>10172.530292160256</v>
      </c>
      <c r="T736" s="332">
        <v>0.68636925899496359</v>
      </c>
      <c r="U736" s="330">
        <v>0.98464778503709449</v>
      </c>
      <c r="V736" s="330">
        <v>0.99312280071808412</v>
      </c>
      <c r="W736" s="330">
        <v>0.76377534989540075</v>
      </c>
      <c r="X736" s="330">
        <v>0.99990710525236404</v>
      </c>
      <c r="Y736" s="330">
        <v>0</v>
      </c>
      <c r="Z736" s="331">
        <v>0</v>
      </c>
      <c r="AA736" s="235"/>
      <c r="AB736" s="335">
        <v>103844.1882245265</v>
      </c>
      <c r="AC736" s="336">
        <v>5.1998769784923011</v>
      </c>
      <c r="AD736" s="337">
        <v>81356.274352112232</v>
      </c>
      <c r="AE736" s="336">
        <v>4.6767179219251558</v>
      </c>
      <c r="AF736" s="337">
        <v>22487.913872414269</v>
      </c>
      <c r="AG736" s="338">
        <v>0.52315905656714534</v>
      </c>
      <c r="AH736" s="235"/>
      <c r="AI736" s="208">
        <f t="shared" si="80"/>
        <v>4836038.9413431603</v>
      </c>
      <c r="AJ736" s="208">
        <f t="shared" si="81"/>
        <v>4361525.7514767861</v>
      </c>
      <c r="AK736" s="208">
        <f t="shared" si="82"/>
        <v>474513.18986637378</v>
      </c>
      <c r="AL736" s="235"/>
      <c r="AM736" s="52">
        <f t="shared" si="58"/>
        <v>1</v>
      </c>
      <c r="AN736" s="52">
        <f t="shared" si="59"/>
        <v>0</v>
      </c>
      <c r="AO736" s="52">
        <f t="shared" si="60"/>
        <v>1</v>
      </c>
      <c r="AP736" s="235"/>
      <c r="AQ736" s="28"/>
      <c r="AR736" s="28"/>
      <c r="AS736" s="28"/>
      <c r="AT736" s="28"/>
      <c r="AU736" s="235"/>
      <c r="AV736" s="360">
        <f t="shared" si="83"/>
        <v>4836038.9413431603</v>
      </c>
      <c r="AW736" s="235"/>
      <c r="AX736" s="355"/>
      <c r="AY736" s="344"/>
      <c r="AZ736" s="14">
        <f t="shared" si="85"/>
        <v>22487.913872414269</v>
      </c>
      <c r="BA736" s="14">
        <f t="shared" si="84"/>
        <v>0.52315905656714534</v>
      </c>
      <c r="BB736" s="14">
        <f t="shared" si="61"/>
        <v>42984.85057293094</v>
      </c>
      <c r="BC736" s="344"/>
      <c r="BD736" s="344"/>
      <c r="BE736" s="344"/>
      <c r="BF736" s="344"/>
      <c r="BG736" s="344"/>
      <c r="BH736" s="344"/>
      <c r="BI736" s="344"/>
      <c r="BJ736" s="344"/>
      <c r="BK736" s="344"/>
      <c r="BL736" s="344"/>
      <c r="BM736" s="344"/>
      <c r="BN736" s="344"/>
      <c r="BO736" s="344"/>
      <c r="BP736" s="344"/>
      <c r="BQ736" s="344"/>
      <c r="BR736" s="344"/>
      <c r="BS736" s="344"/>
      <c r="BT736" s="344"/>
      <c r="BU736" s="344"/>
      <c r="BV736" s="344"/>
      <c r="BW736" s="344"/>
      <c r="BX736" s="344"/>
      <c r="BY736" s="344"/>
      <c r="BZ736" s="344"/>
      <c r="CA736" s="344"/>
      <c r="CB736" s="28"/>
      <c r="CC736" s="28"/>
      <c r="CD736" s="28"/>
      <c r="CE736" s="28"/>
      <c r="CF736" s="28"/>
      <c r="CG736" s="28"/>
      <c r="CH736" s="28"/>
      <c r="CI736" s="28"/>
      <c r="CJ736" s="28"/>
      <c r="CK736" s="28"/>
      <c r="CL736" s="28"/>
      <c r="CM736" s="28"/>
      <c r="CN736" s="28"/>
      <c r="CO736" s="28"/>
      <c r="CP736" s="28"/>
      <c r="CQ736" s="28"/>
      <c r="CR736" s="28"/>
      <c r="CS736" s="28"/>
      <c r="CT736" s="28"/>
      <c r="CU736" s="28"/>
      <c r="CV736" s="28"/>
      <c r="CW736" s="28"/>
    </row>
    <row r="737" spans="1:101" ht="14.25" customHeight="1" x14ac:dyDescent="0.2">
      <c r="A737" s="328"/>
      <c r="B737" s="52">
        <v>0.13525929936992429</v>
      </c>
      <c r="C737" s="330">
        <v>0.27265052457584965</v>
      </c>
      <c r="D737" s="330">
        <v>1.6620800402961322E-2</v>
      </c>
      <c r="E737" s="330">
        <v>9.9706258642701679E-3</v>
      </c>
      <c r="F737" s="331">
        <v>0.76616563733489607</v>
      </c>
      <c r="G737" s="94">
        <v>0.34916522269315692</v>
      </c>
      <c r="H737" s="330">
        <v>0.85856633588486242</v>
      </c>
      <c r="I737" s="330">
        <v>3.5828701679059938E-2</v>
      </c>
      <c r="J737" s="330">
        <v>0.24438716904152763</v>
      </c>
      <c r="K737" s="330">
        <v>0.78761715566250912</v>
      </c>
      <c r="L737" s="332">
        <v>15597.549413310544</v>
      </c>
      <c r="M737" s="330">
        <v>0</v>
      </c>
      <c r="N737" s="330">
        <v>21256.555015353737</v>
      </c>
      <c r="O737" s="330">
        <v>1132.9776711243303</v>
      </c>
      <c r="P737" s="330">
        <v>55266.298879152098</v>
      </c>
      <c r="Q737" s="333">
        <v>104129.20682367598</v>
      </c>
      <c r="R737" s="330">
        <v>21957.153215934955</v>
      </c>
      <c r="S737" s="330">
        <v>8180.1416715001997</v>
      </c>
      <c r="T737" s="332">
        <v>0.9978267698814578</v>
      </c>
      <c r="U737" s="330">
        <v>0.99710914466630252</v>
      </c>
      <c r="V737" s="330">
        <v>0.83156276521057004</v>
      </c>
      <c r="W737" s="330">
        <v>0.91608819819732357</v>
      </c>
      <c r="X737" s="330">
        <v>0.78270535604013114</v>
      </c>
      <c r="Y737" s="330">
        <v>0</v>
      </c>
      <c r="Z737" s="331">
        <v>0</v>
      </c>
      <c r="AA737" s="235"/>
      <c r="AB737" s="335">
        <v>84052.664574134382</v>
      </c>
      <c r="AC737" s="336">
        <v>4.0424403990141746</v>
      </c>
      <c r="AD737" s="337">
        <v>77493.017194622851</v>
      </c>
      <c r="AE737" s="336">
        <v>3.9639164852645736</v>
      </c>
      <c r="AF737" s="337">
        <v>6559.6473795115307</v>
      </c>
      <c r="AG737" s="338">
        <v>7.8523913749600993E-2</v>
      </c>
      <c r="AH737" s="235"/>
      <c r="AI737" s="208">
        <f t="shared" si="80"/>
        <v>3756265.7144893319</v>
      </c>
      <c r="AJ737" s="208">
        <f t="shared" si="81"/>
        <v>3688227.6438067225</v>
      </c>
      <c r="AK737" s="208">
        <f t="shared" si="82"/>
        <v>68038.07068260941</v>
      </c>
      <c r="AL737" s="235"/>
      <c r="AM737" s="52">
        <f t="shared" si="58"/>
        <v>1</v>
      </c>
      <c r="AN737" s="52">
        <f t="shared" si="59"/>
        <v>0</v>
      </c>
      <c r="AO737" s="52">
        <f t="shared" si="60"/>
        <v>1</v>
      </c>
      <c r="AP737" s="235"/>
      <c r="AQ737" s="28"/>
      <c r="AR737" s="28"/>
      <c r="AS737" s="28"/>
      <c r="AT737" s="28"/>
      <c r="AU737" s="235"/>
      <c r="AV737" s="360">
        <f t="shared" si="83"/>
        <v>3756265.7144893319</v>
      </c>
      <c r="AW737" s="235"/>
      <c r="AX737" s="355"/>
      <c r="AY737" s="344"/>
      <c r="AZ737" s="14">
        <f t="shared" si="85"/>
        <v>6559.6473795115307</v>
      </c>
      <c r="BA737" s="14">
        <f t="shared" si="84"/>
        <v>7.8523913749600993E-2</v>
      </c>
      <c r="BB737" s="14">
        <f t="shared" si="61"/>
        <v>83536.93882896741</v>
      </c>
      <c r="BC737" s="344"/>
      <c r="BD737" s="344"/>
      <c r="BE737" s="344"/>
      <c r="BF737" s="344"/>
      <c r="BG737" s="344"/>
      <c r="BH737" s="344"/>
      <c r="BI737" s="344"/>
      <c r="BJ737" s="344"/>
      <c r="BK737" s="344"/>
      <c r="BL737" s="344"/>
      <c r="BM737" s="344"/>
      <c r="BN737" s="344"/>
      <c r="BO737" s="344"/>
      <c r="BP737" s="344"/>
      <c r="BQ737" s="344"/>
      <c r="BR737" s="344"/>
      <c r="BS737" s="344"/>
      <c r="BT737" s="344"/>
      <c r="BU737" s="344"/>
      <c r="BV737" s="344"/>
      <c r="BW737" s="344"/>
      <c r="BX737" s="344"/>
      <c r="BY737" s="344"/>
      <c r="BZ737" s="344"/>
      <c r="CA737" s="344"/>
      <c r="CB737" s="28"/>
      <c r="CC737" s="28"/>
      <c r="CD737" s="28"/>
      <c r="CE737" s="28"/>
      <c r="CF737" s="28"/>
      <c r="CG737" s="28"/>
      <c r="CH737" s="28"/>
      <c r="CI737" s="28"/>
      <c r="CJ737" s="28"/>
      <c r="CK737" s="28"/>
      <c r="CL737" s="28"/>
      <c r="CM737" s="28"/>
      <c r="CN737" s="28"/>
      <c r="CO737" s="28"/>
      <c r="CP737" s="28"/>
      <c r="CQ737" s="28"/>
      <c r="CR737" s="28"/>
      <c r="CS737" s="28"/>
      <c r="CT737" s="28"/>
      <c r="CU737" s="28"/>
      <c r="CV737" s="28"/>
      <c r="CW737" s="28"/>
    </row>
    <row r="738" spans="1:101" ht="14.25" customHeight="1" x14ac:dyDescent="0.2">
      <c r="A738" s="328"/>
      <c r="B738" s="52">
        <v>0.16848477981686705</v>
      </c>
      <c r="C738" s="330">
        <v>0.59236102321583917</v>
      </c>
      <c r="D738" s="330">
        <v>2.1326185848162038E-2</v>
      </c>
      <c r="E738" s="330">
        <v>1.3871188369289501E-2</v>
      </c>
      <c r="F738" s="331">
        <v>0.79952278496259011</v>
      </c>
      <c r="G738" s="94">
        <v>0.39901932541258361</v>
      </c>
      <c r="H738" s="330">
        <v>0.79483214438192795</v>
      </c>
      <c r="I738" s="330">
        <v>3.5502261460361364E-3</v>
      </c>
      <c r="J738" s="330">
        <v>0.99842992226686889</v>
      </c>
      <c r="K738" s="330">
        <v>0.83667519175024596</v>
      </c>
      <c r="L738" s="332">
        <v>13890.951265432544</v>
      </c>
      <c r="M738" s="330">
        <v>0</v>
      </c>
      <c r="N738" s="330">
        <v>15397.928232857579</v>
      </c>
      <c r="O738" s="330">
        <v>1002.8677459854705</v>
      </c>
      <c r="P738" s="330">
        <v>31981.611919641913</v>
      </c>
      <c r="Q738" s="333">
        <v>71213.195540730318</v>
      </c>
      <c r="R738" s="330">
        <v>23189.600278167305</v>
      </c>
      <c r="S738" s="330">
        <v>6737.3093824548878</v>
      </c>
      <c r="T738" s="332">
        <v>0.99686791279999987</v>
      </c>
      <c r="U738" s="330">
        <v>0.60172344164497538</v>
      </c>
      <c r="V738" s="330">
        <v>0.99304175349160639</v>
      </c>
      <c r="W738" s="330">
        <v>0.99491472588509677</v>
      </c>
      <c r="X738" s="330">
        <v>0.64408044409781418</v>
      </c>
      <c r="Y738" s="330">
        <v>0</v>
      </c>
      <c r="Z738" s="331">
        <v>0</v>
      </c>
      <c r="AA738" s="235"/>
      <c r="AB738" s="335">
        <v>74437.767742574433</v>
      </c>
      <c r="AC738" s="336">
        <v>3.1111197753492608</v>
      </c>
      <c r="AD738" s="337">
        <v>68407.369431669576</v>
      </c>
      <c r="AE738" s="336">
        <v>3.2636266360250583</v>
      </c>
      <c r="AF738" s="337">
        <v>6030.3983109048568</v>
      </c>
      <c r="AG738" s="338">
        <v>-0.15250686067579755</v>
      </c>
      <c r="AH738" s="235"/>
      <c r="AI738" s="208">
        <f t="shared" si="80"/>
        <v>2881126.0188392233</v>
      </c>
      <c r="AJ738" s="208">
        <f t="shared" si="81"/>
        <v>3032037.9347921358</v>
      </c>
      <c r="AK738" s="208">
        <f t="shared" si="82"/>
        <v>-150911.91595291253</v>
      </c>
      <c r="AL738" s="235"/>
      <c r="AM738" s="52">
        <f t="shared" si="58"/>
        <v>0</v>
      </c>
      <c r="AN738" s="52">
        <f t="shared" si="59"/>
        <v>1</v>
      </c>
      <c r="AO738" s="52">
        <f t="shared" si="60"/>
        <v>0</v>
      </c>
      <c r="AP738" s="235"/>
      <c r="AQ738" s="28"/>
      <c r="AR738" s="28"/>
      <c r="AS738" s="28"/>
      <c r="AT738" s="28"/>
      <c r="AU738" s="235"/>
      <c r="AV738" s="360">
        <f t="shared" si="83"/>
        <v>3032037.9347921358</v>
      </c>
      <c r="AW738" s="235"/>
      <c r="AX738" s="355"/>
      <c r="AY738" s="344"/>
      <c r="AZ738" s="14">
        <f t="shared" si="85"/>
        <v>6030.3983109048568</v>
      </c>
      <c r="BA738" s="14">
        <f t="shared" si="84"/>
        <v>-0.15250686067579755</v>
      </c>
      <c r="BB738" s="14">
        <f t="shared" si="61"/>
        <v>-39541.816572596108</v>
      </c>
      <c r="BC738" s="344"/>
      <c r="BD738" s="344"/>
      <c r="BE738" s="344"/>
      <c r="BF738" s="344"/>
      <c r="BG738" s="344"/>
      <c r="BH738" s="344"/>
      <c r="BI738" s="344"/>
      <c r="BJ738" s="344"/>
      <c r="BK738" s="344"/>
      <c r="BL738" s="344"/>
      <c r="BM738" s="344"/>
      <c r="BN738" s="344"/>
      <c r="BO738" s="344"/>
      <c r="BP738" s="344"/>
      <c r="BQ738" s="344"/>
      <c r="BR738" s="344"/>
      <c r="BS738" s="344"/>
      <c r="BT738" s="344"/>
      <c r="BU738" s="344"/>
      <c r="BV738" s="344"/>
      <c r="BW738" s="344"/>
      <c r="BX738" s="344"/>
      <c r="BY738" s="344"/>
      <c r="BZ738" s="344"/>
      <c r="CA738" s="344"/>
      <c r="CB738" s="28"/>
      <c r="CC738" s="28"/>
      <c r="CD738" s="28"/>
      <c r="CE738" s="28"/>
      <c r="CF738" s="28"/>
      <c r="CG738" s="28"/>
      <c r="CH738" s="28"/>
      <c r="CI738" s="28"/>
      <c r="CJ738" s="28"/>
      <c r="CK738" s="28"/>
      <c r="CL738" s="28"/>
      <c r="CM738" s="28"/>
      <c r="CN738" s="28"/>
      <c r="CO738" s="28"/>
      <c r="CP738" s="28"/>
      <c r="CQ738" s="28"/>
      <c r="CR738" s="28"/>
      <c r="CS738" s="28"/>
      <c r="CT738" s="28"/>
      <c r="CU738" s="28"/>
      <c r="CV738" s="28"/>
      <c r="CW738" s="28"/>
    </row>
    <row r="739" spans="1:101" ht="14.25" customHeight="1" x14ac:dyDescent="0.2">
      <c r="A739" s="328"/>
      <c r="B739" s="52">
        <v>0.15917088933625451</v>
      </c>
      <c r="C739" s="330">
        <v>0.54949951587935875</v>
      </c>
      <c r="D739" s="330">
        <v>1.2272617465296313E-2</v>
      </c>
      <c r="E739" s="330">
        <v>2.2932159226604298E-2</v>
      </c>
      <c r="F739" s="331">
        <v>0.78016128871057144</v>
      </c>
      <c r="G739" s="94">
        <v>0.37428522216713089</v>
      </c>
      <c r="H739" s="330">
        <v>0.57801586566077989</v>
      </c>
      <c r="I739" s="330">
        <v>6.1385578068611588E-3</v>
      </c>
      <c r="J739" s="330">
        <v>1</v>
      </c>
      <c r="K739" s="330">
        <v>0.70039856046548077</v>
      </c>
      <c r="L739" s="332">
        <v>12474.952065377369</v>
      </c>
      <c r="M739" s="330">
        <v>0</v>
      </c>
      <c r="N739" s="330">
        <v>18646.699697380322</v>
      </c>
      <c r="O739" s="330">
        <v>985.08071902308188</v>
      </c>
      <c r="P739" s="330">
        <v>61806.361695093568</v>
      </c>
      <c r="Q739" s="333">
        <v>108259.25899691609</v>
      </c>
      <c r="R739" s="330">
        <v>30921.169287928762</v>
      </c>
      <c r="S739" s="330">
        <v>9956.2297231569082</v>
      </c>
      <c r="T739" s="332">
        <v>0.99008985514392844</v>
      </c>
      <c r="U739" s="330">
        <v>0.65306863819466665</v>
      </c>
      <c r="V739" s="330">
        <v>0.82159559851395891</v>
      </c>
      <c r="W739" s="330">
        <v>0.74172215951898879</v>
      </c>
      <c r="X739" s="330">
        <v>0.95142075302703333</v>
      </c>
      <c r="Y739" s="330">
        <v>0</v>
      </c>
      <c r="Z739" s="331">
        <v>0</v>
      </c>
      <c r="AA739" s="235"/>
      <c r="AB739" s="335">
        <v>98905.793304176492</v>
      </c>
      <c r="AC739" s="336">
        <v>4.8547357431905152</v>
      </c>
      <c r="AD739" s="337">
        <v>82322.233412565183</v>
      </c>
      <c r="AE739" s="336">
        <v>4.0794918339769541</v>
      </c>
      <c r="AF739" s="337">
        <v>16583.559891611309</v>
      </c>
      <c r="AG739" s="338">
        <v>0.77524390921356101</v>
      </c>
      <c r="AH739" s="235"/>
      <c r="AI739" s="208">
        <f t="shared" si="80"/>
        <v>4513093.162726813</v>
      </c>
      <c r="AJ739" s="208">
        <f t="shared" si="81"/>
        <v>3793195.0088655413</v>
      </c>
      <c r="AK739" s="208">
        <f t="shared" si="82"/>
        <v>719898.15386127157</v>
      </c>
      <c r="AL739" s="235"/>
      <c r="AM739" s="52">
        <f t="shared" si="58"/>
        <v>1</v>
      </c>
      <c r="AN739" s="52">
        <f t="shared" si="59"/>
        <v>0</v>
      </c>
      <c r="AO739" s="52">
        <f t="shared" si="60"/>
        <v>1</v>
      </c>
      <c r="AP739" s="235"/>
      <c r="AQ739" s="28"/>
      <c r="AR739" s="28"/>
      <c r="AS739" s="28"/>
      <c r="AT739" s="28"/>
      <c r="AU739" s="235"/>
      <c r="AV739" s="360">
        <f t="shared" si="83"/>
        <v>4513093.162726813</v>
      </c>
      <c r="AW739" s="235"/>
      <c r="AX739" s="355"/>
      <c r="AY739" s="344"/>
      <c r="AZ739" s="14">
        <f t="shared" si="85"/>
        <v>16583.559891611309</v>
      </c>
      <c r="BA739" s="14">
        <f t="shared" si="84"/>
        <v>0.77524390921356101</v>
      </c>
      <c r="BB739" s="14">
        <f t="shared" si="61"/>
        <v>21391.40945774646</v>
      </c>
      <c r="BC739" s="344"/>
      <c r="BD739" s="344"/>
      <c r="BE739" s="344"/>
      <c r="BF739" s="344"/>
      <c r="BG739" s="344"/>
      <c r="BH739" s="344"/>
      <c r="BI739" s="344"/>
      <c r="BJ739" s="344"/>
      <c r="BK739" s="344"/>
      <c r="BL739" s="344"/>
      <c r="BM739" s="344"/>
      <c r="BN739" s="344"/>
      <c r="BO739" s="344"/>
      <c r="BP739" s="344"/>
      <c r="BQ739" s="344"/>
      <c r="BR739" s="344"/>
      <c r="BS739" s="344"/>
      <c r="BT739" s="344"/>
      <c r="BU739" s="344"/>
      <c r="BV739" s="344"/>
      <c r="BW739" s="344"/>
      <c r="BX739" s="344"/>
      <c r="BY739" s="344"/>
      <c r="BZ739" s="344"/>
      <c r="CA739" s="344"/>
      <c r="CB739" s="28"/>
      <c r="CC739" s="28"/>
      <c r="CD739" s="28"/>
      <c r="CE739" s="28"/>
      <c r="CF739" s="28"/>
      <c r="CG739" s="28"/>
      <c r="CH739" s="28"/>
      <c r="CI739" s="28"/>
      <c r="CJ739" s="28"/>
      <c r="CK739" s="28"/>
      <c r="CL739" s="28"/>
      <c r="CM739" s="28"/>
      <c r="CN739" s="28"/>
      <c r="CO739" s="28"/>
      <c r="CP739" s="28"/>
      <c r="CQ739" s="28"/>
      <c r="CR739" s="28"/>
      <c r="CS739" s="28"/>
      <c r="CT739" s="28"/>
      <c r="CU739" s="28"/>
      <c r="CV739" s="28"/>
      <c r="CW739" s="28"/>
    </row>
    <row r="740" spans="1:101" ht="14.25" customHeight="1" x14ac:dyDescent="0.2">
      <c r="A740" s="328"/>
      <c r="B740" s="52">
        <v>0.14380962784521906</v>
      </c>
      <c r="C740" s="330">
        <v>7.743712239665039E-2</v>
      </c>
      <c r="D740" s="330">
        <v>1.5106723872031047E-2</v>
      </c>
      <c r="E740" s="330">
        <v>1.9135772017472408E-2</v>
      </c>
      <c r="F740" s="331">
        <v>0.77719400790773185</v>
      </c>
      <c r="G740" s="94">
        <v>0.45924943270988239</v>
      </c>
      <c r="H740" s="330">
        <v>1.07018478304433E-2</v>
      </c>
      <c r="I740" s="330">
        <v>3.2321152914677853E-2</v>
      </c>
      <c r="J740" s="330">
        <v>0.99999999848602461</v>
      </c>
      <c r="K740" s="330">
        <v>0.73099275702793165</v>
      </c>
      <c r="L740" s="332">
        <v>16059.38101609355</v>
      </c>
      <c r="M740" s="330">
        <v>0</v>
      </c>
      <c r="N740" s="330">
        <v>16966.496960036806</v>
      </c>
      <c r="O740" s="330">
        <v>804.92669685777935</v>
      </c>
      <c r="P740" s="330">
        <v>44307.940515543436</v>
      </c>
      <c r="Q740" s="333">
        <v>101981.71545549754</v>
      </c>
      <c r="R740" s="330">
        <v>29519.267014333775</v>
      </c>
      <c r="S740" s="330">
        <v>9263.2720922554236</v>
      </c>
      <c r="T740" s="332">
        <v>0.99788708172722651</v>
      </c>
      <c r="U740" s="330">
        <v>0.59250638673852463</v>
      </c>
      <c r="V740" s="330">
        <v>0.62335926511657447</v>
      </c>
      <c r="W740" s="330">
        <v>0.9354907872407261</v>
      </c>
      <c r="X740" s="330">
        <v>0.53525598028643584</v>
      </c>
      <c r="Y740" s="330">
        <v>0</v>
      </c>
      <c r="Z740" s="331">
        <v>0</v>
      </c>
      <c r="AA740" s="235"/>
      <c r="AB740" s="335">
        <v>93985.964110459958</v>
      </c>
      <c r="AC740" s="336">
        <v>2.8544035518295043</v>
      </c>
      <c r="AD740" s="337">
        <v>75632.5696127189</v>
      </c>
      <c r="AE740" s="336">
        <v>2.4114990676986623</v>
      </c>
      <c r="AF740" s="337">
        <v>18353.394497741057</v>
      </c>
      <c r="AG740" s="338">
        <v>0.44290448413084205</v>
      </c>
      <c r="AH740" s="235"/>
      <c r="AI740" s="208">
        <f t="shared" si="80"/>
        <v>2617697.410127569</v>
      </c>
      <c r="AJ740" s="208">
        <f t="shared" si="81"/>
        <v>2215291.54470101</v>
      </c>
      <c r="AK740" s="208">
        <f t="shared" si="82"/>
        <v>402405.86542655888</v>
      </c>
      <c r="AL740" s="235"/>
      <c r="AM740" s="52">
        <f t="shared" si="58"/>
        <v>1</v>
      </c>
      <c r="AN740" s="52">
        <f t="shared" si="59"/>
        <v>0</v>
      </c>
      <c r="AO740" s="52">
        <f t="shared" si="60"/>
        <v>1</v>
      </c>
      <c r="AP740" s="235"/>
      <c r="AQ740" s="28"/>
      <c r="AR740" s="28"/>
      <c r="AS740" s="28"/>
      <c r="AT740" s="28"/>
      <c r="AU740" s="235"/>
      <c r="AV740" s="360">
        <f t="shared" si="83"/>
        <v>2617697.410127569</v>
      </c>
      <c r="AW740" s="235"/>
      <c r="AX740" s="355"/>
      <c r="AY740" s="344"/>
      <c r="AZ740" s="14">
        <f t="shared" si="85"/>
        <v>18353.394497741057</v>
      </c>
      <c r="BA740" s="14">
        <f t="shared" si="84"/>
        <v>0.44290448413084205</v>
      </c>
      <c r="BB740" s="14">
        <f t="shared" si="61"/>
        <v>41438.719081288713</v>
      </c>
      <c r="BC740" s="344"/>
      <c r="BD740" s="344"/>
      <c r="BE740" s="344"/>
      <c r="BF740" s="344"/>
      <c r="BG740" s="344"/>
      <c r="BH740" s="344"/>
      <c r="BI740" s="344"/>
      <c r="BJ740" s="344"/>
      <c r="BK740" s="344"/>
      <c r="BL740" s="344"/>
      <c r="BM740" s="344"/>
      <c r="BN740" s="344"/>
      <c r="BO740" s="344"/>
      <c r="BP740" s="344"/>
      <c r="BQ740" s="344"/>
      <c r="BR740" s="344"/>
      <c r="BS740" s="344"/>
      <c r="BT740" s="344"/>
      <c r="BU740" s="344"/>
      <c r="BV740" s="344"/>
      <c r="BW740" s="344"/>
      <c r="BX740" s="344"/>
      <c r="BY740" s="344"/>
      <c r="BZ740" s="344"/>
      <c r="CA740" s="344"/>
      <c r="CB740" s="28"/>
      <c r="CC740" s="28"/>
      <c r="CD740" s="28"/>
      <c r="CE740" s="28"/>
      <c r="CF740" s="28"/>
      <c r="CG740" s="28"/>
      <c r="CH740" s="28"/>
      <c r="CI740" s="28"/>
      <c r="CJ740" s="28"/>
      <c r="CK740" s="28"/>
      <c r="CL740" s="28"/>
      <c r="CM740" s="28"/>
      <c r="CN740" s="28"/>
      <c r="CO740" s="28"/>
      <c r="CP740" s="28"/>
      <c r="CQ740" s="28"/>
      <c r="CR740" s="28"/>
      <c r="CS740" s="28"/>
      <c r="CT740" s="28"/>
      <c r="CU740" s="28"/>
      <c r="CV740" s="28"/>
      <c r="CW740" s="28"/>
    </row>
    <row r="741" spans="1:101" ht="14.25" customHeight="1" x14ac:dyDescent="0.2">
      <c r="A741" s="328"/>
      <c r="B741" s="52">
        <v>0.12291949059955845</v>
      </c>
      <c r="C741" s="330">
        <v>4.3561750889631407E-2</v>
      </c>
      <c r="D741" s="330">
        <v>3.1708762113760109E-3</v>
      </c>
      <c r="E741" s="330">
        <v>8.6898709737901151E-3</v>
      </c>
      <c r="F741" s="331">
        <v>0.81262926203091079</v>
      </c>
      <c r="G741" s="94">
        <v>0.36340409063897577</v>
      </c>
      <c r="H741" s="330">
        <v>0.81831208425409574</v>
      </c>
      <c r="I741" s="330">
        <v>4.4102863519832836E-2</v>
      </c>
      <c r="J741" s="330">
        <v>1.1208778466422814E-3</v>
      </c>
      <c r="K741" s="330">
        <v>0.79868077802548054</v>
      </c>
      <c r="L741" s="332">
        <v>13275.286656159842</v>
      </c>
      <c r="M741" s="330">
        <v>0</v>
      </c>
      <c r="N741" s="330">
        <v>18242.732500076818</v>
      </c>
      <c r="O741" s="330">
        <v>1250.6732065024328</v>
      </c>
      <c r="P741" s="330">
        <v>52300.039702277594</v>
      </c>
      <c r="Q741" s="333">
        <v>128170.8649241775</v>
      </c>
      <c r="R741" s="330">
        <v>18390.773087846952</v>
      </c>
      <c r="S741" s="330">
        <v>6716.8615186892166</v>
      </c>
      <c r="T741" s="332">
        <v>0.77940504220111939</v>
      </c>
      <c r="U741" s="330">
        <v>0.99969711573405062</v>
      </c>
      <c r="V741" s="330">
        <v>0.91210069649390779</v>
      </c>
      <c r="W741" s="330">
        <v>0.20704424190732557</v>
      </c>
      <c r="X741" s="330">
        <v>0.99413147149279557</v>
      </c>
      <c r="Y741" s="330">
        <v>0</v>
      </c>
      <c r="Z741" s="331">
        <v>0</v>
      </c>
      <c r="AA741" s="235"/>
      <c r="AB741" s="335">
        <v>72152.164081563664</v>
      </c>
      <c r="AC741" s="336">
        <v>5.3295367736866375</v>
      </c>
      <c r="AD741" s="337">
        <v>65319.699290989811</v>
      </c>
      <c r="AE741" s="336">
        <v>5.1435247845552956</v>
      </c>
      <c r="AF741" s="337">
        <v>6832.464790573853</v>
      </c>
      <c r="AG741" s="338">
        <v>0.18601198913134187</v>
      </c>
      <c r="AH741" s="235"/>
      <c r="AI741" s="208">
        <f t="shared" si="80"/>
        <v>4990907.7709207423</v>
      </c>
      <c r="AJ741" s="208">
        <f t="shared" si="81"/>
        <v>4821028.8460365413</v>
      </c>
      <c r="AK741" s="208">
        <f t="shared" si="82"/>
        <v>169878.92488420091</v>
      </c>
      <c r="AL741" s="235"/>
      <c r="AM741" s="52">
        <f t="shared" si="58"/>
        <v>1</v>
      </c>
      <c r="AN741" s="52">
        <f t="shared" si="59"/>
        <v>0</v>
      </c>
      <c r="AO741" s="52">
        <f t="shared" si="60"/>
        <v>1</v>
      </c>
      <c r="AP741" s="235"/>
      <c r="AQ741" s="28"/>
      <c r="AR741" s="28"/>
      <c r="AS741" s="28"/>
      <c r="AT741" s="28"/>
      <c r="AU741" s="235"/>
      <c r="AV741" s="360">
        <f t="shared" si="83"/>
        <v>4990907.7709207423</v>
      </c>
      <c r="AW741" s="235"/>
      <c r="AX741" s="355"/>
      <c r="AY741" s="344"/>
      <c r="AZ741" s="14">
        <f t="shared" si="85"/>
        <v>6832.464790573853</v>
      </c>
      <c r="BA741" s="14">
        <f t="shared" si="84"/>
        <v>0.18601198913134187</v>
      </c>
      <c r="BB741" s="14">
        <f t="shared" si="61"/>
        <v>36731.31405389947</v>
      </c>
      <c r="BC741" s="344"/>
      <c r="BD741" s="344"/>
      <c r="BE741" s="344"/>
      <c r="BF741" s="344"/>
      <c r="BG741" s="344"/>
      <c r="BH741" s="344"/>
      <c r="BI741" s="344"/>
      <c r="BJ741" s="344"/>
      <c r="BK741" s="344"/>
      <c r="BL741" s="344"/>
      <c r="BM741" s="344"/>
      <c r="BN741" s="344"/>
      <c r="BO741" s="344"/>
      <c r="BP741" s="344"/>
      <c r="BQ741" s="344"/>
      <c r="BR741" s="344"/>
      <c r="BS741" s="344"/>
      <c r="BT741" s="344"/>
      <c r="BU741" s="344"/>
      <c r="BV741" s="344"/>
      <c r="BW741" s="344"/>
      <c r="BX741" s="344"/>
      <c r="BY741" s="344"/>
      <c r="BZ741" s="344"/>
      <c r="CA741" s="344"/>
      <c r="CB741" s="28"/>
      <c r="CC741" s="28"/>
      <c r="CD741" s="28"/>
      <c r="CE741" s="28"/>
      <c r="CF741" s="28"/>
      <c r="CG741" s="28"/>
      <c r="CH741" s="28"/>
      <c r="CI741" s="28"/>
      <c r="CJ741" s="28"/>
      <c r="CK741" s="28"/>
      <c r="CL741" s="28"/>
      <c r="CM741" s="28"/>
      <c r="CN741" s="28"/>
      <c r="CO741" s="28"/>
      <c r="CP741" s="28"/>
      <c r="CQ741" s="28"/>
      <c r="CR741" s="28"/>
      <c r="CS741" s="28"/>
      <c r="CT741" s="28"/>
      <c r="CU741" s="28"/>
      <c r="CV741" s="28"/>
      <c r="CW741" s="28"/>
    </row>
    <row r="742" spans="1:101" ht="14.25" customHeight="1" x14ac:dyDescent="0.2">
      <c r="A742" s="328"/>
      <c r="B742" s="52">
        <v>0.1500726208547036</v>
      </c>
      <c r="C742" s="330">
        <v>0.44983323802812936</v>
      </c>
      <c r="D742" s="330">
        <v>1.687169614226669E-2</v>
      </c>
      <c r="E742" s="330">
        <v>1.9822345435654087E-2</v>
      </c>
      <c r="F742" s="331">
        <v>0.80505669111466904</v>
      </c>
      <c r="G742" s="94">
        <v>0.4481337672280683</v>
      </c>
      <c r="H742" s="330">
        <v>0.37389350816578776</v>
      </c>
      <c r="I742" s="330">
        <v>5.389289905941585E-3</v>
      </c>
      <c r="J742" s="330">
        <v>0.99999995575643474</v>
      </c>
      <c r="K742" s="330">
        <v>0.7406007506030009</v>
      </c>
      <c r="L742" s="332">
        <v>14565.565491711224</v>
      </c>
      <c r="M742" s="330">
        <v>0</v>
      </c>
      <c r="N742" s="330">
        <v>14243.747098718437</v>
      </c>
      <c r="O742" s="330">
        <v>1301.1280094083529</v>
      </c>
      <c r="P742" s="330">
        <v>44745.342184816996</v>
      </c>
      <c r="Q742" s="333">
        <v>78437.970254170534</v>
      </c>
      <c r="R742" s="330">
        <v>25607.818345698623</v>
      </c>
      <c r="S742" s="330">
        <v>8896.3108568928692</v>
      </c>
      <c r="T742" s="332">
        <v>0.98816605878213837</v>
      </c>
      <c r="U742" s="330">
        <v>0.8523910987924822</v>
      </c>
      <c r="V742" s="330">
        <v>0.99981607904241443</v>
      </c>
      <c r="W742" s="330">
        <v>0.99988968936835954</v>
      </c>
      <c r="X742" s="330">
        <v>0.7529438105431584</v>
      </c>
      <c r="Y742" s="330">
        <v>0</v>
      </c>
      <c r="Z742" s="331">
        <v>0</v>
      </c>
      <c r="AA742" s="235"/>
      <c r="AB742" s="335">
        <v>93548.566372878588</v>
      </c>
      <c r="AC742" s="336">
        <v>4.2865006138362274</v>
      </c>
      <c r="AD742" s="337">
        <v>75914.325374820182</v>
      </c>
      <c r="AE742" s="336">
        <v>3.5934661330506876</v>
      </c>
      <c r="AF742" s="337">
        <v>17634.240998058405</v>
      </c>
      <c r="AG742" s="338">
        <v>0.69303448078553975</v>
      </c>
      <c r="AH742" s="235"/>
      <c r="AI742" s="208">
        <f t="shared" si="80"/>
        <v>3978627.0167715377</v>
      </c>
      <c r="AJ742" s="208">
        <f t="shared" si="81"/>
        <v>3337878.5010233331</v>
      </c>
      <c r="AK742" s="208">
        <f t="shared" si="82"/>
        <v>640748.51574820443</v>
      </c>
      <c r="AL742" s="235"/>
      <c r="AM742" s="52">
        <f t="shared" si="58"/>
        <v>1</v>
      </c>
      <c r="AN742" s="52">
        <f t="shared" si="59"/>
        <v>0</v>
      </c>
      <c r="AO742" s="52">
        <f t="shared" si="60"/>
        <v>1</v>
      </c>
      <c r="AP742" s="235"/>
      <c r="AQ742" s="28"/>
      <c r="AR742" s="28"/>
      <c r="AS742" s="28"/>
      <c r="AT742" s="28"/>
      <c r="AU742" s="235"/>
      <c r="AV742" s="360">
        <f t="shared" si="83"/>
        <v>3978627.0167715377</v>
      </c>
      <c r="AW742" s="235"/>
      <c r="AX742" s="355"/>
      <c r="AY742" s="344"/>
      <c r="AZ742" s="14">
        <f t="shared" si="85"/>
        <v>17634.240998058405</v>
      </c>
      <c r="BA742" s="14">
        <f t="shared" si="84"/>
        <v>0.69303448078553975</v>
      </c>
      <c r="BB742" s="14">
        <f t="shared" si="61"/>
        <v>25444.969171043798</v>
      </c>
      <c r="BC742" s="344"/>
      <c r="BD742" s="344"/>
      <c r="BE742" s="344"/>
      <c r="BF742" s="344"/>
      <c r="BG742" s="344"/>
      <c r="BH742" s="344"/>
      <c r="BI742" s="344"/>
      <c r="BJ742" s="344"/>
      <c r="BK742" s="344"/>
      <c r="BL742" s="344"/>
      <c r="BM742" s="344"/>
      <c r="BN742" s="344"/>
      <c r="BO742" s="344"/>
      <c r="BP742" s="344"/>
      <c r="BQ742" s="344"/>
      <c r="BR742" s="344"/>
      <c r="BS742" s="344"/>
      <c r="BT742" s="344"/>
      <c r="BU742" s="344"/>
      <c r="BV742" s="344"/>
      <c r="BW742" s="344"/>
      <c r="BX742" s="344"/>
      <c r="BY742" s="344"/>
      <c r="BZ742" s="344"/>
      <c r="CA742" s="344"/>
      <c r="CB742" s="28"/>
      <c r="CC742" s="28"/>
      <c r="CD742" s="28"/>
      <c r="CE742" s="28"/>
      <c r="CF742" s="28"/>
      <c r="CG742" s="28"/>
      <c r="CH742" s="28"/>
      <c r="CI742" s="28"/>
      <c r="CJ742" s="28"/>
      <c r="CK742" s="28"/>
      <c r="CL742" s="28"/>
      <c r="CM742" s="28"/>
      <c r="CN742" s="28"/>
      <c r="CO742" s="28"/>
      <c r="CP742" s="28"/>
      <c r="CQ742" s="28"/>
      <c r="CR742" s="28"/>
      <c r="CS742" s="28"/>
      <c r="CT742" s="28"/>
      <c r="CU742" s="28"/>
      <c r="CV742" s="28"/>
      <c r="CW742" s="28"/>
    </row>
    <row r="743" spans="1:101" ht="14.25" customHeight="1" x14ac:dyDescent="0.2">
      <c r="A743" s="328"/>
      <c r="B743" s="52">
        <v>0.14423387880318125</v>
      </c>
      <c r="C743" s="330">
        <v>0.19800291334458597</v>
      </c>
      <c r="D743" s="330">
        <v>8.1473916763866484E-3</v>
      </c>
      <c r="E743" s="330">
        <v>1.5690476813976205E-3</v>
      </c>
      <c r="F743" s="331">
        <v>0.79439752779655082</v>
      </c>
      <c r="G743" s="94">
        <v>0.37761176142343478</v>
      </c>
      <c r="H743" s="330">
        <v>8.6969682482144373E-2</v>
      </c>
      <c r="I743" s="330">
        <v>1.5189686678976235E-2</v>
      </c>
      <c r="J743" s="330">
        <v>0.99947633861937712</v>
      </c>
      <c r="K743" s="330">
        <v>0.77367433920968787</v>
      </c>
      <c r="L743" s="332">
        <v>14228.419570058386</v>
      </c>
      <c r="M743" s="330">
        <v>0</v>
      </c>
      <c r="N743" s="330">
        <v>15416.245057448275</v>
      </c>
      <c r="O743" s="330">
        <v>1457.0762047714984</v>
      </c>
      <c r="P743" s="330">
        <v>44077.938852268649</v>
      </c>
      <c r="Q743" s="333">
        <v>119899.34472372364</v>
      </c>
      <c r="R743" s="330">
        <v>21106.57397000341</v>
      </c>
      <c r="S743" s="330">
        <v>13041.050243000333</v>
      </c>
      <c r="T743" s="332">
        <v>0.63946690055164834</v>
      </c>
      <c r="U743" s="330">
        <v>0.1102703897341332</v>
      </c>
      <c r="V743" s="330">
        <v>0.5702600194692633</v>
      </c>
      <c r="W743" s="330">
        <v>0.98871834544345993</v>
      </c>
      <c r="X743" s="330">
        <v>0.83359162878591631</v>
      </c>
      <c r="Y743" s="330">
        <v>0</v>
      </c>
      <c r="Z743" s="331">
        <v>0</v>
      </c>
      <c r="AA743" s="235"/>
      <c r="AB743" s="335">
        <v>126355.53767512678</v>
      </c>
      <c r="AC743" s="336">
        <v>4.0486591034398121</v>
      </c>
      <c r="AD743" s="337">
        <v>110558.63106284475</v>
      </c>
      <c r="AE743" s="336">
        <v>3.9397753855240376</v>
      </c>
      <c r="AF743" s="337">
        <v>15796.906612282022</v>
      </c>
      <c r="AG743" s="338">
        <v>0.10888371791577445</v>
      </c>
      <c r="AH743" s="235"/>
      <c r="AI743" s="208">
        <f t="shared" si="80"/>
        <v>3719870.6105926945</v>
      </c>
      <c r="AJ743" s="208">
        <f t="shared" si="81"/>
        <v>3632227.9851849908</v>
      </c>
      <c r="AK743" s="208">
        <f t="shared" si="82"/>
        <v>87642.625407703701</v>
      </c>
      <c r="AL743" s="235"/>
      <c r="AM743" s="52">
        <f t="shared" si="58"/>
        <v>1</v>
      </c>
      <c r="AN743" s="52">
        <f t="shared" si="59"/>
        <v>0</v>
      </c>
      <c r="AO743" s="52">
        <f t="shared" si="60"/>
        <v>1</v>
      </c>
      <c r="AP743" s="235"/>
      <c r="AQ743" s="28"/>
      <c r="AR743" s="28"/>
      <c r="AS743" s="28"/>
      <c r="AT743" s="28"/>
      <c r="AU743" s="235"/>
      <c r="AV743" s="360">
        <f t="shared" si="83"/>
        <v>3719870.6105926945</v>
      </c>
      <c r="AW743" s="235"/>
      <c r="AX743" s="355"/>
      <c r="AY743" s="344"/>
      <c r="AZ743" s="14">
        <f t="shared" si="85"/>
        <v>15796.906612282022</v>
      </c>
      <c r="BA743" s="14">
        <f t="shared" si="84"/>
        <v>0.10888371791577445</v>
      </c>
      <c r="BB743" s="14">
        <f t="shared" si="61"/>
        <v>145080.52181412018</v>
      </c>
      <c r="BC743" s="344"/>
      <c r="BD743" s="344"/>
      <c r="BE743" s="344"/>
      <c r="BF743" s="344"/>
      <c r="BG743" s="344"/>
      <c r="BH743" s="344"/>
      <c r="BI743" s="344"/>
      <c r="BJ743" s="344"/>
      <c r="BK743" s="344"/>
      <c r="BL743" s="344"/>
      <c r="BM743" s="344"/>
      <c r="BN743" s="344"/>
      <c r="BO743" s="344"/>
      <c r="BP743" s="344"/>
      <c r="BQ743" s="344"/>
      <c r="BR743" s="344"/>
      <c r="BS743" s="344"/>
      <c r="BT743" s="344"/>
      <c r="BU743" s="344"/>
      <c r="BV743" s="344"/>
      <c r="BW743" s="344"/>
      <c r="BX743" s="344"/>
      <c r="BY743" s="344"/>
      <c r="BZ743" s="344"/>
      <c r="CA743" s="344"/>
      <c r="CB743" s="28"/>
      <c r="CC743" s="28"/>
      <c r="CD743" s="28"/>
      <c r="CE743" s="28"/>
      <c r="CF743" s="28"/>
      <c r="CG743" s="28"/>
      <c r="CH743" s="28"/>
      <c r="CI743" s="28"/>
      <c r="CJ743" s="28"/>
      <c r="CK743" s="28"/>
      <c r="CL743" s="28"/>
      <c r="CM743" s="28"/>
      <c r="CN743" s="28"/>
      <c r="CO743" s="28"/>
      <c r="CP743" s="28"/>
      <c r="CQ743" s="28"/>
      <c r="CR743" s="28"/>
      <c r="CS743" s="28"/>
      <c r="CT743" s="28"/>
      <c r="CU743" s="28"/>
      <c r="CV743" s="28"/>
      <c r="CW743" s="28"/>
    </row>
    <row r="744" spans="1:101" ht="14.25" customHeight="1" x14ac:dyDescent="0.2">
      <c r="A744" s="328"/>
      <c r="B744" s="52">
        <v>0.16911355619329693</v>
      </c>
      <c r="C744" s="330">
        <v>0.10185556722199576</v>
      </c>
      <c r="D744" s="330">
        <v>2.3283681028848147E-2</v>
      </c>
      <c r="E744" s="330">
        <v>8.0314669408749536E-3</v>
      </c>
      <c r="F744" s="331">
        <v>0.78152197276059199</v>
      </c>
      <c r="G744" s="94">
        <v>0.40134032266579067</v>
      </c>
      <c r="H744" s="330">
        <v>0.5565368283780967</v>
      </c>
      <c r="I744" s="330">
        <v>2.1651512605905032E-2</v>
      </c>
      <c r="J744" s="330">
        <v>0.99999999987345567</v>
      </c>
      <c r="K744" s="330">
        <v>0.71831959797121203</v>
      </c>
      <c r="L744" s="332">
        <v>10574.155788352657</v>
      </c>
      <c r="M744" s="330">
        <v>0</v>
      </c>
      <c r="N744" s="330">
        <v>24696.569676927309</v>
      </c>
      <c r="O744" s="330">
        <v>1920.2747137326987</v>
      </c>
      <c r="P744" s="330">
        <v>41950.014174070122</v>
      </c>
      <c r="Q744" s="333">
        <v>93874.561723473904</v>
      </c>
      <c r="R744" s="330">
        <v>27497.947171054609</v>
      </c>
      <c r="S744" s="330">
        <v>5305.4869774677372</v>
      </c>
      <c r="T744" s="332">
        <v>0.96733786110716768</v>
      </c>
      <c r="U744" s="330">
        <v>0.99992856777960015</v>
      </c>
      <c r="V744" s="330">
        <v>0.9914014624905847</v>
      </c>
      <c r="W744" s="330">
        <v>0.42284508508520235</v>
      </c>
      <c r="X744" s="330">
        <v>0.99916248780598216</v>
      </c>
      <c r="Y744" s="330">
        <v>0</v>
      </c>
      <c r="Z744" s="331">
        <v>0</v>
      </c>
      <c r="AA744" s="235"/>
      <c r="AB744" s="335">
        <v>56239.794257292961</v>
      </c>
      <c r="AC744" s="336">
        <v>5.2362147955343783</v>
      </c>
      <c r="AD744" s="337">
        <v>49095.968399464859</v>
      </c>
      <c r="AE744" s="336">
        <v>4.4979077326032568</v>
      </c>
      <c r="AF744" s="337">
        <v>7143.825857828102</v>
      </c>
      <c r="AG744" s="338">
        <v>0.73830706293112147</v>
      </c>
      <c r="AH744" s="235"/>
      <c r="AI744" s="208">
        <f t="shared" si="80"/>
        <v>4918164.261500367</v>
      </c>
      <c r="AJ744" s="208">
        <f t="shared" si="81"/>
        <v>4223916.3775736289</v>
      </c>
      <c r="AK744" s="208">
        <f t="shared" si="82"/>
        <v>694247.88392673724</v>
      </c>
      <c r="AL744" s="235"/>
      <c r="AM744" s="52">
        <f t="shared" si="58"/>
        <v>1</v>
      </c>
      <c r="AN744" s="52">
        <f t="shared" si="59"/>
        <v>0</v>
      </c>
      <c r="AO744" s="52">
        <f t="shared" si="60"/>
        <v>1</v>
      </c>
      <c r="AP744" s="235"/>
      <c r="AQ744" s="28"/>
      <c r="AR744" s="28"/>
      <c r="AS744" s="28"/>
      <c r="AT744" s="28"/>
      <c r="AU744" s="235"/>
      <c r="AV744" s="360">
        <f t="shared" si="83"/>
        <v>4918164.261500367</v>
      </c>
      <c r="AW744" s="235"/>
      <c r="AX744" s="355"/>
      <c r="AY744" s="344"/>
      <c r="AZ744" s="14">
        <f t="shared" si="85"/>
        <v>7143.825857828102</v>
      </c>
      <c r="BA744" s="14">
        <f t="shared" si="84"/>
        <v>0.73830706293112147</v>
      </c>
      <c r="BB744" s="14">
        <f t="shared" si="61"/>
        <v>9675.9549197141678</v>
      </c>
      <c r="BC744" s="344"/>
      <c r="BD744" s="344"/>
      <c r="BE744" s="344"/>
      <c r="BF744" s="344"/>
      <c r="BG744" s="344"/>
      <c r="BH744" s="344"/>
      <c r="BI744" s="344"/>
      <c r="BJ744" s="344"/>
      <c r="BK744" s="344"/>
      <c r="BL744" s="344"/>
      <c r="BM744" s="344"/>
      <c r="BN744" s="344"/>
      <c r="BO744" s="344"/>
      <c r="BP744" s="344"/>
      <c r="BQ744" s="344"/>
      <c r="BR744" s="344"/>
      <c r="BS744" s="344"/>
      <c r="BT744" s="344"/>
      <c r="BU744" s="344"/>
      <c r="BV744" s="344"/>
      <c r="BW744" s="344"/>
      <c r="BX744" s="344"/>
      <c r="BY744" s="344"/>
      <c r="BZ744" s="344"/>
      <c r="CA744" s="344"/>
      <c r="CB744" s="28"/>
      <c r="CC744" s="28"/>
      <c r="CD744" s="28"/>
      <c r="CE744" s="28"/>
      <c r="CF744" s="28"/>
      <c r="CG744" s="28"/>
      <c r="CH744" s="28"/>
      <c r="CI744" s="28"/>
      <c r="CJ744" s="28"/>
      <c r="CK744" s="28"/>
      <c r="CL744" s="28"/>
      <c r="CM744" s="28"/>
      <c r="CN744" s="28"/>
      <c r="CO744" s="28"/>
      <c r="CP744" s="28"/>
      <c r="CQ744" s="28"/>
      <c r="CR744" s="28"/>
      <c r="CS744" s="28"/>
      <c r="CT744" s="28"/>
      <c r="CU744" s="28"/>
      <c r="CV744" s="28"/>
      <c r="CW744" s="28"/>
    </row>
    <row r="745" spans="1:101" ht="14.25" customHeight="1" x14ac:dyDescent="0.2">
      <c r="A745" s="328"/>
      <c r="B745" s="52">
        <v>0.1544795665604061</v>
      </c>
      <c r="C745" s="330">
        <v>0.39431485993504023</v>
      </c>
      <c r="D745" s="330">
        <v>1.0673887696594386E-2</v>
      </c>
      <c r="E745" s="330">
        <v>3.0548052318751684E-2</v>
      </c>
      <c r="F745" s="331">
        <v>0.78352321528467783</v>
      </c>
      <c r="G745" s="94">
        <v>0.40810769823597792</v>
      </c>
      <c r="H745" s="330">
        <v>0.14592933944087763</v>
      </c>
      <c r="I745" s="330">
        <v>1.5966769064097885E-2</v>
      </c>
      <c r="J745" s="330">
        <v>1</v>
      </c>
      <c r="K745" s="330">
        <v>0.78618392991029462</v>
      </c>
      <c r="L745" s="332">
        <v>9023.4912761470769</v>
      </c>
      <c r="M745" s="330">
        <v>0</v>
      </c>
      <c r="N745" s="330">
        <v>21354.525546323155</v>
      </c>
      <c r="O745" s="330">
        <v>1178.8929417600816</v>
      </c>
      <c r="P745" s="330">
        <v>66957.502289639364</v>
      </c>
      <c r="Q745" s="333">
        <v>69790.718046457521</v>
      </c>
      <c r="R745" s="330">
        <v>21200.072604471643</v>
      </c>
      <c r="S745" s="330">
        <v>6856.6445059715679</v>
      </c>
      <c r="T745" s="332">
        <v>0.8584325406599026</v>
      </c>
      <c r="U745" s="330">
        <v>0.999931836828446</v>
      </c>
      <c r="V745" s="330">
        <v>0.94251349128571049</v>
      </c>
      <c r="W745" s="330">
        <v>0.74748987896904751</v>
      </c>
      <c r="X745" s="330">
        <v>0.99927097347318117</v>
      </c>
      <c r="Y745" s="330">
        <v>0</v>
      </c>
      <c r="Z745" s="331">
        <v>0</v>
      </c>
      <c r="AA745" s="235"/>
      <c r="AB745" s="335">
        <v>68268.329344716505</v>
      </c>
      <c r="AC745" s="336">
        <v>4.9664460442180101</v>
      </c>
      <c r="AD745" s="337">
        <v>60655.819596231791</v>
      </c>
      <c r="AE745" s="336">
        <v>4.7577789273177249</v>
      </c>
      <c r="AF745" s="337">
        <v>7612.5097484847138</v>
      </c>
      <c r="AG745" s="338">
        <v>0.20866711690028517</v>
      </c>
      <c r="AH745" s="235"/>
      <c r="AI745" s="208">
        <f t="shared" si="80"/>
        <v>4649855.4126623925</v>
      </c>
      <c r="AJ745" s="208">
        <f t="shared" si="81"/>
        <v>4459234.1613556063</v>
      </c>
      <c r="AK745" s="208">
        <f t="shared" si="82"/>
        <v>190621.2513067862</v>
      </c>
      <c r="AL745" s="235"/>
      <c r="AM745" s="52">
        <f t="shared" si="58"/>
        <v>1</v>
      </c>
      <c r="AN745" s="52">
        <f t="shared" si="59"/>
        <v>0</v>
      </c>
      <c r="AO745" s="52">
        <f t="shared" si="60"/>
        <v>1</v>
      </c>
      <c r="AP745" s="235"/>
      <c r="AQ745" s="28"/>
      <c r="AR745" s="28"/>
      <c r="AS745" s="28"/>
      <c r="AT745" s="28"/>
      <c r="AU745" s="235"/>
      <c r="AV745" s="360">
        <f t="shared" si="83"/>
        <v>4649855.4126623925</v>
      </c>
      <c r="AW745" s="235"/>
      <c r="AX745" s="355"/>
      <c r="AY745" s="344"/>
      <c r="AZ745" s="14">
        <f t="shared" si="85"/>
        <v>7612.5097484847138</v>
      </c>
      <c r="BA745" s="14">
        <f t="shared" si="84"/>
        <v>0.20866711690028517</v>
      </c>
      <c r="BB745" s="14">
        <f t="shared" si="61"/>
        <v>36481.597395733756</v>
      </c>
      <c r="BC745" s="344"/>
      <c r="BD745" s="344"/>
      <c r="BE745" s="344"/>
      <c r="BF745" s="344"/>
      <c r="BG745" s="344"/>
      <c r="BH745" s="344"/>
      <c r="BI745" s="344"/>
      <c r="BJ745" s="344"/>
      <c r="BK745" s="344"/>
      <c r="BL745" s="344"/>
      <c r="BM745" s="344"/>
      <c r="BN745" s="344"/>
      <c r="BO745" s="344"/>
      <c r="BP745" s="344"/>
      <c r="BQ745" s="344"/>
      <c r="BR745" s="344"/>
      <c r="BS745" s="344"/>
      <c r="BT745" s="344"/>
      <c r="BU745" s="344"/>
      <c r="BV745" s="344"/>
      <c r="BW745" s="344"/>
      <c r="BX745" s="344"/>
      <c r="BY745" s="344"/>
      <c r="BZ745" s="344"/>
      <c r="CA745" s="344"/>
      <c r="CB745" s="28"/>
      <c r="CC745" s="28"/>
      <c r="CD745" s="28"/>
      <c r="CE745" s="28"/>
      <c r="CF745" s="28"/>
      <c r="CG745" s="28"/>
      <c r="CH745" s="28"/>
      <c r="CI745" s="28"/>
      <c r="CJ745" s="28"/>
      <c r="CK745" s="28"/>
      <c r="CL745" s="28"/>
      <c r="CM745" s="28"/>
      <c r="CN745" s="28"/>
      <c r="CO745" s="28"/>
      <c r="CP745" s="28"/>
      <c r="CQ745" s="28"/>
      <c r="CR745" s="28"/>
      <c r="CS745" s="28"/>
      <c r="CT745" s="28"/>
      <c r="CU745" s="28"/>
      <c r="CV745" s="28"/>
      <c r="CW745" s="28"/>
    </row>
    <row r="746" spans="1:101" ht="14.25" customHeight="1" x14ac:dyDescent="0.2">
      <c r="A746" s="328"/>
      <c r="B746" s="52">
        <v>0.1540743287829951</v>
      </c>
      <c r="C746" s="330">
        <v>6.3364671465151373E-2</v>
      </c>
      <c r="D746" s="330">
        <v>9.4606125853225302E-3</v>
      </c>
      <c r="E746" s="330">
        <v>2.5816955545372555E-2</v>
      </c>
      <c r="F746" s="331">
        <v>0.79107275588492909</v>
      </c>
      <c r="G746" s="94">
        <v>0.39701359566643135</v>
      </c>
      <c r="H746" s="330">
        <v>0.72188097227052761</v>
      </c>
      <c r="I746" s="330">
        <v>1.6710487344272829E-2</v>
      </c>
      <c r="J746" s="330">
        <v>3.2157636022417803E-3</v>
      </c>
      <c r="K746" s="330">
        <v>0.76800419497322159</v>
      </c>
      <c r="L746" s="332">
        <v>13028.623688611913</v>
      </c>
      <c r="M746" s="330">
        <v>0</v>
      </c>
      <c r="N746" s="330">
        <v>25187.732037308451</v>
      </c>
      <c r="O746" s="330">
        <v>1283.5740069174824</v>
      </c>
      <c r="P746" s="330">
        <v>45806.264827720981</v>
      </c>
      <c r="Q746" s="333">
        <v>135182.30286661052</v>
      </c>
      <c r="R746" s="330">
        <v>29850.175451140956</v>
      </c>
      <c r="S746" s="330">
        <v>11244.524687227788</v>
      </c>
      <c r="T746" s="332">
        <v>0.33768988277673601</v>
      </c>
      <c r="U746" s="330">
        <v>0.91724076658061648</v>
      </c>
      <c r="V746" s="330">
        <v>0.40269958522538751</v>
      </c>
      <c r="W746" s="330">
        <v>0.9161034050796506</v>
      </c>
      <c r="X746" s="330">
        <v>0.99944484268608724</v>
      </c>
      <c r="Y746" s="330">
        <v>0</v>
      </c>
      <c r="Z746" s="331">
        <v>0</v>
      </c>
      <c r="AA746" s="235"/>
      <c r="AB746" s="335">
        <v>109174.3781834532</v>
      </c>
      <c r="AC746" s="336">
        <v>4.8496392643357016</v>
      </c>
      <c r="AD746" s="337">
        <v>102505.71727751339</v>
      </c>
      <c r="AE746" s="336">
        <v>4.7853462120377772</v>
      </c>
      <c r="AF746" s="337">
        <v>6668.6609059398033</v>
      </c>
      <c r="AG746" s="338">
        <v>6.4293052297924369E-2</v>
      </c>
      <c r="AH746" s="235"/>
      <c r="AI746" s="208">
        <f t="shared" si="80"/>
        <v>4497982.9229354635</v>
      </c>
      <c r="AJ746" s="208">
        <f t="shared" si="81"/>
        <v>4443573.1841583746</v>
      </c>
      <c r="AK746" s="208">
        <f t="shared" si="82"/>
        <v>54409.738777088351</v>
      </c>
      <c r="AL746" s="235"/>
      <c r="AM746" s="52">
        <f t="shared" si="58"/>
        <v>1</v>
      </c>
      <c r="AN746" s="52">
        <f t="shared" si="59"/>
        <v>0</v>
      </c>
      <c r="AO746" s="52">
        <f t="shared" si="60"/>
        <v>1</v>
      </c>
      <c r="AP746" s="235"/>
      <c r="AQ746" s="28"/>
      <c r="AR746" s="28"/>
      <c r="AS746" s="28"/>
      <c r="AT746" s="28"/>
      <c r="AU746" s="235"/>
      <c r="AV746" s="360">
        <f t="shared" si="83"/>
        <v>4497982.9229354635</v>
      </c>
      <c r="AW746" s="235"/>
      <c r="AX746" s="355"/>
      <c r="AY746" s="344"/>
      <c r="AZ746" s="14">
        <f t="shared" si="85"/>
        <v>6668.6609059398033</v>
      </c>
      <c r="BA746" s="14">
        <f t="shared" si="84"/>
        <v>6.4293052297924369E-2</v>
      </c>
      <c r="BB746" s="14">
        <f t="shared" si="61"/>
        <v>103722.88556216352</v>
      </c>
      <c r="BC746" s="344"/>
      <c r="BD746" s="344"/>
      <c r="BE746" s="344"/>
      <c r="BF746" s="344"/>
      <c r="BG746" s="344"/>
      <c r="BH746" s="344"/>
      <c r="BI746" s="344"/>
      <c r="BJ746" s="344"/>
      <c r="BK746" s="344"/>
      <c r="BL746" s="344"/>
      <c r="BM746" s="344"/>
      <c r="BN746" s="344"/>
      <c r="BO746" s="344"/>
      <c r="BP746" s="344"/>
      <c r="BQ746" s="344"/>
      <c r="BR746" s="344"/>
      <c r="BS746" s="344"/>
      <c r="BT746" s="344"/>
      <c r="BU746" s="344"/>
      <c r="BV746" s="344"/>
      <c r="BW746" s="344"/>
      <c r="BX746" s="344"/>
      <c r="BY746" s="344"/>
      <c r="BZ746" s="344"/>
      <c r="CA746" s="344"/>
      <c r="CB746" s="28"/>
      <c r="CC746" s="28"/>
      <c r="CD746" s="28"/>
      <c r="CE746" s="28"/>
      <c r="CF746" s="28"/>
      <c r="CG746" s="28"/>
      <c r="CH746" s="28"/>
      <c r="CI746" s="28"/>
      <c r="CJ746" s="28"/>
      <c r="CK746" s="28"/>
      <c r="CL746" s="28"/>
      <c r="CM746" s="28"/>
      <c r="CN746" s="28"/>
      <c r="CO746" s="28"/>
      <c r="CP746" s="28"/>
      <c r="CQ746" s="28"/>
      <c r="CR746" s="28"/>
      <c r="CS746" s="28"/>
      <c r="CT746" s="28"/>
      <c r="CU746" s="28"/>
      <c r="CV746" s="28"/>
      <c r="CW746" s="28"/>
    </row>
    <row r="747" spans="1:101" ht="14.25" customHeight="1" x14ac:dyDescent="0.2">
      <c r="A747" s="328"/>
      <c r="B747" s="52">
        <v>0.16677722150325469</v>
      </c>
      <c r="C747" s="330">
        <v>0.62771552142810116</v>
      </c>
      <c r="D747" s="330">
        <v>1.0223912161462298E-2</v>
      </c>
      <c r="E747" s="330">
        <v>2.6036577566740604E-2</v>
      </c>
      <c r="F747" s="331">
        <v>0.75740977328014014</v>
      </c>
      <c r="G747" s="94">
        <v>0.4419838002017108</v>
      </c>
      <c r="H747" s="330">
        <v>0.997557704840493</v>
      </c>
      <c r="I747" s="330">
        <v>4.3461465415170708E-2</v>
      </c>
      <c r="J747" s="330">
        <v>0.99968075101582199</v>
      </c>
      <c r="K747" s="330">
        <v>0.76307116949984233</v>
      </c>
      <c r="L747" s="332">
        <v>12680.216023248184</v>
      </c>
      <c r="M747" s="330">
        <v>0</v>
      </c>
      <c r="N747" s="330">
        <v>10752.322681035172</v>
      </c>
      <c r="O747" s="330">
        <v>1589.3855395205358</v>
      </c>
      <c r="P747" s="330">
        <v>35817.498266264709</v>
      </c>
      <c r="Q747" s="333">
        <v>103049.53911478711</v>
      </c>
      <c r="R747" s="330">
        <v>25844.416070479205</v>
      </c>
      <c r="S747" s="330">
        <v>6939.1764337034838</v>
      </c>
      <c r="T747" s="332">
        <v>0.99999991971377777</v>
      </c>
      <c r="U747" s="330">
        <v>0.999979060606218</v>
      </c>
      <c r="V747" s="330">
        <v>0.9903603599424915</v>
      </c>
      <c r="W747" s="330">
        <v>0.91879941190740566</v>
      </c>
      <c r="X747" s="330">
        <v>0.84909858198581301</v>
      </c>
      <c r="Y747" s="330">
        <v>0</v>
      </c>
      <c r="Z747" s="331">
        <v>0</v>
      </c>
      <c r="AA747" s="235"/>
      <c r="AB747" s="335">
        <v>72229.891094442864</v>
      </c>
      <c r="AC747" s="336">
        <v>4.0091170015681197</v>
      </c>
      <c r="AD747" s="337">
        <v>71610.368046048141</v>
      </c>
      <c r="AE747" s="336">
        <v>4.3288552476046469</v>
      </c>
      <c r="AF747" s="337">
        <v>619.52304839472345</v>
      </c>
      <c r="AG747" s="338">
        <v>-0.31973824603652723</v>
      </c>
      <c r="AH747" s="235"/>
      <c r="AI747" s="208">
        <f t="shared" si="80"/>
        <v>3736431.2603952708</v>
      </c>
      <c r="AJ747" s="208">
        <f t="shared" si="81"/>
        <v>4040802.1171783665</v>
      </c>
      <c r="AK747" s="208">
        <f t="shared" si="82"/>
        <v>-304370.85678309557</v>
      </c>
      <c r="AL747" s="235"/>
      <c r="AM747" s="52">
        <f t="shared" si="58"/>
        <v>0</v>
      </c>
      <c r="AN747" s="52">
        <f t="shared" si="59"/>
        <v>1</v>
      </c>
      <c r="AO747" s="52">
        <f t="shared" si="60"/>
        <v>0</v>
      </c>
      <c r="AP747" s="235"/>
      <c r="AQ747" s="28"/>
      <c r="AR747" s="28"/>
      <c r="AS747" s="28"/>
      <c r="AT747" s="28"/>
      <c r="AU747" s="235"/>
      <c r="AV747" s="360">
        <f t="shared" si="83"/>
        <v>4040802.1171783665</v>
      </c>
      <c r="AW747" s="235"/>
      <c r="AX747" s="355"/>
      <c r="AY747" s="344"/>
      <c r="AZ747" s="14">
        <f t="shared" si="85"/>
        <v>619.52304839472345</v>
      </c>
      <c r="BA747" s="14">
        <f t="shared" si="84"/>
        <v>-0.31973824603652723</v>
      </c>
      <c r="BB747" s="14">
        <f t="shared" si="61"/>
        <v>-1937.5944419359469</v>
      </c>
      <c r="BC747" s="344"/>
      <c r="BD747" s="344"/>
      <c r="BE747" s="344"/>
      <c r="BF747" s="344"/>
      <c r="BG747" s="344"/>
      <c r="BH747" s="344"/>
      <c r="BI747" s="344"/>
      <c r="BJ747" s="344"/>
      <c r="BK747" s="344"/>
      <c r="BL747" s="344"/>
      <c r="BM747" s="344"/>
      <c r="BN747" s="344"/>
      <c r="BO747" s="344"/>
      <c r="BP747" s="344"/>
      <c r="BQ747" s="344"/>
      <c r="BR747" s="344"/>
      <c r="BS747" s="344"/>
      <c r="BT747" s="344"/>
      <c r="BU747" s="344"/>
      <c r="BV747" s="344"/>
      <c r="BW747" s="344"/>
      <c r="BX747" s="344"/>
      <c r="BY747" s="344"/>
      <c r="BZ747" s="344"/>
      <c r="CA747" s="344"/>
      <c r="CB747" s="28"/>
      <c r="CC747" s="28"/>
      <c r="CD747" s="28"/>
      <c r="CE747" s="28"/>
      <c r="CF747" s="28"/>
      <c r="CG747" s="28"/>
      <c r="CH747" s="28"/>
      <c r="CI747" s="28"/>
      <c r="CJ747" s="28"/>
      <c r="CK747" s="28"/>
      <c r="CL747" s="28"/>
      <c r="CM747" s="28"/>
      <c r="CN747" s="28"/>
      <c r="CO747" s="28"/>
      <c r="CP747" s="28"/>
      <c r="CQ747" s="28"/>
      <c r="CR747" s="28"/>
      <c r="CS747" s="28"/>
      <c r="CT747" s="28"/>
      <c r="CU747" s="28"/>
      <c r="CV747" s="28"/>
      <c r="CW747" s="28"/>
    </row>
    <row r="748" spans="1:101" ht="14.25" customHeight="1" x14ac:dyDescent="0.2">
      <c r="A748" s="328"/>
      <c r="B748" s="52">
        <v>0.1679836544281359</v>
      </c>
      <c r="C748" s="330">
        <v>0.27171163441223817</v>
      </c>
      <c r="D748" s="330">
        <v>1.5413771288085409E-2</v>
      </c>
      <c r="E748" s="330">
        <v>1.1233735192539736E-2</v>
      </c>
      <c r="F748" s="331">
        <v>0.7927501629401088</v>
      </c>
      <c r="G748" s="94">
        <v>0.43514079803518269</v>
      </c>
      <c r="H748" s="330">
        <v>0.11501026937051875</v>
      </c>
      <c r="I748" s="330">
        <v>1.3428663802267283E-2</v>
      </c>
      <c r="J748" s="330">
        <v>1</v>
      </c>
      <c r="K748" s="330">
        <v>0.77778941533700752</v>
      </c>
      <c r="L748" s="332">
        <v>12577.630714472629</v>
      </c>
      <c r="M748" s="330">
        <v>0</v>
      </c>
      <c r="N748" s="330">
        <v>19714.737184698697</v>
      </c>
      <c r="O748" s="330">
        <v>1595.1770172217161</v>
      </c>
      <c r="P748" s="330">
        <v>52523.885371098899</v>
      </c>
      <c r="Q748" s="333">
        <v>130434.90885487376</v>
      </c>
      <c r="R748" s="330">
        <v>18946.679283201593</v>
      </c>
      <c r="S748" s="330">
        <v>13230.339512818786</v>
      </c>
      <c r="T748" s="332">
        <v>0.88422835714943138</v>
      </c>
      <c r="U748" s="330">
        <v>0.9719539067209465</v>
      </c>
      <c r="V748" s="330">
        <v>0.99954781326192443</v>
      </c>
      <c r="W748" s="330">
        <v>0.34171314511192136</v>
      </c>
      <c r="X748" s="330">
        <v>0.50021250698469533</v>
      </c>
      <c r="Y748" s="330">
        <v>0</v>
      </c>
      <c r="Z748" s="331">
        <v>0</v>
      </c>
      <c r="AA748" s="235"/>
      <c r="AB748" s="335">
        <v>126603.1614760183</v>
      </c>
      <c r="AC748" s="336">
        <v>2.5809511721303582</v>
      </c>
      <c r="AD748" s="337">
        <v>113272.82456668884</v>
      </c>
      <c r="AE748" s="336">
        <v>2.6347436441716128</v>
      </c>
      <c r="AF748" s="337">
        <v>13330.33690932946</v>
      </c>
      <c r="AG748" s="338">
        <v>-5.3792472041254591E-2</v>
      </c>
      <c r="AH748" s="235"/>
      <c r="AI748" s="208">
        <f t="shared" si="80"/>
        <v>2325300.4520478221</v>
      </c>
      <c r="AJ748" s="208">
        <f t="shared" si="81"/>
        <v>2389733.6373963431</v>
      </c>
      <c r="AK748" s="208">
        <f t="shared" si="82"/>
        <v>-64433.185348521321</v>
      </c>
      <c r="AL748" s="235"/>
      <c r="AM748" s="52">
        <f t="shared" si="58"/>
        <v>0</v>
      </c>
      <c r="AN748" s="52">
        <f t="shared" si="59"/>
        <v>1</v>
      </c>
      <c r="AO748" s="52">
        <f t="shared" si="60"/>
        <v>0</v>
      </c>
      <c r="AP748" s="235"/>
      <c r="AQ748" s="28"/>
      <c r="AR748" s="28"/>
      <c r="AS748" s="28"/>
      <c r="AT748" s="28"/>
      <c r="AU748" s="235"/>
      <c r="AV748" s="360">
        <f t="shared" si="83"/>
        <v>2389733.6373963431</v>
      </c>
      <c r="AW748" s="235"/>
      <c r="AX748" s="355"/>
      <c r="AY748" s="344"/>
      <c r="AZ748" s="14">
        <f t="shared" si="85"/>
        <v>13330.33690932946</v>
      </c>
      <c r="BA748" s="14">
        <f t="shared" si="84"/>
        <v>-5.3792472041254591E-2</v>
      </c>
      <c r="BB748" s="14">
        <f t="shared" si="61"/>
        <v>-247810.453832762</v>
      </c>
      <c r="BC748" s="344"/>
      <c r="BD748" s="344"/>
      <c r="BE748" s="344"/>
      <c r="BF748" s="344"/>
      <c r="BG748" s="344"/>
      <c r="BH748" s="344"/>
      <c r="BI748" s="344"/>
      <c r="BJ748" s="344"/>
      <c r="BK748" s="344"/>
      <c r="BL748" s="344"/>
      <c r="BM748" s="344"/>
      <c r="BN748" s="344"/>
      <c r="BO748" s="344"/>
      <c r="BP748" s="344"/>
      <c r="BQ748" s="344"/>
      <c r="BR748" s="344"/>
      <c r="BS748" s="344"/>
      <c r="BT748" s="344"/>
      <c r="BU748" s="344"/>
      <c r="BV748" s="344"/>
      <c r="BW748" s="344"/>
      <c r="BX748" s="344"/>
      <c r="BY748" s="344"/>
      <c r="BZ748" s="344"/>
      <c r="CA748" s="344"/>
      <c r="CB748" s="28"/>
      <c r="CC748" s="28"/>
      <c r="CD748" s="28"/>
      <c r="CE748" s="28"/>
      <c r="CF748" s="28"/>
      <c r="CG748" s="28"/>
      <c r="CH748" s="28"/>
      <c r="CI748" s="28"/>
      <c r="CJ748" s="28"/>
      <c r="CK748" s="28"/>
      <c r="CL748" s="28"/>
      <c r="CM748" s="28"/>
      <c r="CN748" s="28"/>
      <c r="CO748" s="28"/>
      <c r="CP748" s="28"/>
      <c r="CQ748" s="28"/>
      <c r="CR748" s="28"/>
      <c r="CS748" s="28"/>
      <c r="CT748" s="28"/>
      <c r="CU748" s="28"/>
      <c r="CV748" s="28"/>
      <c r="CW748" s="28"/>
    </row>
    <row r="749" spans="1:101" ht="14.25" customHeight="1" x14ac:dyDescent="0.2">
      <c r="A749" s="328"/>
      <c r="B749" s="52">
        <v>0.13656557593461172</v>
      </c>
      <c r="C749" s="330">
        <v>0.90146727340125254</v>
      </c>
      <c r="D749" s="330">
        <v>1.2898255503620372E-2</v>
      </c>
      <c r="E749" s="330">
        <v>6.0160323306084808E-3</v>
      </c>
      <c r="F749" s="331">
        <v>0.77368815644241906</v>
      </c>
      <c r="G749" s="94">
        <v>0.37572265975662417</v>
      </c>
      <c r="H749" s="330">
        <v>0.69634230293332322</v>
      </c>
      <c r="I749" s="330">
        <v>2.8226136225285026E-2</v>
      </c>
      <c r="J749" s="330">
        <v>1</v>
      </c>
      <c r="K749" s="330">
        <v>0.75656042551161173</v>
      </c>
      <c r="L749" s="332">
        <v>15205.260521328526</v>
      </c>
      <c r="M749" s="330">
        <v>0</v>
      </c>
      <c r="N749" s="330">
        <v>20452.323180489155</v>
      </c>
      <c r="O749" s="330">
        <v>1192.9891517340964</v>
      </c>
      <c r="P749" s="330">
        <v>44664.345551804377</v>
      </c>
      <c r="Q749" s="333">
        <v>66655.99569100677</v>
      </c>
      <c r="R749" s="330">
        <v>23691.080988588383</v>
      </c>
      <c r="S749" s="330">
        <v>8901.4282047405068</v>
      </c>
      <c r="T749" s="332">
        <v>0.58564548466434063</v>
      </c>
      <c r="U749" s="330">
        <v>0.99989494699402548</v>
      </c>
      <c r="V749" s="330">
        <v>0.15170693478546848</v>
      </c>
      <c r="W749" s="330">
        <v>0.92327227004840484</v>
      </c>
      <c r="X749" s="330">
        <v>0.99883266175819241</v>
      </c>
      <c r="Y749" s="330">
        <v>0</v>
      </c>
      <c r="Z749" s="331">
        <v>0</v>
      </c>
      <c r="AA749" s="235"/>
      <c r="AB749" s="335">
        <v>92308.11229050986</v>
      </c>
      <c r="AC749" s="336">
        <v>4.6778125149124135</v>
      </c>
      <c r="AD749" s="337">
        <v>80364.717692260121</v>
      </c>
      <c r="AE749" s="336">
        <v>4.5778994031665867</v>
      </c>
      <c r="AF749" s="337">
        <v>11943.394598249739</v>
      </c>
      <c r="AG749" s="338">
        <v>9.9913111745826733E-2</v>
      </c>
      <c r="AH749" s="235"/>
      <c r="AI749" s="208">
        <f t="shared" si="80"/>
        <v>4351613.7768762829</v>
      </c>
      <c r="AJ749" s="208">
        <f t="shared" si="81"/>
        <v>4268639.7153159976</v>
      </c>
      <c r="AK749" s="208">
        <f t="shared" si="82"/>
        <v>82974.061560285656</v>
      </c>
      <c r="AL749" s="235"/>
      <c r="AM749" s="52">
        <f t="shared" si="58"/>
        <v>1</v>
      </c>
      <c r="AN749" s="52">
        <f t="shared" si="59"/>
        <v>0</v>
      </c>
      <c r="AO749" s="52">
        <f t="shared" si="60"/>
        <v>1</v>
      </c>
      <c r="AP749" s="235"/>
      <c r="AQ749" s="28"/>
      <c r="AR749" s="28"/>
      <c r="AS749" s="28"/>
      <c r="AT749" s="28"/>
      <c r="AU749" s="235"/>
      <c r="AV749" s="360">
        <f t="shared" si="83"/>
        <v>4351613.7768762829</v>
      </c>
      <c r="AW749" s="235"/>
      <c r="AX749" s="355"/>
      <c r="AY749" s="344"/>
      <c r="AZ749" s="14">
        <f t="shared" si="85"/>
        <v>11943.394598249739</v>
      </c>
      <c r="BA749" s="14">
        <f t="shared" si="84"/>
        <v>9.9913111745826733E-2</v>
      </c>
      <c r="BB749" s="14">
        <f t="shared" si="61"/>
        <v>119537.81029894309</v>
      </c>
      <c r="BC749" s="344"/>
      <c r="BD749" s="344"/>
      <c r="BE749" s="344"/>
      <c r="BF749" s="344"/>
      <c r="BG749" s="344"/>
      <c r="BH749" s="344"/>
      <c r="BI749" s="344"/>
      <c r="BJ749" s="344"/>
      <c r="BK749" s="344"/>
      <c r="BL749" s="344"/>
      <c r="BM749" s="344"/>
      <c r="BN749" s="344"/>
      <c r="BO749" s="344"/>
      <c r="BP749" s="344"/>
      <c r="BQ749" s="344"/>
      <c r="BR749" s="344"/>
      <c r="BS749" s="344"/>
      <c r="BT749" s="344"/>
      <c r="BU749" s="344"/>
      <c r="BV749" s="344"/>
      <c r="BW749" s="344"/>
      <c r="BX749" s="344"/>
      <c r="BY749" s="344"/>
      <c r="BZ749" s="344"/>
      <c r="CA749" s="344"/>
      <c r="CB749" s="28"/>
      <c r="CC749" s="28"/>
      <c r="CD749" s="28"/>
      <c r="CE749" s="28"/>
      <c r="CF749" s="28"/>
      <c r="CG749" s="28"/>
      <c r="CH749" s="28"/>
      <c r="CI749" s="28"/>
      <c r="CJ749" s="28"/>
      <c r="CK749" s="28"/>
      <c r="CL749" s="28"/>
      <c r="CM749" s="28"/>
      <c r="CN749" s="28"/>
      <c r="CO749" s="28"/>
      <c r="CP749" s="28"/>
      <c r="CQ749" s="28"/>
      <c r="CR749" s="28"/>
      <c r="CS749" s="28"/>
      <c r="CT749" s="28"/>
      <c r="CU749" s="28"/>
      <c r="CV749" s="28"/>
      <c r="CW749" s="28"/>
    </row>
    <row r="750" spans="1:101" ht="14.25" customHeight="1" x14ac:dyDescent="0.2">
      <c r="A750" s="328"/>
      <c r="B750" s="52">
        <v>0.14246635265841717</v>
      </c>
      <c r="C750" s="330">
        <v>0.14463717848442226</v>
      </c>
      <c r="D750" s="330">
        <v>1.2927007571696177E-2</v>
      </c>
      <c r="E750" s="330">
        <v>2.371811726114581E-2</v>
      </c>
      <c r="F750" s="331">
        <v>0.76016623854740972</v>
      </c>
      <c r="G750" s="94">
        <v>0.40469734041415706</v>
      </c>
      <c r="H750" s="330">
        <v>0.19053983430191168</v>
      </c>
      <c r="I750" s="330">
        <v>3.4150785684106455E-2</v>
      </c>
      <c r="J750" s="330">
        <v>0.999139732022581</v>
      </c>
      <c r="K750" s="330">
        <v>0.76057311580791165</v>
      </c>
      <c r="L750" s="332">
        <v>12488.106891987418</v>
      </c>
      <c r="M750" s="330">
        <v>0</v>
      </c>
      <c r="N750" s="330">
        <v>19431.284921264858</v>
      </c>
      <c r="O750" s="330">
        <v>1246.125393664548</v>
      </c>
      <c r="P750" s="330">
        <v>37608.988267549132</v>
      </c>
      <c r="Q750" s="333">
        <v>90530.142756730042</v>
      </c>
      <c r="R750" s="330">
        <v>21616.558309408265</v>
      </c>
      <c r="S750" s="330">
        <v>6821.9404402836308</v>
      </c>
      <c r="T750" s="332">
        <v>9.1394838196637254E-2</v>
      </c>
      <c r="U750" s="330">
        <v>0.97410476741961172</v>
      </c>
      <c r="V750" s="330">
        <v>0.99995823805924244</v>
      </c>
      <c r="W750" s="330">
        <v>0.30913393612661444</v>
      </c>
      <c r="X750" s="330">
        <v>0.37900615178554331</v>
      </c>
      <c r="Y750" s="330">
        <v>0</v>
      </c>
      <c r="Z750" s="331">
        <v>0</v>
      </c>
      <c r="AA750" s="235"/>
      <c r="AB750" s="335">
        <v>68930.39839712462</v>
      </c>
      <c r="AC750" s="336">
        <v>1.7929390211641287</v>
      </c>
      <c r="AD750" s="337">
        <v>59876.216783327392</v>
      </c>
      <c r="AE750" s="336">
        <v>2.1133003053249215</v>
      </c>
      <c r="AF750" s="337">
        <v>9054.1816137972273</v>
      </c>
      <c r="AG750" s="338">
        <v>-0.32036128416079279</v>
      </c>
      <c r="AH750" s="235"/>
      <c r="AI750" s="208">
        <f t="shared" si="80"/>
        <v>1634361.6717087978</v>
      </c>
      <c r="AJ750" s="208">
        <f t="shared" si="81"/>
        <v>1947759.0732753482</v>
      </c>
      <c r="AK750" s="208">
        <f t="shared" si="82"/>
        <v>-313397.40156655037</v>
      </c>
      <c r="AL750" s="235"/>
      <c r="AM750" s="52">
        <f t="shared" si="58"/>
        <v>0</v>
      </c>
      <c r="AN750" s="52">
        <f t="shared" si="59"/>
        <v>1</v>
      </c>
      <c r="AO750" s="52">
        <f t="shared" si="60"/>
        <v>0</v>
      </c>
      <c r="AP750" s="235"/>
      <c r="AQ750" s="28"/>
      <c r="AR750" s="28"/>
      <c r="AS750" s="28"/>
      <c r="AT750" s="28"/>
      <c r="AU750" s="235"/>
      <c r="AV750" s="360">
        <f t="shared" si="83"/>
        <v>1947759.0732753482</v>
      </c>
      <c r="AW750" s="235"/>
      <c r="AX750" s="355"/>
      <c r="AY750" s="344"/>
      <c r="AZ750" s="14">
        <f t="shared" si="85"/>
        <v>9054.1816137972273</v>
      </c>
      <c r="BA750" s="14">
        <f t="shared" si="84"/>
        <v>-0.32036128416079279</v>
      </c>
      <c r="BB750" s="14">
        <f t="shared" si="61"/>
        <v>-28262.40891596887</v>
      </c>
      <c r="BC750" s="344"/>
      <c r="BD750" s="344"/>
      <c r="BE750" s="344"/>
      <c r="BF750" s="344"/>
      <c r="BG750" s="344"/>
      <c r="BH750" s="344"/>
      <c r="BI750" s="344"/>
      <c r="BJ750" s="344"/>
      <c r="BK750" s="344"/>
      <c r="BL750" s="344"/>
      <c r="BM750" s="344"/>
      <c r="BN750" s="344"/>
      <c r="BO750" s="344"/>
      <c r="BP750" s="344"/>
      <c r="BQ750" s="344"/>
      <c r="BR750" s="344"/>
      <c r="BS750" s="344"/>
      <c r="BT750" s="344"/>
      <c r="BU750" s="344"/>
      <c r="BV750" s="344"/>
      <c r="BW750" s="344"/>
      <c r="BX750" s="344"/>
      <c r="BY750" s="344"/>
      <c r="BZ750" s="344"/>
      <c r="CA750" s="344"/>
      <c r="CB750" s="28"/>
      <c r="CC750" s="28"/>
      <c r="CD750" s="28"/>
      <c r="CE750" s="28"/>
      <c r="CF750" s="28"/>
      <c r="CG750" s="28"/>
      <c r="CH750" s="28"/>
      <c r="CI750" s="28"/>
      <c r="CJ750" s="28"/>
      <c r="CK750" s="28"/>
      <c r="CL750" s="28"/>
      <c r="CM750" s="28"/>
      <c r="CN750" s="28"/>
      <c r="CO750" s="28"/>
      <c r="CP750" s="28"/>
      <c r="CQ750" s="28"/>
      <c r="CR750" s="28"/>
      <c r="CS750" s="28"/>
      <c r="CT750" s="28"/>
      <c r="CU750" s="28"/>
      <c r="CV750" s="28"/>
      <c r="CW750" s="28"/>
    </row>
    <row r="751" spans="1:101" ht="14.25" customHeight="1" x14ac:dyDescent="0.2">
      <c r="A751" s="328"/>
      <c r="B751" s="52">
        <v>0.21458300237012173</v>
      </c>
      <c r="C751" s="330">
        <v>0.45545459825470225</v>
      </c>
      <c r="D751" s="330">
        <v>2.4927575099000232E-2</v>
      </c>
      <c r="E751" s="330">
        <v>9.4708284832548395E-3</v>
      </c>
      <c r="F751" s="331">
        <v>0.79682844275576292</v>
      </c>
      <c r="G751" s="94">
        <v>0.33625536388661093</v>
      </c>
      <c r="H751" s="330">
        <v>2.3840310400409809E-2</v>
      </c>
      <c r="I751" s="330">
        <v>6.5357997462431715E-3</v>
      </c>
      <c r="J751" s="330">
        <v>0.99963370385405814</v>
      </c>
      <c r="K751" s="330">
        <v>0.73809141155155322</v>
      </c>
      <c r="L751" s="332">
        <v>10632.602908778241</v>
      </c>
      <c r="M751" s="330">
        <v>0</v>
      </c>
      <c r="N751" s="330">
        <v>19641.845968387152</v>
      </c>
      <c r="O751" s="330">
        <v>1497.4905000164181</v>
      </c>
      <c r="P751" s="330">
        <v>34606.029088715004</v>
      </c>
      <c r="Q751" s="333">
        <v>80363.493932791127</v>
      </c>
      <c r="R751" s="330">
        <v>23008.541079324328</v>
      </c>
      <c r="S751" s="330">
        <v>5681.02202590052</v>
      </c>
      <c r="T751" s="332">
        <v>1.605625369049456E-2</v>
      </c>
      <c r="U751" s="330">
        <v>0.80384832743798584</v>
      </c>
      <c r="V751" s="330">
        <v>0.81894420514064648</v>
      </c>
      <c r="W751" s="330">
        <v>0.76567083274826464</v>
      </c>
      <c r="X751" s="330">
        <v>0.65059453973549375</v>
      </c>
      <c r="Y751" s="330">
        <v>0</v>
      </c>
      <c r="Z751" s="331">
        <v>0</v>
      </c>
      <c r="AA751" s="235"/>
      <c r="AB751" s="335">
        <v>62213.380668895283</v>
      </c>
      <c r="AC751" s="336">
        <v>3.1326314196490297</v>
      </c>
      <c r="AD751" s="337">
        <v>46002.87341581723</v>
      </c>
      <c r="AE751" s="336">
        <v>3.1192806712169121</v>
      </c>
      <c r="AF751" s="337">
        <v>16210.507253078053</v>
      </c>
      <c r="AG751" s="338">
        <v>1.3350748432117587E-2</v>
      </c>
      <c r="AH751" s="235"/>
      <c r="AI751" s="208">
        <f t="shared" si="80"/>
        <v>2913786.4679976827</v>
      </c>
      <c r="AJ751" s="208">
        <f t="shared" si="81"/>
        <v>2917313.7642402495</v>
      </c>
      <c r="AK751" s="208">
        <f t="shared" si="82"/>
        <v>-3527.2962425663445</v>
      </c>
      <c r="AL751" s="235"/>
      <c r="AM751" s="52">
        <f t="shared" si="58"/>
        <v>0</v>
      </c>
      <c r="AN751" s="52">
        <f t="shared" si="59"/>
        <v>1</v>
      </c>
      <c r="AO751" s="52">
        <f t="shared" si="60"/>
        <v>0</v>
      </c>
      <c r="AP751" s="235"/>
      <c r="AQ751" s="28"/>
      <c r="AR751" s="28"/>
      <c r="AS751" s="28"/>
      <c r="AT751" s="28"/>
      <c r="AU751" s="235"/>
      <c r="AV751" s="360">
        <f t="shared" si="83"/>
        <v>2917313.7642402495</v>
      </c>
      <c r="AW751" s="235"/>
      <c r="AX751" s="355"/>
      <c r="AY751" s="344"/>
      <c r="AZ751" s="14">
        <f t="shared" si="85"/>
        <v>16210.507253078053</v>
      </c>
      <c r="BA751" s="14">
        <f t="shared" si="84"/>
        <v>1.3350748432117587E-2</v>
      </c>
      <c r="BB751" s="14">
        <f t="shared" si="61"/>
        <v>1214202.1352211842</v>
      </c>
      <c r="BC751" s="344"/>
      <c r="BD751" s="344"/>
      <c r="BE751" s="344"/>
      <c r="BF751" s="344"/>
      <c r="BG751" s="344"/>
      <c r="BH751" s="344"/>
      <c r="BI751" s="344"/>
      <c r="BJ751" s="344"/>
      <c r="BK751" s="344"/>
      <c r="BL751" s="344"/>
      <c r="BM751" s="344"/>
      <c r="BN751" s="344"/>
      <c r="BO751" s="344"/>
      <c r="BP751" s="344"/>
      <c r="BQ751" s="344"/>
      <c r="BR751" s="344"/>
      <c r="BS751" s="344"/>
      <c r="BT751" s="344"/>
      <c r="BU751" s="344"/>
      <c r="BV751" s="344"/>
      <c r="BW751" s="344"/>
      <c r="BX751" s="344"/>
      <c r="BY751" s="344"/>
      <c r="BZ751" s="344"/>
      <c r="CA751" s="344"/>
      <c r="CB751" s="28"/>
      <c r="CC751" s="28"/>
      <c r="CD751" s="28"/>
      <c r="CE751" s="28"/>
      <c r="CF751" s="28"/>
      <c r="CG751" s="28"/>
      <c r="CH751" s="28"/>
      <c r="CI751" s="28"/>
      <c r="CJ751" s="28"/>
      <c r="CK751" s="28"/>
      <c r="CL751" s="28"/>
      <c r="CM751" s="28"/>
      <c r="CN751" s="28"/>
      <c r="CO751" s="28"/>
      <c r="CP751" s="28"/>
      <c r="CQ751" s="28"/>
      <c r="CR751" s="28"/>
      <c r="CS751" s="28"/>
      <c r="CT751" s="28"/>
      <c r="CU751" s="28"/>
      <c r="CV751" s="28"/>
      <c r="CW751" s="28"/>
    </row>
    <row r="752" spans="1:101" ht="14.25" customHeight="1" x14ac:dyDescent="0.2">
      <c r="A752" s="328"/>
      <c r="B752" s="52">
        <v>0.16000234887822351</v>
      </c>
      <c r="C752" s="330">
        <v>3.7623543208508262E-2</v>
      </c>
      <c r="D752" s="330">
        <v>9.6608299975772076E-3</v>
      </c>
      <c r="E752" s="330">
        <v>2.3909093155340511E-2</v>
      </c>
      <c r="F752" s="331">
        <v>0.83952079584476846</v>
      </c>
      <c r="G752" s="94">
        <v>0.41728505682095152</v>
      </c>
      <c r="H752" s="330">
        <v>0.7894370045653335</v>
      </c>
      <c r="I752" s="330">
        <v>1.1443376728118492E-2</v>
      </c>
      <c r="J752" s="330">
        <v>1</v>
      </c>
      <c r="K752" s="330">
        <v>0.76801893423366574</v>
      </c>
      <c r="L752" s="332">
        <v>13078.465859276736</v>
      </c>
      <c r="M752" s="330">
        <v>0</v>
      </c>
      <c r="N752" s="330">
        <v>24405.265266170034</v>
      </c>
      <c r="O752" s="330">
        <v>1337.9867869803184</v>
      </c>
      <c r="P752" s="330">
        <v>44334.109884240432</v>
      </c>
      <c r="Q752" s="333">
        <v>94666.598377829869</v>
      </c>
      <c r="R752" s="330">
        <v>30405.152327416497</v>
      </c>
      <c r="S752" s="330">
        <v>9556.1059922613676</v>
      </c>
      <c r="T752" s="332">
        <v>0.83334659491684615</v>
      </c>
      <c r="U752" s="330">
        <v>0.94226424487479477</v>
      </c>
      <c r="V752" s="330">
        <v>0.92470014471622641</v>
      </c>
      <c r="W752" s="330">
        <v>0.66426353404742866</v>
      </c>
      <c r="X752" s="330">
        <v>0.34093252651179751</v>
      </c>
      <c r="Y752" s="330">
        <v>0</v>
      </c>
      <c r="Z752" s="331">
        <v>0</v>
      </c>
      <c r="AA752" s="235"/>
      <c r="AB752" s="335">
        <v>99716.28967810265</v>
      </c>
      <c r="AC752" s="336">
        <v>2.152405670054268</v>
      </c>
      <c r="AD752" s="337">
        <v>90004.935512509372</v>
      </c>
      <c r="AE752" s="336">
        <v>1.599460628550825</v>
      </c>
      <c r="AF752" s="337">
        <v>9711.3541655932786</v>
      </c>
      <c r="AG752" s="338">
        <v>0.55294504150344292</v>
      </c>
      <c r="AH752" s="235"/>
      <c r="AI752" s="208">
        <f t="shared" si="80"/>
        <v>1945069.096873452</v>
      </c>
      <c r="AJ752" s="208">
        <f t="shared" si="81"/>
        <v>1429482.6616107745</v>
      </c>
      <c r="AK752" s="208">
        <f t="shared" si="82"/>
        <v>515586.43526267749</v>
      </c>
      <c r="AL752" s="235"/>
      <c r="AM752" s="52">
        <f t="shared" si="58"/>
        <v>1</v>
      </c>
      <c r="AN752" s="52">
        <f t="shared" si="59"/>
        <v>0</v>
      </c>
      <c r="AO752" s="52">
        <f t="shared" si="60"/>
        <v>1</v>
      </c>
      <c r="AP752" s="235"/>
      <c r="AQ752" s="28"/>
      <c r="AR752" s="28"/>
      <c r="AS752" s="28"/>
      <c r="AT752" s="28"/>
      <c r="AU752" s="235"/>
      <c r="AV752" s="360">
        <f t="shared" si="83"/>
        <v>1945069.096873452</v>
      </c>
      <c r="AW752" s="235"/>
      <c r="AX752" s="355"/>
      <c r="AY752" s="344"/>
      <c r="AZ752" s="14">
        <f t="shared" si="85"/>
        <v>9711.3541655932786</v>
      </c>
      <c r="BA752" s="14">
        <f t="shared" si="84"/>
        <v>0.55294504150344292</v>
      </c>
      <c r="BB752" s="14">
        <f t="shared" si="61"/>
        <v>17562.964556456394</v>
      </c>
      <c r="BC752" s="344"/>
      <c r="BD752" s="344"/>
      <c r="BE752" s="344"/>
      <c r="BF752" s="344"/>
      <c r="BG752" s="344"/>
      <c r="BH752" s="344"/>
      <c r="BI752" s="344"/>
      <c r="BJ752" s="344"/>
      <c r="BK752" s="344"/>
      <c r="BL752" s="344"/>
      <c r="BM752" s="344"/>
      <c r="BN752" s="344"/>
      <c r="BO752" s="344"/>
      <c r="BP752" s="344"/>
      <c r="BQ752" s="344"/>
      <c r="BR752" s="344"/>
      <c r="BS752" s="344"/>
      <c r="BT752" s="344"/>
      <c r="BU752" s="344"/>
      <c r="BV752" s="344"/>
      <c r="BW752" s="344"/>
      <c r="BX752" s="344"/>
      <c r="BY752" s="344"/>
      <c r="BZ752" s="344"/>
      <c r="CA752" s="344"/>
      <c r="CB752" s="28"/>
      <c r="CC752" s="28"/>
      <c r="CD752" s="28"/>
      <c r="CE752" s="28"/>
      <c r="CF752" s="28"/>
      <c r="CG752" s="28"/>
      <c r="CH752" s="28"/>
      <c r="CI752" s="28"/>
      <c r="CJ752" s="28"/>
      <c r="CK752" s="28"/>
      <c r="CL752" s="28"/>
      <c r="CM752" s="28"/>
      <c r="CN752" s="28"/>
      <c r="CO752" s="28"/>
      <c r="CP752" s="28"/>
      <c r="CQ752" s="28"/>
      <c r="CR752" s="28"/>
      <c r="CS752" s="28"/>
      <c r="CT752" s="28"/>
      <c r="CU752" s="28"/>
      <c r="CV752" s="28"/>
      <c r="CW752" s="28"/>
    </row>
    <row r="753" spans="1:101" ht="14.25" customHeight="1" x14ac:dyDescent="0.2">
      <c r="A753" s="328"/>
      <c r="B753" s="52">
        <v>0.16911066893415827</v>
      </c>
      <c r="C753" s="330">
        <v>1.6973684323918669E-2</v>
      </c>
      <c r="D753" s="330">
        <v>2.392840632040949E-2</v>
      </c>
      <c r="E753" s="330">
        <v>1.5552200969673691E-2</v>
      </c>
      <c r="F753" s="331">
        <v>0.75703226736482854</v>
      </c>
      <c r="G753" s="94">
        <v>0.43169340619398155</v>
      </c>
      <c r="H753" s="330">
        <v>5.0531182760069668E-2</v>
      </c>
      <c r="I753" s="330">
        <v>7.7933039603237967E-3</v>
      </c>
      <c r="J753" s="330">
        <v>0.99960241608378508</v>
      </c>
      <c r="K753" s="330">
        <v>0.77759530821349188</v>
      </c>
      <c r="L753" s="332">
        <v>9745.5965058769743</v>
      </c>
      <c r="M753" s="330">
        <v>0</v>
      </c>
      <c r="N753" s="330">
        <v>9013.620324631851</v>
      </c>
      <c r="O753" s="330">
        <v>1645.3120072463605</v>
      </c>
      <c r="P753" s="330">
        <v>38687.438560846516</v>
      </c>
      <c r="Q753" s="333">
        <v>80766.342896765782</v>
      </c>
      <c r="R753" s="330">
        <v>32544.733598466875</v>
      </c>
      <c r="S753" s="330">
        <v>11662.609831344656</v>
      </c>
      <c r="T753" s="332">
        <v>0.96238710609333533</v>
      </c>
      <c r="U753" s="330">
        <v>0.99327400510326425</v>
      </c>
      <c r="V753" s="330">
        <v>0.8443058529413543</v>
      </c>
      <c r="W753" s="330">
        <v>0.25602233513384043</v>
      </c>
      <c r="X753" s="330">
        <v>0.99176121544118367</v>
      </c>
      <c r="Y753" s="330">
        <v>0</v>
      </c>
      <c r="Z753" s="331">
        <v>0</v>
      </c>
      <c r="AA753" s="235"/>
      <c r="AB753" s="335">
        <v>105192.82069307139</v>
      </c>
      <c r="AC753" s="336">
        <v>4.8461504422003836</v>
      </c>
      <c r="AD753" s="337">
        <v>99167.957825186269</v>
      </c>
      <c r="AE753" s="336">
        <v>4.8502896179876949</v>
      </c>
      <c r="AF753" s="337">
        <v>6024.8628678851237</v>
      </c>
      <c r="AG753" s="338">
        <v>-4.1391757873112667E-3</v>
      </c>
      <c r="AH753" s="235"/>
      <c r="AI753" s="208">
        <f t="shared" si="80"/>
        <v>4498650.0993972933</v>
      </c>
      <c r="AJ753" s="208">
        <f t="shared" si="81"/>
        <v>4508607.1792631233</v>
      </c>
      <c r="AK753" s="208">
        <f t="shared" si="82"/>
        <v>-9957.0798658308267</v>
      </c>
      <c r="AL753" s="235"/>
      <c r="AM753" s="52">
        <f t="shared" si="58"/>
        <v>0</v>
      </c>
      <c r="AN753" s="52">
        <f t="shared" si="59"/>
        <v>1</v>
      </c>
      <c r="AO753" s="52">
        <f t="shared" si="60"/>
        <v>0</v>
      </c>
      <c r="AP753" s="235"/>
      <c r="AQ753" s="28"/>
      <c r="AR753" s="28"/>
      <c r="AS753" s="28"/>
      <c r="AT753" s="28"/>
      <c r="AU753" s="235"/>
      <c r="AV753" s="360">
        <f t="shared" si="83"/>
        <v>4508607.1792631233</v>
      </c>
      <c r="AW753" s="235"/>
      <c r="AX753" s="355"/>
      <c r="AY753" s="344"/>
      <c r="AZ753" s="14">
        <f t="shared" si="85"/>
        <v>6024.8628678851237</v>
      </c>
      <c r="BA753" s="14">
        <f t="shared" si="84"/>
        <v>-4.1391757873112667E-3</v>
      </c>
      <c r="BB753" s="14">
        <f t="shared" si="61"/>
        <v>-1455570.6685264423</v>
      </c>
      <c r="BC753" s="344"/>
      <c r="BD753" s="344"/>
      <c r="BE753" s="344"/>
      <c r="BF753" s="344"/>
      <c r="BG753" s="344"/>
      <c r="BH753" s="344"/>
      <c r="BI753" s="344"/>
      <c r="BJ753" s="344"/>
      <c r="BK753" s="344"/>
      <c r="BL753" s="344"/>
      <c r="BM753" s="344"/>
      <c r="BN753" s="344"/>
      <c r="BO753" s="344"/>
      <c r="BP753" s="344"/>
      <c r="BQ753" s="344"/>
      <c r="BR753" s="344"/>
      <c r="BS753" s="344"/>
      <c r="BT753" s="344"/>
      <c r="BU753" s="344"/>
      <c r="BV753" s="344"/>
      <c r="BW753" s="344"/>
      <c r="BX753" s="344"/>
      <c r="BY753" s="344"/>
      <c r="BZ753" s="344"/>
      <c r="CA753" s="344"/>
      <c r="CB753" s="28"/>
      <c r="CC753" s="28"/>
      <c r="CD753" s="28"/>
      <c r="CE753" s="28"/>
      <c r="CF753" s="28"/>
      <c r="CG753" s="28"/>
      <c r="CH753" s="28"/>
      <c r="CI753" s="28"/>
      <c r="CJ753" s="28"/>
      <c r="CK753" s="28"/>
      <c r="CL753" s="28"/>
      <c r="CM753" s="28"/>
      <c r="CN753" s="28"/>
      <c r="CO753" s="28"/>
      <c r="CP753" s="28"/>
      <c r="CQ753" s="28"/>
      <c r="CR753" s="28"/>
      <c r="CS753" s="28"/>
      <c r="CT753" s="28"/>
      <c r="CU753" s="28"/>
      <c r="CV753" s="28"/>
      <c r="CW753" s="28"/>
    </row>
    <row r="754" spans="1:101" ht="14.25" customHeight="1" x14ac:dyDescent="0.2">
      <c r="A754" s="328"/>
      <c r="B754" s="52">
        <v>0.18640518655971039</v>
      </c>
      <c r="C754" s="330">
        <v>0.68210581002854775</v>
      </c>
      <c r="D754" s="330">
        <v>1.1616388781314152E-2</v>
      </c>
      <c r="E754" s="330">
        <v>8.9908949954350826E-3</v>
      </c>
      <c r="F754" s="331">
        <v>0.79563771970547281</v>
      </c>
      <c r="G754" s="94">
        <v>0.28907665902965241</v>
      </c>
      <c r="H754" s="330">
        <v>0.92141718399513395</v>
      </c>
      <c r="I754" s="330">
        <v>2.2445759249601571E-2</v>
      </c>
      <c r="J754" s="330">
        <v>1</v>
      </c>
      <c r="K754" s="330">
        <v>0.7782385863770438</v>
      </c>
      <c r="L754" s="332">
        <v>14060.381618334908</v>
      </c>
      <c r="M754" s="330">
        <v>0</v>
      </c>
      <c r="N754" s="330">
        <v>18891.250772029573</v>
      </c>
      <c r="O754" s="330">
        <v>1056.7687823662268</v>
      </c>
      <c r="P754" s="330">
        <v>48369.409950199915</v>
      </c>
      <c r="Q754" s="333">
        <v>85875.7380337949</v>
      </c>
      <c r="R754" s="330">
        <v>24775.463815946365</v>
      </c>
      <c r="S754" s="330">
        <v>10326.888674903445</v>
      </c>
      <c r="T754" s="332">
        <v>0.82106210036854133</v>
      </c>
      <c r="U754" s="330">
        <v>0.99974966505538743</v>
      </c>
      <c r="V754" s="330">
        <v>0.81277446987686808</v>
      </c>
      <c r="W754" s="330">
        <v>0.92024759447998883</v>
      </c>
      <c r="X754" s="330">
        <v>0.99198050458678022</v>
      </c>
      <c r="Y754" s="330">
        <v>0</v>
      </c>
      <c r="Z754" s="331">
        <v>0</v>
      </c>
      <c r="AA754" s="235"/>
      <c r="AB754" s="335">
        <v>105767.53756530143</v>
      </c>
      <c r="AC754" s="336">
        <v>4.8313729729295911</v>
      </c>
      <c r="AD754" s="337">
        <v>94104.425917278641</v>
      </c>
      <c r="AE754" s="336">
        <v>5.0624567881344582</v>
      </c>
      <c r="AF754" s="337">
        <v>11663.111648022794</v>
      </c>
      <c r="AG754" s="338">
        <v>-0.23108381520486709</v>
      </c>
      <c r="AH754" s="235"/>
      <c r="AI754" s="208">
        <f t="shared" si="80"/>
        <v>4484036.7867178107</v>
      </c>
      <c r="AJ754" s="208">
        <f t="shared" si="81"/>
        <v>4715229.5228104563</v>
      </c>
      <c r="AK754" s="208">
        <f t="shared" si="82"/>
        <v>-231192.73609264655</v>
      </c>
      <c r="AL754" s="235"/>
      <c r="AM754" s="52">
        <f t="shared" si="58"/>
        <v>0</v>
      </c>
      <c r="AN754" s="52">
        <f t="shared" si="59"/>
        <v>1</v>
      </c>
      <c r="AO754" s="52">
        <f t="shared" si="60"/>
        <v>0</v>
      </c>
      <c r="AP754" s="235"/>
      <c r="AQ754" s="28"/>
      <c r="AR754" s="28"/>
      <c r="AS754" s="28"/>
      <c r="AT754" s="28"/>
      <c r="AU754" s="235"/>
      <c r="AV754" s="360">
        <f t="shared" si="83"/>
        <v>4715229.5228104563</v>
      </c>
      <c r="AW754" s="235"/>
      <c r="AX754" s="355"/>
      <c r="AY754" s="344"/>
      <c r="AZ754" s="14">
        <f t="shared" si="85"/>
        <v>11663.111648022794</v>
      </c>
      <c r="BA754" s="14">
        <f t="shared" si="84"/>
        <v>-0.23108381520486709</v>
      </c>
      <c r="BB754" s="14">
        <f t="shared" si="61"/>
        <v>-50471.3479725219</v>
      </c>
      <c r="BC754" s="344"/>
      <c r="BD754" s="344"/>
      <c r="BE754" s="344"/>
      <c r="BF754" s="344"/>
      <c r="BG754" s="344"/>
      <c r="BH754" s="344"/>
      <c r="BI754" s="344"/>
      <c r="BJ754" s="344"/>
      <c r="BK754" s="344"/>
      <c r="BL754" s="344"/>
      <c r="BM754" s="344"/>
      <c r="BN754" s="344"/>
      <c r="BO754" s="344"/>
      <c r="BP754" s="344"/>
      <c r="BQ754" s="344"/>
      <c r="BR754" s="344"/>
      <c r="BS754" s="344"/>
      <c r="BT754" s="344"/>
      <c r="BU754" s="344"/>
      <c r="BV754" s="344"/>
      <c r="BW754" s="344"/>
      <c r="BX754" s="344"/>
      <c r="BY754" s="344"/>
      <c r="BZ754" s="344"/>
      <c r="CA754" s="344"/>
      <c r="CB754" s="28"/>
      <c r="CC754" s="28"/>
      <c r="CD754" s="28"/>
      <c r="CE754" s="28"/>
      <c r="CF754" s="28"/>
      <c r="CG754" s="28"/>
      <c r="CH754" s="28"/>
      <c r="CI754" s="28"/>
      <c r="CJ754" s="28"/>
      <c r="CK754" s="28"/>
      <c r="CL754" s="28"/>
      <c r="CM754" s="28"/>
      <c r="CN754" s="28"/>
      <c r="CO754" s="28"/>
      <c r="CP754" s="28"/>
      <c r="CQ754" s="28"/>
      <c r="CR754" s="28"/>
      <c r="CS754" s="28"/>
      <c r="CT754" s="28"/>
      <c r="CU754" s="28"/>
      <c r="CV754" s="28"/>
      <c r="CW754" s="28"/>
    </row>
    <row r="755" spans="1:101" ht="14.25" customHeight="1" x14ac:dyDescent="0.2">
      <c r="A755" s="328"/>
      <c r="B755" s="52">
        <v>0.20409810096637471</v>
      </c>
      <c r="C755" s="330">
        <v>4.4048336745536154E-2</v>
      </c>
      <c r="D755" s="330">
        <v>2.3709131043510245E-2</v>
      </c>
      <c r="E755" s="330">
        <v>5.3500178721026534E-3</v>
      </c>
      <c r="F755" s="331">
        <v>0.78211306721073637</v>
      </c>
      <c r="G755" s="94">
        <v>0.41262147382835279</v>
      </c>
      <c r="H755" s="330">
        <v>0.79640510045514534</v>
      </c>
      <c r="I755" s="330">
        <v>7.2107606173687023E-3</v>
      </c>
      <c r="J755" s="330">
        <v>0.99997420861949127</v>
      </c>
      <c r="K755" s="330">
        <v>0.77839956311966618</v>
      </c>
      <c r="L755" s="332">
        <v>14776.219789290801</v>
      </c>
      <c r="M755" s="330">
        <v>0</v>
      </c>
      <c r="N755" s="330">
        <v>18714.799252542245</v>
      </c>
      <c r="O755" s="330">
        <v>1393.9032329951965</v>
      </c>
      <c r="P755" s="330">
        <v>42772.669546536024</v>
      </c>
      <c r="Q755" s="333">
        <v>91672.030929908549</v>
      </c>
      <c r="R755" s="330">
        <v>18433.474316879467</v>
      </c>
      <c r="S755" s="330">
        <v>8324.7624699307744</v>
      </c>
      <c r="T755" s="332">
        <v>0.26273826178122051</v>
      </c>
      <c r="U755" s="330">
        <v>0.25195534253033947</v>
      </c>
      <c r="V755" s="330">
        <v>0.78394317278726766</v>
      </c>
      <c r="W755" s="330">
        <v>0.99661293563960451</v>
      </c>
      <c r="X755" s="330">
        <v>0.33135104220551281</v>
      </c>
      <c r="Y755" s="330">
        <v>0</v>
      </c>
      <c r="Z755" s="331">
        <v>0</v>
      </c>
      <c r="AA755" s="235"/>
      <c r="AB755" s="335">
        <v>85541.657639755911</v>
      </c>
      <c r="AC755" s="336">
        <v>1.654915096378883</v>
      </c>
      <c r="AD755" s="337">
        <v>76585.366103327513</v>
      </c>
      <c r="AE755" s="336">
        <v>1.5622224574777932</v>
      </c>
      <c r="AF755" s="337">
        <v>8956.2915364283981</v>
      </c>
      <c r="AG755" s="338">
        <v>9.2692638901089808E-2</v>
      </c>
      <c r="AH755" s="235"/>
      <c r="AI755" s="208">
        <f t="shared" si="80"/>
        <v>1486627.683920183</v>
      </c>
      <c r="AJ755" s="208">
        <f t="shared" si="81"/>
        <v>1407525.968500576</v>
      </c>
      <c r="AK755" s="208">
        <f t="shared" si="82"/>
        <v>79101.715419606917</v>
      </c>
      <c r="AL755" s="235"/>
      <c r="AM755" s="52">
        <f t="shared" si="58"/>
        <v>1</v>
      </c>
      <c r="AN755" s="52">
        <f t="shared" si="59"/>
        <v>0</v>
      </c>
      <c r="AO755" s="52">
        <f t="shared" si="60"/>
        <v>1</v>
      </c>
      <c r="AP755" s="235"/>
      <c r="AQ755" s="28"/>
      <c r="AR755" s="28"/>
      <c r="AS755" s="28"/>
      <c r="AT755" s="28"/>
      <c r="AU755" s="235"/>
      <c r="AV755" s="360">
        <f t="shared" si="83"/>
        <v>1486627.683920183</v>
      </c>
      <c r="AW755" s="235"/>
      <c r="AX755" s="355"/>
      <c r="AY755" s="344"/>
      <c r="AZ755" s="14">
        <f t="shared" si="85"/>
        <v>8956.2915364283981</v>
      </c>
      <c r="BA755" s="14">
        <f t="shared" si="84"/>
        <v>9.2692638901089808E-2</v>
      </c>
      <c r="BB755" s="14">
        <f t="shared" si="61"/>
        <v>96623.546838335795</v>
      </c>
      <c r="BC755" s="344"/>
      <c r="BD755" s="344"/>
      <c r="BE755" s="344"/>
      <c r="BF755" s="344"/>
      <c r="BG755" s="344"/>
      <c r="BH755" s="344"/>
      <c r="BI755" s="344"/>
      <c r="BJ755" s="344"/>
      <c r="BK755" s="344"/>
      <c r="BL755" s="344"/>
      <c r="BM755" s="344"/>
      <c r="BN755" s="344"/>
      <c r="BO755" s="344"/>
      <c r="BP755" s="344"/>
      <c r="BQ755" s="344"/>
      <c r="BR755" s="344"/>
      <c r="BS755" s="344"/>
      <c r="BT755" s="344"/>
      <c r="BU755" s="344"/>
      <c r="BV755" s="344"/>
      <c r="BW755" s="344"/>
      <c r="BX755" s="344"/>
      <c r="BY755" s="344"/>
      <c r="BZ755" s="344"/>
      <c r="CA755" s="344"/>
      <c r="CB755" s="28"/>
      <c r="CC755" s="28"/>
      <c r="CD755" s="28"/>
      <c r="CE755" s="28"/>
      <c r="CF755" s="28"/>
      <c r="CG755" s="28"/>
      <c r="CH755" s="28"/>
      <c r="CI755" s="28"/>
      <c r="CJ755" s="28"/>
      <c r="CK755" s="28"/>
      <c r="CL755" s="28"/>
      <c r="CM755" s="28"/>
      <c r="CN755" s="28"/>
      <c r="CO755" s="28"/>
      <c r="CP755" s="28"/>
      <c r="CQ755" s="28"/>
      <c r="CR755" s="28"/>
      <c r="CS755" s="28"/>
      <c r="CT755" s="28"/>
      <c r="CU755" s="28"/>
      <c r="CV755" s="28"/>
      <c r="CW755" s="28"/>
    </row>
    <row r="756" spans="1:101" ht="14.25" customHeight="1" x14ac:dyDescent="0.2">
      <c r="A756" s="328"/>
      <c r="B756" s="52">
        <v>0.14094623225892303</v>
      </c>
      <c r="C756" s="330">
        <v>0.18078223605995877</v>
      </c>
      <c r="D756" s="330">
        <v>1.0006549706709545E-2</v>
      </c>
      <c r="E756" s="330">
        <v>1.9318596023161549E-2</v>
      </c>
      <c r="F756" s="331">
        <v>0.79967928964929813</v>
      </c>
      <c r="G756" s="94">
        <v>0.38957143348380446</v>
      </c>
      <c r="H756" s="330">
        <v>0.51646992043787976</v>
      </c>
      <c r="I756" s="330">
        <v>2.6386953802897239E-2</v>
      </c>
      <c r="J756" s="330">
        <v>0.98734641502527754</v>
      </c>
      <c r="K756" s="330">
        <v>0.74729630200457353</v>
      </c>
      <c r="L756" s="332">
        <v>11712.567524387094</v>
      </c>
      <c r="M756" s="330">
        <v>0</v>
      </c>
      <c r="N756" s="330">
        <v>21157.887832099663</v>
      </c>
      <c r="O756" s="330">
        <v>994.80731811774558</v>
      </c>
      <c r="P756" s="330">
        <v>41122.558733474376</v>
      </c>
      <c r="Q756" s="333">
        <v>116779.88030547606</v>
      </c>
      <c r="R756" s="330">
        <v>17704.099519640185</v>
      </c>
      <c r="S756" s="330">
        <v>9585.7305233980296</v>
      </c>
      <c r="T756" s="332">
        <v>0.97158594907725504</v>
      </c>
      <c r="U756" s="330">
        <v>0.92045731683407306</v>
      </c>
      <c r="V756" s="330">
        <v>0.77904281365548145</v>
      </c>
      <c r="W756" s="330">
        <v>0.88239065354397705</v>
      </c>
      <c r="X756" s="330">
        <v>0.89164799273777362</v>
      </c>
      <c r="Y756" s="330">
        <v>0</v>
      </c>
      <c r="Z756" s="331">
        <v>0</v>
      </c>
      <c r="AA756" s="235"/>
      <c r="AB756" s="335">
        <v>94730.656609157217</v>
      </c>
      <c r="AC756" s="336">
        <v>4.5790877199560294</v>
      </c>
      <c r="AD756" s="337">
        <v>82593.021280607602</v>
      </c>
      <c r="AE756" s="336">
        <v>4.2523640044357904</v>
      </c>
      <c r="AF756" s="337">
        <v>12137.635328549615</v>
      </c>
      <c r="AG756" s="338">
        <v>0.32672371552023893</v>
      </c>
      <c r="AH756" s="235"/>
      <c r="AI756" s="208">
        <f t="shared" si="80"/>
        <v>4255402.677349071</v>
      </c>
      <c r="AJ756" s="208">
        <f t="shared" si="81"/>
        <v>3957152.782933393</v>
      </c>
      <c r="AK756" s="208">
        <f t="shared" si="82"/>
        <v>298249.89441567741</v>
      </c>
      <c r="AL756" s="235"/>
      <c r="AM756" s="52">
        <f t="shared" si="58"/>
        <v>1</v>
      </c>
      <c r="AN756" s="52">
        <f t="shared" si="59"/>
        <v>0</v>
      </c>
      <c r="AO756" s="52">
        <f t="shared" si="60"/>
        <v>1</v>
      </c>
      <c r="AP756" s="235"/>
      <c r="AQ756" s="28"/>
      <c r="AR756" s="28"/>
      <c r="AS756" s="28"/>
      <c r="AT756" s="28"/>
      <c r="AU756" s="235"/>
      <c r="AV756" s="360">
        <f t="shared" si="83"/>
        <v>4255402.677349071</v>
      </c>
      <c r="AW756" s="235"/>
      <c r="AX756" s="355"/>
      <c r="AY756" s="344"/>
      <c r="AZ756" s="14">
        <f t="shared" si="85"/>
        <v>12137.635328549615</v>
      </c>
      <c r="BA756" s="14">
        <f t="shared" si="84"/>
        <v>0.32672371552023893</v>
      </c>
      <c r="BB756" s="14">
        <f t="shared" si="61"/>
        <v>37149.538744755577</v>
      </c>
      <c r="BC756" s="344"/>
      <c r="BD756" s="344"/>
      <c r="BE756" s="344"/>
      <c r="BF756" s="344"/>
      <c r="BG756" s="344"/>
      <c r="BH756" s="344"/>
      <c r="BI756" s="344"/>
      <c r="BJ756" s="344"/>
      <c r="BK756" s="344"/>
      <c r="BL756" s="344"/>
      <c r="BM756" s="344"/>
      <c r="BN756" s="344"/>
      <c r="BO756" s="344"/>
      <c r="BP756" s="344"/>
      <c r="BQ756" s="344"/>
      <c r="BR756" s="344"/>
      <c r="BS756" s="344"/>
      <c r="BT756" s="344"/>
      <c r="BU756" s="344"/>
      <c r="BV756" s="344"/>
      <c r="BW756" s="344"/>
      <c r="BX756" s="344"/>
      <c r="BY756" s="344"/>
      <c r="BZ756" s="344"/>
      <c r="CA756" s="344"/>
      <c r="CB756" s="28"/>
      <c r="CC756" s="28"/>
      <c r="CD756" s="28"/>
      <c r="CE756" s="28"/>
      <c r="CF756" s="28"/>
      <c r="CG756" s="28"/>
      <c r="CH756" s="28"/>
      <c r="CI756" s="28"/>
      <c r="CJ756" s="28"/>
      <c r="CK756" s="28"/>
      <c r="CL756" s="28"/>
      <c r="CM756" s="28"/>
      <c r="CN756" s="28"/>
      <c r="CO756" s="28"/>
      <c r="CP756" s="28"/>
      <c r="CQ756" s="28"/>
      <c r="CR756" s="28"/>
      <c r="CS756" s="28"/>
      <c r="CT756" s="28"/>
      <c r="CU756" s="28"/>
      <c r="CV756" s="28"/>
      <c r="CW756" s="28"/>
    </row>
    <row r="757" spans="1:101" ht="14.25" customHeight="1" x14ac:dyDescent="0.2">
      <c r="A757" s="328"/>
      <c r="B757" s="52">
        <v>0.17053114336224728</v>
      </c>
      <c r="C757" s="330">
        <v>1.1386073237770635E-2</v>
      </c>
      <c r="D757" s="330">
        <v>1.1332664911518556E-2</v>
      </c>
      <c r="E757" s="330">
        <v>7.3597773472268303E-3</v>
      </c>
      <c r="F757" s="331">
        <v>0.79380859171007512</v>
      </c>
      <c r="G757" s="94">
        <v>0.45567082209057996</v>
      </c>
      <c r="H757" s="330">
        <v>0.57650352096308333</v>
      </c>
      <c r="I757" s="330">
        <v>1.3381441428959157E-2</v>
      </c>
      <c r="J757" s="330">
        <v>0.99999990482505652</v>
      </c>
      <c r="K757" s="330">
        <v>0.76279445994853778</v>
      </c>
      <c r="L757" s="332">
        <v>14821.655326600365</v>
      </c>
      <c r="M757" s="330">
        <v>0</v>
      </c>
      <c r="N757" s="330">
        <v>23110.665417777043</v>
      </c>
      <c r="O757" s="330">
        <v>1154.4256869868079</v>
      </c>
      <c r="P757" s="330">
        <v>39719.815269020248</v>
      </c>
      <c r="Q757" s="333">
        <v>61990.620649500153</v>
      </c>
      <c r="R757" s="330">
        <v>25666.266734829704</v>
      </c>
      <c r="S757" s="330">
        <v>7705.5287966963715</v>
      </c>
      <c r="T757" s="332">
        <v>0.85171373907123193</v>
      </c>
      <c r="U757" s="330">
        <v>0.41574152292626609</v>
      </c>
      <c r="V757" s="330">
        <v>0.99839191424722351</v>
      </c>
      <c r="W757" s="330">
        <v>0.44271933082780779</v>
      </c>
      <c r="X757" s="330">
        <v>0.94257787909582047</v>
      </c>
      <c r="Y757" s="330">
        <v>0</v>
      </c>
      <c r="Z757" s="331">
        <v>0</v>
      </c>
      <c r="AA757" s="235"/>
      <c r="AB757" s="335">
        <v>80828.934446582309</v>
      </c>
      <c r="AC757" s="336">
        <v>4.7645053065010234</v>
      </c>
      <c r="AD757" s="337">
        <v>71016.448902899574</v>
      </c>
      <c r="AE757" s="336">
        <v>4.4560964507556617</v>
      </c>
      <c r="AF757" s="337">
        <v>9812.4855436827347</v>
      </c>
      <c r="AG757" s="338">
        <v>0.3084088557453617</v>
      </c>
      <c r="AH757" s="235"/>
      <c r="AI757" s="208">
        <f t="shared" si="80"/>
        <v>4445451.1067293901</v>
      </c>
      <c r="AJ757" s="208">
        <f t="shared" si="81"/>
        <v>4162275.1793149794</v>
      </c>
      <c r="AK757" s="208">
        <f t="shared" si="82"/>
        <v>283175.92741441086</v>
      </c>
      <c r="AL757" s="235"/>
      <c r="AM757" s="52">
        <f t="shared" si="58"/>
        <v>1</v>
      </c>
      <c r="AN757" s="52">
        <f t="shared" si="59"/>
        <v>0</v>
      </c>
      <c r="AO757" s="52">
        <f t="shared" si="60"/>
        <v>1</v>
      </c>
      <c r="AP757" s="235"/>
      <c r="AQ757" s="28"/>
      <c r="AR757" s="28"/>
      <c r="AS757" s="28"/>
      <c r="AT757" s="28"/>
      <c r="AU757" s="235"/>
      <c r="AV757" s="360">
        <f t="shared" si="83"/>
        <v>4445451.1067293901</v>
      </c>
      <c r="AW757" s="235"/>
      <c r="AX757" s="355"/>
      <c r="AY757" s="344"/>
      <c r="AZ757" s="14">
        <f t="shared" si="85"/>
        <v>9812.4855436827347</v>
      </c>
      <c r="BA757" s="14">
        <f t="shared" si="84"/>
        <v>0.3084088557453617</v>
      </c>
      <c r="BB757" s="14">
        <f t="shared" si="61"/>
        <v>31816.484387155309</v>
      </c>
      <c r="BC757" s="344"/>
      <c r="BD757" s="344"/>
      <c r="BE757" s="344"/>
      <c r="BF757" s="344"/>
      <c r="BG757" s="344"/>
      <c r="BH757" s="344"/>
      <c r="BI757" s="344"/>
      <c r="BJ757" s="344"/>
      <c r="BK757" s="344"/>
      <c r="BL757" s="344"/>
      <c r="BM757" s="344"/>
      <c r="BN757" s="344"/>
      <c r="BO757" s="344"/>
      <c r="BP757" s="344"/>
      <c r="BQ757" s="344"/>
      <c r="BR757" s="344"/>
      <c r="BS757" s="344"/>
      <c r="BT757" s="344"/>
      <c r="BU757" s="344"/>
      <c r="BV757" s="344"/>
      <c r="BW757" s="344"/>
      <c r="BX757" s="344"/>
      <c r="BY757" s="344"/>
      <c r="BZ757" s="344"/>
      <c r="CA757" s="344"/>
      <c r="CB757" s="28"/>
      <c r="CC757" s="28"/>
      <c r="CD757" s="28"/>
      <c r="CE757" s="28"/>
      <c r="CF757" s="28"/>
      <c r="CG757" s="28"/>
      <c r="CH757" s="28"/>
      <c r="CI757" s="28"/>
      <c r="CJ757" s="28"/>
      <c r="CK757" s="28"/>
      <c r="CL757" s="28"/>
      <c r="CM757" s="28"/>
      <c r="CN757" s="28"/>
      <c r="CO757" s="28"/>
      <c r="CP757" s="28"/>
      <c r="CQ757" s="28"/>
      <c r="CR757" s="28"/>
      <c r="CS757" s="28"/>
      <c r="CT757" s="28"/>
      <c r="CU757" s="28"/>
      <c r="CV757" s="28"/>
      <c r="CW757" s="28"/>
    </row>
    <row r="758" spans="1:101" ht="14.25" customHeight="1" x14ac:dyDescent="0.2">
      <c r="A758" s="328"/>
      <c r="B758" s="52">
        <v>0.17475370446569072</v>
      </c>
      <c r="C758" s="330">
        <v>0.68056085577518477</v>
      </c>
      <c r="D758" s="330">
        <v>6.1756084479636774E-3</v>
      </c>
      <c r="E758" s="330">
        <v>1.5238246231574659E-2</v>
      </c>
      <c r="F758" s="331">
        <v>0.78377259361232898</v>
      </c>
      <c r="G758" s="94">
        <v>0.42342661114646685</v>
      </c>
      <c r="H758" s="330">
        <v>0.55207245580967612</v>
      </c>
      <c r="I758" s="330">
        <v>1.4142464020021488E-2</v>
      </c>
      <c r="J758" s="330">
        <v>0.99999960229213358</v>
      </c>
      <c r="K758" s="330">
        <v>0.73103152453446685</v>
      </c>
      <c r="L758" s="332">
        <v>12417.270407939219</v>
      </c>
      <c r="M758" s="330">
        <v>0</v>
      </c>
      <c r="N758" s="330">
        <v>24015.453926783215</v>
      </c>
      <c r="O758" s="330">
        <v>1267.8590398131712</v>
      </c>
      <c r="P758" s="330">
        <v>38867.16352270748</v>
      </c>
      <c r="Q758" s="333">
        <v>121640.2161467629</v>
      </c>
      <c r="R758" s="330">
        <v>31650.681693282833</v>
      </c>
      <c r="S758" s="330">
        <v>11795.164794210157</v>
      </c>
      <c r="T758" s="332">
        <v>0.99982251726410654</v>
      </c>
      <c r="U758" s="330">
        <v>0.16871507987596998</v>
      </c>
      <c r="V758" s="330">
        <v>0.9895950641610769</v>
      </c>
      <c r="W758" s="330">
        <v>0.51848297555877609</v>
      </c>
      <c r="X758" s="330">
        <v>0.86493070759872503</v>
      </c>
      <c r="Y758" s="330">
        <v>0</v>
      </c>
      <c r="Z758" s="331">
        <v>0</v>
      </c>
      <c r="AA758" s="235"/>
      <c r="AB758" s="335">
        <v>115742.67780880895</v>
      </c>
      <c r="AC758" s="336">
        <v>4.0954794767328879</v>
      </c>
      <c r="AD758" s="337">
        <v>101596.42233043718</v>
      </c>
      <c r="AE758" s="336">
        <v>3.8503519297338706</v>
      </c>
      <c r="AF758" s="337">
        <v>14146.255478371764</v>
      </c>
      <c r="AG758" s="338">
        <v>0.24512754699901729</v>
      </c>
      <c r="AH758" s="235"/>
      <c r="AI758" s="208">
        <f t="shared" si="80"/>
        <v>3774962.8250874346</v>
      </c>
      <c r="AJ758" s="208">
        <f t="shared" si="81"/>
        <v>3556237.9109167401</v>
      </c>
      <c r="AK758" s="208">
        <f t="shared" si="82"/>
        <v>218724.91417069465</v>
      </c>
      <c r="AL758" s="235"/>
      <c r="AM758" s="52">
        <f t="shared" si="58"/>
        <v>1</v>
      </c>
      <c r="AN758" s="52">
        <f t="shared" si="59"/>
        <v>0</v>
      </c>
      <c r="AO758" s="52">
        <f t="shared" si="60"/>
        <v>1</v>
      </c>
      <c r="AP758" s="235"/>
      <c r="AQ758" s="28"/>
      <c r="AR758" s="28"/>
      <c r="AS758" s="28"/>
      <c r="AT758" s="28"/>
      <c r="AU758" s="235"/>
      <c r="AV758" s="360">
        <f t="shared" si="83"/>
        <v>3774962.8250874346</v>
      </c>
      <c r="AW758" s="235"/>
      <c r="AX758" s="355"/>
      <c r="AY758" s="344"/>
      <c r="AZ758" s="14">
        <f t="shared" si="85"/>
        <v>14146.255478371764</v>
      </c>
      <c r="BA758" s="14">
        <f t="shared" si="84"/>
        <v>0.24512754699901729</v>
      </c>
      <c r="BB758" s="14">
        <f t="shared" si="61"/>
        <v>57709.774570658417</v>
      </c>
      <c r="BC758" s="344"/>
      <c r="BD758" s="344"/>
      <c r="BE758" s="344"/>
      <c r="BF758" s="344"/>
      <c r="BG758" s="344"/>
      <c r="BH758" s="344"/>
      <c r="BI758" s="344"/>
      <c r="BJ758" s="344"/>
      <c r="BK758" s="344"/>
      <c r="BL758" s="344"/>
      <c r="BM758" s="344"/>
      <c r="BN758" s="344"/>
      <c r="BO758" s="344"/>
      <c r="BP758" s="344"/>
      <c r="BQ758" s="344"/>
      <c r="BR758" s="344"/>
      <c r="BS758" s="344"/>
      <c r="BT758" s="344"/>
      <c r="BU758" s="344"/>
      <c r="BV758" s="344"/>
      <c r="BW758" s="344"/>
      <c r="BX758" s="344"/>
      <c r="BY758" s="344"/>
      <c r="BZ758" s="344"/>
      <c r="CA758" s="344"/>
      <c r="CB758" s="28"/>
      <c r="CC758" s="28"/>
      <c r="CD758" s="28"/>
      <c r="CE758" s="28"/>
      <c r="CF758" s="28"/>
      <c r="CG758" s="28"/>
      <c r="CH758" s="28"/>
      <c r="CI758" s="28"/>
      <c r="CJ758" s="28"/>
      <c r="CK758" s="28"/>
      <c r="CL758" s="28"/>
      <c r="CM758" s="28"/>
      <c r="CN758" s="28"/>
      <c r="CO758" s="28"/>
      <c r="CP758" s="28"/>
      <c r="CQ758" s="28"/>
      <c r="CR758" s="28"/>
      <c r="CS758" s="28"/>
      <c r="CT758" s="28"/>
      <c r="CU758" s="28"/>
      <c r="CV758" s="28"/>
      <c r="CW758" s="28"/>
    </row>
    <row r="759" spans="1:101" ht="14.25" customHeight="1" x14ac:dyDescent="0.2">
      <c r="A759" s="328"/>
      <c r="B759" s="52">
        <v>0.1991500967891906</v>
      </c>
      <c r="C759" s="330">
        <v>0.18349232457646111</v>
      </c>
      <c r="D759" s="330">
        <v>1.2761313060254296E-2</v>
      </c>
      <c r="E759" s="330">
        <v>1.520385109524558E-2</v>
      </c>
      <c r="F759" s="331">
        <v>0.80891194727134574</v>
      </c>
      <c r="G759" s="94">
        <v>0.38016507297630819</v>
      </c>
      <c r="H759" s="330">
        <v>0.23396945477260622</v>
      </c>
      <c r="I759" s="330">
        <v>1.9358066511684147E-2</v>
      </c>
      <c r="J759" s="330">
        <v>1</v>
      </c>
      <c r="K759" s="330">
        <v>0.72397433556294244</v>
      </c>
      <c r="L759" s="332">
        <v>12149.206764564393</v>
      </c>
      <c r="M759" s="330">
        <v>0</v>
      </c>
      <c r="N759" s="330">
        <v>26065.384260844578</v>
      </c>
      <c r="O759" s="330">
        <v>1029.6934870231139</v>
      </c>
      <c r="P759" s="330">
        <v>47183.439054622162</v>
      </c>
      <c r="Q759" s="333">
        <v>89319.763041524246</v>
      </c>
      <c r="R759" s="330">
        <v>17188.893781286824</v>
      </c>
      <c r="S759" s="330">
        <v>6868.5236600306471</v>
      </c>
      <c r="T759" s="332">
        <v>0.81616330974976981</v>
      </c>
      <c r="U759" s="330">
        <v>0.12024795257483682</v>
      </c>
      <c r="V759" s="330">
        <v>0.84454471765775874</v>
      </c>
      <c r="W759" s="330">
        <v>0.99939687675235356</v>
      </c>
      <c r="X759" s="330">
        <v>8.3691943302138652E-2</v>
      </c>
      <c r="Y759" s="330">
        <v>0</v>
      </c>
      <c r="Z759" s="331">
        <v>0</v>
      </c>
      <c r="AA759" s="235"/>
      <c r="AB759" s="335">
        <v>72835.276741255089</v>
      </c>
      <c r="AC759" s="336">
        <v>0.423043946361016</v>
      </c>
      <c r="AD759" s="337">
        <v>56472.848322127182</v>
      </c>
      <c r="AE759" s="336">
        <v>0.39080152560032261</v>
      </c>
      <c r="AF759" s="337">
        <v>16362.428419127908</v>
      </c>
      <c r="AG759" s="338">
        <v>3.2242420760693391E-2</v>
      </c>
      <c r="AH759" s="235"/>
      <c r="AI759" s="208">
        <f t="shared" si="80"/>
        <v>329056.47230171011</v>
      </c>
      <c r="AJ759" s="208">
        <f t="shared" si="81"/>
        <v>314788.60099817929</v>
      </c>
      <c r="AK759" s="208">
        <f t="shared" si="82"/>
        <v>14267.871303530814</v>
      </c>
      <c r="AL759" s="235"/>
      <c r="AM759" s="52">
        <f t="shared" si="58"/>
        <v>1</v>
      </c>
      <c r="AN759" s="52">
        <f t="shared" si="59"/>
        <v>0</v>
      </c>
      <c r="AO759" s="52">
        <f t="shared" si="60"/>
        <v>1</v>
      </c>
      <c r="AP759" s="235"/>
      <c r="AQ759" s="28"/>
      <c r="AR759" s="28"/>
      <c r="AS759" s="28"/>
      <c r="AT759" s="28"/>
      <c r="AU759" s="235"/>
      <c r="AV759" s="360">
        <f t="shared" si="83"/>
        <v>329056.47230171011</v>
      </c>
      <c r="AW759" s="235"/>
      <c r="AX759" s="355"/>
      <c r="AY759" s="344"/>
      <c r="AZ759" s="14">
        <f t="shared" si="85"/>
        <v>16362.428419127908</v>
      </c>
      <c r="BA759" s="14">
        <f t="shared" si="84"/>
        <v>3.2242420760693391E-2</v>
      </c>
      <c r="BB759" s="14">
        <f t="shared" si="61"/>
        <v>507481.38734903181</v>
      </c>
      <c r="BC759" s="344"/>
      <c r="BD759" s="344"/>
      <c r="BE759" s="344"/>
      <c r="BF759" s="344"/>
      <c r="BG759" s="344"/>
      <c r="BH759" s="344"/>
      <c r="BI759" s="344"/>
      <c r="BJ759" s="344"/>
      <c r="BK759" s="344"/>
      <c r="BL759" s="344"/>
      <c r="BM759" s="344"/>
      <c r="BN759" s="344"/>
      <c r="BO759" s="344"/>
      <c r="BP759" s="344"/>
      <c r="BQ759" s="344"/>
      <c r="BR759" s="344"/>
      <c r="BS759" s="344"/>
      <c r="BT759" s="344"/>
      <c r="BU759" s="344"/>
      <c r="BV759" s="344"/>
      <c r="BW759" s="344"/>
      <c r="BX759" s="344"/>
      <c r="BY759" s="344"/>
      <c r="BZ759" s="344"/>
      <c r="CA759" s="344"/>
      <c r="CB759" s="28"/>
      <c r="CC759" s="28"/>
      <c r="CD759" s="28"/>
      <c r="CE759" s="28"/>
      <c r="CF759" s="28"/>
      <c r="CG759" s="28"/>
      <c r="CH759" s="28"/>
      <c r="CI759" s="28"/>
      <c r="CJ759" s="28"/>
      <c r="CK759" s="28"/>
      <c r="CL759" s="28"/>
      <c r="CM759" s="28"/>
      <c r="CN759" s="28"/>
      <c r="CO759" s="28"/>
      <c r="CP759" s="28"/>
      <c r="CQ759" s="28"/>
      <c r="CR759" s="28"/>
      <c r="CS759" s="28"/>
      <c r="CT759" s="28"/>
      <c r="CU759" s="28"/>
      <c r="CV759" s="28"/>
      <c r="CW759" s="28"/>
    </row>
    <row r="760" spans="1:101" ht="14.25" customHeight="1" x14ac:dyDescent="0.2">
      <c r="A760" s="328"/>
      <c r="B760" s="52">
        <v>0.17952347991175543</v>
      </c>
      <c r="C760" s="330">
        <v>8.3576566864062132E-2</v>
      </c>
      <c r="D760" s="330">
        <v>2.9645851105651877E-2</v>
      </c>
      <c r="E760" s="330">
        <v>1.7035849697789152E-2</v>
      </c>
      <c r="F760" s="331">
        <v>0.79050591026485795</v>
      </c>
      <c r="G760" s="94">
        <v>0.3318561857696426</v>
      </c>
      <c r="H760" s="330">
        <v>0.14732288622330603</v>
      </c>
      <c r="I760" s="330">
        <v>8.5800768768393328E-3</v>
      </c>
      <c r="J760" s="330">
        <v>0.99999988761474712</v>
      </c>
      <c r="K760" s="330">
        <v>0.84194298235681475</v>
      </c>
      <c r="L760" s="332">
        <v>13047.485418946302</v>
      </c>
      <c r="M760" s="330">
        <v>0</v>
      </c>
      <c r="N760" s="330">
        <v>21558.844124962321</v>
      </c>
      <c r="O760" s="330">
        <v>1109.1354266157082</v>
      </c>
      <c r="P760" s="330">
        <v>40514.470593762853</v>
      </c>
      <c r="Q760" s="333">
        <v>90949.108051171177</v>
      </c>
      <c r="R760" s="330">
        <v>22116.940826226117</v>
      </c>
      <c r="S760" s="330">
        <v>9711.3043604729864</v>
      </c>
      <c r="T760" s="332">
        <v>0.25319366450171865</v>
      </c>
      <c r="U760" s="330">
        <v>0.99785971578426769</v>
      </c>
      <c r="V760" s="330">
        <v>0.70809860227196131</v>
      </c>
      <c r="W760" s="330">
        <v>0.12108233585034432</v>
      </c>
      <c r="X760" s="330">
        <v>0.94176823291638234</v>
      </c>
      <c r="Y760" s="330">
        <v>0</v>
      </c>
      <c r="Z760" s="331">
        <v>0</v>
      </c>
      <c r="AA760" s="235"/>
      <c r="AB760" s="335">
        <v>96450.096498547311</v>
      </c>
      <c r="AC760" s="336">
        <v>4.5075403485408785</v>
      </c>
      <c r="AD760" s="337">
        <v>89623.524170350283</v>
      </c>
      <c r="AE760" s="336">
        <v>5.3098021068318504</v>
      </c>
      <c r="AF760" s="337">
        <v>6826.5723281970277</v>
      </c>
      <c r="AG760" s="338">
        <v>-0.8022617582909719</v>
      </c>
      <c r="AH760" s="235"/>
      <c r="AI760" s="208">
        <f t="shared" si="80"/>
        <v>4185713.2346152877</v>
      </c>
      <c r="AJ760" s="208">
        <f t="shared" si="81"/>
        <v>4954688.4773199074</v>
      </c>
      <c r="AK760" s="208">
        <f t="shared" si="82"/>
        <v>-768975.24270462035</v>
      </c>
      <c r="AL760" s="235"/>
      <c r="AM760" s="52">
        <f t="shared" si="58"/>
        <v>0</v>
      </c>
      <c r="AN760" s="52">
        <f t="shared" si="59"/>
        <v>1</v>
      </c>
      <c r="AO760" s="52">
        <f t="shared" si="60"/>
        <v>0</v>
      </c>
      <c r="AP760" s="235"/>
      <c r="AQ760" s="28"/>
      <c r="AR760" s="28"/>
      <c r="AS760" s="28"/>
      <c r="AT760" s="28"/>
      <c r="AU760" s="235"/>
      <c r="AV760" s="360">
        <f t="shared" si="83"/>
        <v>4954688.4773199074</v>
      </c>
      <c r="AW760" s="235"/>
      <c r="AX760" s="355"/>
      <c r="AY760" s="344"/>
      <c r="AZ760" s="14">
        <f t="shared" si="85"/>
        <v>6826.5723281970277</v>
      </c>
      <c r="BA760" s="14">
        <f t="shared" si="84"/>
        <v>-0.8022617582909719</v>
      </c>
      <c r="BB760" s="14">
        <f t="shared" si="61"/>
        <v>-8509.1583359767992</v>
      </c>
      <c r="BC760" s="344"/>
      <c r="BD760" s="344"/>
      <c r="BE760" s="344"/>
      <c r="BF760" s="344"/>
      <c r="BG760" s="344"/>
      <c r="BH760" s="344"/>
      <c r="BI760" s="344"/>
      <c r="BJ760" s="344"/>
      <c r="BK760" s="344"/>
      <c r="BL760" s="344"/>
      <c r="BM760" s="344"/>
      <c r="BN760" s="344"/>
      <c r="BO760" s="344"/>
      <c r="BP760" s="344"/>
      <c r="BQ760" s="344"/>
      <c r="BR760" s="344"/>
      <c r="BS760" s="344"/>
      <c r="BT760" s="344"/>
      <c r="BU760" s="344"/>
      <c r="BV760" s="344"/>
      <c r="BW760" s="344"/>
      <c r="BX760" s="344"/>
      <c r="BY760" s="344"/>
      <c r="BZ760" s="344"/>
      <c r="CA760" s="344"/>
      <c r="CB760" s="28"/>
      <c r="CC760" s="28"/>
      <c r="CD760" s="28"/>
      <c r="CE760" s="28"/>
      <c r="CF760" s="28"/>
      <c r="CG760" s="28"/>
      <c r="CH760" s="28"/>
      <c r="CI760" s="28"/>
      <c r="CJ760" s="28"/>
      <c r="CK760" s="28"/>
      <c r="CL760" s="28"/>
      <c r="CM760" s="28"/>
      <c r="CN760" s="28"/>
      <c r="CO760" s="28"/>
      <c r="CP760" s="28"/>
      <c r="CQ760" s="28"/>
      <c r="CR760" s="28"/>
      <c r="CS760" s="28"/>
      <c r="CT760" s="28"/>
      <c r="CU760" s="28"/>
      <c r="CV760" s="28"/>
      <c r="CW760" s="28"/>
    </row>
    <row r="761" spans="1:101" ht="14.25" customHeight="1" x14ac:dyDescent="0.2">
      <c r="A761" s="328"/>
      <c r="B761" s="52">
        <v>0.20244584231580265</v>
      </c>
      <c r="C761" s="330">
        <v>0.7793518418652684</v>
      </c>
      <c r="D761" s="330">
        <v>2.0207088136311002E-2</v>
      </c>
      <c r="E761" s="330">
        <v>2.790605924900913E-2</v>
      </c>
      <c r="F761" s="331">
        <v>0.80093784883631969</v>
      </c>
      <c r="G761" s="94">
        <v>0.44203349045505613</v>
      </c>
      <c r="H761" s="330">
        <v>0.98747138751994834</v>
      </c>
      <c r="I761" s="330">
        <v>1.9066277590105707E-2</v>
      </c>
      <c r="J761" s="330">
        <v>0.99999999999999978</v>
      </c>
      <c r="K761" s="330">
        <v>0.79028537444325742</v>
      </c>
      <c r="L761" s="332">
        <v>11807.732447545968</v>
      </c>
      <c r="M761" s="330">
        <v>0</v>
      </c>
      <c r="N761" s="330">
        <v>19091.511087291514</v>
      </c>
      <c r="O761" s="330">
        <v>966.63178182601348</v>
      </c>
      <c r="P761" s="330">
        <v>45294.361891034445</v>
      </c>
      <c r="Q761" s="333">
        <v>88841.309558990513</v>
      </c>
      <c r="R761" s="330">
        <v>22533.096377367106</v>
      </c>
      <c r="S761" s="330">
        <v>8183.2998913129095</v>
      </c>
      <c r="T761" s="332">
        <v>0.98455146881727607</v>
      </c>
      <c r="U761" s="330">
        <v>0.99493341078869924</v>
      </c>
      <c r="V761" s="330">
        <v>0.99923097924695559</v>
      </c>
      <c r="W761" s="330">
        <v>0.99963774574182895</v>
      </c>
      <c r="X761" s="330">
        <v>0.84655064047848827</v>
      </c>
      <c r="Y761" s="330">
        <v>0</v>
      </c>
      <c r="Z761" s="331">
        <v>0</v>
      </c>
      <c r="AA761" s="235"/>
      <c r="AB761" s="335">
        <v>86265.268861374396</v>
      </c>
      <c r="AC761" s="336">
        <v>4.1987537331062219</v>
      </c>
      <c r="AD761" s="337">
        <v>80915.140923576109</v>
      </c>
      <c r="AE761" s="336">
        <v>4.2300205566805058</v>
      </c>
      <c r="AF761" s="337">
        <v>5350.1279377982864</v>
      </c>
      <c r="AG761" s="338">
        <v>-3.1266823574283897E-2</v>
      </c>
      <c r="AH761" s="235"/>
      <c r="AI761" s="208">
        <f t="shared" si="80"/>
        <v>3902550.7775895363</v>
      </c>
      <c r="AJ761" s="208">
        <f t="shared" si="81"/>
        <v>3937604.3879229045</v>
      </c>
      <c r="AK761" s="208">
        <f t="shared" si="82"/>
        <v>-35053.610333367993</v>
      </c>
      <c r="AL761" s="235"/>
      <c r="AM761" s="52">
        <f t="shared" si="58"/>
        <v>0</v>
      </c>
      <c r="AN761" s="52">
        <f t="shared" si="59"/>
        <v>1</v>
      </c>
      <c r="AO761" s="52">
        <f t="shared" si="60"/>
        <v>0</v>
      </c>
      <c r="AP761" s="235"/>
      <c r="AQ761" s="28"/>
      <c r="AR761" s="28"/>
      <c r="AS761" s="28"/>
      <c r="AT761" s="28"/>
      <c r="AU761" s="235"/>
      <c r="AV761" s="360">
        <f t="shared" si="83"/>
        <v>3937604.3879229045</v>
      </c>
      <c r="AW761" s="235"/>
      <c r="AX761" s="355"/>
      <c r="AY761" s="344"/>
      <c r="AZ761" s="14">
        <f t="shared" si="85"/>
        <v>5350.1279377982864</v>
      </c>
      <c r="BA761" s="14">
        <f t="shared" si="84"/>
        <v>-3.1266823574283897E-2</v>
      </c>
      <c r="BB761" s="14">
        <f t="shared" si="61"/>
        <v>-171111.97512876298</v>
      </c>
      <c r="BC761" s="344"/>
      <c r="BD761" s="344"/>
      <c r="BE761" s="344"/>
      <c r="BF761" s="344"/>
      <c r="BG761" s="344"/>
      <c r="BH761" s="344"/>
      <c r="BI761" s="344"/>
      <c r="BJ761" s="344"/>
      <c r="BK761" s="344"/>
      <c r="BL761" s="344"/>
      <c r="BM761" s="344"/>
      <c r="BN761" s="344"/>
      <c r="BO761" s="344"/>
      <c r="BP761" s="344"/>
      <c r="BQ761" s="344"/>
      <c r="BR761" s="344"/>
      <c r="BS761" s="344"/>
      <c r="BT761" s="344"/>
      <c r="BU761" s="344"/>
      <c r="BV761" s="344"/>
      <c r="BW761" s="344"/>
      <c r="BX761" s="344"/>
      <c r="BY761" s="344"/>
      <c r="BZ761" s="344"/>
      <c r="CA761" s="344"/>
      <c r="CB761" s="28"/>
      <c r="CC761" s="28"/>
      <c r="CD761" s="28"/>
      <c r="CE761" s="28"/>
      <c r="CF761" s="28"/>
      <c r="CG761" s="28"/>
      <c r="CH761" s="28"/>
      <c r="CI761" s="28"/>
      <c r="CJ761" s="28"/>
      <c r="CK761" s="28"/>
      <c r="CL761" s="28"/>
      <c r="CM761" s="28"/>
      <c r="CN761" s="28"/>
      <c r="CO761" s="28"/>
      <c r="CP761" s="28"/>
      <c r="CQ761" s="28"/>
      <c r="CR761" s="28"/>
      <c r="CS761" s="28"/>
      <c r="CT761" s="28"/>
      <c r="CU761" s="28"/>
      <c r="CV761" s="28"/>
      <c r="CW761" s="28"/>
    </row>
    <row r="762" spans="1:101" ht="14.25" customHeight="1" x14ac:dyDescent="0.2">
      <c r="A762" s="328"/>
      <c r="B762" s="52">
        <v>0.14064627179989353</v>
      </c>
      <c r="C762" s="330">
        <v>4.0419662484154101E-2</v>
      </c>
      <c r="D762" s="330">
        <v>1.2573674475330641E-2</v>
      </c>
      <c r="E762" s="330">
        <v>6.7158943460958265E-3</v>
      </c>
      <c r="F762" s="331">
        <v>0.82077016073130382</v>
      </c>
      <c r="G762" s="94">
        <v>0.40022539732147666</v>
      </c>
      <c r="H762" s="330">
        <v>0.33053246133406328</v>
      </c>
      <c r="I762" s="330">
        <v>2.4273784415944077E-2</v>
      </c>
      <c r="J762" s="330">
        <v>1</v>
      </c>
      <c r="K762" s="330">
        <v>0.72252704653372679</v>
      </c>
      <c r="L762" s="332">
        <v>12609.197385474965</v>
      </c>
      <c r="M762" s="330">
        <v>0</v>
      </c>
      <c r="N762" s="330">
        <v>18656.347421154154</v>
      </c>
      <c r="O762" s="330">
        <v>1340.1592573118855</v>
      </c>
      <c r="P762" s="330">
        <v>33835.220738688069</v>
      </c>
      <c r="Q762" s="333">
        <v>86495.175149355477</v>
      </c>
      <c r="R762" s="330">
        <v>22192.706667916314</v>
      </c>
      <c r="S762" s="330">
        <v>12015.48851415762</v>
      </c>
      <c r="T762" s="332">
        <v>0.9992254443548868</v>
      </c>
      <c r="U762" s="330">
        <v>0.96964752520307096</v>
      </c>
      <c r="V762" s="330">
        <v>0.97045195801633999</v>
      </c>
      <c r="W762" s="330">
        <v>0.98551242718754417</v>
      </c>
      <c r="X762" s="330">
        <v>0.99956135040001926</v>
      </c>
      <c r="Y762" s="330">
        <v>0</v>
      </c>
      <c r="Z762" s="331">
        <v>0</v>
      </c>
      <c r="AA762" s="235"/>
      <c r="AB762" s="335">
        <v>118908.34742983106</v>
      </c>
      <c r="AC762" s="336">
        <v>5.3746854404458357</v>
      </c>
      <c r="AD762" s="337">
        <v>97923.238288114037</v>
      </c>
      <c r="AE762" s="336">
        <v>4.5167420576160717</v>
      </c>
      <c r="AF762" s="337">
        <v>20985.109141717025</v>
      </c>
      <c r="AG762" s="338">
        <v>0.85794338282976401</v>
      </c>
      <c r="AH762" s="235"/>
      <c r="AI762" s="208">
        <f t="shared" si="80"/>
        <v>4987042.8209937122</v>
      </c>
      <c r="AJ762" s="208">
        <f t="shared" si="81"/>
        <v>4192981.7164471541</v>
      </c>
      <c r="AK762" s="208">
        <f t="shared" si="82"/>
        <v>794061.10454655881</v>
      </c>
      <c r="AL762" s="235"/>
      <c r="AM762" s="52">
        <f t="shared" si="58"/>
        <v>1</v>
      </c>
      <c r="AN762" s="52">
        <f t="shared" si="59"/>
        <v>0</v>
      </c>
      <c r="AO762" s="52">
        <f t="shared" si="60"/>
        <v>1</v>
      </c>
      <c r="AP762" s="235"/>
      <c r="AQ762" s="28"/>
      <c r="AR762" s="28"/>
      <c r="AS762" s="28"/>
      <c r="AT762" s="28"/>
      <c r="AU762" s="235"/>
      <c r="AV762" s="360">
        <f t="shared" si="83"/>
        <v>4987042.8209937122</v>
      </c>
      <c r="AW762" s="235"/>
      <c r="AX762" s="355"/>
      <c r="AY762" s="344"/>
      <c r="AZ762" s="14">
        <f t="shared" si="85"/>
        <v>20985.109141717025</v>
      </c>
      <c r="BA762" s="14">
        <f t="shared" si="84"/>
        <v>0.85794338282976401</v>
      </c>
      <c r="BB762" s="14">
        <f t="shared" si="61"/>
        <v>24459.78319979765</v>
      </c>
      <c r="BC762" s="344"/>
      <c r="BD762" s="344"/>
      <c r="BE762" s="344"/>
      <c r="BF762" s="344"/>
      <c r="BG762" s="344"/>
      <c r="BH762" s="344"/>
      <c r="BI762" s="344"/>
      <c r="BJ762" s="344"/>
      <c r="BK762" s="344"/>
      <c r="BL762" s="344"/>
      <c r="BM762" s="344"/>
      <c r="BN762" s="344"/>
      <c r="BO762" s="344"/>
      <c r="BP762" s="344"/>
      <c r="BQ762" s="344"/>
      <c r="BR762" s="344"/>
      <c r="BS762" s="344"/>
      <c r="BT762" s="344"/>
      <c r="BU762" s="344"/>
      <c r="BV762" s="344"/>
      <c r="BW762" s="344"/>
      <c r="BX762" s="344"/>
      <c r="BY762" s="344"/>
      <c r="BZ762" s="344"/>
      <c r="CA762" s="344"/>
      <c r="CB762" s="28"/>
      <c r="CC762" s="28"/>
      <c r="CD762" s="28"/>
      <c r="CE762" s="28"/>
      <c r="CF762" s="28"/>
      <c r="CG762" s="28"/>
      <c r="CH762" s="28"/>
      <c r="CI762" s="28"/>
      <c r="CJ762" s="28"/>
      <c r="CK762" s="28"/>
      <c r="CL762" s="28"/>
      <c r="CM762" s="28"/>
      <c r="CN762" s="28"/>
      <c r="CO762" s="28"/>
      <c r="CP762" s="28"/>
      <c r="CQ762" s="28"/>
      <c r="CR762" s="28"/>
      <c r="CS762" s="28"/>
      <c r="CT762" s="28"/>
      <c r="CU762" s="28"/>
      <c r="CV762" s="28"/>
      <c r="CW762" s="28"/>
    </row>
    <row r="763" spans="1:101" ht="14.25" customHeight="1" x14ac:dyDescent="0.2">
      <c r="A763" s="328"/>
      <c r="B763" s="52">
        <v>0.14359980115685261</v>
      </c>
      <c r="C763" s="330">
        <v>0.4548564803619376</v>
      </c>
      <c r="D763" s="330">
        <v>4.3035669025178139E-3</v>
      </c>
      <c r="E763" s="330">
        <v>1.0389756493993138E-2</v>
      </c>
      <c r="F763" s="331">
        <v>0.79672575959254144</v>
      </c>
      <c r="G763" s="94">
        <v>0.35040552732126584</v>
      </c>
      <c r="H763" s="330">
        <v>0.45944779836493582</v>
      </c>
      <c r="I763" s="330">
        <v>4.7120164121189079E-3</v>
      </c>
      <c r="J763" s="330">
        <v>0.99762562784964059</v>
      </c>
      <c r="K763" s="330">
        <v>0.76510253478402357</v>
      </c>
      <c r="L763" s="332">
        <v>16095.714682707696</v>
      </c>
      <c r="M763" s="330">
        <v>0</v>
      </c>
      <c r="N763" s="330">
        <v>22868.452947920319</v>
      </c>
      <c r="O763" s="330">
        <v>1109.1090418420256</v>
      </c>
      <c r="P763" s="330">
        <v>47156.197272875041</v>
      </c>
      <c r="Q763" s="333">
        <v>104546.66328945869</v>
      </c>
      <c r="R763" s="330">
        <v>28632.289480106749</v>
      </c>
      <c r="S763" s="330">
        <v>5934.217242080751</v>
      </c>
      <c r="T763" s="332">
        <v>0.93291936276032106</v>
      </c>
      <c r="U763" s="330">
        <v>0.99997277152511843</v>
      </c>
      <c r="V763" s="330">
        <v>0.80146530283935413</v>
      </c>
      <c r="W763" s="330">
        <v>0.99986680503259096</v>
      </c>
      <c r="X763" s="330">
        <v>0.96607884524967513</v>
      </c>
      <c r="Y763" s="330">
        <v>0</v>
      </c>
      <c r="Z763" s="331">
        <v>0</v>
      </c>
      <c r="AA763" s="235"/>
      <c r="AB763" s="335">
        <v>68926.882631300265</v>
      </c>
      <c r="AC763" s="336">
        <v>5.0379202440398103</v>
      </c>
      <c r="AD763" s="337">
        <v>54008.828177228301</v>
      </c>
      <c r="AE763" s="336">
        <v>4.6877654247332856</v>
      </c>
      <c r="AF763" s="337">
        <v>14918.054454071964</v>
      </c>
      <c r="AG763" s="338">
        <v>0.3501548193065247</v>
      </c>
      <c r="AH763" s="235"/>
      <c r="AI763" s="208">
        <f t="shared" si="80"/>
        <v>4717097.3492065202</v>
      </c>
      <c r="AJ763" s="208">
        <f t="shared" si="81"/>
        <v>4399368.3253193926</v>
      </c>
      <c r="AK763" s="208">
        <f t="shared" si="82"/>
        <v>317729.02388712647</v>
      </c>
      <c r="AL763" s="235"/>
      <c r="AM763" s="52">
        <f t="shared" si="58"/>
        <v>1</v>
      </c>
      <c r="AN763" s="52">
        <f t="shared" si="59"/>
        <v>0</v>
      </c>
      <c r="AO763" s="52">
        <f t="shared" si="60"/>
        <v>1</v>
      </c>
      <c r="AP763" s="235"/>
      <c r="AQ763" s="28"/>
      <c r="AR763" s="28"/>
      <c r="AS763" s="28"/>
      <c r="AT763" s="28"/>
      <c r="AU763" s="235"/>
      <c r="AV763" s="360">
        <f t="shared" si="83"/>
        <v>4717097.3492065202</v>
      </c>
      <c r="AW763" s="235"/>
      <c r="AX763" s="355"/>
      <c r="AY763" s="344"/>
      <c r="AZ763" s="14">
        <f t="shared" si="85"/>
        <v>14918.054454071964</v>
      </c>
      <c r="BA763" s="14">
        <f t="shared" si="84"/>
        <v>0.3501548193065247</v>
      </c>
      <c r="BB763" s="14">
        <f t="shared" si="61"/>
        <v>42604.167161305682</v>
      </c>
      <c r="BC763" s="344"/>
      <c r="BD763" s="344"/>
      <c r="BE763" s="344"/>
      <c r="BF763" s="344"/>
      <c r="BG763" s="344"/>
      <c r="BH763" s="344"/>
      <c r="BI763" s="344"/>
      <c r="BJ763" s="344"/>
      <c r="BK763" s="344"/>
      <c r="BL763" s="344"/>
      <c r="BM763" s="344"/>
      <c r="BN763" s="344"/>
      <c r="BO763" s="344"/>
      <c r="BP763" s="344"/>
      <c r="BQ763" s="344"/>
      <c r="BR763" s="344"/>
      <c r="BS763" s="344"/>
      <c r="BT763" s="344"/>
      <c r="BU763" s="344"/>
      <c r="BV763" s="344"/>
      <c r="BW763" s="344"/>
      <c r="BX763" s="344"/>
      <c r="BY763" s="344"/>
      <c r="BZ763" s="344"/>
      <c r="CA763" s="344"/>
      <c r="CB763" s="28"/>
      <c r="CC763" s="28"/>
      <c r="CD763" s="28"/>
      <c r="CE763" s="28"/>
      <c r="CF763" s="28"/>
      <c r="CG763" s="28"/>
      <c r="CH763" s="28"/>
      <c r="CI763" s="28"/>
      <c r="CJ763" s="28"/>
      <c r="CK763" s="28"/>
      <c r="CL763" s="28"/>
      <c r="CM763" s="28"/>
      <c r="CN763" s="28"/>
      <c r="CO763" s="28"/>
      <c r="CP763" s="28"/>
      <c r="CQ763" s="28"/>
      <c r="CR763" s="28"/>
      <c r="CS763" s="28"/>
      <c r="CT763" s="28"/>
      <c r="CU763" s="28"/>
      <c r="CV763" s="28"/>
      <c r="CW763" s="28"/>
    </row>
    <row r="764" spans="1:101" ht="14.25" customHeight="1" x14ac:dyDescent="0.2">
      <c r="A764" s="328"/>
      <c r="B764" s="52">
        <v>0.12912299156880674</v>
      </c>
      <c r="C764" s="330">
        <v>0.17964936550522573</v>
      </c>
      <c r="D764" s="330">
        <v>2.031383853621227E-2</v>
      </c>
      <c r="E764" s="330">
        <v>1.2638880841669413E-2</v>
      </c>
      <c r="F764" s="331">
        <v>0.77338387956166676</v>
      </c>
      <c r="G764" s="94">
        <v>0.36271272741548771</v>
      </c>
      <c r="H764" s="330">
        <v>0.7707553949635596</v>
      </c>
      <c r="I764" s="330">
        <v>1.6369500012294091E-2</v>
      </c>
      <c r="J764" s="330">
        <v>0.99999999999757305</v>
      </c>
      <c r="K764" s="330">
        <v>0.75110743786609457</v>
      </c>
      <c r="L764" s="332">
        <v>11025.024343877027</v>
      </c>
      <c r="M764" s="330">
        <v>0</v>
      </c>
      <c r="N764" s="330">
        <v>19942.518768727212</v>
      </c>
      <c r="O764" s="330">
        <v>1441.1980962022421</v>
      </c>
      <c r="P764" s="330">
        <v>47753.3038808481</v>
      </c>
      <c r="Q764" s="333">
        <v>114920.4832999599</v>
      </c>
      <c r="R764" s="330">
        <v>21335.082028400648</v>
      </c>
      <c r="S764" s="330">
        <v>13386.682459825503</v>
      </c>
      <c r="T764" s="332">
        <v>0.5247927356630866</v>
      </c>
      <c r="U764" s="330">
        <v>0.3144624556037523</v>
      </c>
      <c r="V764" s="330">
        <v>0.99885984010464002</v>
      </c>
      <c r="W764" s="330">
        <v>0.99947845524124168</v>
      </c>
      <c r="X764" s="330">
        <v>0.78230521627677763</v>
      </c>
      <c r="Y764" s="330">
        <v>0</v>
      </c>
      <c r="Z764" s="331">
        <v>0</v>
      </c>
      <c r="AA764" s="235"/>
      <c r="AB764" s="335">
        <v>123110.61590810188</v>
      </c>
      <c r="AC764" s="336">
        <v>3.7286625871525967</v>
      </c>
      <c r="AD764" s="337">
        <v>115397.40687684377</v>
      </c>
      <c r="AE764" s="336">
        <v>3.6435711920131912</v>
      </c>
      <c r="AF764" s="337">
        <v>7713.2090312581131</v>
      </c>
      <c r="AG764" s="338">
        <v>8.5091395139405446E-2</v>
      </c>
      <c r="AH764" s="235"/>
      <c r="AI764" s="208">
        <f t="shared" si="80"/>
        <v>3419118.841886865</v>
      </c>
      <c r="AJ764" s="208">
        <f t="shared" si="81"/>
        <v>3345995.225535688</v>
      </c>
      <c r="AK764" s="208">
        <f t="shared" si="82"/>
        <v>73123.616351177057</v>
      </c>
      <c r="AL764" s="235"/>
      <c r="AM764" s="52">
        <f t="shared" si="58"/>
        <v>1</v>
      </c>
      <c r="AN764" s="52">
        <f t="shared" si="59"/>
        <v>0</v>
      </c>
      <c r="AO764" s="52">
        <f t="shared" si="60"/>
        <v>1</v>
      </c>
      <c r="AP764" s="235"/>
      <c r="AQ764" s="28"/>
      <c r="AR764" s="28"/>
      <c r="AS764" s="28"/>
      <c r="AT764" s="28"/>
      <c r="AU764" s="235"/>
      <c r="AV764" s="360">
        <f t="shared" si="83"/>
        <v>3419118.841886865</v>
      </c>
      <c r="AW764" s="235"/>
      <c r="AX764" s="355"/>
      <c r="AY764" s="344"/>
      <c r="AZ764" s="14">
        <f t="shared" si="85"/>
        <v>7713.2090312581131</v>
      </c>
      <c r="BA764" s="14">
        <f t="shared" si="84"/>
        <v>8.5091395139405446E-2</v>
      </c>
      <c r="BB764" s="14">
        <f t="shared" si="61"/>
        <v>90646.169552415304</v>
      </c>
      <c r="BC764" s="344"/>
      <c r="BD764" s="344"/>
      <c r="BE764" s="344"/>
      <c r="BF764" s="344"/>
      <c r="BG764" s="344"/>
      <c r="BH764" s="344"/>
      <c r="BI764" s="344"/>
      <c r="BJ764" s="344"/>
      <c r="BK764" s="344"/>
      <c r="BL764" s="344"/>
      <c r="BM764" s="344"/>
      <c r="BN764" s="344"/>
      <c r="BO764" s="344"/>
      <c r="BP764" s="344"/>
      <c r="BQ764" s="344"/>
      <c r="BR764" s="344"/>
      <c r="BS764" s="344"/>
      <c r="BT764" s="344"/>
      <c r="BU764" s="344"/>
      <c r="BV764" s="344"/>
      <c r="BW764" s="344"/>
      <c r="BX764" s="344"/>
      <c r="BY764" s="344"/>
      <c r="BZ764" s="344"/>
      <c r="CA764" s="344"/>
      <c r="CB764" s="28"/>
      <c r="CC764" s="28"/>
      <c r="CD764" s="28"/>
      <c r="CE764" s="28"/>
      <c r="CF764" s="28"/>
      <c r="CG764" s="28"/>
      <c r="CH764" s="28"/>
      <c r="CI764" s="28"/>
      <c r="CJ764" s="28"/>
      <c r="CK764" s="28"/>
      <c r="CL764" s="28"/>
      <c r="CM764" s="28"/>
      <c r="CN764" s="28"/>
      <c r="CO764" s="28"/>
      <c r="CP764" s="28"/>
      <c r="CQ764" s="28"/>
      <c r="CR764" s="28"/>
      <c r="CS764" s="28"/>
      <c r="CT764" s="28"/>
      <c r="CU764" s="28"/>
      <c r="CV764" s="28"/>
      <c r="CW764" s="28"/>
    </row>
    <row r="765" spans="1:101" ht="14.25" customHeight="1" x14ac:dyDescent="0.2">
      <c r="A765" s="328"/>
      <c r="B765" s="52">
        <v>0.19331200248234737</v>
      </c>
      <c r="C765" s="330">
        <v>7.522235712747237E-2</v>
      </c>
      <c r="D765" s="330">
        <v>9.3705177643539656E-3</v>
      </c>
      <c r="E765" s="330">
        <v>1.1408846682196511E-2</v>
      </c>
      <c r="F765" s="331">
        <v>0.8095112819120599</v>
      </c>
      <c r="G765" s="94">
        <v>0.44019327332858016</v>
      </c>
      <c r="H765" s="330">
        <v>0.10884827241033626</v>
      </c>
      <c r="I765" s="330">
        <v>5.1956581883988107E-2</v>
      </c>
      <c r="J765" s="330">
        <v>0.99980157516525525</v>
      </c>
      <c r="K765" s="330">
        <v>0.77658209585962823</v>
      </c>
      <c r="L765" s="332">
        <v>13811.224925147957</v>
      </c>
      <c r="M765" s="330">
        <v>0</v>
      </c>
      <c r="N765" s="330">
        <v>17154.218343300603</v>
      </c>
      <c r="O765" s="330">
        <v>979.69526530117378</v>
      </c>
      <c r="P765" s="330">
        <v>44305.584621683753</v>
      </c>
      <c r="Q765" s="333">
        <v>97731.012171584109</v>
      </c>
      <c r="R765" s="330">
        <v>20880.988109655249</v>
      </c>
      <c r="S765" s="330">
        <v>7176.5047242213113</v>
      </c>
      <c r="T765" s="332">
        <v>0.92518877501163677</v>
      </c>
      <c r="U765" s="330">
        <v>0.9800431565854103</v>
      </c>
      <c r="V765" s="330">
        <v>0.99071148207184823</v>
      </c>
      <c r="W765" s="330">
        <v>0.97529573727630769</v>
      </c>
      <c r="X765" s="330">
        <v>0.51723285398472052</v>
      </c>
      <c r="Y765" s="330">
        <v>0</v>
      </c>
      <c r="Z765" s="331">
        <v>0</v>
      </c>
      <c r="AA765" s="235"/>
      <c r="AB765" s="335">
        <v>76825.228988471456</v>
      </c>
      <c r="AC765" s="336">
        <v>2.7203420146725499</v>
      </c>
      <c r="AD765" s="337">
        <v>64862.967161467532</v>
      </c>
      <c r="AE765" s="336">
        <v>2.5262421500019645</v>
      </c>
      <c r="AF765" s="337">
        <v>11962.261827003924</v>
      </c>
      <c r="AG765" s="338">
        <v>0.19409986467058538</v>
      </c>
      <c r="AH765" s="235"/>
      <c r="AI765" s="208">
        <f t="shared" si="80"/>
        <v>2507499.6849504509</v>
      </c>
      <c r="AJ765" s="208">
        <f t="shared" si="81"/>
        <v>2335067.0753403986</v>
      </c>
      <c r="AK765" s="208">
        <f t="shared" si="82"/>
        <v>172432.6096100522</v>
      </c>
      <c r="AL765" s="235"/>
      <c r="AM765" s="52">
        <f t="shared" si="58"/>
        <v>1</v>
      </c>
      <c r="AN765" s="52">
        <f t="shared" si="59"/>
        <v>0</v>
      </c>
      <c r="AO765" s="52">
        <f t="shared" si="60"/>
        <v>1</v>
      </c>
      <c r="AP765" s="235"/>
      <c r="AQ765" s="28"/>
      <c r="AR765" s="28"/>
      <c r="AS765" s="28"/>
      <c r="AT765" s="28"/>
      <c r="AU765" s="235"/>
      <c r="AV765" s="360">
        <f t="shared" si="83"/>
        <v>2507499.6849504509</v>
      </c>
      <c r="AW765" s="235"/>
      <c r="AX765" s="355"/>
      <c r="AY765" s="344"/>
      <c r="AZ765" s="14">
        <f t="shared" si="85"/>
        <v>11962.261827003924</v>
      </c>
      <c r="BA765" s="14">
        <f t="shared" si="84"/>
        <v>0.19409986467058538</v>
      </c>
      <c r="BB765" s="14">
        <f t="shared" si="61"/>
        <v>61629.418687671707</v>
      </c>
      <c r="BC765" s="344"/>
      <c r="BD765" s="344"/>
      <c r="BE765" s="344"/>
      <c r="BF765" s="344"/>
      <c r="BG765" s="344"/>
      <c r="BH765" s="344"/>
      <c r="BI765" s="344"/>
      <c r="BJ765" s="344"/>
      <c r="BK765" s="344"/>
      <c r="BL765" s="344"/>
      <c r="BM765" s="344"/>
      <c r="BN765" s="344"/>
      <c r="BO765" s="344"/>
      <c r="BP765" s="344"/>
      <c r="BQ765" s="344"/>
      <c r="BR765" s="344"/>
      <c r="BS765" s="344"/>
      <c r="BT765" s="344"/>
      <c r="BU765" s="344"/>
      <c r="BV765" s="344"/>
      <c r="BW765" s="344"/>
      <c r="BX765" s="344"/>
      <c r="BY765" s="344"/>
      <c r="BZ765" s="344"/>
      <c r="CA765" s="344"/>
      <c r="CB765" s="28"/>
      <c r="CC765" s="28"/>
      <c r="CD765" s="28"/>
      <c r="CE765" s="28"/>
      <c r="CF765" s="28"/>
      <c r="CG765" s="28"/>
      <c r="CH765" s="28"/>
      <c r="CI765" s="28"/>
      <c r="CJ765" s="28"/>
      <c r="CK765" s="28"/>
      <c r="CL765" s="28"/>
      <c r="CM765" s="28"/>
      <c r="CN765" s="28"/>
      <c r="CO765" s="28"/>
      <c r="CP765" s="28"/>
      <c r="CQ765" s="28"/>
      <c r="CR765" s="28"/>
      <c r="CS765" s="28"/>
      <c r="CT765" s="28"/>
      <c r="CU765" s="28"/>
      <c r="CV765" s="28"/>
      <c r="CW765" s="28"/>
    </row>
    <row r="766" spans="1:101" ht="14.25" customHeight="1" x14ac:dyDescent="0.2">
      <c r="A766" s="328"/>
      <c r="B766" s="52">
        <v>0.15592205809015669</v>
      </c>
      <c r="C766" s="330">
        <v>0.20297607053284505</v>
      </c>
      <c r="D766" s="330">
        <v>2.6659495986874449E-2</v>
      </c>
      <c r="E766" s="330">
        <v>2.2642595215536687E-2</v>
      </c>
      <c r="F766" s="331">
        <v>0.81450503105100491</v>
      </c>
      <c r="G766" s="94">
        <v>0.42391556155726018</v>
      </c>
      <c r="H766" s="330">
        <v>6.2690305416322825E-2</v>
      </c>
      <c r="I766" s="330">
        <v>7.4738301398761435E-3</v>
      </c>
      <c r="J766" s="330">
        <v>0.99999538035276325</v>
      </c>
      <c r="K766" s="330">
        <v>0.77443178296380266</v>
      </c>
      <c r="L766" s="332">
        <v>14385.779260526435</v>
      </c>
      <c r="M766" s="330">
        <v>0</v>
      </c>
      <c r="N766" s="330">
        <v>19400.040434768434</v>
      </c>
      <c r="O766" s="330">
        <v>1243.6623429026581</v>
      </c>
      <c r="P766" s="330">
        <v>43786.675382510337</v>
      </c>
      <c r="Q766" s="333">
        <v>85241.876849325577</v>
      </c>
      <c r="R766" s="330">
        <v>18873.067717263075</v>
      </c>
      <c r="S766" s="330">
        <v>11044.732885685593</v>
      </c>
      <c r="T766" s="332">
        <v>0.90309320004121141</v>
      </c>
      <c r="U766" s="330">
        <v>0.77807624164291256</v>
      </c>
      <c r="V766" s="330">
        <v>0.80558156721943319</v>
      </c>
      <c r="W766" s="330">
        <v>0.99985466877335072</v>
      </c>
      <c r="X766" s="330">
        <v>0.58163572223905979</v>
      </c>
      <c r="Y766" s="330">
        <v>0</v>
      </c>
      <c r="Z766" s="331">
        <v>0</v>
      </c>
      <c r="AA766" s="235"/>
      <c r="AB766" s="335">
        <v>112075.33245461345</v>
      </c>
      <c r="AC766" s="336">
        <v>3.2746476483460101</v>
      </c>
      <c r="AD766" s="337">
        <v>93295.846489161137</v>
      </c>
      <c r="AE766" s="336">
        <v>3.0080918192886985</v>
      </c>
      <c r="AF766" s="337">
        <v>18779.485965452317</v>
      </c>
      <c r="AG766" s="338">
        <v>0.26655582905731157</v>
      </c>
      <c r="AH766" s="235"/>
      <c r="AI766" s="208">
        <f t="shared" si="80"/>
        <v>2998839.933474096</v>
      </c>
      <c r="AJ766" s="208">
        <f t="shared" si="81"/>
        <v>2764391.3818351021</v>
      </c>
      <c r="AK766" s="208">
        <f t="shared" si="82"/>
        <v>234448.55163899367</v>
      </c>
      <c r="AL766" s="235"/>
      <c r="AM766" s="52">
        <f t="shared" si="58"/>
        <v>1</v>
      </c>
      <c r="AN766" s="52">
        <f t="shared" si="59"/>
        <v>0</v>
      </c>
      <c r="AO766" s="52">
        <f t="shared" si="60"/>
        <v>1</v>
      </c>
      <c r="AP766" s="235"/>
      <c r="AQ766" s="28"/>
      <c r="AR766" s="28"/>
      <c r="AS766" s="28"/>
      <c r="AT766" s="28"/>
      <c r="AU766" s="235"/>
      <c r="AV766" s="360">
        <f t="shared" si="83"/>
        <v>2998839.933474096</v>
      </c>
      <c r="AW766" s="235"/>
      <c r="AX766" s="355"/>
      <c r="AY766" s="344"/>
      <c r="AZ766" s="14">
        <f t="shared" si="85"/>
        <v>18779.485965452317</v>
      </c>
      <c r="BA766" s="14">
        <f t="shared" si="84"/>
        <v>0.26655582905731157</v>
      </c>
      <c r="BB766" s="14">
        <f t="shared" si="61"/>
        <v>70452.35526031052</v>
      </c>
      <c r="BC766" s="344"/>
      <c r="BD766" s="344"/>
      <c r="BE766" s="344"/>
      <c r="BF766" s="344"/>
      <c r="BG766" s="344"/>
      <c r="BH766" s="344"/>
      <c r="BI766" s="344"/>
      <c r="BJ766" s="344"/>
      <c r="BK766" s="344"/>
      <c r="BL766" s="344"/>
      <c r="BM766" s="344"/>
      <c r="BN766" s="344"/>
      <c r="BO766" s="344"/>
      <c r="BP766" s="344"/>
      <c r="BQ766" s="344"/>
      <c r="BR766" s="344"/>
      <c r="BS766" s="344"/>
      <c r="BT766" s="344"/>
      <c r="BU766" s="344"/>
      <c r="BV766" s="344"/>
      <c r="BW766" s="344"/>
      <c r="BX766" s="344"/>
      <c r="BY766" s="344"/>
      <c r="BZ766" s="344"/>
      <c r="CA766" s="344"/>
      <c r="CB766" s="28"/>
      <c r="CC766" s="28"/>
      <c r="CD766" s="28"/>
      <c r="CE766" s="28"/>
      <c r="CF766" s="28"/>
      <c r="CG766" s="28"/>
      <c r="CH766" s="28"/>
      <c r="CI766" s="28"/>
      <c r="CJ766" s="28"/>
      <c r="CK766" s="28"/>
      <c r="CL766" s="28"/>
      <c r="CM766" s="28"/>
      <c r="CN766" s="28"/>
      <c r="CO766" s="28"/>
      <c r="CP766" s="28"/>
      <c r="CQ766" s="28"/>
      <c r="CR766" s="28"/>
      <c r="CS766" s="28"/>
      <c r="CT766" s="28"/>
      <c r="CU766" s="28"/>
      <c r="CV766" s="28"/>
      <c r="CW766" s="28"/>
    </row>
    <row r="767" spans="1:101" ht="14.25" customHeight="1" x14ac:dyDescent="0.2">
      <c r="A767" s="328"/>
      <c r="B767" s="52">
        <v>0.14808103832141536</v>
      </c>
      <c r="C767" s="330">
        <v>0.35544006386139082</v>
      </c>
      <c r="D767" s="330">
        <v>1.1512340578525437E-2</v>
      </c>
      <c r="E767" s="330">
        <v>1.0001027501214614E-2</v>
      </c>
      <c r="F767" s="331">
        <v>0.79794466928913033</v>
      </c>
      <c r="G767" s="94">
        <v>0.36524200430519754</v>
      </c>
      <c r="H767" s="330">
        <v>0.92185398425757148</v>
      </c>
      <c r="I767" s="330">
        <v>7.5656396975159702E-3</v>
      </c>
      <c r="J767" s="330">
        <v>1</v>
      </c>
      <c r="K767" s="330">
        <v>0.76715137126796473</v>
      </c>
      <c r="L767" s="332">
        <v>8991.8834049482703</v>
      </c>
      <c r="M767" s="330">
        <v>0</v>
      </c>
      <c r="N767" s="330">
        <v>16683.556731320688</v>
      </c>
      <c r="O767" s="330">
        <v>1331.2051197914711</v>
      </c>
      <c r="P767" s="330">
        <v>35061.767657356766</v>
      </c>
      <c r="Q767" s="333">
        <v>92907.839973712456</v>
      </c>
      <c r="R767" s="330">
        <v>20114.748778664751</v>
      </c>
      <c r="S767" s="330">
        <v>7486.1734981473292</v>
      </c>
      <c r="T767" s="332">
        <v>0.99883923218312942</v>
      </c>
      <c r="U767" s="330">
        <v>0.99878870926147845</v>
      </c>
      <c r="V767" s="330">
        <v>0.93646424400184336</v>
      </c>
      <c r="W767" s="330">
        <v>0.91787308994251759</v>
      </c>
      <c r="X767" s="330">
        <v>0.89998037304112155</v>
      </c>
      <c r="Y767" s="330">
        <v>0</v>
      </c>
      <c r="Z767" s="331">
        <v>0</v>
      </c>
      <c r="AA767" s="235"/>
      <c r="AB767" s="335">
        <v>74510.566297527082</v>
      </c>
      <c r="AC767" s="336">
        <v>4.8968663891248276</v>
      </c>
      <c r="AD767" s="337">
        <v>69256.844015412178</v>
      </c>
      <c r="AE767" s="336">
        <v>4.3419505619929746</v>
      </c>
      <c r="AF767" s="337">
        <v>5253.7222821149044</v>
      </c>
      <c r="AG767" s="338">
        <v>0.55491582713185306</v>
      </c>
      <c r="AH767" s="235"/>
      <c r="AI767" s="208">
        <f t="shared" si="80"/>
        <v>4577512.503371059</v>
      </c>
      <c r="AJ767" s="208">
        <f t="shared" si="81"/>
        <v>4055596.1898779138</v>
      </c>
      <c r="AK767" s="208">
        <f t="shared" si="82"/>
        <v>521916.31349314551</v>
      </c>
      <c r="AL767" s="235"/>
      <c r="AM767" s="52">
        <f t="shared" si="58"/>
        <v>1</v>
      </c>
      <c r="AN767" s="52">
        <f t="shared" si="59"/>
        <v>0</v>
      </c>
      <c r="AO767" s="52">
        <f t="shared" si="60"/>
        <v>1</v>
      </c>
      <c r="AP767" s="235"/>
      <c r="AQ767" s="28"/>
      <c r="AR767" s="28"/>
      <c r="AS767" s="28"/>
      <c r="AT767" s="28"/>
      <c r="AU767" s="235"/>
      <c r="AV767" s="360">
        <f t="shared" si="83"/>
        <v>4577512.503371059</v>
      </c>
      <c r="AW767" s="235"/>
      <c r="AX767" s="355"/>
      <c r="AY767" s="344"/>
      <c r="AZ767" s="14">
        <f t="shared" si="85"/>
        <v>5253.7222821149044</v>
      </c>
      <c r="BA767" s="14">
        <f t="shared" si="84"/>
        <v>0.55491582713185306</v>
      </c>
      <c r="BB767" s="14">
        <f t="shared" si="61"/>
        <v>9467.6021573747112</v>
      </c>
      <c r="BC767" s="344"/>
      <c r="BD767" s="344"/>
      <c r="BE767" s="344"/>
      <c r="BF767" s="344"/>
      <c r="BG767" s="344"/>
      <c r="BH767" s="344"/>
      <c r="BI767" s="344"/>
      <c r="BJ767" s="344"/>
      <c r="BK767" s="344"/>
      <c r="BL767" s="344"/>
      <c r="BM767" s="344"/>
      <c r="BN767" s="344"/>
      <c r="BO767" s="344"/>
      <c r="BP767" s="344"/>
      <c r="BQ767" s="344"/>
      <c r="BR767" s="344"/>
      <c r="BS767" s="344"/>
      <c r="BT767" s="344"/>
      <c r="BU767" s="344"/>
      <c r="BV767" s="344"/>
      <c r="BW767" s="344"/>
      <c r="BX767" s="344"/>
      <c r="BY767" s="344"/>
      <c r="BZ767" s="344"/>
      <c r="CA767" s="344"/>
      <c r="CB767" s="28"/>
      <c r="CC767" s="28"/>
      <c r="CD767" s="28"/>
      <c r="CE767" s="28"/>
      <c r="CF767" s="28"/>
      <c r="CG767" s="28"/>
      <c r="CH767" s="28"/>
      <c r="CI767" s="28"/>
      <c r="CJ767" s="28"/>
      <c r="CK767" s="28"/>
      <c r="CL767" s="28"/>
      <c r="CM767" s="28"/>
      <c r="CN767" s="28"/>
      <c r="CO767" s="28"/>
      <c r="CP767" s="28"/>
      <c r="CQ767" s="28"/>
      <c r="CR767" s="28"/>
      <c r="CS767" s="28"/>
      <c r="CT767" s="28"/>
      <c r="CU767" s="28"/>
      <c r="CV767" s="28"/>
      <c r="CW767" s="28"/>
    </row>
    <row r="768" spans="1:101" ht="14.25" customHeight="1" x14ac:dyDescent="0.2">
      <c r="A768" s="328"/>
      <c r="B768" s="52">
        <v>0.12864041583269217</v>
      </c>
      <c r="C768" s="330">
        <v>0.43330770261178042</v>
      </c>
      <c r="D768" s="330">
        <v>1.5320340259614373E-2</v>
      </c>
      <c r="E768" s="330">
        <v>9.057374822440855E-3</v>
      </c>
      <c r="F768" s="331">
        <v>0.77393860962931693</v>
      </c>
      <c r="G768" s="94">
        <v>0.45209325023436375</v>
      </c>
      <c r="H768" s="330">
        <v>7.9930235223361457E-2</v>
      </c>
      <c r="I768" s="330">
        <v>1.7652958388513773E-2</v>
      </c>
      <c r="J768" s="330">
        <v>0.99903726461919895</v>
      </c>
      <c r="K768" s="330">
        <v>0.73837050550234418</v>
      </c>
      <c r="L768" s="332">
        <v>14218.420482786309</v>
      </c>
      <c r="M768" s="330">
        <v>0</v>
      </c>
      <c r="N768" s="330">
        <v>17222.309206128757</v>
      </c>
      <c r="O768" s="330">
        <v>1185.27418332141</v>
      </c>
      <c r="P768" s="330">
        <v>51669.145418976776</v>
      </c>
      <c r="Q768" s="333">
        <v>73069.304706699681</v>
      </c>
      <c r="R768" s="330">
        <v>20602.189520146319</v>
      </c>
      <c r="S768" s="330">
        <v>12604.469475322074</v>
      </c>
      <c r="T768" s="332">
        <v>0.97846691142610553</v>
      </c>
      <c r="U768" s="330">
        <v>0.76089161936797489</v>
      </c>
      <c r="V768" s="330">
        <v>0.84253681715789119</v>
      </c>
      <c r="W768" s="330">
        <v>0.94101155350446164</v>
      </c>
      <c r="X768" s="330">
        <v>0.9884397208437854</v>
      </c>
      <c r="Y768" s="330">
        <v>0</v>
      </c>
      <c r="Z768" s="331">
        <v>0</v>
      </c>
      <c r="AA768" s="235"/>
      <c r="AB768" s="335">
        <v>120348.59415991596</v>
      </c>
      <c r="AC768" s="336">
        <v>4.8635915124851756</v>
      </c>
      <c r="AD768" s="337">
        <v>102343.95032171434</v>
      </c>
      <c r="AE768" s="336">
        <v>4.53081567584033</v>
      </c>
      <c r="AF768" s="337">
        <v>18004.64383820162</v>
      </c>
      <c r="AG768" s="338">
        <v>0.33277583664484567</v>
      </c>
      <c r="AH768" s="235"/>
      <c r="AI768" s="208">
        <f t="shared" si="80"/>
        <v>4500063.3427010011</v>
      </c>
      <c r="AJ768" s="208">
        <f t="shared" si="81"/>
        <v>4201930.9417265989</v>
      </c>
      <c r="AK768" s="208">
        <f t="shared" si="82"/>
        <v>298132.40097440174</v>
      </c>
      <c r="AL768" s="235"/>
      <c r="AM768" s="52">
        <f t="shared" si="58"/>
        <v>1</v>
      </c>
      <c r="AN768" s="52">
        <f t="shared" si="59"/>
        <v>0</v>
      </c>
      <c r="AO768" s="52">
        <f t="shared" si="60"/>
        <v>1</v>
      </c>
      <c r="AP768" s="235"/>
      <c r="AQ768" s="28"/>
      <c r="AR768" s="28"/>
      <c r="AS768" s="28"/>
      <c r="AT768" s="28"/>
      <c r="AU768" s="235"/>
      <c r="AV768" s="360">
        <f t="shared" si="83"/>
        <v>4500063.3427010011</v>
      </c>
      <c r="AW768" s="235"/>
      <c r="AX768" s="355"/>
      <c r="AY768" s="344"/>
      <c r="AZ768" s="14">
        <f t="shared" si="85"/>
        <v>18004.64383820162</v>
      </c>
      <c r="BA768" s="14">
        <f t="shared" si="84"/>
        <v>0.33277583664484567</v>
      </c>
      <c r="BB768" s="14">
        <f t="shared" si="61"/>
        <v>54104.420620590427</v>
      </c>
      <c r="BC768" s="344"/>
      <c r="BD768" s="344"/>
      <c r="BE768" s="344"/>
      <c r="BF768" s="344"/>
      <c r="BG768" s="344"/>
      <c r="BH768" s="344"/>
      <c r="BI768" s="344"/>
      <c r="BJ768" s="344"/>
      <c r="BK768" s="344"/>
      <c r="BL768" s="344"/>
      <c r="BM768" s="344"/>
      <c r="BN768" s="344"/>
      <c r="BO768" s="344"/>
      <c r="BP768" s="344"/>
      <c r="BQ768" s="344"/>
      <c r="BR768" s="344"/>
      <c r="BS768" s="344"/>
      <c r="BT768" s="344"/>
      <c r="BU768" s="344"/>
      <c r="BV768" s="344"/>
      <c r="BW768" s="344"/>
      <c r="BX768" s="344"/>
      <c r="BY768" s="344"/>
      <c r="BZ768" s="344"/>
      <c r="CA768" s="344"/>
      <c r="CB768" s="28"/>
      <c r="CC768" s="28"/>
      <c r="CD768" s="28"/>
      <c r="CE768" s="28"/>
      <c r="CF768" s="28"/>
      <c r="CG768" s="28"/>
      <c r="CH768" s="28"/>
      <c r="CI768" s="28"/>
      <c r="CJ768" s="28"/>
      <c r="CK768" s="28"/>
      <c r="CL768" s="28"/>
      <c r="CM768" s="28"/>
      <c r="CN768" s="28"/>
      <c r="CO768" s="28"/>
      <c r="CP768" s="28"/>
      <c r="CQ768" s="28"/>
      <c r="CR768" s="28"/>
      <c r="CS768" s="28"/>
      <c r="CT768" s="28"/>
      <c r="CU768" s="28"/>
      <c r="CV768" s="28"/>
      <c r="CW768" s="28"/>
    </row>
    <row r="769" spans="1:101" ht="14.25" customHeight="1" x14ac:dyDescent="0.2">
      <c r="A769" s="328"/>
      <c r="B769" s="52">
        <v>0.15194367577673853</v>
      </c>
      <c r="C769" s="330">
        <v>0.59266179888737724</v>
      </c>
      <c r="D769" s="330">
        <v>1.3792147351553836E-2</v>
      </c>
      <c r="E769" s="330">
        <v>1.7609006591585485E-2</v>
      </c>
      <c r="F769" s="331">
        <v>0.77129320735884277</v>
      </c>
      <c r="G769" s="94">
        <v>0.44818298190032813</v>
      </c>
      <c r="H769" s="330">
        <v>0.69538256126965625</v>
      </c>
      <c r="I769" s="330">
        <v>2.3966526085590245E-2</v>
      </c>
      <c r="J769" s="330">
        <v>0.99999998766604392</v>
      </c>
      <c r="K769" s="330">
        <v>0.78892632130162443</v>
      </c>
      <c r="L769" s="332">
        <v>11721.857517310078</v>
      </c>
      <c r="M769" s="330">
        <v>0</v>
      </c>
      <c r="N769" s="330">
        <v>18287.13763944311</v>
      </c>
      <c r="O769" s="330">
        <v>971.54514008435535</v>
      </c>
      <c r="P769" s="330">
        <v>49792.47516026708</v>
      </c>
      <c r="Q769" s="333">
        <v>69141.126101679198</v>
      </c>
      <c r="R769" s="330">
        <v>23009.877128444023</v>
      </c>
      <c r="S769" s="330">
        <v>8361.8363177117371</v>
      </c>
      <c r="T769" s="332">
        <v>0.74130794231512653</v>
      </c>
      <c r="U769" s="330">
        <v>0.62980373143649537</v>
      </c>
      <c r="V769" s="330">
        <v>0.20027438052564789</v>
      </c>
      <c r="W769" s="330">
        <v>0.43179093980373678</v>
      </c>
      <c r="X769" s="330">
        <v>0.82087097511422924</v>
      </c>
      <c r="Y769" s="330">
        <v>0</v>
      </c>
      <c r="Z769" s="331">
        <v>0</v>
      </c>
      <c r="AA769" s="235"/>
      <c r="AB769" s="335">
        <v>83299.250094586605</v>
      </c>
      <c r="AC769" s="336">
        <v>3.8769417435956979</v>
      </c>
      <c r="AD769" s="337">
        <v>79847.777184826278</v>
      </c>
      <c r="AE769" s="336">
        <v>4.0910519694097793</v>
      </c>
      <c r="AF769" s="337">
        <v>3451.4729097603267</v>
      </c>
      <c r="AG769" s="338">
        <v>-0.21411022581408146</v>
      </c>
      <c r="AH769" s="235"/>
      <c r="AI769" s="208">
        <f t="shared" si="80"/>
        <v>3599795.4063213263</v>
      </c>
      <c r="AJ769" s="208">
        <f t="shared" si="81"/>
        <v>3806651.5937544638</v>
      </c>
      <c r="AK769" s="208">
        <f t="shared" si="82"/>
        <v>-206856.18743313773</v>
      </c>
      <c r="AL769" s="235"/>
      <c r="AM769" s="52">
        <f t="shared" si="58"/>
        <v>0</v>
      </c>
      <c r="AN769" s="52">
        <f t="shared" si="59"/>
        <v>1</v>
      </c>
      <c r="AO769" s="52">
        <f t="shared" si="60"/>
        <v>0</v>
      </c>
      <c r="AP769" s="235"/>
      <c r="AQ769" s="28"/>
      <c r="AR769" s="28"/>
      <c r="AS769" s="28"/>
      <c r="AT769" s="28"/>
      <c r="AU769" s="235"/>
      <c r="AV769" s="360">
        <f t="shared" si="83"/>
        <v>3806651.5937544638</v>
      </c>
      <c r="AW769" s="235"/>
      <c r="AX769" s="355"/>
      <c r="AY769" s="344"/>
      <c r="AZ769" s="14">
        <f t="shared" si="85"/>
        <v>3451.4729097603267</v>
      </c>
      <c r="BA769" s="14">
        <f t="shared" si="84"/>
        <v>-0.21411022581408146</v>
      </c>
      <c r="BB769" s="14">
        <f t="shared" si="61"/>
        <v>-16120.075053105345</v>
      </c>
      <c r="BC769" s="344"/>
      <c r="BD769" s="344"/>
      <c r="BE769" s="344"/>
      <c r="BF769" s="344"/>
      <c r="BG769" s="344"/>
      <c r="BH769" s="344"/>
      <c r="BI769" s="344"/>
      <c r="BJ769" s="344"/>
      <c r="BK769" s="344"/>
      <c r="BL769" s="344"/>
      <c r="BM769" s="344"/>
      <c r="BN769" s="344"/>
      <c r="BO769" s="344"/>
      <c r="BP769" s="344"/>
      <c r="BQ769" s="344"/>
      <c r="BR769" s="344"/>
      <c r="BS769" s="344"/>
      <c r="BT769" s="344"/>
      <c r="BU769" s="344"/>
      <c r="BV769" s="344"/>
      <c r="BW769" s="344"/>
      <c r="BX769" s="344"/>
      <c r="BY769" s="344"/>
      <c r="BZ769" s="344"/>
      <c r="CA769" s="344"/>
      <c r="CB769" s="28"/>
      <c r="CC769" s="28"/>
      <c r="CD769" s="28"/>
      <c r="CE769" s="28"/>
      <c r="CF769" s="28"/>
      <c r="CG769" s="28"/>
      <c r="CH769" s="28"/>
      <c r="CI769" s="28"/>
      <c r="CJ769" s="28"/>
      <c r="CK769" s="28"/>
      <c r="CL769" s="28"/>
      <c r="CM769" s="28"/>
      <c r="CN769" s="28"/>
      <c r="CO769" s="28"/>
      <c r="CP769" s="28"/>
      <c r="CQ769" s="28"/>
      <c r="CR769" s="28"/>
      <c r="CS769" s="28"/>
      <c r="CT769" s="28"/>
      <c r="CU769" s="28"/>
      <c r="CV769" s="28"/>
      <c r="CW769" s="28"/>
    </row>
    <row r="770" spans="1:101" ht="14.25" customHeight="1" x14ac:dyDescent="0.2">
      <c r="A770" s="328"/>
      <c r="B770" s="52">
        <v>0.12737963457090426</v>
      </c>
      <c r="C770" s="330">
        <v>3.205699752549885E-2</v>
      </c>
      <c r="D770" s="330">
        <v>2.153168902210767E-2</v>
      </c>
      <c r="E770" s="330">
        <v>1.3823430056163957E-2</v>
      </c>
      <c r="F770" s="331">
        <v>0.81267937683375835</v>
      </c>
      <c r="G770" s="94">
        <v>0.4097268504029854</v>
      </c>
      <c r="H770" s="330">
        <v>0.73617228416370228</v>
      </c>
      <c r="I770" s="330">
        <v>1.509754160427162E-2</v>
      </c>
      <c r="J770" s="330">
        <v>1</v>
      </c>
      <c r="K770" s="330">
        <v>0.80573587940565916</v>
      </c>
      <c r="L770" s="332">
        <v>13363.042712828601</v>
      </c>
      <c r="M770" s="330">
        <v>0</v>
      </c>
      <c r="N770" s="330">
        <v>17440.321867215451</v>
      </c>
      <c r="O770" s="330">
        <v>1342.0292986474456</v>
      </c>
      <c r="P770" s="330">
        <v>51759.583064660335</v>
      </c>
      <c r="Q770" s="333">
        <v>100523.6790956428</v>
      </c>
      <c r="R770" s="330">
        <v>14791.554942616429</v>
      </c>
      <c r="S770" s="330">
        <v>8163.1374433043757</v>
      </c>
      <c r="T770" s="332">
        <v>0.97366644284106563</v>
      </c>
      <c r="U770" s="330">
        <v>0.97781694633543759</v>
      </c>
      <c r="V770" s="330">
        <v>0.75805854164612829</v>
      </c>
      <c r="W770" s="330">
        <v>0.39593418672752539</v>
      </c>
      <c r="X770" s="330">
        <v>0.59601975657534423</v>
      </c>
      <c r="Y770" s="330">
        <v>0</v>
      </c>
      <c r="Z770" s="331">
        <v>0</v>
      </c>
      <c r="AA770" s="235"/>
      <c r="AB770" s="335">
        <v>85063.852256863451</v>
      </c>
      <c r="AC770" s="336">
        <v>3.1608200313803074</v>
      </c>
      <c r="AD770" s="337">
        <v>76579.776315927855</v>
      </c>
      <c r="AE770" s="336">
        <v>3.3015323045585552</v>
      </c>
      <c r="AF770" s="337">
        <v>8484.075940935596</v>
      </c>
      <c r="AG770" s="338">
        <v>-0.14071227317824775</v>
      </c>
      <c r="AH770" s="235"/>
      <c r="AI770" s="208">
        <f t="shared" si="80"/>
        <v>2917715.1775544286</v>
      </c>
      <c r="AJ770" s="208">
        <f t="shared" si="81"/>
        <v>3059875.9130146992</v>
      </c>
      <c r="AK770" s="208">
        <f t="shared" si="82"/>
        <v>-142160.73546027095</v>
      </c>
      <c r="AL770" s="235"/>
      <c r="AM770" s="52">
        <f t="shared" si="58"/>
        <v>0</v>
      </c>
      <c r="AN770" s="52">
        <f t="shared" si="59"/>
        <v>1</v>
      </c>
      <c r="AO770" s="52">
        <f t="shared" si="60"/>
        <v>0</v>
      </c>
      <c r="AP770" s="235"/>
      <c r="AQ770" s="28"/>
      <c r="AR770" s="28"/>
      <c r="AS770" s="28"/>
      <c r="AT770" s="28"/>
      <c r="AU770" s="235"/>
      <c r="AV770" s="360">
        <f t="shared" si="83"/>
        <v>3059875.9130146992</v>
      </c>
      <c r="AW770" s="235"/>
      <c r="AX770" s="355"/>
      <c r="AY770" s="344"/>
      <c r="AZ770" s="14">
        <f t="shared" si="85"/>
        <v>8484.075940935596</v>
      </c>
      <c r="BA770" s="14">
        <f t="shared" si="84"/>
        <v>-0.14071227317824775</v>
      </c>
      <c r="BB770" s="14">
        <f t="shared" si="61"/>
        <v>-60293.787807609107</v>
      </c>
      <c r="BC770" s="344"/>
      <c r="BD770" s="344"/>
      <c r="BE770" s="344"/>
      <c r="BF770" s="344"/>
      <c r="BG770" s="344"/>
      <c r="BH770" s="344"/>
      <c r="BI770" s="344"/>
      <c r="BJ770" s="344"/>
      <c r="BK770" s="344"/>
      <c r="BL770" s="344"/>
      <c r="BM770" s="344"/>
      <c r="BN770" s="344"/>
      <c r="BO770" s="344"/>
      <c r="BP770" s="344"/>
      <c r="BQ770" s="344"/>
      <c r="BR770" s="344"/>
      <c r="BS770" s="344"/>
      <c r="BT770" s="344"/>
      <c r="BU770" s="344"/>
      <c r="BV770" s="344"/>
      <c r="BW770" s="344"/>
      <c r="BX770" s="344"/>
      <c r="BY770" s="344"/>
      <c r="BZ770" s="344"/>
      <c r="CA770" s="344"/>
      <c r="CB770" s="28"/>
      <c r="CC770" s="28"/>
      <c r="CD770" s="28"/>
      <c r="CE770" s="28"/>
      <c r="CF770" s="28"/>
      <c r="CG770" s="28"/>
      <c r="CH770" s="28"/>
      <c r="CI770" s="28"/>
      <c r="CJ770" s="28"/>
      <c r="CK770" s="28"/>
      <c r="CL770" s="28"/>
      <c r="CM770" s="28"/>
      <c r="CN770" s="28"/>
      <c r="CO770" s="28"/>
      <c r="CP770" s="28"/>
      <c r="CQ770" s="28"/>
      <c r="CR770" s="28"/>
      <c r="CS770" s="28"/>
      <c r="CT770" s="28"/>
      <c r="CU770" s="28"/>
      <c r="CV770" s="28"/>
      <c r="CW770" s="28"/>
    </row>
    <row r="771" spans="1:101" ht="14.25" customHeight="1" x14ac:dyDescent="0.2">
      <c r="A771" s="328"/>
      <c r="B771" s="52">
        <v>0.16177330843532356</v>
      </c>
      <c r="C771" s="330">
        <v>0.8542362154097547</v>
      </c>
      <c r="D771" s="330">
        <v>1.226913753004418E-2</v>
      </c>
      <c r="E771" s="330">
        <v>1.1340282930368893E-2</v>
      </c>
      <c r="F771" s="331">
        <v>0.78411128768876659</v>
      </c>
      <c r="G771" s="94">
        <v>0.34894081697057916</v>
      </c>
      <c r="H771" s="330">
        <v>0.70285845298862504</v>
      </c>
      <c r="I771" s="330">
        <v>1.4429038340782312E-2</v>
      </c>
      <c r="J771" s="330">
        <v>1</v>
      </c>
      <c r="K771" s="330">
        <v>0.73392316597941198</v>
      </c>
      <c r="L771" s="332">
        <v>9187.6221394382155</v>
      </c>
      <c r="M771" s="330">
        <v>0</v>
      </c>
      <c r="N771" s="330">
        <v>16925.776568406865</v>
      </c>
      <c r="O771" s="330">
        <v>1289.0024737791309</v>
      </c>
      <c r="P771" s="330">
        <v>29412.815173836651</v>
      </c>
      <c r="Q771" s="333">
        <v>73044.852413582761</v>
      </c>
      <c r="R771" s="330">
        <v>23757.410299537245</v>
      </c>
      <c r="S771" s="330">
        <v>6545.2832682344251</v>
      </c>
      <c r="T771" s="332">
        <v>0.55211098486013677</v>
      </c>
      <c r="U771" s="330">
        <v>0.50776115068386385</v>
      </c>
      <c r="V771" s="330">
        <v>0.15278354793292814</v>
      </c>
      <c r="W771" s="330">
        <v>0.99795702091145766</v>
      </c>
      <c r="X771" s="330">
        <v>0.99993727761835105</v>
      </c>
      <c r="Y771" s="330">
        <v>0</v>
      </c>
      <c r="Z771" s="331">
        <v>0</v>
      </c>
      <c r="AA771" s="235"/>
      <c r="AB771" s="335">
        <v>67900.423249553103</v>
      </c>
      <c r="AC771" s="336">
        <v>4.7748668736310549</v>
      </c>
      <c r="AD771" s="337">
        <v>58445.613048077401</v>
      </c>
      <c r="AE771" s="336">
        <v>4.6125159096900106</v>
      </c>
      <c r="AF771" s="337">
        <v>9454.8102014757023</v>
      </c>
      <c r="AG771" s="338">
        <v>0.16235096394104431</v>
      </c>
      <c r="AH771" s="235"/>
      <c r="AI771" s="208">
        <f t="shared" si="80"/>
        <v>4468223.1066999491</v>
      </c>
      <c r="AJ771" s="208">
        <f t="shared" si="81"/>
        <v>4323444.5011574328</v>
      </c>
      <c r="AK771" s="208">
        <f t="shared" si="82"/>
        <v>144778.60554251639</v>
      </c>
      <c r="AL771" s="235"/>
      <c r="AM771" s="52">
        <f t="shared" si="58"/>
        <v>1</v>
      </c>
      <c r="AN771" s="52">
        <f t="shared" si="59"/>
        <v>0</v>
      </c>
      <c r="AO771" s="52">
        <f t="shared" si="60"/>
        <v>1</v>
      </c>
      <c r="AP771" s="235"/>
      <c r="AQ771" s="28"/>
      <c r="AR771" s="28"/>
      <c r="AS771" s="28"/>
      <c r="AT771" s="28"/>
      <c r="AU771" s="235"/>
      <c r="AV771" s="360">
        <f t="shared" si="83"/>
        <v>4468223.1066999491</v>
      </c>
      <c r="AW771" s="235"/>
      <c r="AX771" s="355"/>
      <c r="AY771" s="344"/>
      <c r="AZ771" s="14">
        <f t="shared" si="85"/>
        <v>9454.8102014757023</v>
      </c>
      <c r="BA771" s="14">
        <f t="shared" si="84"/>
        <v>0.16235096394104431</v>
      </c>
      <c r="BB771" s="14">
        <f t="shared" si="61"/>
        <v>58236.859036507456</v>
      </c>
      <c r="BC771" s="344"/>
      <c r="BD771" s="344"/>
      <c r="BE771" s="344"/>
      <c r="BF771" s="344"/>
      <c r="BG771" s="344"/>
      <c r="BH771" s="344"/>
      <c r="BI771" s="344"/>
      <c r="BJ771" s="344"/>
      <c r="BK771" s="344"/>
      <c r="BL771" s="344"/>
      <c r="BM771" s="344"/>
      <c r="BN771" s="344"/>
      <c r="BO771" s="344"/>
      <c r="BP771" s="344"/>
      <c r="BQ771" s="344"/>
      <c r="BR771" s="344"/>
      <c r="BS771" s="344"/>
      <c r="BT771" s="344"/>
      <c r="BU771" s="344"/>
      <c r="BV771" s="344"/>
      <c r="BW771" s="344"/>
      <c r="BX771" s="344"/>
      <c r="BY771" s="344"/>
      <c r="BZ771" s="344"/>
      <c r="CA771" s="344"/>
      <c r="CB771" s="28"/>
      <c r="CC771" s="28"/>
      <c r="CD771" s="28"/>
      <c r="CE771" s="28"/>
      <c r="CF771" s="28"/>
      <c r="CG771" s="28"/>
      <c r="CH771" s="28"/>
      <c r="CI771" s="28"/>
      <c r="CJ771" s="28"/>
      <c r="CK771" s="28"/>
      <c r="CL771" s="28"/>
      <c r="CM771" s="28"/>
      <c r="CN771" s="28"/>
      <c r="CO771" s="28"/>
      <c r="CP771" s="28"/>
      <c r="CQ771" s="28"/>
      <c r="CR771" s="28"/>
      <c r="CS771" s="28"/>
      <c r="CT771" s="28"/>
      <c r="CU771" s="28"/>
      <c r="CV771" s="28"/>
      <c r="CW771" s="28"/>
    </row>
    <row r="772" spans="1:101" ht="14.25" customHeight="1" x14ac:dyDescent="0.2">
      <c r="A772" s="328"/>
      <c r="B772" s="52">
        <v>0.17748491325469107</v>
      </c>
      <c r="C772" s="330">
        <v>0.69192493164766478</v>
      </c>
      <c r="D772" s="330">
        <v>6.4242725166936895E-3</v>
      </c>
      <c r="E772" s="330">
        <v>2.5547681723682492E-2</v>
      </c>
      <c r="F772" s="331">
        <v>0.77172210774536121</v>
      </c>
      <c r="G772" s="94">
        <v>0.35239575663956929</v>
      </c>
      <c r="H772" s="330">
        <v>0.28739974939865914</v>
      </c>
      <c r="I772" s="330">
        <v>1.3296092302593385E-2</v>
      </c>
      <c r="J772" s="330">
        <v>1</v>
      </c>
      <c r="K772" s="330">
        <v>0.73675139604520745</v>
      </c>
      <c r="L772" s="332">
        <v>14521.602811992239</v>
      </c>
      <c r="M772" s="330">
        <v>0</v>
      </c>
      <c r="N772" s="330">
        <v>18252.228873629385</v>
      </c>
      <c r="O772" s="330">
        <v>1101.3731527491332</v>
      </c>
      <c r="P772" s="330">
        <v>47035.331478154818</v>
      </c>
      <c r="Q772" s="333">
        <v>82363.556879516313</v>
      </c>
      <c r="R772" s="330">
        <v>24924.709684304959</v>
      </c>
      <c r="S772" s="330">
        <v>8743.4760443672076</v>
      </c>
      <c r="T772" s="332">
        <v>2.5832810253835433E-2</v>
      </c>
      <c r="U772" s="330">
        <v>0.99999916120973253</v>
      </c>
      <c r="V772" s="330">
        <v>0.97629438823702153</v>
      </c>
      <c r="W772" s="330">
        <v>0.61813269364860368</v>
      </c>
      <c r="X772" s="330">
        <v>0.40064881675557629</v>
      </c>
      <c r="Y772" s="330">
        <v>0</v>
      </c>
      <c r="Z772" s="331">
        <v>0</v>
      </c>
      <c r="AA772" s="235"/>
      <c r="AB772" s="335">
        <v>90283.148727504828</v>
      </c>
      <c r="AC772" s="336">
        <v>1.8718138310681596</v>
      </c>
      <c r="AD772" s="337">
        <v>72779.618956703314</v>
      </c>
      <c r="AE772" s="336">
        <v>2.1535732726169776</v>
      </c>
      <c r="AF772" s="337">
        <v>17503.529770801513</v>
      </c>
      <c r="AG772" s="338">
        <v>-0.28175944154881805</v>
      </c>
      <c r="AH772" s="235"/>
      <c r="AI772" s="208">
        <f t="shared" si="80"/>
        <v>1687939.9907872467</v>
      </c>
      <c r="AJ772" s="208">
        <f t="shared" si="81"/>
        <v>1973114.9900294256</v>
      </c>
      <c r="AK772" s="208">
        <f t="shared" si="82"/>
        <v>-285174.99924217863</v>
      </c>
      <c r="AL772" s="235"/>
      <c r="AM772" s="52">
        <f t="shared" si="58"/>
        <v>0</v>
      </c>
      <c r="AN772" s="52">
        <f t="shared" si="59"/>
        <v>1</v>
      </c>
      <c r="AO772" s="52">
        <f t="shared" si="60"/>
        <v>0</v>
      </c>
      <c r="AP772" s="235"/>
      <c r="AQ772" s="28"/>
      <c r="AR772" s="28"/>
      <c r="AS772" s="28"/>
      <c r="AT772" s="28"/>
      <c r="AU772" s="235"/>
      <c r="AV772" s="360">
        <f t="shared" si="83"/>
        <v>1973114.9900294256</v>
      </c>
      <c r="AW772" s="235"/>
      <c r="AX772" s="355"/>
      <c r="AY772" s="344"/>
      <c r="AZ772" s="14">
        <f t="shared" si="85"/>
        <v>17503.529770801513</v>
      </c>
      <c r="BA772" s="14">
        <f t="shared" si="84"/>
        <v>-0.28175944154881805</v>
      </c>
      <c r="BB772" s="14">
        <f t="shared" si="61"/>
        <v>-62122.247526419895</v>
      </c>
      <c r="BC772" s="344"/>
      <c r="BD772" s="344"/>
      <c r="BE772" s="344"/>
      <c r="BF772" s="344"/>
      <c r="BG772" s="344"/>
      <c r="BH772" s="344"/>
      <c r="BI772" s="344"/>
      <c r="BJ772" s="344"/>
      <c r="BK772" s="344"/>
      <c r="BL772" s="344"/>
      <c r="BM772" s="344"/>
      <c r="BN772" s="344"/>
      <c r="BO772" s="344"/>
      <c r="BP772" s="344"/>
      <c r="BQ772" s="344"/>
      <c r="BR772" s="344"/>
      <c r="BS772" s="344"/>
      <c r="BT772" s="344"/>
      <c r="BU772" s="344"/>
      <c r="BV772" s="344"/>
      <c r="BW772" s="344"/>
      <c r="BX772" s="344"/>
      <c r="BY772" s="344"/>
      <c r="BZ772" s="344"/>
      <c r="CA772" s="344"/>
      <c r="CB772" s="28"/>
      <c r="CC772" s="28"/>
      <c r="CD772" s="28"/>
      <c r="CE772" s="28"/>
      <c r="CF772" s="28"/>
      <c r="CG772" s="28"/>
      <c r="CH772" s="28"/>
      <c r="CI772" s="28"/>
      <c r="CJ772" s="28"/>
      <c r="CK772" s="28"/>
      <c r="CL772" s="28"/>
      <c r="CM772" s="28"/>
      <c r="CN772" s="28"/>
      <c r="CO772" s="28"/>
      <c r="CP772" s="28"/>
      <c r="CQ772" s="28"/>
      <c r="CR772" s="28"/>
      <c r="CS772" s="28"/>
      <c r="CT772" s="28"/>
      <c r="CU772" s="28"/>
      <c r="CV772" s="28"/>
      <c r="CW772" s="28"/>
    </row>
    <row r="773" spans="1:101" ht="14.25" customHeight="1" x14ac:dyDescent="0.2">
      <c r="A773" s="328"/>
      <c r="B773" s="52">
        <v>0.14843393886169662</v>
      </c>
      <c r="C773" s="330">
        <v>0.2230822264416287</v>
      </c>
      <c r="D773" s="330">
        <v>2.0639277804900824E-2</v>
      </c>
      <c r="E773" s="330">
        <v>2.549071805451486E-2</v>
      </c>
      <c r="F773" s="331">
        <v>0.76563072469075955</v>
      </c>
      <c r="G773" s="94">
        <v>0.4043457690292338</v>
      </c>
      <c r="H773" s="330">
        <v>0.32342936205185252</v>
      </c>
      <c r="I773" s="330">
        <v>2.1343779325612822E-2</v>
      </c>
      <c r="J773" s="330">
        <v>1</v>
      </c>
      <c r="K773" s="330">
        <v>0.77951533203189416</v>
      </c>
      <c r="L773" s="332">
        <v>12006.716785700979</v>
      </c>
      <c r="M773" s="330">
        <v>0</v>
      </c>
      <c r="N773" s="330">
        <v>23942.297950788692</v>
      </c>
      <c r="O773" s="330">
        <v>1263.719469858313</v>
      </c>
      <c r="P773" s="330">
        <v>46865.430007243391</v>
      </c>
      <c r="Q773" s="333">
        <v>127232.89962346361</v>
      </c>
      <c r="R773" s="330">
        <v>20839.25135574906</v>
      </c>
      <c r="S773" s="330">
        <v>10051.333527200164</v>
      </c>
      <c r="T773" s="332">
        <v>0.99527267683009024</v>
      </c>
      <c r="U773" s="330">
        <v>0.94564781247605856</v>
      </c>
      <c r="V773" s="330">
        <v>0.92342614694248182</v>
      </c>
      <c r="W773" s="330">
        <v>0.96203102637930915</v>
      </c>
      <c r="X773" s="330">
        <v>0.99830468397284589</v>
      </c>
      <c r="Y773" s="330">
        <v>0</v>
      </c>
      <c r="Z773" s="331">
        <v>0</v>
      </c>
      <c r="AA773" s="235"/>
      <c r="AB773" s="335">
        <v>95863.029844787903</v>
      </c>
      <c r="AC773" s="336">
        <v>4.6334830900973474</v>
      </c>
      <c r="AD773" s="337">
        <v>89008.382953048276</v>
      </c>
      <c r="AE773" s="336">
        <v>4.9974737255740838</v>
      </c>
      <c r="AF773" s="337">
        <v>6854.6468917396269</v>
      </c>
      <c r="AG773" s="338">
        <v>-0.36399063547673638</v>
      </c>
      <c r="AH773" s="235"/>
      <c r="AI773" s="208">
        <f t="shared" si="80"/>
        <v>4305945.9057476921</v>
      </c>
      <c r="AJ773" s="208">
        <f t="shared" si="81"/>
        <v>4658591.6563423313</v>
      </c>
      <c r="AK773" s="208">
        <f t="shared" si="82"/>
        <v>-352645.75059463916</v>
      </c>
      <c r="AL773" s="235"/>
      <c r="AM773" s="52">
        <f t="shared" si="58"/>
        <v>0</v>
      </c>
      <c r="AN773" s="52">
        <f t="shared" si="59"/>
        <v>1</v>
      </c>
      <c r="AO773" s="52">
        <f t="shared" si="60"/>
        <v>0</v>
      </c>
      <c r="AP773" s="235"/>
      <c r="AQ773" s="28"/>
      <c r="AR773" s="28"/>
      <c r="AS773" s="28"/>
      <c r="AT773" s="28"/>
      <c r="AU773" s="235"/>
      <c r="AV773" s="360">
        <f t="shared" si="83"/>
        <v>4658591.6563423313</v>
      </c>
      <c r="AW773" s="235"/>
      <c r="AX773" s="355"/>
      <c r="AY773" s="344"/>
      <c r="AZ773" s="14">
        <f t="shared" si="85"/>
        <v>6854.6468917396269</v>
      </c>
      <c r="BA773" s="14">
        <f t="shared" si="84"/>
        <v>-0.36399063547673638</v>
      </c>
      <c r="BB773" s="14">
        <f t="shared" si="61"/>
        <v>-18831.931988474811</v>
      </c>
      <c r="BC773" s="344"/>
      <c r="BD773" s="344"/>
      <c r="BE773" s="344"/>
      <c r="BF773" s="344"/>
      <c r="BG773" s="344"/>
      <c r="BH773" s="344"/>
      <c r="BI773" s="344"/>
      <c r="BJ773" s="344"/>
      <c r="BK773" s="344"/>
      <c r="BL773" s="344"/>
      <c r="BM773" s="344"/>
      <c r="BN773" s="344"/>
      <c r="BO773" s="344"/>
      <c r="BP773" s="344"/>
      <c r="BQ773" s="344"/>
      <c r="BR773" s="344"/>
      <c r="BS773" s="344"/>
      <c r="BT773" s="344"/>
      <c r="BU773" s="344"/>
      <c r="BV773" s="344"/>
      <c r="BW773" s="344"/>
      <c r="BX773" s="344"/>
      <c r="BY773" s="344"/>
      <c r="BZ773" s="344"/>
      <c r="CA773" s="344"/>
      <c r="CB773" s="28"/>
      <c r="CC773" s="28"/>
      <c r="CD773" s="28"/>
      <c r="CE773" s="28"/>
      <c r="CF773" s="28"/>
      <c r="CG773" s="28"/>
      <c r="CH773" s="28"/>
      <c r="CI773" s="28"/>
      <c r="CJ773" s="28"/>
      <c r="CK773" s="28"/>
      <c r="CL773" s="28"/>
      <c r="CM773" s="28"/>
      <c r="CN773" s="28"/>
      <c r="CO773" s="28"/>
      <c r="CP773" s="28"/>
      <c r="CQ773" s="28"/>
      <c r="CR773" s="28"/>
      <c r="CS773" s="28"/>
      <c r="CT773" s="28"/>
      <c r="CU773" s="28"/>
      <c r="CV773" s="28"/>
      <c r="CW773" s="28"/>
    </row>
    <row r="774" spans="1:101" ht="14.25" customHeight="1" x14ac:dyDescent="0.2">
      <c r="A774" s="328"/>
      <c r="B774" s="52">
        <v>0.15442691539485218</v>
      </c>
      <c r="C774" s="330">
        <v>0.10069892505438049</v>
      </c>
      <c r="D774" s="330">
        <v>1.8325405865283417E-2</v>
      </c>
      <c r="E774" s="330">
        <v>1.9869458890446223E-2</v>
      </c>
      <c r="F774" s="331">
        <v>0.77437609273849517</v>
      </c>
      <c r="G774" s="94">
        <v>0.36822795126970936</v>
      </c>
      <c r="H774" s="330">
        <v>0.902958791535873</v>
      </c>
      <c r="I774" s="330">
        <v>2.7120408713870336E-2</v>
      </c>
      <c r="J774" s="330">
        <v>0.10445076242277065</v>
      </c>
      <c r="K774" s="330">
        <v>0.74464593411141822</v>
      </c>
      <c r="L774" s="332">
        <v>9462.981240037172</v>
      </c>
      <c r="M774" s="330">
        <v>0</v>
      </c>
      <c r="N774" s="330">
        <v>17952.443571447689</v>
      </c>
      <c r="O774" s="330">
        <v>1214.6480797289003</v>
      </c>
      <c r="P774" s="330">
        <v>45661.950876411123</v>
      </c>
      <c r="Q774" s="333">
        <v>82883.516203465639</v>
      </c>
      <c r="R774" s="330">
        <v>24119.363407655652</v>
      </c>
      <c r="S774" s="330">
        <v>8820.9074735984268</v>
      </c>
      <c r="T774" s="332">
        <v>0.97924100544577686</v>
      </c>
      <c r="U774" s="330">
        <v>0.99984075991027377</v>
      </c>
      <c r="V774" s="330">
        <v>0.71015333197126829</v>
      </c>
      <c r="W774" s="330">
        <v>0.9332935623416998</v>
      </c>
      <c r="X774" s="330">
        <v>0.96178448447346465</v>
      </c>
      <c r="Y774" s="330">
        <v>0</v>
      </c>
      <c r="Z774" s="331">
        <v>0</v>
      </c>
      <c r="AA774" s="235"/>
      <c r="AB774" s="335">
        <v>83565.57878442941</v>
      </c>
      <c r="AC774" s="336">
        <v>4.5375093542237321</v>
      </c>
      <c r="AD774" s="337">
        <v>79655.24705373311</v>
      </c>
      <c r="AE774" s="336">
        <v>4.4662767003729931</v>
      </c>
      <c r="AF774" s="337">
        <v>3910.3317306962999</v>
      </c>
      <c r="AG774" s="338">
        <v>7.1232653850739069E-2</v>
      </c>
      <c r="AH774" s="235"/>
      <c r="AI774" s="208">
        <f t="shared" si="80"/>
        <v>4227068.3077281164</v>
      </c>
      <c r="AJ774" s="208">
        <f t="shared" si="81"/>
        <v>4163307.6183006102</v>
      </c>
      <c r="AK774" s="208">
        <f t="shared" si="82"/>
        <v>63760.689427505815</v>
      </c>
      <c r="AL774" s="235"/>
      <c r="AM774" s="52">
        <f t="shared" si="58"/>
        <v>1</v>
      </c>
      <c r="AN774" s="52">
        <f t="shared" si="59"/>
        <v>0</v>
      </c>
      <c r="AO774" s="52">
        <f t="shared" si="60"/>
        <v>1</v>
      </c>
      <c r="AP774" s="235"/>
      <c r="AQ774" s="28"/>
      <c r="AR774" s="28"/>
      <c r="AS774" s="28"/>
      <c r="AT774" s="28"/>
      <c r="AU774" s="235"/>
      <c r="AV774" s="360">
        <f t="shared" si="83"/>
        <v>4227068.3077281164</v>
      </c>
      <c r="AW774" s="235"/>
      <c r="AX774" s="355"/>
      <c r="AY774" s="344"/>
      <c r="AZ774" s="14">
        <f t="shared" si="85"/>
        <v>3910.3317306962999</v>
      </c>
      <c r="BA774" s="14">
        <f t="shared" si="84"/>
        <v>7.1232653850739069E-2</v>
      </c>
      <c r="BB774" s="14">
        <f t="shared" si="61"/>
        <v>54895.213351028739</v>
      </c>
      <c r="BC774" s="344"/>
      <c r="BD774" s="344"/>
      <c r="BE774" s="344"/>
      <c r="BF774" s="344"/>
      <c r="BG774" s="344"/>
      <c r="BH774" s="344"/>
      <c r="BI774" s="344"/>
      <c r="BJ774" s="344"/>
      <c r="BK774" s="344"/>
      <c r="BL774" s="344"/>
      <c r="BM774" s="344"/>
      <c r="BN774" s="344"/>
      <c r="BO774" s="344"/>
      <c r="BP774" s="344"/>
      <c r="BQ774" s="344"/>
      <c r="BR774" s="344"/>
      <c r="BS774" s="344"/>
      <c r="BT774" s="344"/>
      <c r="BU774" s="344"/>
      <c r="BV774" s="344"/>
      <c r="BW774" s="344"/>
      <c r="BX774" s="344"/>
      <c r="BY774" s="344"/>
      <c r="BZ774" s="344"/>
      <c r="CA774" s="344"/>
      <c r="CB774" s="28"/>
      <c r="CC774" s="28"/>
      <c r="CD774" s="28"/>
      <c r="CE774" s="28"/>
      <c r="CF774" s="28"/>
      <c r="CG774" s="28"/>
      <c r="CH774" s="28"/>
      <c r="CI774" s="28"/>
      <c r="CJ774" s="28"/>
      <c r="CK774" s="28"/>
      <c r="CL774" s="28"/>
      <c r="CM774" s="28"/>
      <c r="CN774" s="28"/>
      <c r="CO774" s="28"/>
      <c r="CP774" s="28"/>
      <c r="CQ774" s="28"/>
      <c r="CR774" s="28"/>
      <c r="CS774" s="28"/>
      <c r="CT774" s="28"/>
      <c r="CU774" s="28"/>
      <c r="CV774" s="28"/>
      <c r="CW774" s="28"/>
    </row>
    <row r="775" spans="1:101" ht="14.25" customHeight="1" x14ac:dyDescent="0.2">
      <c r="A775" s="328"/>
      <c r="B775" s="52">
        <v>0.18034101015883786</v>
      </c>
      <c r="C775" s="330">
        <v>0.58762961454456741</v>
      </c>
      <c r="D775" s="330">
        <v>1.4663298267332037E-2</v>
      </c>
      <c r="E775" s="330">
        <v>2.179457380678218E-2</v>
      </c>
      <c r="F775" s="331">
        <v>0.79547325477440678</v>
      </c>
      <c r="G775" s="94">
        <v>0.31571723046227301</v>
      </c>
      <c r="H775" s="330">
        <v>0.43963971086040016</v>
      </c>
      <c r="I775" s="330">
        <v>1.2564190126364869E-2</v>
      </c>
      <c r="J775" s="330">
        <v>0.9999999359081122</v>
      </c>
      <c r="K775" s="330">
        <v>0.80861375112692169</v>
      </c>
      <c r="L775" s="332">
        <v>12856.914498684004</v>
      </c>
      <c r="M775" s="330">
        <v>0</v>
      </c>
      <c r="N775" s="330">
        <v>17161.897267092489</v>
      </c>
      <c r="O775" s="330">
        <v>784.75277432736641</v>
      </c>
      <c r="P775" s="330">
        <v>33994.483230525984</v>
      </c>
      <c r="Q775" s="333">
        <v>110137.28190120637</v>
      </c>
      <c r="R775" s="330">
        <v>19375.680805110766</v>
      </c>
      <c r="S775" s="330">
        <v>9521.0628964508142</v>
      </c>
      <c r="T775" s="332">
        <v>0.97954495253049778</v>
      </c>
      <c r="U775" s="330">
        <v>0.99997498809192686</v>
      </c>
      <c r="V775" s="330">
        <v>0.34392015330239084</v>
      </c>
      <c r="W775" s="330">
        <v>0.97215433998659551</v>
      </c>
      <c r="X775" s="330">
        <v>0.9999763340788036</v>
      </c>
      <c r="Y775" s="330">
        <v>0</v>
      </c>
      <c r="Z775" s="331">
        <v>0</v>
      </c>
      <c r="AA775" s="235"/>
      <c r="AB775" s="335">
        <v>96621.617653089168</v>
      </c>
      <c r="AC775" s="336">
        <v>5.0103441301763931</v>
      </c>
      <c r="AD775" s="337">
        <v>86206.595573731902</v>
      </c>
      <c r="AE775" s="336">
        <v>5.2981365572208174</v>
      </c>
      <c r="AF775" s="337">
        <v>10415.022079357266</v>
      </c>
      <c r="AG775" s="338">
        <v>-0.28779242704442431</v>
      </c>
      <c r="AH775" s="235"/>
      <c r="AI775" s="208">
        <f t="shared" si="80"/>
        <v>4663205.3060144838</v>
      </c>
      <c r="AJ775" s="208">
        <f t="shared" si="81"/>
        <v>4947023.133786045</v>
      </c>
      <c r="AK775" s="208">
        <f t="shared" si="82"/>
        <v>-283817.82777156041</v>
      </c>
      <c r="AL775" s="235"/>
      <c r="AM775" s="52">
        <f t="shared" si="58"/>
        <v>0</v>
      </c>
      <c r="AN775" s="52">
        <f t="shared" si="59"/>
        <v>1</v>
      </c>
      <c r="AO775" s="52">
        <f t="shared" si="60"/>
        <v>0</v>
      </c>
      <c r="AP775" s="235"/>
      <c r="AQ775" s="28"/>
      <c r="AR775" s="28"/>
      <c r="AS775" s="28"/>
      <c r="AT775" s="28"/>
      <c r="AU775" s="235"/>
      <c r="AV775" s="360">
        <f t="shared" si="83"/>
        <v>4947023.133786045</v>
      </c>
      <c r="AW775" s="235"/>
      <c r="AX775" s="355"/>
      <c r="AY775" s="344"/>
      <c r="AZ775" s="14">
        <f t="shared" si="85"/>
        <v>10415.022079357266</v>
      </c>
      <c r="BA775" s="14">
        <f t="shared" si="84"/>
        <v>-0.28779242704442431</v>
      </c>
      <c r="BB775" s="14">
        <f t="shared" si="61"/>
        <v>-36189.354203366784</v>
      </c>
      <c r="BC775" s="344"/>
      <c r="BD775" s="344"/>
      <c r="BE775" s="344"/>
      <c r="BF775" s="344"/>
      <c r="BG775" s="344"/>
      <c r="BH775" s="344"/>
      <c r="BI775" s="344"/>
      <c r="BJ775" s="344"/>
      <c r="BK775" s="344"/>
      <c r="BL775" s="344"/>
      <c r="BM775" s="344"/>
      <c r="BN775" s="344"/>
      <c r="BO775" s="344"/>
      <c r="BP775" s="344"/>
      <c r="BQ775" s="344"/>
      <c r="BR775" s="344"/>
      <c r="BS775" s="344"/>
      <c r="BT775" s="344"/>
      <c r="BU775" s="344"/>
      <c r="BV775" s="344"/>
      <c r="BW775" s="344"/>
      <c r="BX775" s="344"/>
      <c r="BY775" s="344"/>
      <c r="BZ775" s="344"/>
      <c r="CA775" s="344"/>
      <c r="CB775" s="28"/>
      <c r="CC775" s="28"/>
      <c r="CD775" s="28"/>
      <c r="CE775" s="28"/>
      <c r="CF775" s="28"/>
      <c r="CG775" s="28"/>
      <c r="CH775" s="28"/>
      <c r="CI775" s="28"/>
      <c r="CJ775" s="28"/>
      <c r="CK775" s="28"/>
      <c r="CL775" s="28"/>
      <c r="CM775" s="28"/>
      <c r="CN775" s="28"/>
      <c r="CO775" s="28"/>
      <c r="CP775" s="28"/>
      <c r="CQ775" s="28"/>
      <c r="CR775" s="28"/>
      <c r="CS775" s="28"/>
      <c r="CT775" s="28"/>
      <c r="CU775" s="28"/>
      <c r="CV775" s="28"/>
      <c r="CW775" s="28"/>
    </row>
    <row r="776" spans="1:101" ht="14.25" customHeight="1" x14ac:dyDescent="0.2">
      <c r="A776" s="328"/>
      <c r="B776" s="52">
        <v>0.12894445111350311</v>
      </c>
      <c r="C776" s="330">
        <v>0.48576602249042511</v>
      </c>
      <c r="D776" s="330">
        <v>1.8931170327597835E-2</v>
      </c>
      <c r="E776" s="330">
        <v>1.0704477623869602E-2</v>
      </c>
      <c r="F776" s="331">
        <v>0.8046507616495735</v>
      </c>
      <c r="G776" s="94">
        <v>0.39911568624404259</v>
      </c>
      <c r="H776" s="330">
        <v>0.81632877260082914</v>
      </c>
      <c r="I776" s="330">
        <v>5.0035885039564465E-2</v>
      </c>
      <c r="J776" s="330">
        <v>0.95845291702346491</v>
      </c>
      <c r="K776" s="330">
        <v>0.70610013243408443</v>
      </c>
      <c r="L776" s="332">
        <v>12675.388922635106</v>
      </c>
      <c r="M776" s="330">
        <v>0</v>
      </c>
      <c r="N776" s="330">
        <v>19450.52424107584</v>
      </c>
      <c r="O776" s="330">
        <v>1708.5465000887143</v>
      </c>
      <c r="P776" s="330">
        <v>55964.924022835563</v>
      </c>
      <c r="Q776" s="333">
        <v>102229.38159613594</v>
      </c>
      <c r="R776" s="330">
        <v>27584.289991770496</v>
      </c>
      <c r="S776" s="330">
        <v>7046.5998980698469</v>
      </c>
      <c r="T776" s="332">
        <v>0.99573076226747514</v>
      </c>
      <c r="U776" s="330">
        <v>0.99826195520172112</v>
      </c>
      <c r="V776" s="330">
        <v>0.88057001175166261</v>
      </c>
      <c r="W776" s="330">
        <v>0.99995827355193123</v>
      </c>
      <c r="X776" s="330">
        <v>0.38281062796876725</v>
      </c>
      <c r="Y776" s="330">
        <v>0</v>
      </c>
      <c r="Z776" s="331">
        <v>0</v>
      </c>
      <c r="AA776" s="235"/>
      <c r="AB776" s="335">
        <v>75721.647803733649</v>
      </c>
      <c r="AC776" s="336">
        <v>1.9109445906497364</v>
      </c>
      <c r="AD776" s="337">
        <v>66366.423800265562</v>
      </c>
      <c r="AE776" s="336">
        <v>1.8676849547860492</v>
      </c>
      <c r="AF776" s="337">
        <v>9355.2240034680872</v>
      </c>
      <c r="AG776" s="338">
        <v>4.3259635863687196E-2</v>
      </c>
      <c r="AH776" s="235"/>
      <c r="AI776" s="208">
        <f t="shared" si="80"/>
        <v>1739675.713313516</v>
      </c>
      <c r="AJ776" s="208">
        <f t="shared" si="81"/>
        <v>1707934.2832464811</v>
      </c>
      <c r="AK776" s="208">
        <f t="shared" si="82"/>
        <v>31741.430067034751</v>
      </c>
      <c r="AL776" s="235"/>
      <c r="AM776" s="52">
        <f t="shared" si="58"/>
        <v>1</v>
      </c>
      <c r="AN776" s="52">
        <f t="shared" si="59"/>
        <v>0</v>
      </c>
      <c r="AO776" s="52">
        <f t="shared" si="60"/>
        <v>1</v>
      </c>
      <c r="AP776" s="235"/>
      <c r="AQ776" s="28"/>
      <c r="AR776" s="28"/>
      <c r="AS776" s="28"/>
      <c r="AT776" s="28"/>
      <c r="AU776" s="235"/>
      <c r="AV776" s="360">
        <f t="shared" si="83"/>
        <v>1739675.713313516</v>
      </c>
      <c r="AW776" s="235"/>
      <c r="AX776" s="355"/>
      <c r="AY776" s="344"/>
      <c r="AZ776" s="14">
        <f t="shared" si="85"/>
        <v>9355.2240034680872</v>
      </c>
      <c r="BA776" s="14">
        <f t="shared" si="84"/>
        <v>4.3259635863687196E-2</v>
      </c>
      <c r="BB776" s="14">
        <f t="shared" si="61"/>
        <v>216257.57629922646</v>
      </c>
      <c r="BC776" s="344"/>
      <c r="BD776" s="344"/>
      <c r="BE776" s="344"/>
      <c r="BF776" s="344"/>
      <c r="BG776" s="344"/>
      <c r="BH776" s="344"/>
      <c r="BI776" s="344"/>
      <c r="BJ776" s="344"/>
      <c r="BK776" s="344"/>
      <c r="BL776" s="344"/>
      <c r="BM776" s="344"/>
      <c r="BN776" s="344"/>
      <c r="BO776" s="344"/>
      <c r="BP776" s="344"/>
      <c r="BQ776" s="344"/>
      <c r="BR776" s="344"/>
      <c r="BS776" s="344"/>
      <c r="BT776" s="344"/>
      <c r="BU776" s="344"/>
      <c r="BV776" s="344"/>
      <c r="BW776" s="344"/>
      <c r="BX776" s="344"/>
      <c r="BY776" s="344"/>
      <c r="BZ776" s="344"/>
      <c r="CA776" s="344"/>
      <c r="CB776" s="28"/>
      <c r="CC776" s="28"/>
      <c r="CD776" s="28"/>
      <c r="CE776" s="28"/>
      <c r="CF776" s="28"/>
      <c r="CG776" s="28"/>
      <c r="CH776" s="28"/>
      <c r="CI776" s="28"/>
      <c r="CJ776" s="28"/>
      <c r="CK776" s="28"/>
      <c r="CL776" s="28"/>
      <c r="CM776" s="28"/>
      <c r="CN776" s="28"/>
      <c r="CO776" s="28"/>
      <c r="CP776" s="28"/>
      <c r="CQ776" s="28"/>
      <c r="CR776" s="28"/>
      <c r="CS776" s="28"/>
      <c r="CT776" s="28"/>
      <c r="CU776" s="28"/>
      <c r="CV776" s="28"/>
      <c r="CW776" s="28"/>
    </row>
    <row r="777" spans="1:101" ht="14.25" customHeight="1" x14ac:dyDescent="0.2">
      <c r="A777" s="328"/>
      <c r="B777" s="52">
        <v>0.16708809155151694</v>
      </c>
      <c r="C777" s="330">
        <v>1.6732476746025553E-2</v>
      </c>
      <c r="D777" s="330">
        <v>2.373524726627807E-2</v>
      </c>
      <c r="E777" s="330">
        <v>1.8934769573759391E-2</v>
      </c>
      <c r="F777" s="331">
        <v>0.78193288141847017</v>
      </c>
      <c r="G777" s="94">
        <v>0.46405626166251457</v>
      </c>
      <c r="H777" s="330">
        <v>0.57215699096539963</v>
      </c>
      <c r="I777" s="330">
        <v>8.2996435996749388E-3</v>
      </c>
      <c r="J777" s="330">
        <v>8.8794178671507118E-5</v>
      </c>
      <c r="K777" s="330">
        <v>0.74871758182400838</v>
      </c>
      <c r="L777" s="332">
        <v>9171.0038218074151</v>
      </c>
      <c r="M777" s="330">
        <v>0</v>
      </c>
      <c r="N777" s="330">
        <v>16994.428286709917</v>
      </c>
      <c r="O777" s="330">
        <v>1080.8638728244605</v>
      </c>
      <c r="P777" s="330">
        <v>43759.637732868927</v>
      </c>
      <c r="Q777" s="333">
        <v>94848.50357552788</v>
      </c>
      <c r="R777" s="330">
        <v>25718.522842759943</v>
      </c>
      <c r="S777" s="330">
        <v>8012.2440608352599</v>
      </c>
      <c r="T777" s="332">
        <v>0.96661641462528447</v>
      </c>
      <c r="U777" s="330">
        <v>0.91981453098564603</v>
      </c>
      <c r="V777" s="330">
        <v>0.8521038864877668</v>
      </c>
      <c r="W777" s="330">
        <v>0.99980284197589864</v>
      </c>
      <c r="X777" s="330">
        <v>0.99963884837482431</v>
      </c>
      <c r="Y777" s="330">
        <v>0</v>
      </c>
      <c r="Z777" s="331">
        <v>0</v>
      </c>
      <c r="AA777" s="235"/>
      <c r="AB777" s="335">
        <v>77035.788702179387</v>
      </c>
      <c r="AC777" s="336">
        <v>4.7868666312390982</v>
      </c>
      <c r="AD777" s="337">
        <v>72016.166203792454</v>
      </c>
      <c r="AE777" s="336">
        <v>4.8498305844592018</v>
      </c>
      <c r="AF777" s="337">
        <v>5019.6224983869324</v>
      </c>
      <c r="AG777" s="338">
        <v>-6.2963953220103619E-2</v>
      </c>
      <c r="AH777" s="235"/>
      <c r="AI777" s="208">
        <f t="shared" si="80"/>
        <v>4470487.5109749632</v>
      </c>
      <c r="AJ777" s="208">
        <f t="shared" si="81"/>
        <v>4535322.8890324496</v>
      </c>
      <c r="AK777" s="208">
        <f t="shared" si="82"/>
        <v>-64835.378057485374</v>
      </c>
      <c r="AL777" s="235"/>
      <c r="AM777" s="52">
        <f t="shared" si="58"/>
        <v>0</v>
      </c>
      <c r="AN777" s="52">
        <f t="shared" si="59"/>
        <v>1</v>
      </c>
      <c r="AO777" s="52">
        <f t="shared" si="60"/>
        <v>0</v>
      </c>
      <c r="AP777" s="235"/>
      <c r="AQ777" s="28"/>
      <c r="AR777" s="28"/>
      <c r="AS777" s="28"/>
      <c r="AT777" s="28"/>
      <c r="AU777" s="235"/>
      <c r="AV777" s="360">
        <f t="shared" si="83"/>
        <v>4535322.8890324496</v>
      </c>
      <c r="AW777" s="235"/>
      <c r="AX777" s="355"/>
      <c r="AY777" s="344"/>
      <c r="AZ777" s="14">
        <f t="shared" si="85"/>
        <v>5019.6224983869324</v>
      </c>
      <c r="BA777" s="14">
        <f t="shared" si="84"/>
        <v>-6.2963953220103619E-2</v>
      </c>
      <c r="BB777" s="14">
        <f t="shared" si="61"/>
        <v>-79722.162311502208</v>
      </c>
      <c r="BC777" s="344"/>
      <c r="BD777" s="344"/>
      <c r="BE777" s="344"/>
      <c r="BF777" s="344"/>
      <c r="BG777" s="344"/>
      <c r="BH777" s="344"/>
      <c r="BI777" s="344"/>
      <c r="BJ777" s="344"/>
      <c r="BK777" s="344"/>
      <c r="BL777" s="344"/>
      <c r="BM777" s="344"/>
      <c r="BN777" s="344"/>
      <c r="BO777" s="344"/>
      <c r="BP777" s="344"/>
      <c r="BQ777" s="344"/>
      <c r="BR777" s="344"/>
      <c r="BS777" s="344"/>
      <c r="BT777" s="344"/>
      <c r="BU777" s="344"/>
      <c r="BV777" s="344"/>
      <c r="BW777" s="344"/>
      <c r="BX777" s="344"/>
      <c r="BY777" s="344"/>
      <c r="BZ777" s="344"/>
      <c r="CA777" s="344"/>
      <c r="CB777" s="28"/>
      <c r="CC777" s="28"/>
      <c r="CD777" s="28"/>
      <c r="CE777" s="28"/>
      <c r="CF777" s="28"/>
      <c r="CG777" s="28"/>
      <c r="CH777" s="28"/>
      <c r="CI777" s="28"/>
      <c r="CJ777" s="28"/>
      <c r="CK777" s="28"/>
      <c r="CL777" s="28"/>
      <c r="CM777" s="28"/>
      <c r="CN777" s="28"/>
      <c r="CO777" s="28"/>
      <c r="CP777" s="28"/>
      <c r="CQ777" s="28"/>
      <c r="CR777" s="28"/>
      <c r="CS777" s="28"/>
      <c r="CT777" s="28"/>
      <c r="CU777" s="28"/>
      <c r="CV777" s="28"/>
      <c r="CW777" s="28"/>
    </row>
    <row r="778" spans="1:101" ht="14.25" customHeight="1" x14ac:dyDescent="0.2">
      <c r="A778" s="328"/>
      <c r="B778" s="52">
        <v>0.1232396822454833</v>
      </c>
      <c r="C778" s="330">
        <v>4.566272583841819E-2</v>
      </c>
      <c r="D778" s="330">
        <v>7.0131880175652566E-3</v>
      </c>
      <c r="E778" s="330">
        <v>7.7774907289871326E-3</v>
      </c>
      <c r="F778" s="331">
        <v>0.81164763512785609</v>
      </c>
      <c r="G778" s="94">
        <v>0.46211191431848864</v>
      </c>
      <c r="H778" s="330">
        <v>0.7894367514617685</v>
      </c>
      <c r="I778" s="330">
        <v>1.1844786412439532E-2</v>
      </c>
      <c r="J778" s="330">
        <v>1</v>
      </c>
      <c r="K778" s="330">
        <v>0.72549075703734367</v>
      </c>
      <c r="L778" s="332">
        <v>8556.271634416411</v>
      </c>
      <c r="M778" s="330">
        <v>0</v>
      </c>
      <c r="N778" s="330">
        <v>20179.71943865667</v>
      </c>
      <c r="O778" s="330">
        <v>814.20390929027815</v>
      </c>
      <c r="P778" s="330">
        <v>46304.756854819832</v>
      </c>
      <c r="Q778" s="333">
        <v>140216.21886254047</v>
      </c>
      <c r="R778" s="330">
        <v>20723.43619195159</v>
      </c>
      <c r="S778" s="330">
        <v>6654.834672635674</v>
      </c>
      <c r="T778" s="332">
        <v>0.87773369034436077</v>
      </c>
      <c r="U778" s="330">
        <v>0.97294474559334021</v>
      </c>
      <c r="V778" s="330">
        <v>0.9951408108561669</v>
      </c>
      <c r="W778" s="330">
        <v>0.48171237685337648</v>
      </c>
      <c r="X778" s="330">
        <v>0.74837674296396406</v>
      </c>
      <c r="Y778" s="330">
        <v>0</v>
      </c>
      <c r="Z778" s="331">
        <v>0</v>
      </c>
      <c r="AA778" s="235"/>
      <c r="AB778" s="335">
        <v>66858.337212962215</v>
      </c>
      <c r="AC778" s="336">
        <v>3.8073209036563238</v>
      </c>
      <c r="AD778" s="337">
        <v>60793.974256858688</v>
      </c>
      <c r="AE778" s="336">
        <v>3.4499004535208426</v>
      </c>
      <c r="AF778" s="337">
        <v>6064.3629561035268</v>
      </c>
      <c r="AG778" s="338">
        <v>0.35742045013548118</v>
      </c>
      <c r="AH778" s="235"/>
      <c r="AI778" s="208">
        <f t="shared" si="80"/>
        <v>3550096.5212605456</v>
      </c>
      <c r="AJ778" s="208">
        <f t="shared" si="81"/>
        <v>3216611.4565879419</v>
      </c>
      <c r="AK778" s="208">
        <f t="shared" si="82"/>
        <v>333485.06467260362</v>
      </c>
      <c r="AL778" s="235"/>
      <c r="AM778" s="52">
        <f t="shared" si="58"/>
        <v>1</v>
      </c>
      <c r="AN778" s="52">
        <f t="shared" si="59"/>
        <v>0</v>
      </c>
      <c r="AO778" s="52">
        <f t="shared" si="60"/>
        <v>1</v>
      </c>
      <c r="AP778" s="235"/>
      <c r="AQ778" s="28"/>
      <c r="AR778" s="28"/>
      <c r="AS778" s="28"/>
      <c r="AT778" s="28"/>
      <c r="AU778" s="235"/>
      <c r="AV778" s="360">
        <f t="shared" si="83"/>
        <v>3550096.5212605456</v>
      </c>
      <c r="AW778" s="235"/>
      <c r="AX778" s="355"/>
      <c r="AY778" s="344"/>
      <c r="AZ778" s="14">
        <f t="shared" si="85"/>
        <v>6064.3629561035268</v>
      </c>
      <c r="BA778" s="14">
        <f t="shared" si="84"/>
        <v>0.35742045013548118</v>
      </c>
      <c r="BB778" s="14">
        <f t="shared" si="61"/>
        <v>16967.028478098593</v>
      </c>
      <c r="BC778" s="344"/>
      <c r="BD778" s="344"/>
      <c r="BE778" s="344"/>
      <c r="BF778" s="344"/>
      <c r="BG778" s="344"/>
      <c r="BH778" s="344"/>
      <c r="BI778" s="344"/>
      <c r="BJ778" s="344"/>
      <c r="BK778" s="344"/>
      <c r="BL778" s="344"/>
      <c r="BM778" s="344"/>
      <c r="BN778" s="344"/>
      <c r="BO778" s="344"/>
      <c r="BP778" s="344"/>
      <c r="BQ778" s="344"/>
      <c r="BR778" s="344"/>
      <c r="BS778" s="344"/>
      <c r="BT778" s="344"/>
      <c r="BU778" s="344"/>
      <c r="BV778" s="344"/>
      <c r="BW778" s="344"/>
      <c r="BX778" s="344"/>
      <c r="BY778" s="344"/>
      <c r="BZ778" s="344"/>
      <c r="CA778" s="344"/>
      <c r="CB778" s="28"/>
      <c r="CC778" s="28"/>
      <c r="CD778" s="28"/>
      <c r="CE778" s="28"/>
      <c r="CF778" s="28"/>
      <c r="CG778" s="28"/>
      <c r="CH778" s="28"/>
      <c r="CI778" s="28"/>
      <c r="CJ778" s="28"/>
      <c r="CK778" s="28"/>
      <c r="CL778" s="28"/>
      <c r="CM778" s="28"/>
      <c r="CN778" s="28"/>
      <c r="CO778" s="28"/>
      <c r="CP778" s="28"/>
      <c r="CQ778" s="28"/>
      <c r="CR778" s="28"/>
      <c r="CS778" s="28"/>
      <c r="CT778" s="28"/>
      <c r="CU778" s="28"/>
      <c r="CV778" s="28"/>
      <c r="CW778" s="28"/>
    </row>
    <row r="779" spans="1:101" ht="14.25" customHeight="1" x14ac:dyDescent="0.2">
      <c r="A779" s="328"/>
      <c r="B779" s="52">
        <v>0.14298839582444473</v>
      </c>
      <c r="C779" s="330">
        <v>0.65222996457222582</v>
      </c>
      <c r="D779" s="330">
        <v>1.1361003172371022E-2</v>
      </c>
      <c r="E779" s="330">
        <v>8.766815780339287E-3</v>
      </c>
      <c r="F779" s="331">
        <v>0.78824165968316384</v>
      </c>
      <c r="G779" s="94">
        <v>0.43013674072287955</v>
      </c>
      <c r="H779" s="330">
        <v>0.15170958804159018</v>
      </c>
      <c r="I779" s="330">
        <v>7.749763516725721E-3</v>
      </c>
      <c r="J779" s="330">
        <v>0.99999943221691168</v>
      </c>
      <c r="K779" s="330">
        <v>0.76112423009968255</v>
      </c>
      <c r="L779" s="332">
        <v>11848.576622969826</v>
      </c>
      <c r="M779" s="330">
        <v>0</v>
      </c>
      <c r="N779" s="330">
        <v>14845.813289873235</v>
      </c>
      <c r="O779" s="330">
        <v>1035.4877969041117</v>
      </c>
      <c r="P779" s="330">
        <v>38074.691328900881</v>
      </c>
      <c r="Q779" s="333">
        <v>74898.461054194864</v>
      </c>
      <c r="R779" s="330">
        <v>27188.989653631288</v>
      </c>
      <c r="S779" s="330">
        <v>9489.4664987552969</v>
      </c>
      <c r="T779" s="332">
        <v>0.86721356283605699</v>
      </c>
      <c r="U779" s="330">
        <v>0.45850614949544971</v>
      </c>
      <c r="V779" s="330">
        <v>0.27987252241123356</v>
      </c>
      <c r="W779" s="330">
        <v>8.4026675679503657E-2</v>
      </c>
      <c r="X779" s="330">
        <v>0.51800703401987003</v>
      </c>
      <c r="Y779" s="330">
        <v>0</v>
      </c>
      <c r="Z779" s="331">
        <v>0</v>
      </c>
      <c r="AA779" s="235"/>
      <c r="AB779" s="335">
        <v>94924.278823430432</v>
      </c>
      <c r="AC779" s="336">
        <v>2.5922828766169355</v>
      </c>
      <c r="AD779" s="337">
        <v>80199.151161634683</v>
      </c>
      <c r="AE779" s="336">
        <v>2.480723317450614</v>
      </c>
      <c r="AF779" s="337">
        <v>14725.127661795748</v>
      </c>
      <c r="AG779" s="338">
        <v>0.11155955916632143</v>
      </c>
      <c r="AH779" s="235"/>
      <c r="AI779" s="208">
        <f t="shared" si="80"/>
        <v>2367744.4539626581</v>
      </c>
      <c r="AJ779" s="208">
        <f t="shared" si="81"/>
        <v>2276488.0004164483</v>
      </c>
      <c r="AK779" s="208">
        <f t="shared" si="82"/>
        <v>91256.45354620961</v>
      </c>
      <c r="AL779" s="235"/>
      <c r="AM779" s="52">
        <f t="shared" ref="AM779:AM1013" si="86">IF(MAX(AI779:AJ779)=AI779,1,0)</f>
        <v>1</v>
      </c>
      <c r="AN779" s="52">
        <f t="shared" ref="AN779:AN1013" si="87">IF(MAX(AI779:AJ779)=AJ779,1,0)</f>
        <v>0</v>
      </c>
      <c r="AO779" s="52">
        <f t="shared" ref="AO779:AO1013" si="88">IF(AK779&gt;0,1,0)</f>
        <v>1</v>
      </c>
      <c r="AP779" s="235"/>
      <c r="AQ779" s="28"/>
      <c r="AR779" s="28"/>
      <c r="AS779" s="28"/>
      <c r="AT779" s="28"/>
      <c r="AU779" s="235"/>
      <c r="AV779" s="360">
        <f t="shared" si="83"/>
        <v>2367744.4539626581</v>
      </c>
      <c r="AW779" s="235"/>
      <c r="AX779" s="355"/>
      <c r="AY779" s="344"/>
      <c r="AZ779" s="14">
        <f t="shared" si="85"/>
        <v>14725.127661795748</v>
      </c>
      <c r="BA779" s="14">
        <f t="shared" si="84"/>
        <v>0.11155955916632143</v>
      </c>
      <c r="BB779" s="14">
        <f t="shared" ref="BB779:BB1013" si="89">AZ779/BA779</f>
        <v>131993.41922678641</v>
      </c>
      <c r="BC779" s="344"/>
      <c r="BD779" s="344"/>
      <c r="BE779" s="344"/>
      <c r="BF779" s="344"/>
      <c r="BG779" s="344"/>
      <c r="BH779" s="344"/>
      <c r="BI779" s="344"/>
      <c r="BJ779" s="344"/>
      <c r="BK779" s="344"/>
      <c r="BL779" s="344"/>
      <c r="BM779" s="344"/>
      <c r="BN779" s="344"/>
      <c r="BO779" s="344"/>
      <c r="BP779" s="344"/>
      <c r="BQ779" s="344"/>
      <c r="BR779" s="344"/>
      <c r="BS779" s="344"/>
      <c r="BT779" s="344"/>
      <c r="BU779" s="344"/>
      <c r="BV779" s="344"/>
      <c r="BW779" s="344"/>
      <c r="BX779" s="344"/>
      <c r="BY779" s="344"/>
      <c r="BZ779" s="344"/>
      <c r="CA779" s="344"/>
      <c r="CB779" s="28"/>
      <c r="CC779" s="28"/>
      <c r="CD779" s="28"/>
      <c r="CE779" s="28"/>
      <c r="CF779" s="28"/>
      <c r="CG779" s="28"/>
      <c r="CH779" s="28"/>
      <c r="CI779" s="28"/>
      <c r="CJ779" s="28"/>
      <c r="CK779" s="28"/>
      <c r="CL779" s="28"/>
      <c r="CM779" s="28"/>
      <c r="CN779" s="28"/>
      <c r="CO779" s="28"/>
      <c r="CP779" s="28"/>
      <c r="CQ779" s="28"/>
      <c r="CR779" s="28"/>
      <c r="CS779" s="28"/>
      <c r="CT779" s="28"/>
      <c r="CU779" s="28"/>
      <c r="CV779" s="28"/>
      <c r="CW779" s="28"/>
    </row>
    <row r="780" spans="1:101" ht="14.25" customHeight="1" x14ac:dyDescent="0.2">
      <c r="A780" s="328"/>
      <c r="B780" s="52">
        <v>0.18516856927888914</v>
      </c>
      <c r="C780" s="330">
        <v>0.76891993283199889</v>
      </c>
      <c r="D780" s="330">
        <v>1.0296509184200813E-2</v>
      </c>
      <c r="E780" s="330">
        <v>2.2442744355293476E-2</v>
      </c>
      <c r="F780" s="331">
        <v>0.82074846046163263</v>
      </c>
      <c r="G780" s="94">
        <v>0.38750395970143803</v>
      </c>
      <c r="H780" s="330">
        <v>4.7605887700004616E-2</v>
      </c>
      <c r="I780" s="330">
        <v>3.8766507796193839E-2</v>
      </c>
      <c r="J780" s="330">
        <v>0.89634134952374167</v>
      </c>
      <c r="K780" s="330">
        <v>0.78553149723275884</v>
      </c>
      <c r="L780" s="332">
        <v>14692.607475799714</v>
      </c>
      <c r="M780" s="330">
        <v>0</v>
      </c>
      <c r="N780" s="330">
        <v>14385.804898717597</v>
      </c>
      <c r="O780" s="330">
        <v>1136.2253306176201</v>
      </c>
      <c r="P780" s="330">
        <v>45819.565508085412</v>
      </c>
      <c r="Q780" s="333">
        <v>80315.958056240954</v>
      </c>
      <c r="R780" s="330">
        <v>26808.857691941594</v>
      </c>
      <c r="S780" s="330">
        <v>10779.075303564359</v>
      </c>
      <c r="T780" s="332">
        <v>0.87521132409229907</v>
      </c>
      <c r="U780" s="330">
        <v>8.2887135886710303E-2</v>
      </c>
      <c r="V780" s="330">
        <v>0.96114768441285725</v>
      </c>
      <c r="W780" s="330">
        <v>0.93297652191993274</v>
      </c>
      <c r="X780" s="330">
        <v>0.25314239315989689</v>
      </c>
      <c r="Y780" s="330">
        <v>0</v>
      </c>
      <c r="Z780" s="331">
        <v>0</v>
      </c>
      <c r="AA780" s="235"/>
      <c r="AB780" s="335">
        <v>113813.97779622355</v>
      </c>
      <c r="AC780" s="336">
        <v>1.4966598301344449</v>
      </c>
      <c r="AD780" s="337">
        <v>94107.114327860705</v>
      </c>
      <c r="AE780" s="336">
        <v>1.2108067468204979</v>
      </c>
      <c r="AF780" s="337">
        <v>19706.863468362848</v>
      </c>
      <c r="AG780" s="338">
        <v>0.28585308331394699</v>
      </c>
      <c r="AH780" s="235"/>
      <c r="AI780" s="208">
        <f t="shared" si="80"/>
        <v>1308012.8608314991</v>
      </c>
      <c r="AJ780" s="208">
        <f t="shared" si="81"/>
        <v>1056159.2951516123</v>
      </c>
      <c r="AK780" s="208">
        <f t="shared" si="82"/>
        <v>251853.56567988679</v>
      </c>
      <c r="AL780" s="235"/>
      <c r="AM780" s="52">
        <f t="shared" si="86"/>
        <v>1</v>
      </c>
      <c r="AN780" s="52">
        <f t="shared" si="87"/>
        <v>0</v>
      </c>
      <c r="AO780" s="52">
        <f t="shared" si="88"/>
        <v>1</v>
      </c>
      <c r="AP780" s="235"/>
      <c r="AQ780" s="28"/>
      <c r="AR780" s="28"/>
      <c r="AS780" s="28"/>
      <c r="AT780" s="28"/>
      <c r="AU780" s="235"/>
      <c r="AV780" s="360">
        <f t="shared" si="83"/>
        <v>1308012.8608314991</v>
      </c>
      <c r="AW780" s="235"/>
      <c r="AX780" s="355"/>
      <c r="AY780" s="344"/>
      <c r="AZ780" s="14">
        <f t="shared" si="85"/>
        <v>19706.863468362848</v>
      </c>
      <c r="BA780" s="14">
        <f t="shared" si="84"/>
        <v>0.28585308331394699</v>
      </c>
      <c r="BB780" s="14">
        <f t="shared" si="89"/>
        <v>68940.531408294017</v>
      </c>
      <c r="BC780" s="344"/>
      <c r="BD780" s="344"/>
      <c r="BE780" s="344"/>
      <c r="BF780" s="344"/>
      <c r="BG780" s="344"/>
      <c r="BH780" s="344"/>
      <c r="BI780" s="344"/>
      <c r="BJ780" s="344"/>
      <c r="BK780" s="344"/>
      <c r="BL780" s="344"/>
      <c r="BM780" s="344"/>
      <c r="BN780" s="344"/>
      <c r="BO780" s="344"/>
      <c r="BP780" s="344"/>
      <c r="BQ780" s="344"/>
      <c r="BR780" s="344"/>
      <c r="BS780" s="344"/>
      <c r="BT780" s="344"/>
      <c r="BU780" s="344"/>
      <c r="BV780" s="344"/>
      <c r="BW780" s="344"/>
      <c r="BX780" s="344"/>
      <c r="BY780" s="344"/>
      <c r="BZ780" s="344"/>
      <c r="CA780" s="344"/>
      <c r="CB780" s="28"/>
      <c r="CC780" s="28"/>
      <c r="CD780" s="28"/>
      <c r="CE780" s="28"/>
      <c r="CF780" s="28"/>
      <c r="CG780" s="28"/>
      <c r="CH780" s="28"/>
      <c r="CI780" s="28"/>
      <c r="CJ780" s="28"/>
      <c r="CK780" s="28"/>
      <c r="CL780" s="28"/>
      <c r="CM780" s="28"/>
      <c r="CN780" s="28"/>
      <c r="CO780" s="28"/>
      <c r="CP780" s="28"/>
      <c r="CQ780" s="28"/>
      <c r="CR780" s="28"/>
      <c r="CS780" s="28"/>
      <c r="CT780" s="28"/>
      <c r="CU780" s="28"/>
      <c r="CV780" s="28"/>
      <c r="CW780" s="28"/>
    </row>
    <row r="781" spans="1:101" ht="14.25" customHeight="1" x14ac:dyDescent="0.2">
      <c r="A781" s="328"/>
      <c r="B781" s="52">
        <v>0.15450183089190977</v>
      </c>
      <c r="C781" s="330">
        <v>0.88967631621420962</v>
      </c>
      <c r="D781" s="330">
        <v>3.5609176081838889E-2</v>
      </c>
      <c r="E781" s="330">
        <v>1.3466636942968548E-2</v>
      </c>
      <c r="F781" s="331">
        <v>0.78711985784015093</v>
      </c>
      <c r="G781" s="94">
        <v>0.34649443062664087</v>
      </c>
      <c r="H781" s="330">
        <v>0.10166884339182443</v>
      </c>
      <c r="I781" s="330">
        <v>1.6434729108311008E-2</v>
      </c>
      <c r="J781" s="330">
        <v>0.99999966613392166</v>
      </c>
      <c r="K781" s="330">
        <v>0.81013930342076912</v>
      </c>
      <c r="L781" s="332">
        <v>9249.9761581510811</v>
      </c>
      <c r="M781" s="330">
        <v>0</v>
      </c>
      <c r="N781" s="330">
        <v>16196.221664699409</v>
      </c>
      <c r="O781" s="330">
        <v>1291.9614840678369</v>
      </c>
      <c r="P781" s="330">
        <v>47470.441921637139</v>
      </c>
      <c r="Q781" s="333">
        <v>91709.775430593611</v>
      </c>
      <c r="R781" s="330">
        <v>25065.617533936245</v>
      </c>
      <c r="S781" s="330">
        <v>10365.251679028292</v>
      </c>
      <c r="T781" s="332">
        <v>0.97785565146011977</v>
      </c>
      <c r="U781" s="330">
        <v>0.92385968989417044</v>
      </c>
      <c r="V781" s="330">
        <v>0.97045543806501711</v>
      </c>
      <c r="W781" s="330">
        <v>0.99999985661008706</v>
      </c>
      <c r="X781" s="330">
        <v>0.27009661710560529</v>
      </c>
      <c r="Y781" s="330">
        <v>0</v>
      </c>
      <c r="Z781" s="331">
        <v>0</v>
      </c>
      <c r="AA781" s="235"/>
      <c r="AB781" s="335">
        <v>100957.14427138558</v>
      </c>
      <c r="AC781" s="336">
        <v>1.7379378190195913</v>
      </c>
      <c r="AD781" s="337">
        <v>92441.281251905195</v>
      </c>
      <c r="AE781" s="336">
        <v>1.3869186334898755</v>
      </c>
      <c r="AF781" s="337">
        <v>8515.8630194803845</v>
      </c>
      <c r="AG781" s="338">
        <v>0.35101918552971578</v>
      </c>
      <c r="AH781" s="235"/>
      <c r="AI781" s="208">
        <f t="shared" si="80"/>
        <v>1550083.7837972261</v>
      </c>
      <c r="AJ781" s="208">
        <f t="shared" si="81"/>
        <v>1225131.4205634766</v>
      </c>
      <c r="AK781" s="208">
        <f t="shared" si="82"/>
        <v>324952.36323374964</v>
      </c>
      <c r="AL781" s="235"/>
      <c r="AM781" s="52">
        <f t="shared" si="86"/>
        <v>1</v>
      </c>
      <c r="AN781" s="52">
        <f t="shared" si="87"/>
        <v>0</v>
      </c>
      <c r="AO781" s="52">
        <f t="shared" si="88"/>
        <v>1</v>
      </c>
      <c r="AP781" s="235"/>
      <c r="AQ781" s="28"/>
      <c r="AR781" s="28"/>
      <c r="AS781" s="28"/>
      <c r="AT781" s="28"/>
      <c r="AU781" s="235"/>
      <c r="AV781" s="360">
        <f t="shared" si="83"/>
        <v>1550083.7837972261</v>
      </c>
      <c r="AW781" s="235"/>
      <c r="AX781" s="355"/>
      <c r="AY781" s="344"/>
      <c r="AZ781" s="14">
        <f t="shared" si="85"/>
        <v>8515.8630194803845</v>
      </c>
      <c r="BA781" s="14">
        <f t="shared" si="84"/>
        <v>0.35101918552971578</v>
      </c>
      <c r="BB781" s="14">
        <f t="shared" si="89"/>
        <v>24260.391940199144</v>
      </c>
      <c r="BC781" s="344"/>
      <c r="BD781" s="344"/>
      <c r="BE781" s="344"/>
      <c r="BF781" s="344"/>
      <c r="BG781" s="344"/>
      <c r="BH781" s="344"/>
      <c r="BI781" s="344"/>
      <c r="BJ781" s="344"/>
      <c r="BK781" s="344"/>
      <c r="BL781" s="344"/>
      <c r="BM781" s="344"/>
      <c r="BN781" s="344"/>
      <c r="BO781" s="344"/>
      <c r="BP781" s="344"/>
      <c r="BQ781" s="344"/>
      <c r="BR781" s="344"/>
      <c r="BS781" s="344"/>
      <c r="BT781" s="344"/>
      <c r="BU781" s="344"/>
      <c r="BV781" s="344"/>
      <c r="BW781" s="344"/>
      <c r="BX781" s="344"/>
      <c r="BY781" s="344"/>
      <c r="BZ781" s="344"/>
      <c r="CA781" s="344"/>
      <c r="CB781" s="28"/>
      <c r="CC781" s="28"/>
      <c r="CD781" s="28"/>
      <c r="CE781" s="28"/>
      <c r="CF781" s="28"/>
      <c r="CG781" s="28"/>
      <c r="CH781" s="28"/>
      <c r="CI781" s="28"/>
      <c r="CJ781" s="28"/>
      <c r="CK781" s="28"/>
      <c r="CL781" s="28"/>
      <c r="CM781" s="28"/>
      <c r="CN781" s="28"/>
      <c r="CO781" s="28"/>
      <c r="CP781" s="28"/>
      <c r="CQ781" s="28"/>
      <c r="CR781" s="28"/>
      <c r="CS781" s="28"/>
      <c r="CT781" s="28"/>
      <c r="CU781" s="28"/>
      <c r="CV781" s="28"/>
      <c r="CW781" s="28"/>
    </row>
    <row r="782" spans="1:101" ht="14.25" customHeight="1" x14ac:dyDescent="0.2">
      <c r="A782" s="328"/>
      <c r="B782" s="52">
        <v>0.16928819229912917</v>
      </c>
      <c r="C782" s="330">
        <v>0.40910200040932698</v>
      </c>
      <c r="D782" s="330">
        <v>6.8776191770693919E-3</v>
      </c>
      <c r="E782" s="330">
        <v>1.8574766299669365E-2</v>
      </c>
      <c r="F782" s="331">
        <v>0.7856722216208315</v>
      </c>
      <c r="G782" s="94">
        <v>0.36283121383195432</v>
      </c>
      <c r="H782" s="330">
        <v>3.9962743968789897E-2</v>
      </c>
      <c r="I782" s="330">
        <v>1.3705488615344997E-2</v>
      </c>
      <c r="J782" s="330">
        <v>0.36734327486842633</v>
      </c>
      <c r="K782" s="330">
        <v>0.7564353012947358</v>
      </c>
      <c r="L782" s="332">
        <v>12721.949464602278</v>
      </c>
      <c r="M782" s="330">
        <v>0</v>
      </c>
      <c r="N782" s="330">
        <v>21181.686795690359</v>
      </c>
      <c r="O782" s="330">
        <v>1184.1701203327755</v>
      </c>
      <c r="P782" s="330">
        <v>47502.647776421538</v>
      </c>
      <c r="Q782" s="333">
        <v>74984.095740190969</v>
      </c>
      <c r="R782" s="330">
        <v>32828.813620503926</v>
      </c>
      <c r="S782" s="330">
        <v>8019.7442117805176</v>
      </c>
      <c r="T782" s="332">
        <v>0.99936008164430623</v>
      </c>
      <c r="U782" s="330">
        <v>0.95846496356723287</v>
      </c>
      <c r="V782" s="330">
        <v>0.23894486019117236</v>
      </c>
      <c r="W782" s="330">
        <v>1.4635523112862141E-2</v>
      </c>
      <c r="X782" s="330">
        <v>0.87947417178344056</v>
      </c>
      <c r="Y782" s="330">
        <v>0</v>
      </c>
      <c r="Z782" s="331">
        <v>0</v>
      </c>
      <c r="AA782" s="235"/>
      <c r="AB782" s="335">
        <v>82901.112222185911</v>
      </c>
      <c r="AC782" s="336">
        <v>4.1774288571743323</v>
      </c>
      <c r="AD782" s="337">
        <v>66564.401749092765</v>
      </c>
      <c r="AE782" s="336">
        <v>4.409365052944989</v>
      </c>
      <c r="AF782" s="337">
        <v>16336.710473093146</v>
      </c>
      <c r="AG782" s="338">
        <v>-0.23193619577065672</v>
      </c>
      <c r="AH782" s="235"/>
      <c r="AI782" s="208">
        <f t="shared" ref="AI782:AI845" si="90">AC782*cRatio-AB782</f>
        <v>3885656.30209343</v>
      </c>
      <c r="AJ782" s="208">
        <f t="shared" ref="AJ782:AJ845" si="91">AE782*cRatio-AD782</f>
        <v>4122332.3985486468</v>
      </c>
      <c r="AK782" s="208">
        <f t="shared" ref="AK782:AK845" si="92">AG782*cRatio-AF782</f>
        <v>-236676.09645521702</v>
      </c>
      <c r="AL782" s="235"/>
      <c r="AM782" s="52">
        <f t="shared" si="86"/>
        <v>0</v>
      </c>
      <c r="AN782" s="52">
        <f t="shared" si="87"/>
        <v>1</v>
      </c>
      <c r="AO782" s="52">
        <f t="shared" si="88"/>
        <v>0</v>
      </c>
      <c r="AP782" s="235"/>
      <c r="AQ782" s="28"/>
      <c r="AR782" s="28"/>
      <c r="AS782" s="28"/>
      <c r="AT782" s="28"/>
      <c r="AU782" s="235"/>
      <c r="AV782" s="360">
        <f t="shared" si="83"/>
        <v>4122332.3985486468</v>
      </c>
      <c r="AW782" s="235"/>
      <c r="AX782" s="355"/>
      <c r="AY782" s="344"/>
      <c r="AZ782" s="14">
        <f t="shared" si="85"/>
        <v>16336.710473093146</v>
      </c>
      <c r="BA782" s="14">
        <f t="shared" si="84"/>
        <v>-0.23193619577065672</v>
      </c>
      <c r="BB782" s="14">
        <f t="shared" si="89"/>
        <v>-70436.226733869611</v>
      </c>
      <c r="BC782" s="344"/>
      <c r="BD782" s="344"/>
      <c r="BE782" s="344"/>
      <c r="BF782" s="344"/>
      <c r="BG782" s="344"/>
      <c r="BH782" s="344"/>
      <c r="BI782" s="344"/>
      <c r="BJ782" s="344"/>
      <c r="BK782" s="344"/>
      <c r="BL782" s="344"/>
      <c r="BM782" s="344"/>
      <c r="BN782" s="344"/>
      <c r="BO782" s="344"/>
      <c r="BP782" s="344"/>
      <c r="BQ782" s="344"/>
      <c r="BR782" s="344"/>
      <c r="BS782" s="344"/>
      <c r="BT782" s="344"/>
      <c r="BU782" s="344"/>
      <c r="BV782" s="344"/>
      <c r="BW782" s="344"/>
      <c r="BX782" s="344"/>
      <c r="BY782" s="344"/>
      <c r="BZ782" s="344"/>
      <c r="CA782" s="344"/>
      <c r="CB782" s="28"/>
      <c r="CC782" s="28"/>
      <c r="CD782" s="28"/>
      <c r="CE782" s="28"/>
      <c r="CF782" s="28"/>
      <c r="CG782" s="28"/>
      <c r="CH782" s="28"/>
      <c r="CI782" s="28"/>
      <c r="CJ782" s="28"/>
      <c r="CK782" s="28"/>
      <c r="CL782" s="28"/>
      <c r="CM782" s="28"/>
      <c r="CN782" s="28"/>
      <c r="CO782" s="28"/>
      <c r="CP782" s="28"/>
      <c r="CQ782" s="28"/>
      <c r="CR782" s="28"/>
      <c r="CS782" s="28"/>
      <c r="CT782" s="28"/>
      <c r="CU782" s="28"/>
      <c r="CV782" s="28"/>
      <c r="CW782" s="28"/>
    </row>
    <row r="783" spans="1:101" ht="14.25" customHeight="1" x14ac:dyDescent="0.2">
      <c r="A783" s="328"/>
      <c r="B783" s="52">
        <v>0.16515347358672272</v>
      </c>
      <c r="C783" s="330">
        <v>7.7183922873826361E-2</v>
      </c>
      <c r="D783" s="330">
        <v>1.0492793227832838E-2</v>
      </c>
      <c r="E783" s="330">
        <v>1.0826928348298017E-2</v>
      </c>
      <c r="F783" s="331">
        <v>0.81856256340853806</v>
      </c>
      <c r="G783" s="94">
        <v>0.43887703798026212</v>
      </c>
      <c r="H783" s="330">
        <v>0.41995934715920918</v>
      </c>
      <c r="I783" s="330">
        <v>2.6429878967566878E-2</v>
      </c>
      <c r="J783" s="330">
        <v>0.99998047118309041</v>
      </c>
      <c r="K783" s="330">
        <v>0.79949771393867275</v>
      </c>
      <c r="L783" s="332">
        <v>14209.983027795439</v>
      </c>
      <c r="M783" s="330">
        <v>0</v>
      </c>
      <c r="N783" s="330">
        <v>21964.173044799198</v>
      </c>
      <c r="O783" s="330">
        <v>1567.7139533178392</v>
      </c>
      <c r="P783" s="330">
        <v>47825.061858453206</v>
      </c>
      <c r="Q783" s="333">
        <v>120181.34382005734</v>
      </c>
      <c r="R783" s="330">
        <v>17843.760820761643</v>
      </c>
      <c r="S783" s="330">
        <v>6579.928235170094</v>
      </c>
      <c r="T783" s="332">
        <v>0.74736903566513657</v>
      </c>
      <c r="U783" s="330">
        <v>0.99733236342963982</v>
      </c>
      <c r="V783" s="330">
        <v>0.25219077832371911</v>
      </c>
      <c r="W783" s="330">
        <v>0.69036678098048376</v>
      </c>
      <c r="X783" s="330">
        <v>0.99084570603968247</v>
      </c>
      <c r="Y783" s="330">
        <v>0</v>
      </c>
      <c r="Z783" s="331">
        <v>0</v>
      </c>
      <c r="AA783" s="235"/>
      <c r="AB783" s="335">
        <v>72705.230006384983</v>
      </c>
      <c r="AC783" s="336">
        <v>4.9885492635165232</v>
      </c>
      <c r="AD783" s="337">
        <v>62562.539565295054</v>
      </c>
      <c r="AE783" s="336">
        <v>4.912577766221653</v>
      </c>
      <c r="AF783" s="337">
        <v>10142.69044108993</v>
      </c>
      <c r="AG783" s="338">
        <v>7.5971497294870183E-2</v>
      </c>
      <c r="AH783" s="235"/>
      <c r="AI783" s="208">
        <f t="shared" si="90"/>
        <v>4666416.5703343125</v>
      </c>
      <c r="AJ783" s="208">
        <f t="shared" si="91"/>
        <v>4604386.3383452753</v>
      </c>
      <c r="AK783" s="208">
        <f t="shared" si="92"/>
        <v>62030.231989036751</v>
      </c>
      <c r="AL783" s="235"/>
      <c r="AM783" s="52">
        <f t="shared" si="86"/>
        <v>1</v>
      </c>
      <c r="AN783" s="52">
        <f t="shared" si="87"/>
        <v>0</v>
      </c>
      <c r="AO783" s="52">
        <f t="shared" si="88"/>
        <v>1</v>
      </c>
      <c r="AP783" s="235"/>
      <c r="AQ783" s="28"/>
      <c r="AR783" s="28"/>
      <c r="AS783" s="28"/>
      <c r="AT783" s="28"/>
      <c r="AU783" s="235"/>
      <c r="AV783" s="360">
        <f t="shared" ref="AV783:AV846" si="93">MAX(AI783:AJ783)</f>
        <v>4666416.5703343125</v>
      </c>
      <c r="AW783" s="235"/>
      <c r="AX783" s="355"/>
      <c r="AY783" s="344"/>
      <c r="AZ783" s="14">
        <f t="shared" si="85"/>
        <v>10142.69044108993</v>
      </c>
      <c r="BA783" s="14">
        <f t="shared" ref="BA783:BA846" si="94">AG783</f>
        <v>7.5971497294870183E-2</v>
      </c>
      <c r="BB783" s="14">
        <f t="shared" si="89"/>
        <v>133506.52287031856</v>
      </c>
      <c r="BC783" s="344"/>
      <c r="BD783" s="344"/>
      <c r="BE783" s="344"/>
      <c r="BF783" s="344"/>
      <c r="BG783" s="344"/>
      <c r="BH783" s="344"/>
      <c r="BI783" s="344"/>
      <c r="BJ783" s="344"/>
      <c r="BK783" s="344"/>
      <c r="BL783" s="344"/>
      <c r="BM783" s="344"/>
      <c r="BN783" s="344"/>
      <c r="BO783" s="344"/>
      <c r="BP783" s="344"/>
      <c r="BQ783" s="344"/>
      <c r="BR783" s="344"/>
      <c r="BS783" s="344"/>
      <c r="BT783" s="344"/>
      <c r="BU783" s="344"/>
      <c r="BV783" s="344"/>
      <c r="BW783" s="344"/>
      <c r="BX783" s="344"/>
      <c r="BY783" s="344"/>
      <c r="BZ783" s="344"/>
      <c r="CA783" s="344"/>
      <c r="CB783" s="28"/>
      <c r="CC783" s="28"/>
      <c r="CD783" s="28"/>
      <c r="CE783" s="28"/>
      <c r="CF783" s="28"/>
      <c r="CG783" s="28"/>
      <c r="CH783" s="28"/>
      <c r="CI783" s="28"/>
      <c r="CJ783" s="28"/>
      <c r="CK783" s="28"/>
      <c r="CL783" s="28"/>
      <c r="CM783" s="28"/>
      <c r="CN783" s="28"/>
      <c r="CO783" s="28"/>
      <c r="CP783" s="28"/>
      <c r="CQ783" s="28"/>
      <c r="CR783" s="28"/>
      <c r="CS783" s="28"/>
      <c r="CT783" s="28"/>
      <c r="CU783" s="28"/>
      <c r="CV783" s="28"/>
      <c r="CW783" s="28"/>
    </row>
    <row r="784" spans="1:101" ht="14.25" customHeight="1" x14ac:dyDescent="0.2">
      <c r="A784" s="328"/>
      <c r="B784" s="52">
        <v>0.15918564363530124</v>
      </c>
      <c r="C784" s="330">
        <v>0.14436754493462794</v>
      </c>
      <c r="D784" s="330">
        <v>2.7942916248370642E-2</v>
      </c>
      <c r="E784" s="330">
        <v>4.1874599671302914E-2</v>
      </c>
      <c r="F784" s="331">
        <v>0.77079516355764222</v>
      </c>
      <c r="G784" s="94">
        <v>0.42908951831397368</v>
      </c>
      <c r="H784" s="330">
        <v>0.25373458615034056</v>
      </c>
      <c r="I784" s="330">
        <v>4.8045569664020404E-2</v>
      </c>
      <c r="J784" s="330">
        <v>3.8493291372084333E-3</v>
      </c>
      <c r="K784" s="330">
        <v>0.76181206299722415</v>
      </c>
      <c r="L784" s="332">
        <v>9180.4319384339997</v>
      </c>
      <c r="M784" s="330">
        <v>0</v>
      </c>
      <c r="N784" s="330">
        <v>24661.508010610491</v>
      </c>
      <c r="O784" s="330">
        <v>1357.1842257645076</v>
      </c>
      <c r="P784" s="330">
        <v>35764.261223630572</v>
      </c>
      <c r="Q784" s="333">
        <v>103478.58211279674</v>
      </c>
      <c r="R784" s="330">
        <v>25237.867663312143</v>
      </c>
      <c r="S784" s="330">
        <v>12909.612495473686</v>
      </c>
      <c r="T784" s="332">
        <v>0.99974968606672343</v>
      </c>
      <c r="U784" s="330">
        <v>0.99996640968112294</v>
      </c>
      <c r="V784" s="330">
        <v>0.8677664430455494</v>
      </c>
      <c r="W784" s="330">
        <v>0.82732351435895579</v>
      </c>
      <c r="X784" s="330">
        <v>0.43768885004952401</v>
      </c>
      <c r="Y784" s="330">
        <v>0</v>
      </c>
      <c r="Z784" s="331">
        <v>0</v>
      </c>
      <c r="AA784" s="235"/>
      <c r="AB784" s="335">
        <v>117230.92055674535</v>
      </c>
      <c r="AC784" s="336">
        <v>2.5534136808991246</v>
      </c>
      <c r="AD784" s="337">
        <v>110949.73751859747</v>
      </c>
      <c r="AE784" s="336">
        <v>2.4478516861955959</v>
      </c>
      <c r="AF784" s="337">
        <v>6281.1830381478794</v>
      </c>
      <c r="AG784" s="338">
        <v>0.10556199470352867</v>
      </c>
      <c r="AH784" s="235"/>
      <c r="AI784" s="208">
        <f t="shared" si="90"/>
        <v>2308512.0762974229</v>
      </c>
      <c r="AJ784" s="208">
        <f t="shared" si="91"/>
        <v>2214509.3643672187</v>
      </c>
      <c r="AK784" s="208">
        <f t="shared" si="92"/>
        <v>94002.711930204357</v>
      </c>
      <c r="AL784" s="235"/>
      <c r="AM784" s="52">
        <f t="shared" si="86"/>
        <v>1</v>
      </c>
      <c r="AN784" s="52">
        <f t="shared" si="87"/>
        <v>0</v>
      </c>
      <c r="AO784" s="52">
        <f t="shared" si="88"/>
        <v>1</v>
      </c>
      <c r="AP784" s="235"/>
      <c r="AQ784" s="28"/>
      <c r="AR784" s="28"/>
      <c r="AS784" s="28"/>
      <c r="AT784" s="28"/>
      <c r="AU784" s="235"/>
      <c r="AV784" s="360">
        <f t="shared" si="93"/>
        <v>2308512.0762974229</v>
      </c>
      <c r="AW784" s="235"/>
      <c r="AX784" s="355"/>
      <c r="AY784" s="344"/>
      <c r="AZ784" s="14">
        <f t="shared" ref="AZ784:AZ847" si="95">AF784</f>
        <v>6281.1830381478794</v>
      </c>
      <c r="BA784" s="14">
        <f t="shared" si="94"/>
        <v>0.10556199470352867</v>
      </c>
      <c r="BB784" s="14">
        <f t="shared" si="89"/>
        <v>59502.314784678041</v>
      </c>
      <c r="BC784" s="344"/>
      <c r="BD784" s="344"/>
      <c r="BE784" s="344"/>
      <c r="BF784" s="344"/>
      <c r="BG784" s="344"/>
      <c r="BH784" s="344"/>
      <c r="BI784" s="344"/>
      <c r="BJ784" s="344"/>
      <c r="BK784" s="344"/>
      <c r="BL784" s="344"/>
      <c r="BM784" s="344"/>
      <c r="BN784" s="344"/>
      <c r="BO784" s="344"/>
      <c r="BP784" s="344"/>
      <c r="BQ784" s="344"/>
      <c r="BR784" s="344"/>
      <c r="BS784" s="344"/>
      <c r="BT784" s="344"/>
      <c r="BU784" s="344"/>
      <c r="BV784" s="344"/>
      <c r="BW784" s="344"/>
      <c r="BX784" s="344"/>
      <c r="BY784" s="344"/>
      <c r="BZ784" s="344"/>
      <c r="CA784" s="344"/>
      <c r="CB784" s="28"/>
      <c r="CC784" s="28"/>
      <c r="CD784" s="28"/>
      <c r="CE784" s="28"/>
      <c r="CF784" s="28"/>
      <c r="CG784" s="28"/>
      <c r="CH784" s="28"/>
      <c r="CI784" s="28"/>
      <c r="CJ784" s="28"/>
      <c r="CK784" s="28"/>
      <c r="CL784" s="28"/>
      <c r="CM784" s="28"/>
      <c r="CN784" s="28"/>
      <c r="CO784" s="28"/>
      <c r="CP784" s="28"/>
      <c r="CQ784" s="28"/>
      <c r="CR784" s="28"/>
      <c r="CS784" s="28"/>
      <c r="CT784" s="28"/>
      <c r="CU784" s="28"/>
      <c r="CV784" s="28"/>
      <c r="CW784" s="28"/>
    </row>
    <row r="785" spans="1:101" ht="14.25" customHeight="1" x14ac:dyDescent="0.2">
      <c r="A785" s="328"/>
      <c r="B785" s="52">
        <v>0.17862104635004861</v>
      </c>
      <c r="C785" s="330">
        <v>0.71366173685472112</v>
      </c>
      <c r="D785" s="330">
        <v>1.2960565878730089E-2</v>
      </c>
      <c r="E785" s="330">
        <v>9.9657857103048527E-3</v>
      </c>
      <c r="F785" s="331">
        <v>0.79449690957533181</v>
      </c>
      <c r="G785" s="94">
        <v>0.37748289958366721</v>
      </c>
      <c r="H785" s="330">
        <v>0.9889541306219477</v>
      </c>
      <c r="I785" s="330">
        <v>1.5213805123405425E-2</v>
      </c>
      <c r="J785" s="330">
        <v>0.72089695751318017</v>
      </c>
      <c r="K785" s="330">
        <v>0.74846735934424025</v>
      </c>
      <c r="L785" s="332">
        <v>14278.97013484355</v>
      </c>
      <c r="M785" s="330">
        <v>0</v>
      </c>
      <c r="N785" s="330">
        <v>16840.036652141167</v>
      </c>
      <c r="O785" s="330">
        <v>1134.7761218865794</v>
      </c>
      <c r="P785" s="330">
        <v>53160.750839736691</v>
      </c>
      <c r="Q785" s="333">
        <v>72008.632812958196</v>
      </c>
      <c r="R785" s="330">
        <v>17619.27868914936</v>
      </c>
      <c r="S785" s="330">
        <v>9997.2056186267855</v>
      </c>
      <c r="T785" s="332">
        <v>0.69369195739187306</v>
      </c>
      <c r="U785" s="330">
        <v>0.99967190851322729</v>
      </c>
      <c r="V785" s="330">
        <v>0.34128765804608502</v>
      </c>
      <c r="W785" s="330">
        <v>0.99625693271158688</v>
      </c>
      <c r="X785" s="330">
        <v>0.85008968571784216</v>
      </c>
      <c r="Y785" s="330">
        <v>0</v>
      </c>
      <c r="Z785" s="331">
        <v>0</v>
      </c>
      <c r="AA785" s="235"/>
      <c r="AB785" s="335">
        <v>102131.47594626741</v>
      </c>
      <c r="AC785" s="336">
        <v>4.2292215716219781</v>
      </c>
      <c r="AD785" s="337">
        <v>87978.682842489405</v>
      </c>
      <c r="AE785" s="336">
        <v>3.958273138206247</v>
      </c>
      <c r="AF785" s="337">
        <v>14152.793103778007</v>
      </c>
      <c r="AG785" s="338">
        <v>0.27094843341573105</v>
      </c>
      <c r="AH785" s="235"/>
      <c r="AI785" s="208">
        <f t="shared" si="90"/>
        <v>3915629.0170946117</v>
      </c>
      <c r="AJ785" s="208">
        <f t="shared" si="91"/>
        <v>3672380.7984534455</v>
      </c>
      <c r="AK785" s="208">
        <f t="shared" si="92"/>
        <v>243248.21864116649</v>
      </c>
      <c r="AL785" s="235"/>
      <c r="AM785" s="52">
        <f t="shared" si="86"/>
        <v>1</v>
      </c>
      <c r="AN785" s="52">
        <f t="shared" si="87"/>
        <v>0</v>
      </c>
      <c r="AO785" s="52">
        <f t="shared" si="88"/>
        <v>1</v>
      </c>
      <c r="AP785" s="235"/>
      <c r="AQ785" s="28"/>
      <c r="AR785" s="28"/>
      <c r="AS785" s="28"/>
      <c r="AT785" s="28"/>
      <c r="AU785" s="235"/>
      <c r="AV785" s="360">
        <f t="shared" si="93"/>
        <v>3915629.0170946117</v>
      </c>
      <c r="AW785" s="235"/>
      <c r="AX785" s="355"/>
      <c r="AY785" s="344"/>
      <c r="AZ785" s="14">
        <f t="shared" si="95"/>
        <v>14152.793103778007</v>
      </c>
      <c r="BA785" s="14">
        <f t="shared" si="94"/>
        <v>0.27094843341573105</v>
      </c>
      <c r="BB785" s="14">
        <f t="shared" si="89"/>
        <v>52234.26806850217</v>
      </c>
      <c r="BC785" s="344"/>
      <c r="BD785" s="344"/>
      <c r="BE785" s="344"/>
      <c r="BF785" s="344"/>
      <c r="BG785" s="344"/>
      <c r="BH785" s="344"/>
      <c r="BI785" s="344"/>
      <c r="BJ785" s="344"/>
      <c r="BK785" s="344"/>
      <c r="BL785" s="344"/>
      <c r="BM785" s="344"/>
      <c r="BN785" s="344"/>
      <c r="BO785" s="344"/>
      <c r="BP785" s="344"/>
      <c r="BQ785" s="344"/>
      <c r="BR785" s="344"/>
      <c r="BS785" s="344"/>
      <c r="BT785" s="344"/>
      <c r="BU785" s="344"/>
      <c r="BV785" s="344"/>
      <c r="BW785" s="344"/>
      <c r="BX785" s="344"/>
      <c r="BY785" s="344"/>
      <c r="BZ785" s="344"/>
      <c r="CA785" s="344"/>
      <c r="CB785" s="28"/>
      <c r="CC785" s="28"/>
      <c r="CD785" s="28"/>
      <c r="CE785" s="28"/>
      <c r="CF785" s="28"/>
      <c r="CG785" s="28"/>
      <c r="CH785" s="28"/>
      <c r="CI785" s="28"/>
      <c r="CJ785" s="28"/>
      <c r="CK785" s="28"/>
      <c r="CL785" s="28"/>
      <c r="CM785" s="28"/>
      <c r="CN785" s="28"/>
      <c r="CO785" s="28"/>
      <c r="CP785" s="28"/>
      <c r="CQ785" s="28"/>
      <c r="CR785" s="28"/>
      <c r="CS785" s="28"/>
      <c r="CT785" s="28"/>
      <c r="CU785" s="28"/>
      <c r="CV785" s="28"/>
      <c r="CW785" s="28"/>
    </row>
    <row r="786" spans="1:101" ht="14.25" customHeight="1" x14ac:dyDescent="0.2">
      <c r="A786" s="328"/>
      <c r="B786" s="52">
        <v>0.13746780519344209</v>
      </c>
      <c r="C786" s="330">
        <v>2.1461665194518961E-3</v>
      </c>
      <c r="D786" s="330">
        <v>1.2860541518327023E-2</v>
      </c>
      <c r="E786" s="330">
        <v>1.9891541775724164E-2</v>
      </c>
      <c r="F786" s="331">
        <v>0.79369051160124027</v>
      </c>
      <c r="G786" s="94">
        <v>0.42232974767313258</v>
      </c>
      <c r="H786" s="330">
        <v>0.29346989354902608</v>
      </c>
      <c r="I786" s="330">
        <v>3.8650141711855768E-2</v>
      </c>
      <c r="J786" s="330">
        <v>0.47627721246150817</v>
      </c>
      <c r="K786" s="330">
        <v>0.80866407186930145</v>
      </c>
      <c r="L786" s="332">
        <v>13287.087053237805</v>
      </c>
      <c r="M786" s="330">
        <v>0</v>
      </c>
      <c r="N786" s="330">
        <v>15768.976079800754</v>
      </c>
      <c r="O786" s="330">
        <v>1267.6855913346037</v>
      </c>
      <c r="P786" s="330">
        <v>39345.824279814442</v>
      </c>
      <c r="Q786" s="333">
        <v>90916.046310485355</v>
      </c>
      <c r="R786" s="330">
        <v>24444.246902252125</v>
      </c>
      <c r="S786" s="330">
        <v>8269.1812097998609</v>
      </c>
      <c r="T786" s="332">
        <v>0.41643359267595181</v>
      </c>
      <c r="U786" s="330">
        <v>0.89480581607346887</v>
      </c>
      <c r="V786" s="330">
        <v>0.99546413968843872</v>
      </c>
      <c r="W786" s="330">
        <v>0.99865696304459983</v>
      </c>
      <c r="X786" s="330">
        <v>0.24520175832285504</v>
      </c>
      <c r="Y786" s="330">
        <v>0</v>
      </c>
      <c r="Z786" s="331">
        <v>0</v>
      </c>
      <c r="AA786" s="235"/>
      <c r="AB786" s="335">
        <v>84062.13667518794</v>
      </c>
      <c r="AC786" s="336">
        <v>1.2495042774206486</v>
      </c>
      <c r="AD786" s="337">
        <v>77120.933331423628</v>
      </c>
      <c r="AE786" s="336">
        <v>1.3291325673510728</v>
      </c>
      <c r="AF786" s="337">
        <v>6941.2033437643113</v>
      </c>
      <c r="AG786" s="338">
        <v>-7.9628289930424145E-2</v>
      </c>
      <c r="AH786" s="235"/>
      <c r="AI786" s="208">
        <f t="shared" si="90"/>
        <v>1102966.9268744283</v>
      </c>
      <c r="AJ786" s="208">
        <f t="shared" si="91"/>
        <v>1185555.0056520954</v>
      </c>
      <c r="AK786" s="208">
        <f t="shared" si="92"/>
        <v>-82588.078777667251</v>
      </c>
      <c r="AL786" s="235"/>
      <c r="AM786" s="52">
        <f t="shared" si="86"/>
        <v>0</v>
      </c>
      <c r="AN786" s="52">
        <f t="shared" si="87"/>
        <v>1</v>
      </c>
      <c r="AO786" s="52">
        <f t="shared" si="88"/>
        <v>0</v>
      </c>
      <c r="AP786" s="235"/>
      <c r="AQ786" s="28"/>
      <c r="AR786" s="28"/>
      <c r="AS786" s="28"/>
      <c r="AT786" s="28"/>
      <c r="AU786" s="235"/>
      <c r="AV786" s="360">
        <f t="shared" si="93"/>
        <v>1185555.0056520954</v>
      </c>
      <c r="AW786" s="235"/>
      <c r="AX786" s="355"/>
      <c r="AY786" s="344"/>
      <c r="AZ786" s="14">
        <f t="shared" si="95"/>
        <v>6941.2033437643113</v>
      </c>
      <c r="BA786" s="14">
        <f t="shared" si="94"/>
        <v>-7.9628289930424145E-2</v>
      </c>
      <c r="BB786" s="14">
        <f t="shared" si="89"/>
        <v>-87170.066691489206</v>
      </c>
      <c r="BC786" s="344"/>
      <c r="BD786" s="344"/>
      <c r="BE786" s="344"/>
      <c r="BF786" s="344"/>
      <c r="BG786" s="344"/>
      <c r="BH786" s="344"/>
      <c r="BI786" s="344"/>
      <c r="BJ786" s="344"/>
      <c r="BK786" s="344"/>
      <c r="BL786" s="344"/>
      <c r="BM786" s="344"/>
      <c r="BN786" s="344"/>
      <c r="BO786" s="344"/>
      <c r="BP786" s="344"/>
      <c r="BQ786" s="344"/>
      <c r="BR786" s="344"/>
      <c r="BS786" s="344"/>
      <c r="BT786" s="344"/>
      <c r="BU786" s="344"/>
      <c r="BV786" s="344"/>
      <c r="BW786" s="344"/>
      <c r="BX786" s="344"/>
      <c r="BY786" s="344"/>
      <c r="BZ786" s="344"/>
      <c r="CA786" s="344"/>
      <c r="CB786" s="28"/>
      <c r="CC786" s="28"/>
      <c r="CD786" s="28"/>
      <c r="CE786" s="28"/>
      <c r="CF786" s="28"/>
      <c r="CG786" s="28"/>
      <c r="CH786" s="28"/>
      <c r="CI786" s="28"/>
      <c r="CJ786" s="28"/>
      <c r="CK786" s="28"/>
      <c r="CL786" s="28"/>
      <c r="CM786" s="28"/>
      <c r="CN786" s="28"/>
      <c r="CO786" s="28"/>
      <c r="CP786" s="28"/>
      <c r="CQ786" s="28"/>
      <c r="CR786" s="28"/>
      <c r="CS786" s="28"/>
      <c r="CT786" s="28"/>
      <c r="CU786" s="28"/>
      <c r="CV786" s="28"/>
      <c r="CW786" s="28"/>
    </row>
    <row r="787" spans="1:101" ht="14.25" customHeight="1" x14ac:dyDescent="0.2">
      <c r="A787" s="328"/>
      <c r="B787" s="52">
        <v>0.15831760348394414</v>
      </c>
      <c r="C787" s="330">
        <v>0.47927447130114431</v>
      </c>
      <c r="D787" s="330">
        <v>2.495926222101974E-2</v>
      </c>
      <c r="E787" s="330">
        <v>6.5155092039689408E-3</v>
      </c>
      <c r="F787" s="331">
        <v>0.79615665170537864</v>
      </c>
      <c r="G787" s="94">
        <v>0.45027867949642342</v>
      </c>
      <c r="H787" s="330">
        <v>0.45337780649339615</v>
      </c>
      <c r="I787" s="330">
        <v>2.8971315976133893E-2</v>
      </c>
      <c r="J787" s="330">
        <v>0.99999991323663706</v>
      </c>
      <c r="K787" s="330">
        <v>0.74339617858189921</v>
      </c>
      <c r="L787" s="332">
        <v>11148.946526016045</v>
      </c>
      <c r="M787" s="330">
        <v>0</v>
      </c>
      <c r="N787" s="330">
        <v>13337.294748044375</v>
      </c>
      <c r="O787" s="330">
        <v>1534.4541407863378</v>
      </c>
      <c r="P787" s="330">
        <v>44170.782874516924</v>
      </c>
      <c r="Q787" s="333">
        <v>108428.90047908586</v>
      </c>
      <c r="R787" s="330">
        <v>18758.799874280179</v>
      </c>
      <c r="S787" s="330">
        <v>9139.1546294741092</v>
      </c>
      <c r="T787" s="332">
        <v>0.99375147031898714</v>
      </c>
      <c r="U787" s="330">
        <v>0.97871875988007129</v>
      </c>
      <c r="V787" s="330">
        <v>0.94750118728470989</v>
      </c>
      <c r="W787" s="330">
        <v>0.25760138623511425</v>
      </c>
      <c r="X787" s="330">
        <v>0.94734408025772587</v>
      </c>
      <c r="Y787" s="330">
        <v>0</v>
      </c>
      <c r="Z787" s="331">
        <v>0</v>
      </c>
      <c r="AA787" s="235"/>
      <c r="AB787" s="335">
        <v>91327.758021824528</v>
      </c>
      <c r="AC787" s="336">
        <v>4.5597061613424854</v>
      </c>
      <c r="AD787" s="337">
        <v>79599.606030101102</v>
      </c>
      <c r="AE787" s="336">
        <v>4.6683830089054856</v>
      </c>
      <c r="AF787" s="337">
        <v>11728.151991723425</v>
      </c>
      <c r="AG787" s="338">
        <v>-0.10867684756300022</v>
      </c>
      <c r="AH787" s="235"/>
      <c r="AI787" s="208">
        <f t="shared" si="90"/>
        <v>4240393.0952535365</v>
      </c>
      <c r="AJ787" s="208">
        <f t="shared" si="91"/>
        <v>4355364.2524301102</v>
      </c>
      <c r="AK787" s="208">
        <f t="shared" si="92"/>
        <v>-114971.15717657364</v>
      </c>
      <c r="AL787" s="235"/>
      <c r="AM787" s="52">
        <f t="shared" si="86"/>
        <v>0</v>
      </c>
      <c r="AN787" s="52">
        <f t="shared" si="87"/>
        <v>1</v>
      </c>
      <c r="AO787" s="52">
        <f t="shared" si="88"/>
        <v>0</v>
      </c>
      <c r="AP787" s="235"/>
      <c r="AQ787" s="28"/>
      <c r="AR787" s="28"/>
      <c r="AS787" s="28"/>
      <c r="AT787" s="28"/>
      <c r="AU787" s="235"/>
      <c r="AV787" s="360">
        <f t="shared" si="93"/>
        <v>4355364.2524301102</v>
      </c>
      <c r="AW787" s="235"/>
      <c r="AX787" s="355"/>
      <c r="AY787" s="344"/>
      <c r="AZ787" s="14">
        <f t="shared" si="95"/>
        <v>11728.151991723425</v>
      </c>
      <c r="BA787" s="14">
        <f t="shared" si="94"/>
        <v>-0.10867684756300022</v>
      </c>
      <c r="BB787" s="14">
        <f t="shared" si="89"/>
        <v>-107917.66834168232</v>
      </c>
      <c r="BC787" s="344"/>
      <c r="BD787" s="344"/>
      <c r="BE787" s="344"/>
      <c r="BF787" s="344"/>
      <c r="BG787" s="344"/>
      <c r="BH787" s="344"/>
      <c r="BI787" s="344"/>
      <c r="BJ787" s="344"/>
      <c r="BK787" s="344"/>
      <c r="BL787" s="344"/>
      <c r="BM787" s="344"/>
      <c r="BN787" s="344"/>
      <c r="BO787" s="344"/>
      <c r="BP787" s="344"/>
      <c r="BQ787" s="344"/>
      <c r="BR787" s="344"/>
      <c r="BS787" s="344"/>
      <c r="BT787" s="344"/>
      <c r="BU787" s="344"/>
      <c r="BV787" s="344"/>
      <c r="BW787" s="344"/>
      <c r="BX787" s="344"/>
      <c r="BY787" s="344"/>
      <c r="BZ787" s="344"/>
      <c r="CA787" s="344"/>
      <c r="CB787" s="28"/>
      <c r="CC787" s="28"/>
      <c r="CD787" s="28"/>
      <c r="CE787" s="28"/>
      <c r="CF787" s="28"/>
      <c r="CG787" s="28"/>
      <c r="CH787" s="28"/>
      <c r="CI787" s="28"/>
      <c r="CJ787" s="28"/>
      <c r="CK787" s="28"/>
      <c r="CL787" s="28"/>
      <c r="CM787" s="28"/>
      <c r="CN787" s="28"/>
      <c r="CO787" s="28"/>
      <c r="CP787" s="28"/>
      <c r="CQ787" s="28"/>
      <c r="CR787" s="28"/>
      <c r="CS787" s="28"/>
      <c r="CT787" s="28"/>
      <c r="CU787" s="28"/>
      <c r="CV787" s="28"/>
      <c r="CW787" s="28"/>
    </row>
    <row r="788" spans="1:101" ht="14.25" customHeight="1" x14ac:dyDescent="0.2">
      <c r="A788" s="328"/>
      <c r="B788" s="52">
        <v>0.17036939463748202</v>
      </c>
      <c r="C788" s="330">
        <v>0.69462528956382497</v>
      </c>
      <c r="D788" s="330">
        <v>1.3409689052528517E-2</v>
      </c>
      <c r="E788" s="330">
        <v>1.5012702573654391E-2</v>
      </c>
      <c r="F788" s="331">
        <v>0.80589580040387321</v>
      </c>
      <c r="G788" s="94">
        <v>0.41101855140047361</v>
      </c>
      <c r="H788" s="330">
        <v>0.41465360889813752</v>
      </c>
      <c r="I788" s="330">
        <v>2.2445209539485034E-2</v>
      </c>
      <c r="J788" s="330">
        <v>0.99925010879668619</v>
      </c>
      <c r="K788" s="330">
        <v>0.73124187604009627</v>
      </c>
      <c r="L788" s="332">
        <v>13633.921079598371</v>
      </c>
      <c r="M788" s="330">
        <v>0</v>
      </c>
      <c r="N788" s="330">
        <v>23556.593802528809</v>
      </c>
      <c r="O788" s="330">
        <v>1407.1647208590862</v>
      </c>
      <c r="P788" s="330">
        <v>43931.143238810742</v>
      </c>
      <c r="Q788" s="333">
        <v>116749.62459145811</v>
      </c>
      <c r="R788" s="330">
        <v>21556.508576587486</v>
      </c>
      <c r="S788" s="330">
        <v>7511.6287211466088</v>
      </c>
      <c r="T788" s="332">
        <v>0.96866195470836081</v>
      </c>
      <c r="U788" s="330">
        <v>0.93994171901941748</v>
      </c>
      <c r="V788" s="330">
        <v>0.95865592355071283</v>
      </c>
      <c r="W788" s="330">
        <v>0.98654882157764301</v>
      </c>
      <c r="X788" s="330">
        <v>0.99736779965207067</v>
      </c>
      <c r="Y788" s="330">
        <v>0</v>
      </c>
      <c r="Z788" s="331">
        <v>0</v>
      </c>
      <c r="AA788" s="235"/>
      <c r="AB788" s="335">
        <v>81656.23412464367</v>
      </c>
      <c r="AC788" s="336">
        <v>5.2120503528116808</v>
      </c>
      <c r="AD788" s="337">
        <v>64951.821525466257</v>
      </c>
      <c r="AE788" s="336">
        <v>4.4943623996100435</v>
      </c>
      <c r="AF788" s="337">
        <v>16704.412599177413</v>
      </c>
      <c r="AG788" s="338">
        <v>0.71768795320163736</v>
      </c>
      <c r="AH788" s="235"/>
      <c r="AI788" s="208">
        <f t="shared" si="90"/>
        <v>4869791.6010464532</v>
      </c>
      <c r="AJ788" s="208">
        <f t="shared" si="91"/>
        <v>4204692.4581040749</v>
      </c>
      <c r="AK788" s="208">
        <f t="shared" si="92"/>
        <v>665099.14294237806</v>
      </c>
      <c r="AL788" s="235"/>
      <c r="AM788" s="52">
        <f t="shared" si="86"/>
        <v>1</v>
      </c>
      <c r="AN788" s="52">
        <f t="shared" si="87"/>
        <v>0</v>
      </c>
      <c r="AO788" s="52">
        <f t="shared" si="88"/>
        <v>1</v>
      </c>
      <c r="AP788" s="235"/>
      <c r="AQ788" s="28"/>
      <c r="AR788" s="28"/>
      <c r="AS788" s="28"/>
      <c r="AT788" s="28"/>
      <c r="AU788" s="235"/>
      <c r="AV788" s="360">
        <f t="shared" si="93"/>
        <v>4869791.6010464532</v>
      </c>
      <c r="AW788" s="235"/>
      <c r="AX788" s="355"/>
      <c r="AY788" s="344"/>
      <c r="AZ788" s="14">
        <f t="shared" si="95"/>
        <v>16704.412599177413</v>
      </c>
      <c r="BA788" s="14">
        <f t="shared" si="94"/>
        <v>0.71768795320163736</v>
      </c>
      <c r="BB788" s="14">
        <f t="shared" si="89"/>
        <v>23275.314187256867</v>
      </c>
      <c r="BC788" s="344"/>
      <c r="BD788" s="344"/>
      <c r="BE788" s="344"/>
      <c r="BF788" s="344"/>
      <c r="BG788" s="344"/>
      <c r="BH788" s="344"/>
      <c r="BI788" s="344"/>
      <c r="BJ788" s="344"/>
      <c r="BK788" s="344"/>
      <c r="BL788" s="344"/>
      <c r="BM788" s="344"/>
      <c r="BN788" s="344"/>
      <c r="BO788" s="344"/>
      <c r="BP788" s="344"/>
      <c r="BQ788" s="344"/>
      <c r="BR788" s="344"/>
      <c r="BS788" s="344"/>
      <c r="BT788" s="344"/>
      <c r="BU788" s="344"/>
      <c r="BV788" s="344"/>
      <c r="BW788" s="344"/>
      <c r="BX788" s="344"/>
      <c r="BY788" s="344"/>
      <c r="BZ788" s="344"/>
      <c r="CA788" s="344"/>
      <c r="CB788" s="28"/>
      <c r="CC788" s="28"/>
      <c r="CD788" s="28"/>
      <c r="CE788" s="28"/>
      <c r="CF788" s="28"/>
      <c r="CG788" s="28"/>
      <c r="CH788" s="28"/>
      <c r="CI788" s="28"/>
      <c r="CJ788" s="28"/>
      <c r="CK788" s="28"/>
      <c r="CL788" s="28"/>
      <c r="CM788" s="28"/>
      <c r="CN788" s="28"/>
      <c r="CO788" s="28"/>
      <c r="CP788" s="28"/>
      <c r="CQ788" s="28"/>
      <c r="CR788" s="28"/>
      <c r="CS788" s="28"/>
      <c r="CT788" s="28"/>
      <c r="CU788" s="28"/>
      <c r="CV788" s="28"/>
      <c r="CW788" s="28"/>
    </row>
    <row r="789" spans="1:101" ht="14.25" customHeight="1" x14ac:dyDescent="0.2">
      <c r="A789" s="328"/>
      <c r="B789" s="52">
        <v>0.14025141816076708</v>
      </c>
      <c r="C789" s="330">
        <v>0.91536546555754539</v>
      </c>
      <c r="D789" s="330">
        <v>1.4723804960855569E-2</v>
      </c>
      <c r="E789" s="330">
        <v>9.1409597931994442E-3</v>
      </c>
      <c r="F789" s="331">
        <v>0.79048378707360833</v>
      </c>
      <c r="G789" s="94">
        <v>0.39415472114322386</v>
      </c>
      <c r="H789" s="330">
        <v>0.2455104115536636</v>
      </c>
      <c r="I789" s="330">
        <v>1.1854029871212358E-2</v>
      </c>
      <c r="J789" s="330">
        <v>1</v>
      </c>
      <c r="K789" s="330">
        <v>0.76764694926483168</v>
      </c>
      <c r="L789" s="332">
        <v>10564.481858326324</v>
      </c>
      <c r="M789" s="330">
        <v>0</v>
      </c>
      <c r="N789" s="330">
        <v>14717.527779946346</v>
      </c>
      <c r="O789" s="330">
        <v>1158.8153020104771</v>
      </c>
      <c r="P789" s="330">
        <v>50864.993893091661</v>
      </c>
      <c r="Q789" s="333">
        <v>92483.465264314815</v>
      </c>
      <c r="R789" s="330">
        <v>18099.925880070001</v>
      </c>
      <c r="S789" s="330">
        <v>5483.4717869469405</v>
      </c>
      <c r="T789" s="332">
        <v>0.95060725775487764</v>
      </c>
      <c r="U789" s="330">
        <v>0.66667525022128027</v>
      </c>
      <c r="V789" s="330">
        <v>0.82435787032378083</v>
      </c>
      <c r="W789" s="330">
        <v>0.67633880859250484</v>
      </c>
      <c r="X789" s="330">
        <v>0.38365594131028208</v>
      </c>
      <c r="Y789" s="330">
        <v>0</v>
      </c>
      <c r="Z789" s="331">
        <v>0</v>
      </c>
      <c r="AA789" s="235"/>
      <c r="AB789" s="335">
        <v>59758.46622120453</v>
      </c>
      <c r="AC789" s="336">
        <v>1.9586890370485235</v>
      </c>
      <c r="AD789" s="337">
        <v>48175.176913847914</v>
      </c>
      <c r="AE789" s="336">
        <v>2.0601190456220722</v>
      </c>
      <c r="AF789" s="337">
        <v>11583.289307356616</v>
      </c>
      <c r="AG789" s="338">
        <v>-0.10143000857354867</v>
      </c>
      <c r="AH789" s="235"/>
      <c r="AI789" s="208">
        <f t="shared" si="90"/>
        <v>1800996.1189748929</v>
      </c>
      <c r="AJ789" s="208">
        <f t="shared" si="91"/>
        <v>1908937.9164271206</v>
      </c>
      <c r="AK789" s="208">
        <f t="shared" si="92"/>
        <v>-107941.79745222785</v>
      </c>
      <c r="AL789" s="235"/>
      <c r="AM789" s="52">
        <f t="shared" si="86"/>
        <v>0</v>
      </c>
      <c r="AN789" s="52">
        <f t="shared" si="87"/>
        <v>1</v>
      </c>
      <c r="AO789" s="52">
        <f t="shared" si="88"/>
        <v>0</v>
      </c>
      <c r="AP789" s="235"/>
      <c r="AQ789" s="28"/>
      <c r="AR789" s="28"/>
      <c r="AS789" s="28"/>
      <c r="AT789" s="28"/>
      <c r="AU789" s="235"/>
      <c r="AV789" s="360">
        <f t="shared" si="93"/>
        <v>1908937.9164271206</v>
      </c>
      <c r="AW789" s="235"/>
      <c r="AX789" s="355"/>
      <c r="AY789" s="344"/>
      <c r="AZ789" s="14">
        <f t="shared" si="95"/>
        <v>11583.289307356616</v>
      </c>
      <c r="BA789" s="14">
        <f t="shared" si="94"/>
        <v>-0.10143000857354867</v>
      </c>
      <c r="BB789" s="14">
        <f t="shared" si="89"/>
        <v>-114199.82577402002</v>
      </c>
      <c r="BC789" s="344"/>
      <c r="BD789" s="344"/>
      <c r="BE789" s="344"/>
      <c r="BF789" s="344"/>
      <c r="BG789" s="344"/>
      <c r="BH789" s="344"/>
      <c r="BI789" s="344"/>
      <c r="BJ789" s="344"/>
      <c r="BK789" s="344"/>
      <c r="BL789" s="344"/>
      <c r="BM789" s="344"/>
      <c r="BN789" s="344"/>
      <c r="BO789" s="344"/>
      <c r="BP789" s="344"/>
      <c r="BQ789" s="344"/>
      <c r="BR789" s="344"/>
      <c r="BS789" s="344"/>
      <c r="BT789" s="344"/>
      <c r="BU789" s="344"/>
      <c r="BV789" s="344"/>
      <c r="BW789" s="344"/>
      <c r="BX789" s="344"/>
      <c r="BY789" s="344"/>
      <c r="BZ789" s="344"/>
      <c r="CA789" s="344"/>
      <c r="CB789" s="28"/>
      <c r="CC789" s="28"/>
      <c r="CD789" s="28"/>
      <c r="CE789" s="28"/>
      <c r="CF789" s="28"/>
      <c r="CG789" s="28"/>
      <c r="CH789" s="28"/>
      <c r="CI789" s="28"/>
      <c r="CJ789" s="28"/>
      <c r="CK789" s="28"/>
      <c r="CL789" s="28"/>
      <c r="CM789" s="28"/>
      <c r="CN789" s="28"/>
      <c r="CO789" s="28"/>
      <c r="CP789" s="28"/>
      <c r="CQ789" s="28"/>
      <c r="CR789" s="28"/>
      <c r="CS789" s="28"/>
      <c r="CT789" s="28"/>
      <c r="CU789" s="28"/>
      <c r="CV789" s="28"/>
      <c r="CW789" s="28"/>
    </row>
    <row r="790" spans="1:101" ht="14.25" customHeight="1" x14ac:dyDescent="0.2">
      <c r="A790" s="328"/>
      <c r="B790" s="52">
        <v>0.15907447588940815</v>
      </c>
      <c r="C790" s="330">
        <v>0.47517756694909408</v>
      </c>
      <c r="D790" s="330">
        <v>1.6817298947797821E-2</v>
      </c>
      <c r="E790" s="330">
        <v>1.3752878823884845E-2</v>
      </c>
      <c r="F790" s="331">
        <v>0.80005008093118013</v>
      </c>
      <c r="G790" s="94">
        <v>0.39291380840252954</v>
      </c>
      <c r="H790" s="330">
        <v>0.19676136453352025</v>
      </c>
      <c r="I790" s="330">
        <v>1.943915067478108E-2</v>
      </c>
      <c r="J790" s="330">
        <v>0.99999741053719327</v>
      </c>
      <c r="K790" s="330">
        <v>0.7987066935561018</v>
      </c>
      <c r="L790" s="332">
        <v>12092.651555239188</v>
      </c>
      <c r="M790" s="330">
        <v>0</v>
      </c>
      <c r="N790" s="330">
        <v>14671.901614839842</v>
      </c>
      <c r="O790" s="330">
        <v>982.8926398412417</v>
      </c>
      <c r="P790" s="330">
        <v>42332.368149657013</v>
      </c>
      <c r="Q790" s="333">
        <v>95917.955696959543</v>
      </c>
      <c r="R790" s="330">
        <v>20948.988727742693</v>
      </c>
      <c r="S790" s="330">
        <v>12395.987814149346</v>
      </c>
      <c r="T790" s="332">
        <v>0.85097941391621768</v>
      </c>
      <c r="U790" s="330">
        <v>0.99843267271582126</v>
      </c>
      <c r="V790" s="330">
        <v>0.87984023522896226</v>
      </c>
      <c r="W790" s="330">
        <v>0.99666958848908127</v>
      </c>
      <c r="X790" s="330">
        <v>0.98207070965217302</v>
      </c>
      <c r="Y790" s="330">
        <v>0</v>
      </c>
      <c r="Z790" s="331">
        <v>0</v>
      </c>
      <c r="AA790" s="235"/>
      <c r="AB790" s="335">
        <v>120517.2388283363</v>
      </c>
      <c r="AC790" s="336">
        <v>4.751892138627011</v>
      </c>
      <c r="AD790" s="337">
        <v>109465.64598126092</v>
      </c>
      <c r="AE790" s="336">
        <v>5.1680949335285264</v>
      </c>
      <c r="AF790" s="337">
        <v>11051.592847075372</v>
      </c>
      <c r="AG790" s="338">
        <v>-0.41620279490151546</v>
      </c>
      <c r="AH790" s="235"/>
      <c r="AI790" s="208">
        <f t="shared" si="90"/>
        <v>4393780.2928673243</v>
      </c>
      <c r="AJ790" s="208">
        <f t="shared" si="91"/>
        <v>4800224.5408708397</v>
      </c>
      <c r="AK790" s="208">
        <f t="shared" si="92"/>
        <v>-406444.24800351507</v>
      </c>
      <c r="AL790" s="235"/>
      <c r="AM790" s="52">
        <f t="shared" si="86"/>
        <v>0</v>
      </c>
      <c r="AN790" s="52">
        <f t="shared" si="87"/>
        <v>1</v>
      </c>
      <c r="AO790" s="52">
        <f t="shared" si="88"/>
        <v>0</v>
      </c>
      <c r="AP790" s="235"/>
      <c r="AQ790" s="28"/>
      <c r="AR790" s="28"/>
      <c r="AS790" s="28"/>
      <c r="AT790" s="28"/>
      <c r="AU790" s="235"/>
      <c r="AV790" s="360">
        <f t="shared" si="93"/>
        <v>4800224.5408708397</v>
      </c>
      <c r="AW790" s="235"/>
      <c r="AX790" s="355"/>
      <c r="AY790" s="344"/>
      <c r="AZ790" s="14">
        <f t="shared" si="95"/>
        <v>11051.592847075372</v>
      </c>
      <c r="BA790" s="14">
        <f t="shared" si="94"/>
        <v>-0.41620279490151546</v>
      </c>
      <c r="BB790" s="14">
        <f t="shared" si="89"/>
        <v>-26553.384509804815</v>
      </c>
      <c r="BC790" s="344"/>
      <c r="BD790" s="344"/>
      <c r="BE790" s="344"/>
      <c r="BF790" s="344"/>
      <c r="BG790" s="344"/>
      <c r="BH790" s="344"/>
      <c r="BI790" s="344"/>
      <c r="BJ790" s="344"/>
      <c r="BK790" s="344"/>
      <c r="BL790" s="344"/>
      <c r="BM790" s="344"/>
      <c r="BN790" s="344"/>
      <c r="BO790" s="344"/>
      <c r="BP790" s="344"/>
      <c r="BQ790" s="344"/>
      <c r="BR790" s="344"/>
      <c r="BS790" s="344"/>
      <c r="BT790" s="344"/>
      <c r="BU790" s="344"/>
      <c r="BV790" s="344"/>
      <c r="BW790" s="344"/>
      <c r="BX790" s="344"/>
      <c r="BY790" s="344"/>
      <c r="BZ790" s="344"/>
      <c r="CA790" s="344"/>
      <c r="CB790" s="28"/>
      <c r="CC790" s="28"/>
      <c r="CD790" s="28"/>
      <c r="CE790" s="28"/>
      <c r="CF790" s="28"/>
      <c r="CG790" s="28"/>
      <c r="CH790" s="28"/>
      <c r="CI790" s="28"/>
      <c r="CJ790" s="28"/>
      <c r="CK790" s="28"/>
      <c r="CL790" s="28"/>
      <c r="CM790" s="28"/>
      <c r="CN790" s="28"/>
      <c r="CO790" s="28"/>
      <c r="CP790" s="28"/>
      <c r="CQ790" s="28"/>
      <c r="CR790" s="28"/>
      <c r="CS790" s="28"/>
      <c r="CT790" s="28"/>
      <c r="CU790" s="28"/>
      <c r="CV790" s="28"/>
      <c r="CW790" s="28"/>
    </row>
    <row r="791" spans="1:101" ht="14.25" customHeight="1" x14ac:dyDescent="0.2">
      <c r="A791" s="328"/>
      <c r="B791" s="52">
        <v>0.12242403510610948</v>
      </c>
      <c r="C791" s="330">
        <v>0.18023292460895413</v>
      </c>
      <c r="D791" s="330">
        <v>3.9137671603873903E-3</v>
      </c>
      <c r="E791" s="330">
        <v>8.9978025360349014E-3</v>
      </c>
      <c r="F791" s="331">
        <v>0.808321899796134</v>
      </c>
      <c r="G791" s="94">
        <v>0.41448200884003894</v>
      </c>
      <c r="H791" s="330">
        <v>0.99948601966971917</v>
      </c>
      <c r="I791" s="330">
        <v>8.7755506628775758E-3</v>
      </c>
      <c r="J791" s="330">
        <v>0.99999927178475412</v>
      </c>
      <c r="K791" s="330">
        <v>0.78071429302785478</v>
      </c>
      <c r="L791" s="332">
        <v>9003.000738856721</v>
      </c>
      <c r="M791" s="330">
        <v>0</v>
      </c>
      <c r="N791" s="330">
        <v>18409.140943016824</v>
      </c>
      <c r="O791" s="330">
        <v>950.67993859521482</v>
      </c>
      <c r="P791" s="330">
        <v>42429.764118556763</v>
      </c>
      <c r="Q791" s="333">
        <v>81573.789617489005</v>
      </c>
      <c r="R791" s="330">
        <v>25605.500654859858</v>
      </c>
      <c r="S791" s="330">
        <v>10210.744330611384</v>
      </c>
      <c r="T791" s="332">
        <v>0.21178853941386211</v>
      </c>
      <c r="U791" s="330">
        <v>0.99913111344351258</v>
      </c>
      <c r="V791" s="330">
        <v>0.94267398315683582</v>
      </c>
      <c r="W791" s="330">
        <v>0.1936204176346267</v>
      </c>
      <c r="X791" s="330">
        <v>0.1620598908199988</v>
      </c>
      <c r="Y791" s="330">
        <v>0</v>
      </c>
      <c r="Z791" s="331">
        <v>0</v>
      </c>
      <c r="AA791" s="235"/>
      <c r="AB791" s="335">
        <v>98294.665403957479</v>
      </c>
      <c r="AC791" s="336">
        <v>0.90679170792740738</v>
      </c>
      <c r="AD791" s="337">
        <v>96989.179412973972</v>
      </c>
      <c r="AE791" s="336">
        <v>0.93002100779288843</v>
      </c>
      <c r="AF791" s="337">
        <v>1305.4859909835068</v>
      </c>
      <c r="AG791" s="338">
        <v>-2.3229299865481057E-2</v>
      </c>
      <c r="AH791" s="235"/>
      <c r="AI791" s="208">
        <f t="shared" si="90"/>
        <v>763157.45712707948</v>
      </c>
      <c r="AJ791" s="208">
        <f t="shared" si="91"/>
        <v>786530.77799027006</v>
      </c>
      <c r="AK791" s="208">
        <f t="shared" si="92"/>
        <v>-23373.320863190511</v>
      </c>
      <c r="AL791" s="235"/>
      <c r="AM791" s="52">
        <f t="shared" si="86"/>
        <v>0</v>
      </c>
      <c r="AN791" s="52">
        <f t="shared" si="87"/>
        <v>1</v>
      </c>
      <c r="AO791" s="52">
        <f t="shared" si="88"/>
        <v>0</v>
      </c>
      <c r="AP791" s="235"/>
      <c r="AQ791" s="28"/>
      <c r="AR791" s="28"/>
      <c r="AS791" s="28"/>
      <c r="AT791" s="28"/>
      <c r="AU791" s="235"/>
      <c r="AV791" s="360">
        <f t="shared" si="93"/>
        <v>786530.77799027006</v>
      </c>
      <c r="AW791" s="235"/>
      <c r="AX791" s="355"/>
      <c r="AY791" s="344"/>
      <c r="AZ791" s="14">
        <f t="shared" si="95"/>
        <v>1305.4859909835068</v>
      </c>
      <c r="BA791" s="14">
        <f t="shared" si="94"/>
        <v>-2.3229299865481057E-2</v>
      </c>
      <c r="BB791" s="14">
        <f t="shared" si="89"/>
        <v>-56199.971524904649</v>
      </c>
      <c r="BC791" s="344"/>
      <c r="BD791" s="344"/>
      <c r="BE791" s="344"/>
      <c r="BF791" s="344"/>
      <c r="BG791" s="344"/>
      <c r="BH791" s="344"/>
      <c r="BI791" s="344"/>
      <c r="BJ791" s="344"/>
      <c r="BK791" s="344"/>
      <c r="BL791" s="344"/>
      <c r="BM791" s="344"/>
      <c r="BN791" s="344"/>
      <c r="BO791" s="344"/>
      <c r="BP791" s="344"/>
      <c r="BQ791" s="344"/>
      <c r="BR791" s="344"/>
      <c r="BS791" s="344"/>
      <c r="BT791" s="344"/>
      <c r="BU791" s="344"/>
      <c r="BV791" s="344"/>
      <c r="BW791" s="344"/>
      <c r="BX791" s="344"/>
      <c r="BY791" s="344"/>
      <c r="BZ791" s="344"/>
      <c r="CA791" s="344"/>
      <c r="CB791" s="28"/>
      <c r="CC791" s="28"/>
      <c r="CD791" s="28"/>
      <c r="CE791" s="28"/>
      <c r="CF791" s="28"/>
      <c r="CG791" s="28"/>
      <c r="CH791" s="28"/>
      <c r="CI791" s="28"/>
      <c r="CJ791" s="28"/>
      <c r="CK791" s="28"/>
      <c r="CL791" s="28"/>
      <c r="CM791" s="28"/>
      <c r="CN791" s="28"/>
      <c r="CO791" s="28"/>
      <c r="CP791" s="28"/>
      <c r="CQ791" s="28"/>
      <c r="CR791" s="28"/>
      <c r="CS791" s="28"/>
      <c r="CT791" s="28"/>
      <c r="CU791" s="28"/>
      <c r="CV791" s="28"/>
      <c r="CW791" s="28"/>
    </row>
    <row r="792" spans="1:101" ht="14.25" customHeight="1" x14ac:dyDescent="0.2">
      <c r="A792" s="328"/>
      <c r="B792" s="52">
        <v>0.16190209620793627</v>
      </c>
      <c r="C792" s="330">
        <v>0.42915986148969942</v>
      </c>
      <c r="D792" s="330">
        <v>1.0289519804151433E-2</v>
      </c>
      <c r="E792" s="330">
        <v>7.4562886035562694E-3</v>
      </c>
      <c r="F792" s="331">
        <v>0.81090650610696979</v>
      </c>
      <c r="G792" s="94">
        <v>0.3922956068793888</v>
      </c>
      <c r="H792" s="330">
        <v>0.98898850126802362</v>
      </c>
      <c r="I792" s="330">
        <v>1.0651654540985572E-2</v>
      </c>
      <c r="J792" s="330">
        <v>0.98798430361664902</v>
      </c>
      <c r="K792" s="330">
        <v>0.73454514993223297</v>
      </c>
      <c r="L792" s="332">
        <v>9622.9696346218861</v>
      </c>
      <c r="M792" s="330">
        <v>0</v>
      </c>
      <c r="N792" s="330">
        <v>16616.720703772902</v>
      </c>
      <c r="O792" s="330">
        <v>1226.6584025743728</v>
      </c>
      <c r="P792" s="330">
        <v>36142.928316866222</v>
      </c>
      <c r="Q792" s="333">
        <v>105371.20109847063</v>
      </c>
      <c r="R792" s="330">
        <v>27084.42419896747</v>
      </c>
      <c r="S792" s="330">
        <v>7091.0628328975208</v>
      </c>
      <c r="T792" s="332">
        <v>0.81649003901745887</v>
      </c>
      <c r="U792" s="330">
        <v>0.966120041547605</v>
      </c>
      <c r="V792" s="330">
        <v>0.75226133887522917</v>
      </c>
      <c r="W792" s="330">
        <v>0.9999520942189537</v>
      </c>
      <c r="X792" s="330">
        <v>0.75317128786797904</v>
      </c>
      <c r="Y792" s="330">
        <v>0</v>
      </c>
      <c r="Z792" s="331">
        <v>0</v>
      </c>
      <c r="AA792" s="235"/>
      <c r="AB792" s="335">
        <v>73586.245510557012</v>
      </c>
      <c r="AC792" s="336">
        <v>3.9622490065278781</v>
      </c>
      <c r="AD792" s="337">
        <v>67479.899342133984</v>
      </c>
      <c r="AE792" s="336">
        <v>3.54979308717013</v>
      </c>
      <c r="AF792" s="337">
        <v>6106.3461684230278</v>
      </c>
      <c r="AG792" s="338">
        <v>0.41245591935774817</v>
      </c>
      <c r="AH792" s="235"/>
      <c r="AI792" s="208">
        <f t="shared" si="90"/>
        <v>3690550.3106909269</v>
      </c>
      <c r="AJ792" s="208">
        <f t="shared" si="91"/>
        <v>3304823.5334694893</v>
      </c>
      <c r="AK792" s="208">
        <f t="shared" si="92"/>
        <v>385726.77722143772</v>
      </c>
      <c r="AL792" s="235"/>
      <c r="AM792" s="52">
        <f t="shared" si="86"/>
        <v>1</v>
      </c>
      <c r="AN792" s="52">
        <f t="shared" si="87"/>
        <v>0</v>
      </c>
      <c r="AO792" s="52">
        <f t="shared" si="88"/>
        <v>1</v>
      </c>
      <c r="AP792" s="235"/>
      <c r="AQ792" s="28"/>
      <c r="AR792" s="28"/>
      <c r="AS792" s="28"/>
      <c r="AT792" s="28"/>
      <c r="AU792" s="235"/>
      <c r="AV792" s="360">
        <f t="shared" si="93"/>
        <v>3690550.3106909269</v>
      </c>
      <c r="AW792" s="235"/>
      <c r="AX792" s="355"/>
      <c r="AY792" s="344"/>
      <c r="AZ792" s="14">
        <f t="shared" si="95"/>
        <v>6106.3461684230278</v>
      </c>
      <c r="BA792" s="14">
        <f t="shared" si="94"/>
        <v>0.41245591935774817</v>
      </c>
      <c r="BB792" s="14">
        <f t="shared" si="89"/>
        <v>14804.845516416559</v>
      </c>
      <c r="BC792" s="344"/>
      <c r="BD792" s="344"/>
      <c r="BE792" s="344"/>
      <c r="BF792" s="344"/>
      <c r="BG792" s="344"/>
      <c r="BH792" s="344"/>
      <c r="BI792" s="344"/>
      <c r="BJ792" s="344"/>
      <c r="BK792" s="344"/>
      <c r="BL792" s="344"/>
      <c r="BM792" s="344"/>
      <c r="BN792" s="344"/>
      <c r="BO792" s="344"/>
      <c r="BP792" s="344"/>
      <c r="BQ792" s="344"/>
      <c r="BR792" s="344"/>
      <c r="BS792" s="344"/>
      <c r="BT792" s="344"/>
      <c r="BU792" s="344"/>
      <c r="BV792" s="344"/>
      <c r="BW792" s="344"/>
      <c r="BX792" s="344"/>
      <c r="BY792" s="344"/>
      <c r="BZ792" s="344"/>
      <c r="CA792" s="344"/>
      <c r="CB792" s="28"/>
      <c r="CC792" s="28"/>
      <c r="CD792" s="28"/>
      <c r="CE792" s="28"/>
      <c r="CF792" s="28"/>
      <c r="CG792" s="28"/>
      <c r="CH792" s="28"/>
      <c r="CI792" s="28"/>
      <c r="CJ792" s="28"/>
      <c r="CK792" s="28"/>
      <c r="CL792" s="28"/>
      <c r="CM792" s="28"/>
      <c r="CN792" s="28"/>
      <c r="CO792" s="28"/>
      <c r="CP792" s="28"/>
      <c r="CQ792" s="28"/>
      <c r="CR792" s="28"/>
      <c r="CS792" s="28"/>
      <c r="CT792" s="28"/>
      <c r="CU792" s="28"/>
      <c r="CV792" s="28"/>
      <c r="CW792" s="28"/>
    </row>
    <row r="793" spans="1:101" ht="14.25" customHeight="1" x14ac:dyDescent="0.2">
      <c r="A793" s="328"/>
      <c r="B793" s="52">
        <v>0.17284889757245714</v>
      </c>
      <c r="C793" s="330">
        <v>0.31344822312984411</v>
      </c>
      <c r="D793" s="330">
        <v>1.1045822034384447E-2</v>
      </c>
      <c r="E793" s="330">
        <v>1.66573012782818E-2</v>
      </c>
      <c r="F793" s="331">
        <v>0.80413185716615154</v>
      </c>
      <c r="G793" s="94">
        <v>0.45259586970698462</v>
      </c>
      <c r="H793" s="330">
        <v>0.22463182398467194</v>
      </c>
      <c r="I793" s="330">
        <v>1.1430951572937028E-2</v>
      </c>
      <c r="J793" s="330">
        <v>0.99561828252202744</v>
      </c>
      <c r="K793" s="330">
        <v>0.79577456055620477</v>
      </c>
      <c r="L793" s="332">
        <v>14859.516685872282</v>
      </c>
      <c r="M793" s="330">
        <v>0</v>
      </c>
      <c r="N793" s="330">
        <v>19820.616315384632</v>
      </c>
      <c r="O793" s="330">
        <v>1295.529734104553</v>
      </c>
      <c r="P793" s="330">
        <v>51880.391300507872</v>
      </c>
      <c r="Q793" s="333">
        <v>127536.76599296177</v>
      </c>
      <c r="R793" s="330">
        <v>20752.014967801682</v>
      </c>
      <c r="S793" s="330">
        <v>6053.1316117058122</v>
      </c>
      <c r="T793" s="332">
        <v>0.93576272709283659</v>
      </c>
      <c r="U793" s="330">
        <v>0.76161522904563517</v>
      </c>
      <c r="V793" s="330">
        <v>0.99395842489343278</v>
      </c>
      <c r="W793" s="330">
        <v>7.2323432103501589E-2</v>
      </c>
      <c r="X793" s="330">
        <v>0.39292264341086991</v>
      </c>
      <c r="Y793" s="330">
        <v>0</v>
      </c>
      <c r="Z793" s="331">
        <v>0</v>
      </c>
      <c r="AA793" s="235"/>
      <c r="AB793" s="335">
        <v>68687.995189822803</v>
      </c>
      <c r="AC793" s="336">
        <v>2.4239366948420997</v>
      </c>
      <c r="AD793" s="337">
        <v>55426.412534826035</v>
      </c>
      <c r="AE793" s="336">
        <v>2.0454056960599569</v>
      </c>
      <c r="AF793" s="337">
        <v>13261.582654996768</v>
      </c>
      <c r="AG793" s="338">
        <v>0.3785309987821428</v>
      </c>
      <c r="AH793" s="235"/>
      <c r="AI793" s="208">
        <f t="shared" si="90"/>
        <v>2234051.8649101718</v>
      </c>
      <c r="AJ793" s="208">
        <f t="shared" si="91"/>
        <v>1887708.998722133</v>
      </c>
      <c r="AK793" s="208">
        <f t="shared" si="92"/>
        <v>346342.8661880389</v>
      </c>
      <c r="AL793" s="235"/>
      <c r="AM793" s="52">
        <f t="shared" si="86"/>
        <v>1</v>
      </c>
      <c r="AN793" s="52">
        <f t="shared" si="87"/>
        <v>0</v>
      </c>
      <c r="AO793" s="52">
        <f t="shared" si="88"/>
        <v>1</v>
      </c>
      <c r="AP793" s="235"/>
      <c r="AQ793" s="28"/>
      <c r="AR793" s="28"/>
      <c r="AS793" s="28"/>
      <c r="AT793" s="28"/>
      <c r="AU793" s="235"/>
      <c r="AV793" s="360">
        <f t="shared" si="93"/>
        <v>2234051.8649101718</v>
      </c>
      <c r="AW793" s="235"/>
      <c r="AX793" s="355"/>
      <c r="AY793" s="344"/>
      <c r="AZ793" s="14">
        <f t="shared" si="95"/>
        <v>13261.582654996768</v>
      </c>
      <c r="BA793" s="14">
        <f t="shared" si="94"/>
        <v>0.3785309987821428</v>
      </c>
      <c r="BB793" s="14">
        <f t="shared" si="89"/>
        <v>35034.33720795282</v>
      </c>
      <c r="BC793" s="344"/>
      <c r="BD793" s="344"/>
      <c r="BE793" s="344"/>
      <c r="BF793" s="344"/>
      <c r="BG793" s="344"/>
      <c r="BH793" s="344"/>
      <c r="BI793" s="344"/>
      <c r="BJ793" s="344"/>
      <c r="BK793" s="344"/>
      <c r="BL793" s="344"/>
      <c r="BM793" s="344"/>
      <c r="BN793" s="344"/>
      <c r="BO793" s="344"/>
      <c r="BP793" s="344"/>
      <c r="BQ793" s="344"/>
      <c r="BR793" s="344"/>
      <c r="BS793" s="344"/>
      <c r="BT793" s="344"/>
      <c r="BU793" s="344"/>
      <c r="BV793" s="344"/>
      <c r="BW793" s="344"/>
      <c r="BX793" s="344"/>
      <c r="BY793" s="344"/>
      <c r="BZ793" s="344"/>
      <c r="CA793" s="344"/>
      <c r="CB793" s="28"/>
      <c r="CC793" s="28"/>
      <c r="CD793" s="28"/>
      <c r="CE793" s="28"/>
      <c r="CF793" s="28"/>
      <c r="CG793" s="28"/>
      <c r="CH793" s="28"/>
      <c r="CI793" s="28"/>
      <c r="CJ793" s="28"/>
      <c r="CK793" s="28"/>
      <c r="CL793" s="28"/>
      <c r="CM793" s="28"/>
      <c r="CN793" s="28"/>
      <c r="CO793" s="28"/>
      <c r="CP793" s="28"/>
      <c r="CQ793" s="28"/>
      <c r="CR793" s="28"/>
      <c r="CS793" s="28"/>
      <c r="CT793" s="28"/>
      <c r="CU793" s="28"/>
      <c r="CV793" s="28"/>
      <c r="CW793" s="28"/>
    </row>
    <row r="794" spans="1:101" ht="14.25" customHeight="1" x14ac:dyDescent="0.2">
      <c r="A794" s="328"/>
      <c r="B794" s="52">
        <v>0.17058925023571414</v>
      </c>
      <c r="C794" s="330">
        <v>0.46691156077848628</v>
      </c>
      <c r="D794" s="330">
        <v>8.7568240881814394E-3</v>
      </c>
      <c r="E794" s="330">
        <v>1.3881345911527426E-2</v>
      </c>
      <c r="F794" s="331">
        <v>0.76280890291389836</v>
      </c>
      <c r="G794" s="94">
        <v>0.35490583832281269</v>
      </c>
      <c r="H794" s="330">
        <v>0.64594491902889795</v>
      </c>
      <c r="I794" s="330">
        <v>2.1883346496106237E-2</v>
      </c>
      <c r="J794" s="330">
        <v>0.99999999864623157</v>
      </c>
      <c r="K794" s="330">
        <v>0.79232021726535762</v>
      </c>
      <c r="L794" s="332">
        <v>9150.4589304988567</v>
      </c>
      <c r="M794" s="330">
        <v>0</v>
      </c>
      <c r="N794" s="330">
        <v>17546.126814293584</v>
      </c>
      <c r="O794" s="330">
        <v>1054.4798540678214</v>
      </c>
      <c r="P794" s="330">
        <v>50171.989256301313</v>
      </c>
      <c r="Q794" s="333">
        <v>79514.791127236269</v>
      </c>
      <c r="R794" s="330">
        <v>20461.414116961521</v>
      </c>
      <c r="S794" s="330">
        <v>8698.7984533205763</v>
      </c>
      <c r="T794" s="332">
        <v>0.72737987273531957</v>
      </c>
      <c r="U794" s="330">
        <v>0.99993965889566105</v>
      </c>
      <c r="V794" s="330">
        <v>0.96264473460619504</v>
      </c>
      <c r="W794" s="330">
        <v>0.66867657250074419</v>
      </c>
      <c r="X794" s="330">
        <v>0.85510727765753602</v>
      </c>
      <c r="Y794" s="330">
        <v>0</v>
      </c>
      <c r="Z794" s="331">
        <v>0</v>
      </c>
      <c r="AA794" s="235"/>
      <c r="AB794" s="335">
        <v>82287.589853987622</v>
      </c>
      <c r="AC794" s="336">
        <v>4.0914322704639314</v>
      </c>
      <c r="AD794" s="337">
        <v>80142.205770889705</v>
      </c>
      <c r="AE794" s="336">
        <v>4.1068703481717828</v>
      </c>
      <c r="AF794" s="337">
        <v>2145.384083097917</v>
      </c>
      <c r="AG794" s="338">
        <v>-1.5438077707851328E-2</v>
      </c>
      <c r="AH794" s="235"/>
      <c r="AI794" s="208">
        <f t="shared" si="90"/>
        <v>3804573.0670867474</v>
      </c>
      <c r="AJ794" s="208">
        <f t="shared" si="91"/>
        <v>3821384.624992304</v>
      </c>
      <c r="AK794" s="208">
        <f t="shared" si="92"/>
        <v>-16811.557905556678</v>
      </c>
      <c r="AL794" s="235"/>
      <c r="AM794" s="52">
        <f t="shared" si="86"/>
        <v>0</v>
      </c>
      <c r="AN794" s="52">
        <f t="shared" si="87"/>
        <v>1</v>
      </c>
      <c r="AO794" s="52">
        <f t="shared" si="88"/>
        <v>0</v>
      </c>
      <c r="AP794" s="235"/>
      <c r="AQ794" s="28"/>
      <c r="AR794" s="28"/>
      <c r="AS794" s="28"/>
      <c r="AT794" s="28"/>
      <c r="AU794" s="235"/>
      <c r="AV794" s="360">
        <f t="shared" si="93"/>
        <v>3821384.624992304</v>
      </c>
      <c r="AW794" s="235"/>
      <c r="AX794" s="355"/>
      <c r="AY794" s="344"/>
      <c r="AZ794" s="14">
        <f t="shared" si="95"/>
        <v>2145.384083097917</v>
      </c>
      <c r="BA794" s="14">
        <f t="shared" si="94"/>
        <v>-1.5438077707851328E-2</v>
      </c>
      <c r="BB794" s="14">
        <f t="shared" si="89"/>
        <v>-138967.0478214293</v>
      </c>
      <c r="BC794" s="344"/>
      <c r="BD794" s="344"/>
      <c r="BE794" s="344"/>
      <c r="BF794" s="344"/>
      <c r="BG794" s="344"/>
      <c r="BH794" s="344"/>
      <c r="BI794" s="344"/>
      <c r="BJ794" s="344"/>
      <c r="BK794" s="344"/>
      <c r="BL794" s="344"/>
      <c r="BM794" s="344"/>
      <c r="BN794" s="344"/>
      <c r="BO794" s="344"/>
      <c r="BP794" s="344"/>
      <c r="BQ794" s="344"/>
      <c r="BR794" s="344"/>
      <c r="BS794" s="344"/>
      <c r="BT794" s="344"/>
      <c r="BU794" s="344"/>
      <c r="BV794" s="344"/>
      <c r="BW794" s="344"/>
      <c r="BX794" s="344"/>
      <c r="BY794" s="344"/>
      <c r="BZ794" s="344"/>
      <c r="CA794" s="344"/>
      <c r="CB794" s="28"/>
      <c r="CC794" s="28"/>
      <c r="CD794" s="28"/>
      <c r="CE794" s="28"/>
      <c r="CF794" s="28"/>
      <c r="CG794" s="28"/>
      <c r="CH794" s="28"/>
      <c r="CI794" s="28"/>
      <c r="CJ794" s="28"/>
      <c r="CK794" s="28"/>
      <c r="CL794" s="28"/>
      <c r="CM794" s="28"/>
      <c r="CN794" s="28"/>
      <c r="CO794" s="28"/>
      <c r="CP794" s="28"/>
      <c r="CQ794" s="28"/>
      <c r="CR794" s="28"/>
      <c r="CS794" s="28"/>
      <c r="CT794" s="28"/>
      <c r="CU794" s="28"/>
      <c r="CV794" s="28"/>
      <c r="CW794" s="28"/>
    </row>
    <row r="795" spans="1:101" ht="14.25" customHeight="1" x14ac:dyDescent="0.2">
      <c r="A795" s="328"/>
      <c r="B795" s="52">
        <v>0.17179087271965643</v>
      </c>
      <c r="C795" s="330">
        <v>0.28365211140952373</v>
      </c>
      <c r="D795" s="330">
        <v>2.0246409667866394E-2</v>
      </c>
      <c r="E795" s="330">
        <v>7.6593699872104255E-3</v>
      </c>
      <c r="F795" s="331">
        <v>0.76624348618947824</v>
      </c>
      <c r="G795" s="94">
        <v>0.42634813978097186</v>
      </c>
      <c r="H795" s="330">
        <v>0.87438772165044165</v>
      </c>
      <c r="I795" s="330">
        <v>1.5185654403371086E-2</v>
      </c>
      <c r="J795" s="330">
        <v>0.99655892280563863</v>
      </c>
      <c r="K795" s="330">
        <v>0.73733130774752897</v>
      </c>
      <c r="L795" s="332">
        <v>10648.722126188859</v>
      </c>
      <c r="M795" s="330">
        <v>0</v>
      </c>
      <c r="N795" s="330">
        <v>20327.495197426382</v>
      </c>
      <c r="O795" s="330">
        <v>1058.0717584623167</v>
      </c>
      <c r="P795" s="330">
        <v>34574.981309815732</v>
      </c>
      <c r="Q795" s="333">
        <v>118599.63024323997</v>
      </c>
      <c r="R795" s="330">
        <v>25358.978039415753</v>
      </c>
      <c r="S795" s="330">
        <v>6226.5219806438981</v>
      </c>
      <c r="T795" s="332">
        <v>0.99543156018648871</v>
      </c>
      <c r="U795" s="330">
        <v>0.81093531046377443</v>
      </c>
      <c r="V795" s="330">
        <v>0.72652836772923335</v>
      </c>
      <c r="W795" s="330">
        <v>0.98626889706165732</v>
      </c>
      <c r="X795" s="330">
        <v>0.99994428949534919</v>
      </c>
      <c r="Y795" s="330">
        <v>0</v>
      </c>
      <c r="Z795" s="331">
        <v>0</v>
      </c>
      <c r="AA795" s="235"/>
      <c r="AB795" s="335">
        <v>63679.219444502451</v>
      </c>
      <c r="AC795" s="336">
        <v>5.0406726280133265</v>
      </c>
      <c r="AD795" s="337">
        <v>60197.062396934147</v>
      </c>
      <c r="AE795" s="336">
        <v>4.7770798968130332</v>
      </c>
      <c r="AF795" s="337">
        <v>3482.1570475683038</v>
      </c>
      <c r="AG795" s="338">
        <v>0.26359273120029325</v>
      </c>
      <c r="AH795" s="235"/>
      <c r="AI795" s="208">
        <f t="shared" si="90"/>
        <v>4724959.7771681584</v>
      </c>
      <c r="AJ795" s="208">
        <f t="shared" si="91"/>
        <v>4478028.8395754471</v>
      </c>
      <c r="AK795" s="208">
        <f t="shared" si="92"/>
        <v>246930.93759271028</v>
      </c>
      <c r="AL795" s="235"/>
      <c r="AM795" s="52">
        <f t="shared" si="86"/>
        <v>1</v>
      </c>
      <c r="AN795" s="52">
        <f t="shared" si="87"/>
        <v>0</v>
      </c>
      <c r="AO795" s="52">
        <f t="shared" si="88"/>
        <v>1</v>
      </c>
      <c r="AP795" s="235"/>
      <c r="AQ795" s="28"/>
      <c r="AR795" s="28"/>
      <c r="AS795" s="28"/>
      <c r="AT795" s="28"/>
      <c r="AU795" s="235"/>
      <c r="AV795" s="360">
        <f t="shared" si="93"/>
        <v>4724959.7771681584</v>
      </c>
      <c r="AW795" s="235"/>
      <c r="AX795" s="355"/>
      <c r="AY795" s="344"/>
      <c r="AZ795" s="14">
        <f t="shared" si="95"/>
        <v>3482.1570475683038</v>
      </c>
      <c r="BA795" s="14">
        <f t="shared" si="94"/>
        <v>0.26359273120029325</v>
      </c>
      <c r="BB795" s="14">
        <f t="shared" si="89"/>
        <v>13210.36825147639</v>
      </c>
      <c r="BC795" s="344"/>
      <c r="BD795" s="344"/>
      <c r="BE795" s="344"/>
      <c r="BF795" s="344"/>
      <c r="BG795" s="344"/>
      <c r="BH795" s="344"/>
      <c r="BI795" s="344"/>
      <c r="BJ795" s="344"/>
      <c r="BK795" s="344"/>
      <c r="BL795" s="344"/>
      <c r="BM795" s="344"/>
      <c r="BN795" s="344"/>
      <c r="BO795" s="344"/>
      <c r="BP795" s="344"/>
      <c r="BQ795" s="344"/>
      <c r="BR795" s="344"/>
      <c r="BS795" s="344"/>
      <c r="BT795" s="344"/>
      <c r="BU795" s="344"/>
      <c r="BV795" s="344"/>
      <c r="BW795" s="344"/>
      <c r="BX795" s="344"/>
      <c r="BY795" s="344"/>
      <c r="BZ795" s="344"/>
      <c r="CA795" s="344"/>
      <c r="CB795" s="28"/>
      <c r="CC795" s="28"/>
      <c r="CD795" s="28"/>
      <c r="CE795" s="28"/>
      <c r="CF795" s="28"/>
      <c r="CG795" s="28"/>
      <c r="CH795" s="28"/>
      <c r="CI795" s="28"/>
      <c r="CJ795" s="28"/>
      <c r="CK795" s="28"/>
      <c r="CL795" s="28"/>
      <c r="CM795" s="28"/>
      <c r="CN795" s="28"/>
      <c r="CO795" s="28"/>
      <c r="CP795" s="28"/>
      <c r="CQ795" s="28"/>
      <c r="CR795" s="28"/>
      <c r="CS795" s="28"/>
      <c r="CT795" s="28"/>
      <c r="CU795" s="28"/>
      <c r="CV795" s="28"/>
      <c r="CW795" s="28"/>
    </row>
    <row r="796" spans="1:101" ht="14.25" customHeight="1" x14ac:dyDescent="0.2">
      <c r="A796" s="328"/>
      <c r="B796" s="52">
        <v>0.16661044904763267</v>
      </c>
      <c r="C796" s="330">
        <v>0.93702489594717453</v>
      </c>
      <c r="D796" s="330">
        <v>1.3503826517061236E-2</v>
      </c>
      <c r="E796" s="330">
        <v>2.2833007576784081E-2</v>
      </c>
      <c r="F796" s="331">
        <v>0.80506072941868723</v>
      </c>
      <c r="G796" s="94">
        <v>0.40187694332959256</v>
      </c>
      <c r="H796" s="330">
        <v>0.55395654315474385</v>
      </c>
      <c r="I796" s="330">
        <v>4.4504533050860762E-3</v>
      </c>
      <c r="J796" s="330">
        <v>1</v>
      </c>
      <c r="K796" s="330">
        <v>0.76554805952390481</v>
      </c>
      <c r="L796" s="332">
        <v>12680.710551162903</v>
      </c>
      <c r="M796" s="330">
        <v>0</v>
      </c>
      <c r="N796" s="330">
        <v>12853.999319682645</v>
      </c>
      <c r="O796" s="330">
        <v>1337.5260873576183</v>
      </c>
      <c r="P796" s="330">
        <v>39228.506109553702</v>
      </c>
      <c r="Q796" s="333">
        <v>112224.12313972625</v>
      </c>
      <c r="R796" s="330">
        <v>23982.588073711424</v>
      </c>
      <c r="S796" s="330">
        <v>7098.5759790794782</v>
      </c>
      <c r="T796" s="332">
        <v>0.95135193320773559</v>
      </c>
      <c r="U796" s="330">
        <v>0.71493834369232778</v>
      </c>
      <c r="V796" s="330">
        <v>0.95948295949147311</v>
      </c>
      <c r="W796" s="330">
        <v>0.97164501813374438</v>
      </c>
      <c r="X796" s="330">
        <v>0.52958091180523514</v>
      </c>
      <c r="Y796" s="330">
        <v>0</v>
      </c>
      <c r="Z796" s="331">
        <v>0</v>
      </c>
      <c r="AA796" s="235"/>
      <c r="AB796" s="335">
        <v>78229.516482027393</v>
      </c>
      <c r="AC796" s="336">
        <v>3.0374844791890889</v>
      </c>
      <c r="AD796" s="337">
        <v>64503.622156002617</v>
      </c>
      <c r="AE796" s="336">
        <v>2.5113077728329039</v>
      </c>
      <c r="AF796" s="337">
        <v>13725.894326024776</v>
      </c>
      <c r="AG796" s="338">
        <v>0.52617670635618508</v>
      </c>
      <c r="AH796" s="235"/>
      <c r="AI796" s="208">
        <f t="shared" si="90"/>
        <v>2807380.7387476075</v>
      </c>
      <c r="AJ796" s="208">
        <f t="shared" si="91"/>
        <v>2321238.7620352563</v>
      </c>
      <c r="AK796" s="208">
        <f t="shared" si="92"/>
        <v>486141.97671235108</v>
      </c>
      <c r="AL796" s="235"/>
      <c r="AM796" s="52">
        <f t="shared" si="86"/>
        <v>1</v>
      </c>
      <c r="AN796" s="52">
        <f t="shared" si="87"/>
        <v>0</v>
      </c>
      <c r="AO796" s="52">
        <f t="shared" si="88"/>
        <v>1</v>
      </c>
      <c r="AP796" s="235"/>
      <c r="AQ796" s="28"/>
      <c r="AR796" s="28"/>
      <c r="AS796" s="28"/>
      <c r="AT796" s="28"/>
      <c r="AU796" s="235"/>
      <c r="AV796" s="360">
        <f t="shared" si="93"/>
        <v>2807380.7387476075</v>
      </c>
      <c r="AW796" s="235"/>
      <c r="AX796" s="355"/>
      <c r="AY796" s="344"/>
      <c r="AZ796" s="14">
        <f t="shared" si="95"/>
        <v>13725.894326024776</v>
      </c>
      <c r="BA796" s="14">
        <f t="shared" si="94"/>
        <v>0.52617670635618508</v>
      </c>
      <c r="BB796" s="14">
        <f t="shared" si="89"/>
        <v>26086.092676123331</v>
      </c>
      <c r="BC796" s="344"/>
      <c r="BD796" s="344"/>
      <c r="BE796" s="344"/>
      <c r="BF796" s="344"/>
      <c r="BG796" s="344"/>
      <c r="BH796" s="344"/>
      <c r="BI796" s="344"/>
      <c r="BJ796" s="344"/>
      <c r="BK796" s="344"/>
      <c r="BL796" s="344"/>
      <c r="BM796" s="344"/>
      <c r="BN796" s="344"/>
      <c r="BO796" s="344"/>
      <c r="BP796" s="344"/>
      <c r="BQ796" s="344"/>
      <c r="BR796" s="344"/>
      <c r="BS796" s="344"/>
      <c r="BT796" s="344"/>
      <c r="BU796" s="344"/>
      <c r="BV796" s="344"/>
      <c r="BW796" s="344"/>
      <c r="BX796" s="344"/>
      <c r="BY796" s="344"/>
      <c r="BZ796" s="344"/>
      <c r="CA796" s="344"/>
      <c r="CB796" s="28"/>
      <c r="CC796" s="28"/>
      <c r="CD796" s="28"/>
      <c r="CE796" s="28"/>
      <c r="CF796" s="28"/>
      <c r="CG796" s="28"/>
      <c r="CH796" s="28"/>
      <c r="CI796" s="28"/>
      <c r="CJ796" s="28"/>
      <c r="CK796" s="28"/>
      <c r="CL796" s="28"/>
      <c r="CM796" s="28"/>
      <c r="CN796" s="28"/>
      <c r="CO796" s="28"/>
      <c r="CP796" s="28"/>
      <c r="CQ796" s="28"/>
      <c r="CR796" s="28"/>
      <c r="CS796" s="28"/>
      <c r="CT796" s="28"/>
      <c r="CU796" s="28"/>
      <c r="CV796" s="28"/>
      <c r="CW796" s="28"/>
    </row>
    <row r="797" spans="1:101" ht="14.25" customHeight="1" x14ac:dyDescent="0.2">
      <c r="A797" s="328"/>
      <c r="B797" s="52">
        <v>0.15882225344221307</v>
      </c>
      <c r="C797" s="330">
        <v>0.56543309572164246</v>
      </c>
      <c r="D797" s="330">
        <v>6.7909653677710423E-3</v>
      </c>
      <c r="E797" s="330">
        <v>1.3827197348589478E-2</v>
      </c>
      <c r="F797" s="331">
        <v>0.81854130992107454</v>
      </c>
      <c r="G797" s="94">
        <v>0.41059545948422549</v>
      </c>
      <c r="H797" s="330">
        <v>0.52832489044446107</v>
      </c>
      <c r="I797" s="330">
        <v>2.1241679523926527E-2</v>
      </c>
      <c r="J797" s="330">
        <v>0.99999999984145349</v>
      </c>
      <c r="K797" s="330">
        <v>0.75804729011161753</v>
      </c>
      <c r="L797" s="332">
        <v>6507.1700755484444</v>
      </c>
      <c r="M797" s="330">
        <v>0</v>
      </c>
      <c r="N797" s="330">
        <v>17607.397975699405</v>
      </c>
      <c r="O797" s="330">
        <v>1060.9255204043332</v>
      </c>
      <c r="P797" s="330">
        <v>43484.991392624754</v>
      </c>
      <c r="Q797" s="333">
        <v>110582.00355364537</v>
      </c>
      <c r="R797" s="330">
        <v>37093.450663926335</v>
      </c>
      <c r="S797" s="330">
        <v>5111.7756255343402</v>
      </c>
      <c r="T797" s="332">
        <v>0.9607913793745575</v>
      </c>
      <c r="U797" s="330">
        <v>0.99126041181969748</v>
      </c>
      <c r="V797" s="330">
        <v>0.14360563436252519</v>
      </c>
      <c r="W797" s="330">
        <v>0.93386383975109843</v>
      </c>
      <c r="X797" s="330">
        <v>0.99808364290980456</v>
      </c>
      <c r="Y797" s="330">
        <v>0</v>
      </c>
      <c r="Z797" s="331">
        <v>0</v>
      </c>
      <c r="AA797" s="235"/>
      <c r="AB797" s="335">
        <v>55028.577834674223</v>
      </c>
      <c r="AC797" s="336">
        <v>4.9356936187221443</v>
      </c>
      <c r="AD797" s="337">
        <v>51574.690187790751</v>
      </c>
      <c r="AE797" s="336">
        <v>4.6401014002244985</v>
      </c>
      <c r="AF797" s="337">
        <v>3453.8876468834715</v>
      </c>
      <c r="AG797" s="338">
        <v>0.29559221849764583</v>
      </c>
      <c r="AH797" s="235"/>
      <c r="AI797" s="208">
        <f t="shared" si="90"/>
        <v>4633880.3599513629</v>
      </c>
      <c r="AJ797" s="208">
        <f t="shared" si="91"/>
        <v>4356521.6400254834</v>
      </c>
      <c r="AK797" s="208">
        <f t="shared" si="92"/>
        <v>277358.71992588002</v>
      </c>
      <c r="AL797" s="235"/>
      <c r="AM797" s="52">
        <f t="shared" si="86"/>
        <v>1</v>
      </c>
      <c r="AN797" s="52">
        <f t="shared" si="87"/>
        <v>0</v>
      </c>
      <c r="AO797" s="52">
        <f t="shared" si="88"/>
        <v>1</v>
      </c>
      <c r="AP797" s="235"/>
      <c r="AQ797" s="28"/>
      <c r="AR797" s="28"/>
      <c r="AS797" s="28"/>
      <c r="AT797" s="28"/>
      <c r="AU797" s="235"/>
      <c r="AV797" s="360">
        <f t="shared" si="93"/>
        <v>4633880.3599513629</v>
      </c>
      <c r="AW797" s="235"/>
      <c r="AX797" s="355"/>
      <c r="AY797" s="344"/>
      <c r="AZ797" s="14">
        <f t="shared" si="95"/>
        <v>3453.8876468834715</v>
      </c>
      <c r="BA797" s="14">
        <f t="shared" si="94"/>
        <v>0.29559221849764583</v>
      </c>
      <c r="BB797" s="14">
        <f t="shared" si="89"/>
        <v>11684.636572768843</v>
      </c>
      <c r="BC797" s="344"/>
      <c r="BD797" s="344"/>
      <c r="BE797" s="344"/>
      <c r="BF797" s="344"/>
      <c r="BG797" s="344"/>
      <c r="BH797" s="344"/>
      <c r="BI797" s="344"/>
      <c r="BJ797" s="344"/>
      <c r="BK797" s="344"/>
      <c r="BL797" s="344"/>
      <c r="BM797" s="344"/>
      <c r="BN797" s="344"/>
      <c r="BO797" s="344"/>
      <c r="BP797" s="344"/>
      <c r="BQ797" s="344"/>
      <c r="BR797" s="344"/>
      <c r="BS797" s="344"/>
      <c r="BT797" s="344"/>
      <c r="BU797" s="344"/>
      <c r="BV797" s="344"/>
      <c r="BW797" s="344"/>
      <c r="BX797" s="344"/>
      <c r="BY797" s="344"/>
      <c r="BZ797" s="344"/>
      <c r="CA797" s="344"/>
      <c r="CB797" s="28"/>
      <c r="CC797" s="28"/>
      <c r="CD797" s="28"/>
      <c r="CE797" s="28"/>
      <c r="CF797" s="28"/>
      <c r="CG797" s="28"/>
      <c r="CH797" s="28"/>
      <c r="CI797" s="28"/>
      <c r="CJ797" s="28"/>
      <c r="CK797" s="28"/>
      <c r="CL797" s="28"/>
      <c r="CM797" s="28"/>
      <c r="CN797" s="28"/>
      <c r="CO797" s="28"/>
      <c r="CP797" s="28"/>
      <c r="CQ797" s="28"/>
      <c r="CR797" s="28"/>
      <c r="CS797" s="28"/>
      <c r="CT797" s="28"/>
      <c r="CU797" s="28"/>
      <c r="CV797" s="28"/>
      <c r="CW797" s="28"/>
    </row>
    <row r="798" spans="1:101" ht="14.25" customHeight="1" x14ac:dyDescent="0.2">
      <c r="A798" s="328"/>
      <c r="B798" s="52">
        <v>0.13511255170582234</v>
      </c>
      <c r="C798" s="330">
        <v>0.14535755120017788</v>
      </c>
      <c r="D798" s="330">
        <v>7.9734977315753033E-3</v>
      </c>
      <c r="E798" s="330">
        <v>1.3277544471085399E-2</v>
      </c>
      <c r="F798" s="331">
        <v>0.80462517049396443</v>
      </c>
      <c r="G798" s="94">
        <v>0.42843767115904841</v>
      </c>
      <c r="H798" s="330">
        <v>0.16869790856156172</v>
      </c>
      <c r="I798" s="330">
        <v>4.962097290910461E-2</v>
      </c>
      <c r="J798" s="330">
        <v>0.99999586618647895</v>
      </c>
      <c r="K798" s="330">
        <v>0.70317271647182433</v>
      </c>
      <c r="L798" s="332">
        <v>11799.733815567839</v>
      </c>
      <c r="M798" s="330">
        <v>0</v>
      </c>
      <c r="N798" s="330">
        <v>16241.852476296917</v>
      </c>
      <c r="O798" s="330">
        <v>1476.5498484028476</v>
      </c>
      <c r="P798" s="330">
        <v>43248.969169551427</v>
      </c>
      <c r="Q798" s="333">
        <v>89055.135636640873</v>
      </c>
      <c r="R798" s="330">
        <v>20735.677618801237</v>
      </c>
      <c r="S798" s="330">
        <v>6258.6149293559911</v>
      </c>
      <c r="T798" s="332">
        <v>0.76252574249410876</v>
      </c>
      <c r="U798" s="330">
        <v>0.6999974564174084</v>
      </c>
      <c r="V798" s="330">
        <v>0.63978856068431389</v>
      </c>
      <c r="W798" s="330">
        <v>0.6502785199737432</v>
      </c>
      <c r="X798" s="330">
        <v>0.97260890098787089</v>
      </c>
      <c r="Y798" s="330">
        <v>0</v>
      </c>
      <c r="Z798" s="331">
        <v>0</v>
      </c>
      <c r="AA798" s="235"/>
      <c r="AB798" s="335">
        <v>66544.021160108547</v>
      </c>
      <c r="AC798" s="336">
        <v>4.8819078445067063</v>
      </c>
      <c r="AD798" s="337">
        <v>52505.969140046378</v>
      </c>
      <c r="AE798" s="336">
        <v>4.1368286491197388</v>
      </c>
      <c r="AF798" s="337">
        <v>14038.052020062169</v>
      </c>
      <c r="AG798" s="338">
        <v>0.74507919538696754</v>
      </c>
      <c r="AH798" s="235"/>
      <c r="AI798" s="208">
        <f t="shared" si="90"/>
        <v>4571268.4311212618</v>
      </c>
      <c r="AJ798" s="208">
        <f t="shared" si="91"/>
        <v>3877481.2475237055</v>
      </c>
      <c r="AK798" s="208">
        <f t="shared" si="92"/>
        <v>693787.18359755701</v>
      </c>
      <c r="AL798" s="235"/>
      <c r="AM798" s="52">
        <f t="shared" si="86"/>
        <v>1</v>
      </c>
      <c r="AN798" s="52">
        <f t="shared" si="87"/>
        <v>0</v>
      </c>
      <c r="AO798" s="52">
        <f t="shared" si="88"/>
        <v>1</v>
      </c>
      <c r="AP798" s="235"/>
      <c r="AQ798" s="28"/>
      <c r="AR798" s="28"/>
      <c r="AS798" s="28"/>
      <c r="AT798" s="28"/>
      <c r="AU798" s="235"/>
      <c r="AV798" s="360">
        <f t="shared" si="93"/>
        <v>4571268.4311212618</v>
      </c>
      <c r="AW798" s="235"/>
      <c r="AX798" s="355"/>
      <c r="AY798" s="344"/>
      <c r="AZ798" s="14">
        <f t="shared" si="95"/>
        <v>14038.052020062169</v>
      </c>
      <c r="BA798" s="14">
        <f t="shared" si="94"/>
        <v>0.74507919538696754</v>
      </c>
      <c r="BB798" s="14">
        <f t="shared" si="89"/>
        <v>18841.019997573956</v>
      </c>
      <c r="BC798" s="344"/>
      <c r="BD798" s="344"/>
      <c r="BE798" s="344"/>
      <c r="BF798" s="344"/>
      <c r="BG798" s="344"/>
      <c r="BH798" s="344"/>
      <c r="BI798" s="344"/>
      <c r="BJ798" s="344"/>
      <c r="BK798" s="344"/>
      <c r="BL798" s="344"/>
      <c r="BM798" s="344"/>
      <c r="BN798" s="344"/>
      <c r="BO798" s="344"/>
      <c r="BP798" s="344"/>
      <c r="BQ798" s="344"/>
      <c r="BR798" s="344"/>
      <c r="BS798" s="344"/>
      <c r="BT798" s="344"/>
      <c r="BU798" s="344"/>
      <c r="BV798" s="344"/>
      <c r="BW798" s="344"/>
      <c r="BX798" s="344"/>
      <c r="BY798" s="344"/>
      <c r="BZ798" s="344"/>
      <c r="CA798" s="344"/>
      <c r="CB798" s="28"/>
      <c r="CC798" s="28"/>
      <c r="CD798" s="28"/>
      <c r="CE798" s="28"/>
      <c r="CF798" s="28"/>
      <c r="CG798" s="28"/>
      <c r="CH798" s="28"/>
      <c r="CI798" s="28"/>
      <c r="CJ798" s="28"/>
      <c r="CK798" s="28"/>
      <c r="CL798" s="28"/>
      <c r="CM798" s="28"/>
      <c r="CN798" s="28"/>
      <c r="CO798" s="28"/>
      <c r="CP798" s="28"/>
      <c r="CQ798" s="28"/>
      <c r="CR798" s="28"/>
      <c r="CS798" s="28"/>
      <c r="CT798" s="28"/>
      <c r="CU798" s="28"/>
      <c r="CV798" s="28"/>
      <c r="CW798" s="28"/>
    </row>
    <row r="799" spans="1:101" ht="14.25" customHeight="1" x14ac:dyDescent="0.2">
      <c r="A799" s="328"/>
      <c r="B799" s="52">
        <v>0.18067290725269125</v>
      </c>
      <c r="C799" s="330">
        <v>4.4338120520073146E-2</v>
      </c>
      <c r="D799" s="330">
        <v>8.6190649617600631E-3</v>
      </c>
      <c r="E799" s="330">
        <v>2.0536679929332724E-2</v>
      </c>
      <c r="F799" s="331">
        <v>0.77390042304029993</v>
      </c>
      <c r="G799" s="94">
        <v>0.40085041235756635</v>
      </c>
      <c r="H799" s="330">
        <v>0.43391595087210044</v>
      </c>
      <c r="I799" s="330">
        <v>1.336071818818322E-2</v>
      </c>
      <c r="J799" s="330">
        <v>0.9999999934938596</v>
      </c>
      <c r="K799" s="330">
        <v>0.72743285455660256</v>
      </c>
      <c r="L799" s="332">
        <v>13959.35194284004</v>
      </c>
      <c r="M799" s="330">
        <v>0</v>
      </c>
      <c r="N799" s="330">
        <v>16456.222949282848</v>
      </c>
      <c r="O799" s="330">
        <v>1085.1100473617519</v>
      </c>
      <c r="P799" s="330">
        <v>54353.261216076506</v>
      </c>
      <c r="Q799" s="333">
        <v>56763.70629783583</v>
      </c>
      <c r="R799" s="330">
        <v>14399.182732188036</v>
      </c>
      <c r="S799" s="330">
        <v>8961.1598325333107</v>
      </c>
      <c r="T799" s="332">
        <v>0.95335247972910564</v>
      </c>
      <c r="U799" s="330">
        <v>0.81094635458507758</v>
      </c>
      <c r="V799" s="330">
        <v>0.99895922725006137</v>
      </c>
      <c r="W799" s="330">
        <v>0.52422815894718278</v>
      </c>
      <c r="X799" s="330">
        <v>0.91377005112767473</v>
      </c>
      <c r="Y799" s="330">
        <v>0</v>
      </c>
      <c r="Z799" s="331">
        <v>0</v>
      </c>
      <c r="AA799" s="235"/>
      <c r="AB799" s="335">
        <v>88782.984088303347</v>
      </c>
      <c r="AC799" s="336">
        <v>4.4075452296132438</v>
      </c>
      <c r="AD799" s="337">
        <v>73545.744174518171</v>
      </c>
      <c r="AE799" s="336">
        <v>4.0957279356322882</v>
      </c>
      <c r="AF799" s="337">
        <v>15237.239913785175</v>
      </c>
      <c r="AG799" s="338">
        <v>0.31181729398095559</v>
      </c>
      <c r="AH799" s="235"/>
      <c r="AI799" s="208">
        <f t="shared" si="90"/>
        <v>4098384.984044278</v>
      </c>
      <c r="AJ799" s="208">
        <f t="shared" si="91"/>
        <v>3817395.7946761558</v>
      </c>
      <c r="AK799" s="208">
        <f t="shared" si="92"/>
        <v>280989.18936812261</v>
      </c>
      <c r="AL799" s="235"/>
      <c r="AM799" s="52">
        <f t="shared" si="86"/>
        <v>1</v>
      </c>
      <c r="AN799" s="52">
        <f t="shared" si="87"/>
        <v>0</v>
      </c>
      <c r="AO799" s="52">
        <f t="shared" si="88"/>
        <v>1</v>
      </c>
      <c r="AP799" s="235"/>
      <c r="AQ799" s="28"/>
      <c r="AR799" s="28"/>
      <c r="AS799" s="28"/>
      <c r="AT799" s="28"/>
      <c r="AU799" s="235"/>
      <c r="AV799" s="360">
        <f t="shared" si="93"/>
        <v>4098384.984044278</v>
      </c>
      <c r="AW799" s="235"/>
      <c r="AX799" s="355"/>
      <c r="AY799" s="344"/>
      <c r="AZ799" s="14">
        <f t="shared" si="95"/>
        <v>15237.239913785175</v>
      </c>
      <c r="BA799" s="14">
        <f t="shared" si="94"/>
        <v>0.31181729398095559</v>
      </c>
      <c r="BB799" s="14">
        <f t="shared" si="89"/>
        <v>48865.923115591526</v>
      </c>
      <c r="BC799" s="344"/>
      <c r="BD799" s="344"/>
      <c r="BE799" s="344"/>
      <c r="BF799" s="344"/>
      <c r="BG799" s="344"/>
      <c r="BH799" s="344"/>
      <c r="BI799" s="344"/>
      <c r="BJ799" s="344"/>
      <c r="BK799" s="344"/>
      <c r="BL799" s="344"/>
      <c r="BM799" s="344"/>
      <c r="BN799" s="344"/>
      <c r="BO799" s="344"/>
      <c r="BP799" s="344"/>
      <c r="BQ799" s="344"/>
      <c r="BR799" s="344"/>
      <c r="BS799" s="344"/>
      <c r="BT799" s="344"/>
      <c r="BU799" s="344"/>
      <c r="BV799" s="344"/>
      <c r="BW799" s="344"/>
      <c r="BX799" s="344"/>
      <c r="BY799" s="344"/>
      <c r="BZ799" s="344"/>
      <c r="CA799" s="344"/>
      <c r="CB799" s="28"/>
      <c r="CC799" s="28"/>
      <c r="CD799" s="28"/>
      <c r="CE799" s="28"/>
      <c r="CF799" s="28"/>
      <c r="CG799" s="28"/>
      <c r="CH799" s="28"/>
      <c r="CI799" s="28"/>
      <c r="CJ799" s="28"/>
      <c r="CK799" s="28"/>
      <c r="CL799" s="28"/>
      <c r="CM799" s="28"/>
      <c r="CN799" s="28"/>
      <c r="CO799" s="28"/>
      <c r="CP799" s="28"/>
      <c r="CQ799" s="28"/>
      <c r="CR799" s="28"/>
      <c r="CS799" s="28"/>
      <c r="CT799" s="28"/>
      <c r="CU799" s="28"/>
      <c r="CV799" s="28"/>
      <c r="CW799" s="28"/>
    </row>
    <row r="800" spans="1:101" ht="14.25" customHeight="1" x14ac:dyDescent="0.2">
      <c r="A800" s="328"/>
      <c r="B800" s="52">
        <v>0.19180915952990318</v>
      </c>
      <c r="C800" s="330">
        <v>0.55807661408183806</v>
      </c>
      <c r="D800" s="330">
        <v>1.9294952742504812E-2</v>
      </c>
      <c r="E800" s="330">
        <v>1.4604788040459726E-2</v>
      </c>
      <c r="F800" s="331">
        <v>0.81981712806247053</v>
      </c>
      <c r="G800" s="94">
        <v>0.34085843188971604</v>
      </c>
      <c r="H800" s="330">
        <v>0.49589523793434442</v>
      </c>
      <c r="I800" s="330">
        <v>1.9476870540047542E-2</v>
      </c>
      <c r="J800" s="330">
        <v>0.99999999998482303</v>
      </c>
      <c r="K800" s="330">
        <v>0.75402487043690292</v>
      </c>
      <c r="L800" s="332">
        <v>12120.923995533189</v>
      </c>
      <c r="M800" s="330">
        <v>0</v>
      </c>
      <c r="N800" s="330">
        <v>21803.570191157003</v>
      </c>
      <c r="O800" s="330">
        <v>1421.0859796021537</v>
      </c>
      <c r="P800" s="330">
        <v>50512.980121400906</v>
      </c>
      <c r="Q800" s="333">
        <v>82121.788784305798</v>
      </c>
      <c r="R800" s="330">
        <v>31218.295816253194</v>
      </c>
      <c r="S800" s="330">
        <v>12061.340247639355</v>
      </c>
      <c r="T800" s="332">
        <v>0.70091006332650319</v>
      </c>
      <c r="U800" s="330">
        <v>0.97395934786247795</v>
      </c>
      <c r="V800" s="330">
        <v>0.88125684510666624</v>
      </c>
      <c r="W800" s="330">
        <v>0.99875762792939682</v>
      </c>
      <c r="X800" s="330">
        <v>0.88207020399872094</v>
      </c>
      <c r="Y800" s="330">
        <v>0</v>
      </c>
      <c r="Z800" s="331">
        <v>0</v>
      </c>
      <c r="AA800" s="235"/>
      <c r="AB800" s="335">
        <v>122154.49264297732</v>
      </c>
      <c r="AC800" s="336">
        <v>4.3748908916321554</v>
      </c>
      <c r="AD800" s="337">
        <v>104395.12604350511</v>
      </c>
      <c r="AE800" s="336">
        <v>4.344853751267979</v>
      </c>
      <c r="AF800" s="337">
        <v>17759.366599472211</v>
      </c>
      <c r="AG800" s="338">
        <v>3.0037140364176373E-2</v>
      </c>
      <c r="AH800" s="235"/>
      <c r="AI800" s="208">
        <f t="shared" si="90"/>
        <v>4033991.8544075703</v>
      </c>
      <c r="AJ800" s="208">
        <f t="shared" si="91"/>
        <v>4023215.937661075</v>
      </c>
      <c r="AK800" s="208">
        <f t="shared" si="92"/>
        <v>10775.916746495343</v>
      </c>
      <c r="AL800" s="235"/>
      <c r="AM800" s="52">
        <f t="shared" si="86"/>
        <v>1</v>
      </c>
      <c r="AN800" s="52">
        <f t="shared" si="87"/>
        <v>0</v>
      </c>
      <c r="AO800" s="52">
        <f t="shared" si="88"/>
        <v>1</v>
      </c>
      <c r="AP800" s="235"/>
      <c r="AQ800" s="28"/>
      <c r="AR800" s="28"/>
      <c r="AS800" s="28"/>
      <c r="AT800" s="28"/>
      <c r="AU800" s="235"/>
      <c r="AV800" s="360">
        <f t="shared" si="93"/>
        <v>4033991.8544075703</v>
      </c>
      <c r="AW800" s="235"/>
      <c r="AX800" s="355"/>
      <c r="AY800" s="344"/>
      <c r="AZ800" s="14">
        <f t="shared" si="95"/>
        <v>17759.366599472211</v>
      </c>
      <c r="BA800" s="14">
        <f t="shared" si="94"/>
        <v>3.0037140364176373E-2</v>
      </c>
      <c r="BB800" s="14">
        <f t="shared" si="89"/>
        <v>591246.91579005367</v>
      </c>
      <c r="BC800" s="344"/>
      <c r="BD800" s="344"/>
      <c r="BE800" s="344"/>
      <c r="BF800" s="344"/>
      <c r="BG800" s="344"/>
      <c r="BH800" s="344"/>
      <c r="BI800" s="344"/>
      <c r="BJ800" s="344"/>
      <c r="BK800" s="344"/>
      <c r="BL800" s="344"/>
      <c r="BM800" s="344"/>
      <c r="BN800" s="344"/>
      <c r="BO800" s="344"/>
      <c r="BP800" s="344"/>
      <c r="BQ800" s="344"/>
      <c r="BR800" s="344"/>
      <c r="BS800" s="344"/>
      <c r="BT800" s="344"/>
      <c r="BU800" s="344"/>
      <c r="BV800" s="344"/>
      <c r="BW800" s="344"/>
      <c r="BX800" s="344"/>
      <c r="BY800" s="344"/>
      <c r="BZ800" s="344"/>
      <c r="CA800" s="344"/>
      <c r="CB800" s="28"/>
      <c r="CC800" s="28"/>
      <c r="CD800" s="28"/>
      <c r="CE800" s="28"/>
      <c r="CF800" s="28"/>
      <c r="CG800" s="28"/>
      <c r="CH800" s="28"/>
      <c r="CI800" s="28"/>
      <c r="CJ800" s="28"/>
      <c r="CK800" s="28"/>
      <c r="CL800" s="28"/>
      <c r="CM800" s="28"/>
      <c r="CN800" s="28"/>
      <c r="CO800" s="28"/>
      <c r="CP800" s="28"/>
      <c r="CQ800" s="28"/>
      <c r="CR800" s="28"/>
      <c r="CS800" s="28"/>
      <c r="CT800" s="28"/>
      <c r="CU800" s="28"/>
      <c r="CV800" s="28"/>
      <c r="CW800" s="28"/>
    </row>
    <row r="801" spans="1:101" ht="14.25" customHeight="1" x14ac:dyDescent="0.2">
      <c r="A801" s="328"/>
      <c r="B801" s="52">
        <v>0.16232626982396503</v>
      </c>
      <c r="C801" s="330">
        <v>0.10432875093356363</v>
      </c>
      <c r="D801" s="330">
        <v>1.3971886515219941E-2</v>
      </c>
      <c r="E801" s="330">
        <v>1.8447785381965787E-2</v>
      </c>
      <c r="F801" s="331">
        <v>0.80874691281142308</v>
      </c>
      <c r="G801" s="94">
        <v>0.45332155551762066</v>
      </c>
      <c r="H801" s="330">
        <v>0.26381147624068235</v>
      </c>
      <c r="I801" s="330">
        <v>4.1690202031236967E-2</v>
      </c>
      <c r="J801" s="330">
        <v>0.99999995690528709</v>
      </c>
      <c r="K801" s="330">
        <v>0.69359710476361403</v>
      </c>
      <c r="L801" s="332">
        <v>16497.83144377916</v>
      </c>
      <c r="M801" s="330">
        <v>0</v>
      </c>
      <c r="N801" s="330">
        <v>22765.624807088505</v>
      </c>
      <c r="O801" s="330">
        <v>1209.9492263270456</v>
      </c>
      <c r="P801" s="330">
        <v>49588.073989596422</v>
      </c>
      <c r="Q801" s="333">
        <v>134794.72346880843</v>
      </c>
      <c r="R801" s="330">
        <v>24310.306460273056</v>
      </c>
      <c r="S801" s="330">
        <v>11182.141766953177</v>
      </c>
      <c r="T801" s="332">
        <v>0.9998739362892114</v>
      </c>
      <c r="U801" s="330">
        <v>0.93433064674664656</v>
      </c>
      <c r="V801" s="330">
        <v>0.9682534370430983</v>
      </c>
      <c r="W801" s="330">
        <v>0.96663289062977364</v>
      </c>
      <c r="X801" s="330">
        <v>0.96372865426578525</v>
      </c>
      <c r="Y801" s="330">
        <v>0</v>
      </c>
      <c r="Z801" s="331">
        <v>0</v>
      </c>
      <c r="AA801" s="235"/>
      <c r="AB801" s="335">
        <v>114462.81539924396</v>
      </c>
      <c r="AC801" s="336">
        <v>5.3376213083076864</v>
      </c>
      <c r="AD801" s="337">
        <v>90527.808191825752</v>
      </c>
      <c r="AE801" s="336">
        <v>4.2821593899137724</v>
      </c>
      <c r="AF801" s="337">
        <v>23935.00720741821</v>
      </c>
      <c r="AG801" s="338">
        <v>1.055461918393914</v>
      </c>
      <c r="AH801" s="235"/>
      <c r="AI801" s="208">
        <f t="shared" si="90"/>
        <v>4956277.4274930581</v>
      </c>
      <c r="AJ801" s="208">
        <f t="shared" si="91"/>
        <v>3977523.612226258</v>
      </c>
      <c r="AK801" s="208">
        <f t="shared" si="92"/>
        <v>978753.81526680011</v>
      </c>
      <c r="AL801" s="235"/>
      <c r="AM801" s="52">
        <f t="shared" si="86"/>
        <v>1</v>
      </c>
      <c r="AN801" s="52">
        <f t="shared" si="87"/>
        <v>0</v>
      </c>
      <c r="AO801" s="52">
        <f t="shared" si="88"/>
        <v>1</v>
      </c>
      <c r="AP801" s="235"/>
      <c r="AQ801" s="28"/>
      <c r="AR801" s="28"/>
      <c r="AS801" s="28"/>
      <c r="AT801" s="28"/>
      <c r="AU801" s="235"/>
      <c r="AV801" s="360">
        <f t="shared" si="93"/>
        <v>4956277.4274930581</v>
      </c>
      <c r="AW801" s="235"/>
      <c r="AX801" s="355"/>
      <c r="AY801" s="344"/>
      <c r="AZ801" s="14">
        <f t="shared" si="95"/>
        <v>23935.00720741821</v>
      </c>
      <c r="BA801" s="14">
        <f t="shared" si="94"/>
        <v>1.055461918393914</v>
      </c>
      <c r="BB801" s="14">
        <f t="shared" si="89"/>
        <v>22677.2816624591</v>
      </c>
      <c r="BC801" s="344"/>
      <c r="BD801" s="344"/>
      <c r="BE801" s="344"/>
      <c r="BF801" s="344"/>
      <c r="BG801" s="344"/>
      <c r="BH801" s="344"/>
      <c r="BI801" s="344"/>
      <c r="BJ801" s="344"/>
      <c r="BK801" s="344"/>
      <c r="BL801" s="344"/>
      <c r="BM801" s="344"/>
      <c r="BN801" s="344"/>
      <c r="BO801" s="344"/>
      <c r="BP801" s="344"/>
      <c r="BQ801" s="344"/>
      <c r="BR801" s="344"/>
      <c r="BS801" s="344"/>
      <c r="BT801" s="344"/>
      <c r="BU801" s="344"/>
      <c r="BV801" s="344"/>
      <c r="BW801" s="344"/>
      <c r="BX801" s="344"/>
      <c r="BY801" s="344"/>
      <c r="BZ801" s="344"/>
      <c r="CA801" s="344"/>
      <c r="CB801" s="28"/>
      <c r="CC801" s="28"/>
      <c r="CD801" s="28"/>
      <c r="CE801" s="28"/>
      <c r="CF801" s="28"/>
      <c r="CG801" s="28"/>
      <c r="CH801" s="28"/>
      <c r="CI801" s="28"/>
      <c r="CJ801" s="28"/>
      <c r="CK801" s="28"/>
      <c r="CL801" s="28"/>
      <c r="CM801" s="28"/>
      <c r="CN801" s="28"/>
      <c r="CO801" s="28"/>
      <c r="CP801" s="28"/>
      <c r="CQ801" s="28"/>
      <c r="CR801" s="28"/>
      <c r="CS801" s="28"/>
      <c r="CT801" s="28"/>
      <c r="CU801" s="28"/>
      <c r="CV801" s="28"/>
      <c r="CW801" s="28"/>
    </row>
    <row r="802" spans="1:101" ht="14.25" customHeight="1" x14ac:dyDescent="0.2">
      <c r="A802" s="328"/>
      <c r="B802" s="52">
        <v>0.13141211601575623</v>
      </c>
      <c r="C802" s="330">
        <v>0.3600265321566315</v>
      </c>
      <c r="D802" s="330">
        <v>1.805423041713361E-2</v>
      </c>
      <c r="E802" s="330">
        <v>1.733067383346909E-2</v>
      </c>
      <c r="F802" s="331">
        <v>0.75663295067080494</v>
      </c>
      <c r="G802" s="94">
        <v>0.40458574529883851</v>
      </c>
      <c r="H802" s="330">
        <v>0.37944872871616514</v>
      </c>
      <c r="I802" s="330">
        <v>4.9871496160252791E-3</v>
      </c>
      <c r="J802" s="330">
        <v>0.11224374821078686</v>
      </c>
      <c r="K802" s="330">
        <v>0.77092736129214745</v>
      </c>
      <c r="L802" s="332">
        <v>16264.447511483027</v>
      </c>
      <c r="M802" s="330">
        <v>0</v>
      </c>
      <c r="N802" s="330">
        <v>19626.166815088898</v>
      </c>
      <c r="O802" s="330">
        <v>891.89436916381999</v>
      </c>
      <c r="P802" s="330">
        <v>52003.078474108166</v>
      </c>
      <c r="Q802" s="333">
        <v>79160.094169778502</v>
      </c>
      <c r="R802" s="330">
        <v>25753.608586202274</v>
      </c>
      <c r="S802" s="330">
        <v>8493.3659052057537</v>
      </c>
      <c r="T802" s="332">
        <v>0.64146050615289896</v>
      </c>
      <c r="U802" s="330">
        <v>0.52800636282784563</v>
      </c>
      <c r="V802" s="330">
        <v>0.87995873613136955</v>
      </c>
      <c r="W802" s="330">
        <v>0.74928973379949015</v>
      </c>
      <c r="X802" s="330">
        <v>0.92847577472097687</v>
      </c>
      <c r="Y802" s="330">
        <v>0</v>
      </c>
      <c r="Z802" s="331">
        <v>0</v>
      </c>
      <c r="AA802" s="235"/>
      <c r="AB802" s="335">
        <v>86753.620990868338</v>
      </c>
      <c r="AC802" s="336">
        <v>4.522565975970573</v>
      </c>
      <c r="AD802" s="337">
        <v>74755.081407469144</v>
      </c>
      <c r="AE802" s="336">
        <v>4.5045965827735541</v>
      </c>
      <c r="AF802" s="337">
        <v>11998.539583399193</v>
      </c>
      <c r="AG802" s="338">
        <v>1.7969393197018846E-2</v>
      </c>
      <c r="AH802" s="235"/>
      <c r="AI802" s="208">
        <f t="shared" si="90"/>
        <v>4209684.0561811756</v>
      </c>
      <c r="AJ802" s="208">
        <f t="shared" si="91"/>
        <v>4204611.6722274078</v>
      </c>
      <c r="AK802" s="208">
        <f t="shared" si="92"/>
        <v>5072.383953768709</v>
      </c>
      <c r="AL802" s="235"/>
      <c r="AM802" s="52">
        <f t="shared" si="86"/>
        <v>1</v>
      </c>
      <c r="AN802" s="52">
        <f t="shared" si="87"/>
        <v>0</v>
      </c>
      <c r="AO802" s="52">
        <f t="shared" si="88"/>
        <v>1</v>
      </c>
      <c r="AP802" s="235"/>
      <c r="AQ802" s="28"/>
      <c r="AR802" s="28"/>
      <c r="AS802" s="28"/>
      <c r="AT802" s="28"/>
      <c r="AU802" s="235"/>
      <c r="AV802" s="360">
        <f t="shared" si="93"/>
        <v>4209684.0561811756</v>
      </c>
      <c r="AW802" s="235"/>
      <c r="AX802" s="355"/>
      <c r="AY802" s="344"/>
      <c r="AZ802" s="14">
        <f t="shared" si="95"/>
        <v>11998.539583399193</v>
      </c>
      <c r="BA802" s="14">
        <f t="shared" si="94"/>
        <v>1.7969393197018846E-2</v>
      </c>
      <c r="BB802" s="14">
        <f t="shared" si="89"/>
        <v>667720.91031931853</v>
      </c>
      <c r="BC802" s="344"/>
      <c r="BD802" s="344"/>
      <c r="BE802" s="344"/>
      <c r="BF802" s="344"/>
      <c r="BG802" s="344"/>
      <c r="BH802" s="344"/>
      <c r="BI802" s="344"/>
      <c r="BJ802" s="344"/>
      <c r="BK802" s="344"/>
      <c r="BL802" s="344"/>
      <c r="BM802" s="344"/>
      <c r="BN802" s="344"/>
      <c r="BO802" s="344"/>
      <c r="BP802" s="344"/>
      <c r="BQ802" s="344"/>
      <c r="BR802" s="344"/>
      <c r="BS802" s="344"/>
      <c r="BT802" s="344"/>
      <c r="BU802" s="344"/>
      <c r="BV802" s="344"/>
      <c r="BW802" s="344"/>
      <c r="BX802" s="344"/>
      <c r="BY802" s="344"/>
      <c r="BZ802" s="344"/>
      <c r="CA802" s="344"/>
      <c r="CB802" s="28"/>
      <c r="CC802" s="28"/>
      <c r="CD802" s="28"/>
      <c r="CE802" s="28"/>
      <c r="CF802" s="28"/>
      <c r="CG802" s="28"/>
      <c r="CH802" s="28"/>
      <c r="CI802" s="28"/>
      <c r="CJ802" s="28"/>
      <c r="CK802" s="28"/>
      <c r="CL802" s="28"/>
      <c r="CM802" s="28"/>
      <c r="CN802" s="28"/>
      <c r="CO802" s="28"/>
      <c r="CP802" s="28"/>
      <c r="CQ802" s="28"/>
      <c r="CR802" s="28"/>
      <c r="CS802" s="28"/>
      <c r="CT802" s="28"/>
      <c r="CU802" s="28"/>
      <c r="CV802" s="28"/>
      <c r="CW802" s="28"/>
    </row>
    <row r="803" spans="1:101" ht="14.25" customHeight="1" x14ac:dyDescent="0.2">
      <c r="A803" s="328"/>
      <c r="B803" s="52">
        <v>0.14407370886612908</v>
      </c>
      <c r="C803" s="330">
        <v>0.74919368599133884</v>
      </c>
      <c r="D803" s="330">
        <v>1.6110067690526475E-2</v>
      </c>
      <c r="E803" s="330">
        <v>7.144511698169158E-3</v>
      </c>
      <c r="F803" s="331">
        <v>0.7638410475092775</v>
      </c>
      <c r="G803" s="94">
        <v>0.38627784880196236</v>
      </c>
      <c r="H803" s="330">
        <v>0.19907289924613833</v>
      </c>
      <c r="I803" s="330">
        <v>7.4343841552330552E-3</v>
      </c>
      <c r="J803" s="330">
        <v>0.95485573065833784</v>
      </c>
      <c r="K803" s="330">
        <v>0.77243064756890067</v>
      </c>
      <c r="L803" s="332">
        <v>11705.126914050394</v>
      </c>
      <c r="M803" s="330">
        <v>0</v>
      </c>
      <c r="N803" s="330">
        <v>18587.891572797613</v>
      </c>
      <c r="O803" s="330">
        <v>1027.4771492533462</v>
      </c>
      <c r="P803" s="330">
        <v>47495.347794615882</v>
      </c>
      <c r="Q803" s="333">
        <v>119622.54193361499</v>
      </c>
      <c r="R803" s="330">
        <v>15036.700587777854</v>
      </c>
      <c r="S803" s="330">
        <v>7359.3423676348239</v>
      </c>
      <c r="T803" s="332">
        <v>0.98397607092288597</v>
      </c>
      <c r="U803" s="330">
        <v>0.14330888523567667</v>
      </c>
      <c r="V803" s="330">
        <v>0.70570448509342087</v>
      </c>
      <c r="W803" s="330">
        <v>0.95240399918974494</v>
      </c>
      <c r="X803" s="330">
        <v>0.97621150689214553</v>
      </c>
      <c r="Y803" s="330">
        <v>0</v>
      </c>
      <c r="Z803" s="331">
        <v>0</v>
      </c>
      <c r="AA803" s="235"/>
      <c r="AB803" s="335">
        <v>74079.149440960042</v>
      </c>
      <c r="AC803" s="336">
        <v>4.5433980238341691</v>
      </c>
      <c r="AD803" s="337">
        <v>63104.221512784949</v>
      </c>
      <c r="AE803" s="336">
        <v>4.597244857974446</v>
      </c>
      <c r="AF803" s="337">
        <v>10974.927928175093</v>
      </c>
      <c r="AG803" s="338">
        <v>-5.3846834140276911E-2</v>
      </c>
      <c r="AH803" s="235"/>
      <c r="AI803" s="208">
        <f t="shared" si="90"/>
        <v>4242148.9732015003</v>
      </c>
      <c r="AJ803" s="208">
        <f t="shared" si="91"/>
        <v>4304278.393562939</v>
      </c>
      <c r="AK803" s="208">
        <f t="shared" si="92"/>
        <v>-62129.420361438162</v>
      </c>
      <c r="AL803" s="235"/>
      <c r="AM803" s="52">
        <f t="shared" si="86"/>
        <v>0</v>
      </c>
      <c r="AN803" s="52">
        <f t="shared" si="87"/>
        <v>1</v>
      </c>
      <c r="AO803" s="52">
        <f t="shared" si="88"/>
        <v>0</v>
      </c>
      <c r="AP803" s="235"/>
      <c r="AQ803" s="28"/>
      <c r="AR803" s="28"/>
      <c r="AS803" s="28"/>
      <c r="AT803" s="28"/>
      <c r="AU803" s="235"/>
      <c r="AV803" s="360">
        <f t="shared" si="93"/>
        <v>4304278.393562939</v>
      </c>
      <c r="AW803" s="235"/>
      <c r="AX803" s="355"/>
      <c r="AY803" s="344"/>
      <c r="AZ803" s="14">
        <f t="shared" si="95"/>
        <v>10974.927928175093</v>
      </c>
      <c r="BA803" s="14">
        <f t="shared" si="94"/>
        <v>-5.3846834140276911E-2</v>
      </c>
      <c r="BB803" s="14">
        <f t="shared" si="89"/>
        <v>-203817.51505732356</v>
      </c>
      <c r="BC803" s="344"/>
      <c r="BD803" s="344"/>
      <c r="BE803" s="344"/>
      <c r="BF803" s="344"/>
      <c r="BG803" s="344"/>
      <c r="BH803" s="344"/>
      <c r="BI803" s="344"/>
      <c r="BJ803" s="344"/>
      <c r="BK803" s="344"/>
      <c r="BL803" s="344"/>
      <c r="BM803" s="344"/>
      <c r="BN803" s="344"/>
      <c r="BO803" s="344"/>
      <c r="BP803" s="344"/>
      <c r="BQ803" s="344"/>
      <c r="BR803" s="344"/>
      <c r="BS803" s="344"/>
      <c r="BT803" s="344"/>
      <c r="BU803" s="344"/>
      <c r="BV803" s="344"/>
      <c r="BW803" s="344"/>
      <c r="BX803" s="344"/>
      <c r="BY803" s="344"/>
      <c r="BZ803" s="344"/>
      <c r="CA803" s="344"/>
      <c r="CB803" s="28"/>
      <c r="CC803" s="28"/>
      <c r="CD803" s="28"/>
      <c r="CE803" s="28"/>
      <c r="CF803" s="28"/>
      <c r="CG803" s="28"/>
      <c r="CH803" s="28"/>
      <c r="CI803" s="28"/>
      <c r="CJ803" s="28"/>
      <c r="CK803" s="28"/>
      <c r="CL803" s="28"/>
      <c r="CM803" s="28"/>
      <c r="CN803" s="28"/>
      <c r="CO803" s="28"/>
      <c r="CP803" s="28"/>
      <c r="CQ803" s="28"/>
      <c r="CR803" s="28"/>
      <c r="CS803" s="28"/>
      <c r="CT803" s="28"/>
      <c r="CU803" s="28"/>
      <c r="CV803" s="28"/>
      <c r="CW803" s="28"/>
    </row>
    <row r="804" spans="1:101" ht="14.25" customHeight="1" x14ac:dyDescent="0.2">
      <c r="A804" s="328"/>
      <c r="B804" s="52">
        <v>0.1339370835587308</v>
      </c>
      <c r="C804" s="330">
        <v>1.6055539742512233E-2</v>
      </c>
      <c r="D804" s="330">
        <v>1.2734693946738101E-2</v>
      </c>
      <c r="E804" s="330">
        <v>2.1423202369434402E-2</v>
      </c>
      <c r="F804" s="331">
        <v>0.79424176546049274</v>
      </c>
      <c r="G804" s="94">
        <v>0.42699257164462601</v>
      </c>
      <c r="H804" s="330">
        <v>0.16609874244768472</v>
      </c>
      <c r="I804" s="330">
        <v>2.1661829892539952E-2</v>
      </c>
      <c r="J804" s="330">
        <v>1</v>
      </c>
      <c r="K804" s="330">
        <v>0.75070853455297415</v>
      </c>
      <c r="L804" s="332">
        <v>10668.788855811925</v>
      </c>
      <c r="M804" s="330">
        <v>0</v>
      </c>
      <c r="N804" s="330">
        <v>12326.090219960435</v>
      </c>
      <c r="O804" s="330">
        <v>1513.1244828609699</v>
      </c>
      <c r="P804" s="330">
        <v>40644.986324860678</v>
      </c>
      <c r="Q804" s="333">
        <v>72675.883467593987</v>
      </c>
      <c r="R804" s="330">
        <v>30253.041316430073</v>
      </c>
      <c r="S804" s="330">
        <v>11662.091252595364</v>
      </c>
      <c r="T804" s="332">
        <v>0.9931686739001554</v>
      </c>
      <c r="U804" s="330">
        <v>0.67964860934399607</v>
      </c>
      <c r="V804" s="330">
        <v>0.83859427209744519</v>
      </c>
      <c r="W804" s="330">
        <v>0.22796591626241844</v>
      </c>
      <c r="X804" s="330">
        <v>0.96643940498344905</v>
      </c>
      <c r="Y804" s="330">
        <v>0</v>
      </c>
      <c r="Z804" s="331">
        <v>0</v>
      </c>
      <c r="AA804" s="235"/>
      <c r="AB804" s="335">
        <v>110460.64820158193</v>
      </c>
      <c r="AC804" s="336">
        <v>4.7665368939188166</v>
      </c>
      <c r="AD804" s="337">
        <v>97862.026528300499</v>
      </c>
      <c r="AE804" s="336">
        <v>4.6220254035442121</v>
      </c>
      <c r="AF804" s="337">
        <v>12598.621673281436</v>
      </c>
      <c r="AG804" s="338">
        <v>0.14451149037460453</v>
      </c>
      <c r="AH804" s="235"/>
      <c r="AI804" s="208">
        <f t="shared" si="90"/>
        <v>4417749.4010212934</v>
      </c>
      <c r="AJ804" s="208">
        <f t="shared" si="91"/>
        <v>4293062.1068387004</v>
      </c>
      <c r="AK804" s="208">
        <f t="shared" si="92"/>
        <v>124687.29418259287</v>
      </c>
      <c r="AL804" s="235"/>
      <c r="AM804" s="52">
        <f t="shared" si="86"/>
        <v>1</v>
      </c>
      <c r="AN804" s="52">
        <f t="shared" si="87"/>
        <v>0</v>
      </c>
      <c r="AO804" s="52">
        <f t="shared" si="88"/>
        <v>1</v>
      </c>
      <c r="AP804" s="235"/>
      <c r="AQ804" s="28"/>
      <c r="AR804" s="28"/>
      <c r="AS804" s="28"/>
      <c r="AT804" s="28"/>
      <c r="AU804" s="235"/>
      <c r="AV804" s="360">
        <f t="shared" si="93"/>
        <v>4417749.4010212934</v>
      </c>
      <c r="AW804" s="235"/>
      <c r="AX804" s="355"/>
      <c r="AY804" s="344"/>
      <c r="AZ804" s="14">
        <f t="shared" si="95"/>
        <v>12598.621673281436</v>
      </c>
      <c r="BA804" s="14">
        <f t="shared" si="94"/>
        <v>0.14451149037460453</v>
      </c>
      <c r="BB804" s="14">
        <f t="shared" si="89"/>
        <v>87180.760786724481</v>
      </c>
      <c r="BC804" s="344"/>
      <c r="BD804" s="344"/>
      <c r="BE804" s="344"/>
      <c r="BF804" s="344"/>
      <c r="BG804" s="344"/>
      <c r="BH804" s="344"/>
      <c r="BI804" s="344"/>
      <c r="BJ804" s="344"/>
      <c r="BK804" s="344"/>
      <c r="BL804" s="344"/>
      <c r="BM804" s="344"/>
      <c r="BN804" s="344"/>
      <c r="BO804" s="344"/>
      <c r="BP804" s="344"/>
      <c r="BQ804" s="344"/>
      <c r="BR804" s="344"/>
      <c r="BS804" s="344"/>
      <c r="BT804" s="344"/>
      <c r="BU804" s="344"/>
      <c r="BV804" s="344"/>
      <c r="BW804" s="344"/>
      <c r="BX804" s="344"/>
      <c r="BY804" s="344"/>
      <c r="BZ804" s="344"/>
      <c r="CA804" s="344"/>
      <c r="CB804" s="28"/>
      <c r="CC804" s="28"/>
      <c r="CD804" s="28"/>
      <c r="CE804" s="28"/>
      <c r="CF804" s="28"/>
      <c r="CG804" s="28"/>
      <c r="CH804" s="28"/>
      <c r="CI804" s="28"/>
      <c r="CJ804" s="28"/>
      <c r="CK804" s="28"/>
      <c r="CL804" s="28"/>
      <c r="CM804" s="28"/>
      <c r="CN804" s="28"/>
      <c r="CO804" s="28"/>
      <c r="CP804" s="28"/>
      <c r="CQ804" s="28"/>
      <c r="CR804" s="28"/>
      <c r="CS804" s="28"/>
      <c r="CT804" s="28"/>
      <c r="CU804" s="28"/>
      <c r="CV804" s="28"/>
      <c r="CW804" s="28"/>
    </row>
    <row r="805" spans="1:101" ht="14.25" customHeight="1" x14ac:dyDescent="0.2">
      <c r="A805" s="328"/>
      <c r="B805" s="52">
        <v>0.16076358731177265</v>
      </c>
      <c r="C805" s="330">
        <v>0.34036803177176289</v>
      </c>
      <c r="D805" s="330">
        <v>2.0842065260650466E-2</v>
      </c>
      <c r="E805" s="330">
        <v>1.2833253186896938E-2</v>
      </c>
      <c r="F805" s="331">
        <v>0.81727072915844889</v>
      </c>
      <c r="G805" s="94">
        <v>0.44241039329476617</v>
      </c>
      <c r="H805" s="330">
        <v>0.90774401463085175</v>
      </c>
      <c r="I805" s="330">
        <v>9.0553060141679905E-3</v>
      </c>
      <c r="J805" s="330">
        <v>0.99999965144457637</v>
      </c>
      <c r="K805" s="330">
        <v>0.76074087153689751</v>
      </c>
      <c r="L805" s="332">
        <v>11854.330988583673</v>
      </c>
      <c r="M805" s="330">
        <v>0</v>
      </c>
      <c r="N805" s="330">
        <v>17346.604990929329</v>
      </c>
      <c r="O805" s="330">
        <v>751.03497438129682</v>
      </c>
      <c r="P805" s="330">
        <v>52017.877863474561</v>
      </c>
      <c r="Q805" s="333">
        <v>103343.37558713632</v>
      </c>
      <c r="R805" s="330">
        <v>17594.920566070617</v>
      </c>
      <c r="S805" s="330">
        <v>5530.2064120567829</v>
      </c>
      <c r="T805" s="332">
        <v>0.76384455472020274</v>
      </c>
      <c r="U805" s="330">
        <v>0.10631135235811953</v>
      </c>
      <c r="V805" s="330">
        <v>0.96851657732408314</v>
      </c>
      <c r="W805" s="330">
        <v>0.26083774774097684</v>
      </c>
      <c r="X805" s="330">
        <v>7.5169037421659937E-2</v>
      </c>
      <c r="Y805" s="330">
        <v>0</v>
      </c>
      <c r="Z805" s="331">
        <v>0</v>
      </c>
      <c r="AA805" s="235"/>
      <c r="AB805" s="335">
        <v>61788.778965668622</v>
      </c>
      <c r="AC805" s="336">
        <v>0.83157600700637058</v>
      </c>
      <c r="AD805" s="337">
        <v>53197.076771711632</v>
      </c>
      <c r="AE805" s="336">
        <v>0.38913198444747643</v>
      </c>
      <c r="AF805" s="337">
        <v>8591.7021939569895</v>
      </c>
      <c r="AG805" s="338">
        <v>0.44244402255889415</v>
      </c>
      <c r="AH805" s="235"/>
      <c r="AI805" s="208">
        <f t="shared" si="90"/>
        <v>728208.4276903834</v>
      </c>
      <c r="AJ805" s="208">
        <f t="shared" si="91"/>
        <v>316478.30845339096</v>
      </c>
      <c r="AK805" s="208">
        <f t="shared" si="92"/>
        <v>411730.11923699244</v>
      </c>
      <c r="AL805" s="235"/>
      <c r="AM805" s="52">
        <f t="shared" si="86"/>
        <v>1</v>
      </c>
      <c r="AN805" s="52">
        <f t="shared" si="87"/>
        <v>0</v>
      </c>
      <c r="AO805" s="52">
        <f t="shared" si="88"/>
        <v>1</v>
      </c>
      <c r="AP805" s="235"/>
      <c r="AQ805" s="28"/>
      <c r="AR805" s="28"/>
      <c r="AS805" s="28"/>
      <c r="AT805" s="28"/>
      <c r="AU805" s="235"/>
      <c r="AV805" s="360">
        <f t="shared" si="93"/>
        <v>728208.4276903834</v>
      </c>
      <c r="AW805" s="235"/>
      <c r="AX805" s="355"/>
      <c r="AY805" s="344"/>
      <c r="AZ805" s="14">
        <f t="shared" si="95"/>
        <v>8591.7021939569895</v>
      </c>
      <c r="BA805" s="14">
        <f t="shared" si="94"/>
        <v>0.44244402255889415</v>
      </c>
      <c r="BB805" s="14">
        <f t="shared" si="89"/>
        <v>19418.732666488537</v>
      </c>
      <c r="BC805" s="344"/>
      <c r="BD805" s="344"/>
      <c r="BE805" s="344"/>
      <c r="BF805" s="344"/>
      <c r="BG805" s="344"/>
      <c r="BH805" s="344"/>
      <c r="BI805" s="344"/>
      <c r="BJ805" s="344"/>
      <c r="BK805" s="344"/>
      <c r="BL805" s="344"/>
      <c r="BM805" s="344"/>
      <c r="BN805" s="344"/>
      <c r="BO805" s="344"/>
      <c r="BP805" s="344"/>
      <c r="BQ805" s="344"/>
      <c r="BR805" s="344"/>
      <c r="BS805" s="344"/>
      <c r="BT805" s="344"/>
      <c r="BU805" s="344"/>
      <c r="BV805" s="344"/>
      <c r="BW805" s="344"/>
      <c r="BX805" s="344"/>
      <c r="BY805" s="344"/>
      <c r="BZ805" s="344"/>
      <c r="CA805" s="344"/>
      <c r="CB805" s="28"/>
      <c r="CC805" s="28"/>
      <c r="CD805" s="28"/>
      <c r="CE805" s="28"/>
      <c r="CF805" s="28"/>
      <c r="CG805" s="28"/>
      <c r="CH805" s="28"/>
      <c r="CI805" s="28"/>
      <c r="CJ805" s="28"/>
      <c r="CK805" s="28"/>
      <c r="CL805" s="28"/>
      <c r="CM805" s="28"/>
      <c r="CN805" s="28"/>
      <c r="CO805" s="28"/>
      <c r="CP805" s="28"/>
      <c r="CQ805" s="28"/>
      <c r="CR805" s="28"/>
      <c r="CS805" s="28"/>
      <c r="CT805" s="28"/>
      <c r="CU805" s="28"/>
      <c r="CV805" s="28"/>
      <c r="CW805" s="28"/>
    </row>
    <row r="806" spans="1:101" ht="14.25" customHeight="1" x14ac:dyDescent="0.2">
      <c r="A806" s="328"/>
      <c r="B806" s="52">
        <v>0.1208051100814854</v>
      </c>
      <c r="C806" s="330">
        <v>7.4539013968011811E-2</v>
      </c>
      <c r="D806" s="330">
        <v>1.9485022271712893E-2</v>
      </c>
      <c r="E806" s="330">
        <v>1.4646327358314504E-2</v>
      </c>
      <c r="F806" s="331">
        <v>0.7737690491046636</v>
      </c>
      <c r="G806" s="94">
        <v>0.41723365274915258</v>
      </c>
      <c r="H806" s="330">
        <v>0.86509995849180465</v>
      </c>
      <c r="I806" s="330">
        <v>1.2167952780495147E-2</v>
      </c>
      <c r="J806" s="330">
        <v>0.99999959013833273</v>
      </c>
      <c r="K806" s="330">
        <v>0.74449405480237252</v>
      </c>
      <c r="L806" s="332">
        <v>10414.211500763993</v>
      </c>
      <c r="M806" s="330">
        <v>0</v>
      </c>
      <c r="N806" s="330">
        <v>12176.17863836114</v>
      </c>
      <c r="O806" s="330">
        <v>1556.3404565246019</v>
      </c>
      <c r="P806" s="330">
        <v>37204.066830977325</v>
      </c>
      <c r="Q806" s="333">
        <v>80907.191833798046</v>
      </c>
      <c r="R806" s="330">
        <v>23974.005215421425</v>
      </c>
      <c r="S806" s="330">
        <v>9442.226947647323</v>
      </c>
      <c r="T806" s="332">
        <v>0.99975523601768779</v>
      </c>
      <c r="U806" s="330">
        <v>0.93579265845362836</v>
      </c>
      <c r="V806" s="330">
        <v>0.92115620206842086</v>
      </c>
      <c r="W806" s="330">
        <v>0.99967338446731269</v>
      </c>
      <c r="X806" s="330">
        <v>0.99999982284569167</v>
      </c>
      <c r="Y806" s="330">
        <v>0</v>
      </c>
      <c r="Z806" s="331">
        <v>0</v>
      </c>
      <c r="AA806" s="235"/>
      <c r="AB806" s="335">
        <v>89413.733675513955</v>
      </c>
      <c r="AC806" s="336">
        <v>4.7269636195771421</v>
      </c>
      <c r="AD806" s="337">
        <v>85305.11971455795</v>
      </c>
      <c r="AE806" s="336">
        <v>4.6769007001301315</v>
      </c>
      <c r="AF806" s="337">
        <v>4108.613960956005</v>
      </c>
      <c r="AG806" s="338">
        <v>5.0062919447010579E-2</v>
      </c>
      <c r="AH806" s="235"/>
      <c r="AI806" s="208">
        <f t="shared" si="90"/>
        <v>4401201.7049227702</v>
      </c>
      <c r="AJ806" s="208">
        <f t="shared" si="91"/>
        <v>4357750.5454090666</v>
      </c>
      <c r="AK806" s="208">
        <f t="shared" si="92"/>
        <v>43451.159513704042</v>
      </c>
      <c r="AL806" s="235"/>
      <c r="AM806" s="52">
        <f t="shared" si="86"/>
        <v>1</v>
      </c>
      <c r="AN806" s="52">
        <f t="shared" si="87"/>
        <v>0</v>
      </c>
      <c r="AO806" s="52">
        <f t="shared" si="88"/>
        <v>1</v>
      </c>
      <c r="AP806" s="235"/>
      <c r="AQ806" s="28"/>
      <c r="AR806" s="28"/>
      <c r="AS806" s="28"/>
      <c r="AT806" s="28"/>
      <c r="AU806" s="235"/>
      <c r="AV806" s="360">
        <f t="shared" si="93"/>
        <v>4401201.7049227702</v>
      </c>
      <c r="AW806" s="235"/>
      <c r="AX806" s="355"/>
      <c r="AY806" s="344"/>
      <c r="AZ806" s="14">
        <f t="shared" si="95"/>
        <v>4108.613960956005</v>
      </c>
      <c r="BA806" s="14">
        <f t="shared" si="94"/>
        <v>5.0062919447010579E-2</v>
      </c>
      <c r="BB806" s="14">
        <f t="shared" si="89"/>
        <v>82069.004491533778</v>
      </c>
      <c r="BC806" s="344"/>
      <c r="BD806" s="344"/>
      <c r="BE806" s="344"/>
      <c r="BF806" s="344"/>
      <c r="BG806" s="344"/>
      <c r="BH806" s="344"/>
      <c r="BI806" s="344"/>
      <c r="BJ806" s="344"/>
      <c r="BK806" s="344"/>
      <c r="BL806" s="344"/>
      <c r="BM806" s="344"/>
      <c r="BN806" s="344"/>
      <c r="BO806" s="344"/>
      <c r="BP806" s="344"/>
      <c r="BQ806" s="344"/>
      <c r="BR806" s="344"/>
      <c r="BS806" s="344"/>
      <c r="BT806" s="344"/>
      <c r="BU806" s="344"/>
      <c r="BV806" s="344"/>
      <c r="BW806" s="344"/>
      <c r="BX806" s="344"/>
      <c r="BY806" s="344"/>
      <c r="BZ806" s="344"/>
      <c r="CA806" s="344"/>
      <c r="CB806" s="28"/>
      <c r="CC806" s="28"/>
      <c r="CD806" s="28"/>
      <c r="CE806" s="28"/>
      <c r="CF806" s="28"/>
      <c r="CG806" s="28"/>
      <c r="CH806" s="28"/>
      <c r="CI806" s="28"/>
      <c r="CJ806" s="28"/>
      <c r="CK806" s="28"/>
      <c r="CL806" s="28"/>
      <c r="CM806" s="28"/>
      <c r="CN806" s="28"/>
      <c r="CO806" s="28"/>
      <c r="CP806" s="28"/>
      <c r="CQ806" s="28"/>
      <c r="CR806" s="28"/>
      <c r="CS806" s="28"/>
      <c r="CT806" s="28"/>
      <c r="CU806" s="28"/>
      <c r="CV806" s="28"/>
      <c r="CW806" s="28"/>
    </row>
    <row r="807" spans="1:101" ht="14.25" customHeight="1" x14ac:dyDescent="0.2">
      <c r="A807" s="328"/>
      <c r="B807" s="52">
        <v>0.17279545686786035</v>
      </c>
      <c r="C807" s="330">
        <v>0.21328279031386374</v>
      </c>
      <c r="D807" s="330">
        <v>2.4719415902039521E-2</v>
      </c>
      <c r="E807" s="330">
        <v>2.5808203054228152E-2</v>
      </c>
      <c r="F807" s="331">
        <v>0.77951074324699787</v>
      </c>
      <c r="G807" s="94">
        <v>0.40343492131057268</v>
      </c>
      <c r="H807" s="330">
        <v>7.7008163038291166E-2</v>
      </c>
      <c r="I807" s="330">
        <v>2.9193886574794936E-2</v>
      </c>
      <c r="J807" s="330">
        <v>2.1990039793337069E-2</v>
      </c>
      <c r="K807" s="330">
        <v>0.78421118389154687</v>
      </c>
      <c r="L807" s="332">
        <v>13281.748463413383</v>
      </c>
      <c r="M807" s="330">
        <v>0</v>
      </c>
      <c r="N807" s="330">
        <v>18343.253681251601</v>
      </c>
      <c r="O807" s="330">
        <v>1041.9103232049054</v>
      </c>
      <c r="P807" s="330">
        <v>38492.138566800495</v>
      </c>
      <c r="Q807" s="333">
        <v>76882.897541016762</v>
      </c>
      <c r="R807" s="330">
        <v>26454.361533527983</v>
      </c>
      <c r="S807" s="330">
        <v>9502.9217358291389</v>
      </c>
      <c r="T807" s="332">
        <v>0.89710915952202563</v>
      </c>
      <c r="U807" s="330">
        <v>0.21256503955958309</v>
      </c>
      <c r="V807" s="330">
        <v>0.99454907100486789</v>
      </c>
      <c r="W807" s="330">
        <v>0.97864933861067516</v>
      </c>
      <c r="X807" s="330">
        <v>0.56223314740460184</v>
      </c>
      <c r="Y807" s="330">
        <v>0</v>
      </c>
      <c r="Z807" s="331">
        <v>0</v>
      </c>
      <c r="AA807" s="235"/>
      <c r="AB807" s="335">
        <v>94264.392199753041</v>
      </c>
      <c r="AC807" s="336">
        <v>2.8490322422812877</v>
      </c>
      <c r="AD807" s="337">
        <v>82177.243206070416</v>
      </c>
      <c r="AE807" s="336">
        <v>2.694221093011981</v>
      </c>
      <c r="AF807" s="337">
        <v>12087.148993682626</v>
      </c>
      <c r="AG807" s="338">
        <v>0.15481114926930672</v>
      </c>
      <c r="AH807" s="235"/>
      <c r="AI807" s="208">
        <f t="shared" si="90"/>
        <v>2612316.2379674707</v>
      </c>
      <c r="AJ807" s="208">
        <f t="shared" si="91"/>
        <v>2477332.7951553115</v>
      </c>
      <c r="AK807" s="208">
        <f t="shared" si="92"/>
        <v>134983.44281215878</v>
      </c>
      <c r="AL807" s="235"/>
      <c r="AM807" s="52">
        <f t="shared" si="86"/>
        <v>1</v>
      </c>
      <c r="AN807" s="52">
        <f t="shared" si="87"/>
        <v>0</v>
      </c>
      <c r="AO807" s="52">
        <f t="shared" si="88"/>
        <v>1</v>
      </c>
      <c r="AP807" s="235"/>
      <c r="AQ807" s="28"/>
      <c r="AR807" s="28"/>
      <c r="AS807" s="28"/>
      <c r="AT807" s="28"/>
      <c r="AU807" s="235"/>
      <c r="AV807" s="360">
        <f t="shared" si="93"/>
        <v>2612316.2379674707</v>
      </c>
      <c r="AW807" s="235"/>
      <c r="AX807" s="355"/>
      <c r="AY807" s="344"/>
      <c r="AZ807" s="14">
        <f t="shared" si="95"/>
        <v>12087.148993682626</v>
      </c>
      <c r="BA807" s="14">
        <f t="shared" si="94"/>
        <v>0.15481114926930672</v>
      </c>
      <c r="BB807" s="14">
        <f t="shared" si="89"/>
        <v>78076.734464751222</v>
      </c>
      <c r="BC807" s="344"/>
      <c r="BD807" s="344"/>
      <c r="BE807" s="344"/>
      <c r="BF807" s="344"/>
      <c r="BG807" s="344"/>
      <c r="BH807" s="344"/>
      <c r="BI807" s="344"/>
      <c r="BJ807" s="344"/>
      <c r="BK807" s="344"/>
      <c r="BL807" s="344"/>
      <c r="BM807" s="344"/>
      <c r="BN807" s="344"/>
      <c r="BO807" s="344"/>
      <c r="BP807" s="344"/>
      <c r="BQ807" s="344"/>
      <c r="BR807" s="344"/>
      <c r="BS807" s="344"/>
      <c r="BT807" s="344"/>
      <c r="BU807" s="344"/>
      <c r="BV807" s="344"/>
      <c r="BW807" s="344"/>
      <c r="BX807" s="344"/>
      <c r="BY807" s="344"/>
      <c r="BZ807" s="344"/>
      <c r="CA807" s="344"/>
      <c r="CB807" s="28"/>
      <c r="CC807" s="28"/>
      <c r="CD807" s="28"/>
      <c r="CE807" s="28"/>
      <c r="CF807" s="28"/>
      <c r="CG807" s="28"/>
      <c r="CH807" s="28"/>
      <c r="CI807" s="28"/>
      <c r="CJ807" s="28"/>
      <c r="CK807" s="28"/>
      <c r="CL807" s="28"/>
      <c r="CM807" s="28"/>
      <c r="CN807" s="28"/>
      <c r="CO807" s="28"/>
      <c r="CP807" s="28"/>
      <c r="CQ807" s="28"/>
      <c r="CR807" s="28"/>
      <c r="CS807" s="28"/>
      <c r="CT807" s="28"/>
      <c r="CU807" s="28"/>
      <c r="CV807" s="28"/>
      <c r="CW807" s="28"/>
    </row>
    <row r="808" spans="1:101" ht="14.25" customHeight="1" x14ac:dyDescent="0.2">
      <c r="A808" s="328"/>
      <c r="B808" s="52">
        <v>0.17850740128995879</v>
      </c>
      <c r="C808" s="330">
        <v>2.3987726405266398E-2</v>
      </c>
      <c r="D808" s="330">
        <v>3.7820626554250832E-3</v>
      </c>
      <c r="E808" s="330">
        <v>1.0418687611792236E-2</v>
      </c>
      <c r="F808" s="331">
        <v>0.84171400254940398</v>
      </c>
      <c r="G808" s="94">
        <v>0.37378564179594903</v>
      </c>
      <c r="H808" s="330">
        <v>0.22039456310480801</v>
      </c>
      <c r="I808" s="330">
        <v>1.7727884612088629E-2</v>
      </c>
      <c r="J808" s="330">
        <v>0.94582007352785324</v>
      </c>
      <c r="K808" s="330">
        <v>0.77372096941668267</v>
      </c>
      <c r="L808" s="332">
        <v>12069.181365184304</v>
      </c>
      <c r="M808" s="330">
        <v>0</v>
      </c>
      <c r="N808" s="330">
        <v>19460.024454947936</v>
      </c>
      <c r="O808" s="330">
        <v>1051.5148163363724</v>
      </c>
      <c r="P808" s="330">
        <v>50703.968141667661</v>
      </c>
      <c r="Q808" s="333">
        <v>91477.875765846256</v>
      </c>
      <c r="R808" s="330">
        <v>22688.133988443158</v>
      </c>
      <c r="S808" s="330">
        <v>8046.0481700511264</v>
      </c>
      <c r="T808" s="332">
        <v>4.0218103812472442E-2</v>
      </c>
      <c r="U808" s="330">
        <v>0.96977366090544947</v>
      </c>
      <c r="V808" s="330">
        <v>0.35522320704829413</v>
      </c>
      <c r="W808" s="330">
        <v>0.98640357685341962</v>
      </c>
      <c r="X808" s="330">
        <v>0.90176267494400941</v>
      </c>
      <c r="Y808" s="330">
        <v>0</v>
      </c>
      <c r="Z808" s="331">
        <v>0</v>
      </c>
      <c r="AA808" s="235"/>
      <c r="AB808" s="335">
        <v>85093.244458948582</v>
      </c>
      <c r="AC808" s="336">
        <v>4.5950386502018876</v>
      </c>
      <c r="AD808" s="337">
        <v>70084.65325974935</v>
      </c>
      <c r="AE808" s="336">
        <v>4.4358845637901752</v>
      </c>
      <c r="AF808" s="337">
        <v>15008.591199199233</v>
      </c>
      <c r="AG808" s="338">
        <v>0.15915408641171247</v>
      </c>
      <c r="AH808" s="235"/>
      <c r="AI808" s="208">
        <f t="shared" si="90"/>
        <v>4280193.4732328448</v>
      </c>
      <c r="AJ808" s="208">
        <f t="shared" si="91"/>
        <v>4144005.6823409172</v>
      </c>
      <c r="AK808" s="208">
        <f t="shared" si="92"/>
        <v>136187.79089192761</v>
      </c>
      <c r="AL808" s="235"/>
      <c r="AM808" s="52">
        <f t="shared" si="86"/>
        <v>1</v>
      </c>
      <c r="AN808" s="52">
        <f t="shared" si="87"/>
        <v>0</v>
      </c>
      <c r="AO808" s="52">
        <f t="shared" si="88"/>
        <v>1</v>
      </c>
      <c r="AP808" s="235"/>
      <c r="AQ808" s="28"/>
      <c r="AR808" s="28"/>
      <c r="AS808" s="28"/>
      <c r="AT808" s="28"/>
      <c r="AU808" s="235"/>
      <c r="AV808" s="360">
        <f t="shared" si="93"/>
        <v>4280193.4732328448</v>
      </c>
      <c r="AW808" s="235"/>
      <c r="AX808" s="355"/>
      <c r="AY808" s="344"/>
      <c r="AZ808" s="14">
        <f t="shared" si="95"/>
        <v>15008.591199199233</v>
      </c>
      <c r="BA808" s="14">
        <f t="shared" si="94"/>
        <v>0.15915408641171247</v>
      </c>
      <c r="BB808" s="14">
        <f t="shared" si="89"/>
        <v>94302.267303233501</v>
      </c>
      <c r="BC808" s="344"/>
      <c r="BD808" s="344"/>
      <c r="BE808" s="344"/>
      <c r="BF808" s="344"/>
      <c r="BG808" s="344"/>
      <c r="BH808" s="344"/>
      <c r="BI808" s="344"/>
      <c r="BJ808" s="344"/>
      <c r="BK808" s="344"/>
      <c r="BL808" s="344"/>
      <c r="BM808" s="344"/>
      <c r="BN808" s="344"/>
      <c r="BO808" s="344"/>
      <c r="BP808" s="344"/>
      <c r="BQ808" s="344"/>
      <c r="BR808" s="344"/>
      <c r="BS808" s="344"/>
      <c r="BT808" s="344"/>
      <c r="BU808" s="344"/>
      <c r="BV808" s="344"/>
      <c r="BW808" s="344"/>
      <c r="BX808" s="344"/>
      <c r="BY808" s="344"/>
      <c r="BZ808" s="344"/>
      <c r="CA808" s="344"/>
      <c r="CB808" s="28"/>
      <c r="CC808" s="28"/>
      <c r="CD808" s="28"/>
      <c r="CE808" s="28"/>
      <c r="CF808" s="28"/>
      <c r="CG808" s="28"/>
      <c r="CH808" s="28"/>
      <c r="CI808" s="28"/>
      <c r="CJ808" s="28"/>
      <c r="CK808" s="28"/>
      <c r="CL808" s="28"/>
      <c r="CM808" s="28"/>
      <c r="CN808" s="28"/>
      <c r="CO808" s="28"/>
      <c r="CP808" s="28"/>
      <c r="CQ808" s="28"/>
      <c r="CR808" s="28"/>
      <c r="CS808" s="28"/>
      <c r="CT808" s="28"/>
      <c r="CU808" s="28"/>
      <c r="CV808" s="28"/>
      <c r="CW808" s="28"/>
    </row>
    <row r="809" spans="1:101" ht="14.25" customHeight="1" x14ac:dyDescent="0.2">
      <c r="A809" s="328"/>
      <c r="B809" s="52">
        <v>0.12078841193144522</v>
      </c>
      <c r="C809" s="330">
        <v>8.2580049895201037E-4</v>
      </c>
      <c r="D809" s="330">
        <v>1.8414342915117787E-2</v>
      </c>
      <c r="E809" s="330">
        <v>2.0360023874393618E-2</v>
      </c>
      <c r="F809" s="331">
        <v>0.777121781722381</v>
      </c>
      <c r="G809" s="94">
        <v>0.42076384426477142</v>
      </c>
      <c r="H809" s="330">
        <v>0.91038965323239296</v>
      </c>
      <c r="I809" s="330">
        <v>5.5192993414349576E-3</v>
      </c>
      <c r="J809" s="330">
        <v>0.9999999475294149</v>
      </c>
      <c r="K809" s="330">
        <v>0.77807922212572356</v>
      </c>
      <c r="L809" s="332">
        <v>12932.638845089929</v>
      </c>
      <c r="M809" s="330">
        <v>0</v>
      </c>
      <c r="N809" s="330">
        <v>19973.643990519584</v>
      </c>
      <c r="O809" s="330">
        <v>652.21736451270476</v>
      </c>
      <c r="P809" s="330">
        <v>56962.016101083362</v>
      </c>
      <c r="Q809" s="333">
        <v>103984.06717801337</v>
      </c>
      <c r="R809" s="330">
        <v>15624.812413528181</v>
      </c>
      <c r="S809" s="330">
        <v>9320.8338636135159</v>
      </c>
      <c r="T809" s="332">
        <v>0.46995635751206549</v>
      </c>
      <c r="U809" s="330">
        <v>2.6784519577251573E-2</v>
      </c>
      <c r="V809" s="330">
        <v>0.87322428134030194</v>
      </c>
      <c r="W809" s="330">
        <v>0.97910593047129579</v>
      </c>
      <c r="X809" s="330">
        <v>0.34414606607968912</v>
      </c>
      <c r="Y809" s="330">
        <v>0</v>
      </c>
      <c r="Z809" s="331">
        <v>0</v>
      </c>
      <c r="AA809" s="235"/>
      <c r="AB809" s="335">
        <v>90978.594821495353</v>
      </c>
      <c r="AC809" s="336">
        <v>1.8018308388020106</v>
      </c>
      <c r="AD809" s="337">
        <v>84473.419455306357</v>
      </c>
      <c r="AE809" s="336">
        <v>1.6278999102591727</v>
      </c>
      <c r="AF809" s="337">
        <v>6505.1753661889961</v>
      </c>
      <c r="AG809" s="338">
        <v>0.17393092854283787</v>
      </c>
      <c r="AH809" s="235"/>
      <c r="AI809" s="208">
        <f t="shared" si="90"/>
        <v>1620760.7020404148</v>
      </c>
      <c r="AJ809" s="208">
        <f t="shared" si="91"/>
        <v>1462031.4952909078</v>
      </c>
      <c r="AK809" s="208">
        <f t="shared" si="92"/>
        <v>158729.20674950699</v>
      </c>
      <c r="AL809" s="235"/>
      <c r="AM809" s="52">
        <f t="shared" si="86"/>
        <v>1</v>
      </c>
      <c r="AN809" s="52">
        <f t="shared" si="87"/>
        <v>0</v>
      </c>
      <c r="AO809" s="52">
        <f t="shared" si="88"/>
        <v>1</v>
      </c>
      <c r="AP809" s="235"/>
      <c r="AQ809" s="28"/>
      <c r="AR809" s="28"/>
      <c r="AS809" s="28"/>
      <c r="AT809" s="28"/>
      <c r="AU809" s="235"/>
      <c r="AV809" s="360">
        <f t="shared" si="93"/>
        <v>1620760.7020404148</v>
      </c>
      <c r="AW809" s="235"/>
      <c r="AX809" s="355"/>
      <c r="AY809" s="344"/>
      <c r="AZ809" s="14">
        <f t="shared" si="95"/>
        <v>6505.1753661889961</v>
      </c>
      <c r="BA809" s="14">
        <f t="shared" si="94"/>
        <v>0.17393092854283787</v>
      </c>
      <c r="BB809" s="14">
        <f t="shared" si="89"/>
        <v>37400.91207865208</v>
      </c>
      <c r="BC809" s="344"/>
      <c r="BD809" s="344"/>
      <c r="BE809" s="344"/>
      <c r="BF809" s="344"/>
      <c r="BG809" s="344"/>
      <c r="BH809" s="344"/>
      <c r="BI809" s="344"/>
      <c r="BJ809" s="344"/>
      <c r="BK809" s="344"/>
      <c r="BL809" s="344"/>
      <c r="BM809" s="344"/>
      <c r="BN809" s="344"/>
      <c r="BO809" s="344"/>
      <c r="BP809" s="344"/>
      <c r="BQ809" s="344"/>
      <c r="BR809" s="344"/>
      <c r="BS809" s="344"/>
      <c r="BT809" s="344"/>
      <c r="BU809" s="344"/>
      <c r="BV809" s="344"/>
      <c r="BW809" s="344"/>
      <c r="BX809" s="344"/>
      <c r="BY809" s="344"/>
      <c r="BZ809" s="344"/>
      <c r="CA809" s="344"/>
      <c r="CB809" s="28"/>
      <c r="CC809" s="28"/>
      <c r="CD809" s="28"/>
      <c r="CE809" s="28"/>
      <c r="CF809" s="28"/>
      <c r="CG809" s="28"/>
      <c r="CH809" s="28"/>
      <c r="CI809" s="28"/>
      <c r="CJ809" s="28"/>
      <c r="CK809" s="28"/>
      <c r="CL809" s="28"/>
      <c r="CM809" s="28"/>
      <c r="CN809" s="28"/>
      <c r="CO809" s="28"/>
      <c r="CP809" s="28"/>
      <c r="CQ809" s="28"/>
      <c r="CR809" s="28"/>
      <c r="CS809" s="28"/>
      <c r="CT809" s="28"/>
      <c r="CU809" s="28"/>
      <c r="CV809" s="28"/>
      <c r="CW809" s="28"/>
    </row>
    <row r="810" spans="1:101" ht="14.25" customHeight="1" x14ac:dyDescent="0.2">
      <c r="A810" s="328"/>
      <c r="B810" s="52">
        <v>0.15034939087258498</v>
      </c>
      <c r="C810" s="330">
        <v>0.86749353969854681</v>
      </c>
      <c r="D810" s="330">
        <v>2.9323371448411573E-2</v>
      </c>
      <c r="E810" s="330">
        <v>1.1048623691704411E-2</v>
      </c>
      <c r="F810" s="331">
        <v>0.78452781595987042</v>
      </c>
      <c r="G810" s="94">
        <v>0.37700036685513516</v>
      </c>
      <c r="H810" s="330">
        <v>0.59192221078567808</v>
      </c>
      <c r="I810" s="330">
        <v>4.3858998981572195E-2</v>
      </c>
      <c r="J810" s="330">
        <v>0.99998024755043358</v>
      </c>
      <c r="K810" s="330">
        <v>0.74421725481110057</v>
      </c>
      <c r="L810" s="332">
        <v>10459.12630016428</v>
      </c>
      <c r="M810" s="330">
        <v>0</v>
      </c>
      <c r="N810" s="330">
        <v>25090.138525568178</v>
      </c>
      <c r="O810" s="330">
        <v>1068.2625858018282</v>
      </c>
      <c r="P810" s="330">
        <v>33638.841221994349</v>
      </c>
      <c r="Q810" s="333">
        <v>96242.716262296381</v>
      </c>
      <c r="R810" s="330">
        <v>29097.815981509364</v>
      </c>
      <c r="S810" s="330">
        <v>7438.9886935442291</v>
      </c>
      <c r="T810" s="332">
        <v>0.94726545941007267</v>
      </c>
      <c r="U810" s="330">
        <v>0.66796131542905868</v>
      </c>
      <c r="V810" s="330">
        <v>0.93665933907154919</v>
      </c>
      <c r="W810" s="330">
        <v>0.9142442306205959</v>
      </c>
      <c r="X810" s="330">
        <v>0.96323081666783006</v>
      </c>
      <c r="Y810" s="330">
        <v>0</v>
      </c>
      <c r="Z810" s="331">
        <v>0</v>
      </c>
      <c r="AA810" s="235"/>
      <c r="AB810" s="335">
        <v>77470.52396667983</v>
      </c>
      <c r="AC810" s="336">
        <v>5.0971255419021189</v>
      </c>
      <c r="AD810" s="337">
        <v>69001.553781732335</v>
      </c>
      <c r="AE810" s="336">
        <v>4.5731554803892029</v>
      </c>
      <c r="AF810" s="337">
        <v>8468.970184947495</v>
      </c>
      <c r="AG810" s="338">
        <v>0.52397006151291592</v>
      </c>
      <c r="AH810" s="235"/>
      <c r="AI810" s="208">
        <f t="shared" si="90"/>
        <v>4764798.7408403326</v>
      </c>
      <c r="AJ810" s="208">
        <f t="shared" si="91"/>
        <v>4275496.1525880108</v>
      </c>
      <c r="AK810" s="208">
        <f t="shared" si="92"/>
        <v>489302.58825232263</v>
      </c>
      <c r="AL810" s="235"/>
      <c r="AM810" s="52">
        <f t="shared" si="86"/>
        <v>1</v>
      </c>
      <c r="AN810" s="52">
        <f t="shared" si="87"/>
        <v>0</v>
      </c>
      <c r="AO810" s="52">
        <f t="shared" si="88"/>
        <v>1</v>
      </c>
      <c r="AP810" s="235"/>
      <c r="AQ810" s="28"/>
      <c r="AR810" s="28"/>
      <c r="AS810" s="28"/>
      <c r="AT810" s="28"/>
      <c r="AU810" s="235"/>
      <c r="AV810" s="360">
        <f t="shared" si="93"/>
        <v>4764798.7408403326</v>
      </c>
      <c r="AW810" s="235"/>
      <c r="AX810" s="355"/>
      <c r="AY810" s="344"/>
      <c r="AZ810" s="14">
        <f t="shared" si="95"/>
        <v>8468.970184947495</v>
      </c>
      <c r="BA810" s="14">
        <f t="shared" si="94"/>
        <v>0.52397006151291592</v>
      </c>
      <c r="BB810" s="14">
        <f t="shared" si="89"/>
        <v>16163.080311295102</v>
      </c>
      <c r="BC810" s="344"/>
      <c r="BD810" s="344"/>
      <c r="BE810" s="344"/>
      <c r="BF810" s="344"/>
      <c r="BG810" s="344"/>
      <c r="BH810" s="344"/>
      <c r="BI810" s="344"/>
      <c r="BJ810" s="344"/>
      <c r="BK810" s="344"/>
      <c r="BL810" s="344"/>
      <c r="BM810" s="344"/>
      <c r="BN810" s="344"/>
      <c r="BO810" s="344"/>
      <c r="BP810" s="344"/>
      <c r="BQ810" s="344"/>
      <c r="BR810" s="344"/>
      <c r="BS810" s="344"/>
      <c r="BT810" s="344"/>
      <c r="BU810" s="344"/>
      <c r="BV810" s="344"/>
      <c r="BW810" s="344"/>
      <c r="BX810" s="344"/>
      <c r="BY810" s="344"/>
      <c r="BZ810" s="344"/>
      <c r="CA810" s="344"/>
      <c r="CB810" s="28"/>
      <c r="CC810" s="28"/>
      <c r="CD810" s="28"/>
      <c r="CE810" s="28"/>
      <c r="CF810" s="28"/>
      <c r="CG810" s="28"/>
      <c r="CH810" s="28"/>
      <c r="CI810" s="28"/>
      <c r="CJ810" s="28"/>
      <c r="CK810" s="28"/>
      <c r="CL810" s="28"/>
      <c r="CM810" s="28"/>
      <c r="CN810" s="28"/>
      <c r="CO810" s="28"/>
      <c r="CP810" s="28"/>
      <c r="CQ810" s="28"/>
      <c r="CR810" s="28"/>
      <c r="CS810" s="28"/>
      <c r="CT810" s="28"/>
      <c r="CU810" s="28"/>
      <c r="CV810" s="28"/>
      <c r="CW810" s="28"/>
    </row>
    <row r="811" spans="1:101" ht="14.25" customHeight="1" x14ac:dyDescent="0.2">
      <c r="A811" s="328"/>
      <c r="B811" s="52">
        <v>0.18974900285796747</v>
      </c>
      <c r="C811" s="330">
        <v>0.28680451765893911</v>
      </c>
      <c r="D811" s="330">
        <v>1.0466611679608004E-2</v>
      </c>
      <c r="E811" s="330">
        <v>1.6307929924675002E-2</v>
      </c>
      <c r="F811" s="331">
        <v>0.79657220522230032</v>
      </c>
      <c r="G811" s="94">
        <v>0.45124415692379938</v>
      </c>
      <c r="H811" s="330">
        <v>7.4171002875594874E-2</v>
      </c>
      <c r="I811" s="330">
        <v>9.8241812963481469E-3</v>
      </c>
      <c r="J811" s="330">
        <v>0.93648234498887117</v>
      </c>
      <c r="K811" s="330">
        <v>0.70100599647234141</v>
      </c>
      <c r="L811" s="332">
        <v>13113.192805111199</v>
      </c>
      <c r="M811" s="330">
        <v>0</v>
      </c>
      <c r="N811" s="330">
        <v>23004.02161386134</v>
      </c>
      <c r="O811" s="330">
        <v>1109.2620561639274</v>
      </c>
      <c r="P811" s="330">
        <v>51121.602072846232</v>
      </c>
      <c r="Q811" s="333">
        <v>77616.550141757834</v>
      </c>
      <c r="R811" s="330">
        <v>19600.954167582793</v>
      </c>
      <c r="S811" s="330">
        <v>12120.959008641126</v>
      </c>
      <c r="T811" s="332">
        <v>0.99953383590214961</v>
      </c>
      <c r="U811" s="330">
        <v>0.476900149909395</v>
      </c>
      <c r="V811" s="330">
        <v>0.94404815310181078</v>
      </c>
      <c r="W811" s="330">
        <v>0.31046421850998041</v>
      </c>
      <c r="X811" s="330">
        <v>0.81274695567392918</v>
      </c>
      <c r="Y811" s="330">
        <v>0</v>
      </c>
      <c r="Z811" s="331">
        <v>0</v>
      </c>
      <c r="AA811" s="235"/>
      <c r="AB811" s="335">
        <v>118159.31327568606</v>
      </c>
      <c r="AC811" s="336">
        <v>4.1060587669690687</v>
      </c>
      <c r="AD811" s="337">
        <v>93008.692709600276</v>
      </c>
      <c r="AE811" s="336">
        <v>3.5655848557285874</v>
      </c>
      <c r="AF811" s="337">
        <v>25150.620566085781</v>
      </c>
      <c r="AG811" s="338">
        <v>0.54047391124048128</v>
      </c>
      <c r="AH811" s="235"/>
      <c r="AI811" s="208">
        <f t="shared" si="90"/>
        <v>3782596.5153449294</v>
      </c>
      <c r="AJ811" s="208">
        <f t="shared" si="91"/>
        <v>3294296.9202325582</v>
      </c>
      <c r="AK811" s="208">
        <f t="shared" si="92"/>
        <v>488299.59511237143</v>
      </c>
      <c r="AL811" s="235"/>
      <c r="AM811" s="52">
        <f t="shared" si="86"/>
        <v>1</v>
      </c>
      <c r="AN811" s="52">
        <f t="shared" si="87"/>
        <v>0</v>
      </c>
      <c r="AO811" s="52">
        <f t="shared" si="88"/>
        <v>1</v>
      </c>
      <c r="AP811" s="235"/>
      <c r="AQ811" s="28"/>
      <c r="AR811" s="28"/>
      <c r="AS811" s="28"/>
      <c r="AT811" s="28"/>
      <c r="AU811" s="235"/>
      <c r="AV811" s="360">
        <f t="shared" si="93"/>
        <v>3782596.5153449294</v>
      </c>
      <c r="AW811" s="235"/>
      <c r="AX811" s="355"/>
      <c r="AY811" s="344"/>
      <c r="AZ811" s="14">
        <f t="shared" si="95"/>
        <v>25150.620566085781</v>
      </c>
      <c r="BA811" s="14">
        <f t="shared" si="94"/>
        <v>0.54047391124048128</v>
      </c>
      <c r="BB811" s="14">
        <f t="shared" si="89"/>
        <v>46534.384071121487</v>
      </c>
      <c r="BC811" s="344"/>
      <c r="BD811" s="344"/>
      <c r="BE811" s="344"/>
      <c r="BF811" s="344"/>
      <c r="BG811" s="344"/>
      <c r="BH811" s="344"/>
      <c r="BI811" s="344"/>
      <c r="BJ811" s="344"/>
      <c r="BK811" s="344"/>
      <c r="BL811" s="344"/>
      <c r="BM811" s="344"/>
      <c r="BN811" s="344"/>
      <c r="BO811" s="344"/>
      <c r="BP811" s="344"/>
      <c r="BQ811" s="344"/>
      <c r="BR811" s="344"/>
      <c r="BS811" s="344"/>
      <c r="BT811" s="344"/>
      <c r="BU811" s="344"/>
      <c r="BV811" s="344"/>
      <c r="BW811" s="344"/>
      <c r="BX811" s="344"/>
      <c r="BY811" s="344"/>
      <c r="BZ811" s="344"/>
      <c r="CA811" s="344"/>
      <c r="CB811" s="28"/>
      <c r="CC811" s="28"/>
      <c r="CD811" s="28"/>
      <c r="CE811" s="28"/>
      <c r="CF811" s="28"/>
      <c r="CG811" s="28"/>
      <c r="CH811" s="28"/>
      <c r="CI811" s="28"/>
      <c r="CJ811" s="28"/>
      <c r="CK811" s="28"/>
      <c r="CL811" s="28"/>
      <c r="CM811" s="28"/>
      <c r="CN811" s="28"/>
      <c r="CO811" s="28"/>
      <c r="CP811" s="28"/>
      <c r="CQ811" s="28"/>
      <c r="CR811" s="28"/>
      <c r="CS811" s="28"/>
      <c r="CT811" s="28"/>
      <c r="CU811" s="28"/>
      <c r="CV811" s="28"/>
      <c r="CW811" s="28"/>
    </row>
    <row r="812" spans="1:101" ht="14.25" customHeight="1" x14ac:dyDescent="0.2">
      <c r="A812" s="328"/>
      <c r="B812" s="52">
        <v>0.17989044069888482</v>
      </c>
      <c r="C812" s="330">
        <v>0.25706496860957617</v>
      </c>
      <c r="D812" s="330">
        <v>1.2305730733392663E-2</v>
      </c>
      <c r="E812" s="330">
        <v>1.2106027501727968E-2</v>
      </c>
      <c r="F812" s="331">
        <v>0.76898193902194412</v>
      </c>
      <c r="G812" s="94">
        <v>0.39594876607418433</v>
      </c>
      <c r="H812" s="330">
        <v>0.12197741245110781</v>
      </c>
      <c r="I812" s="330">
        <v>3.3196386334119921E-2</v>
      </c>
      <c r="J812" s="330">
        <v>0.99999999999110245</v>
      </c>
      <c r="K812" s="330">
        <v>0.74203599692623434</v>
      </c>
      <c r="L812" s="332">
        <v>13256.435304989463</v>
      </c>
      <c r="M812" s="330">
        <v>0</v>
      </c>
      <c r="N812" s="330">
        <v>13505.182533604479</v>
      </c>
      <c r="O812" s="330">
        <v>1186.299923354718</v>
      </c>
      <c r="P812" s="330">
        <v>50323.715492802869</v>
      </c>
      <c r="Q812" s="333">
        <v>89191.063918786269</v>
      </c>
      <c r="R812" s="330">
        <v>21010.861116717286</v>
      </c>
      <c r="S812" s="330">
        <v>8904.5886739380403</v>
      </c>
      <c r="T812" s="332">
        <v>7.5972970644523061E-2</v>
      </c>
      <c r="U812" s="330">
        <v>0.99263575014513417</v>
      </c>
      <c r="V812" s="330">
        <v>0.5259178636680838</v>
      </c>
      <c r="W812" s="330">
        <v>0.9946913930643384</v>
      </c>
      <c r="X812" s="330">
        <v>0.88478700687176748</v>
      </c>
      <c r="Y812" s="330">
        <v>0</v>
      </c>
      <c r="Z812" s="331">
        <v>0</v>
      </c>
      <c r="AA812" s="235"/>
      <c r="AB812" s="335">
        <v>88122.368325707255</v>
      </c>
      <c r="AC812" s="336">
        <v>4.113266925926899</v>
      </c>
      <c r="AD812" s="337">
        <v>74439.965677838016</v>
      </c>
      <c r="AE812" s="336">
        <v>4.1505089945395737</v>
      </c>
      <c r="AF812" s="337">
        <v>13682.402647869239</v>
      </c>
      <c r="AG812" s="338">
        <v>-3.724206861267465E-2</v>
      </c>
      <c r="AH812" s="235"/>
      <c r="AI812" s="208">
        <f t="shared" si="90"/>
        <v>3819481.2113048472</v>
      </c>
      <c r="AJ812" s="208">
        <f t="shared" si="91"/>
        <v>3868543.5791347572</v>
      </c>
      <c r="AK812" s="208">
        <f t="shared" si="92"/>
        <v>-49062.367829910159</v>
      </c>
      <c r="AL812" s="235"/>
      <c r="AM812" s="52">
        <f t="shared" si="86"/>
        <v>0</v>
      </c>
      <c r="AN812" s="52">
        <f t="shared" si="87"/>
        <v>1</v>
      </c>
      <c r="AO812" s="52">
        <f t="shared" si="88"/>
        <v>0</v>
      </c>
      <c r="AP812" s="235"/>
      <c r="AQ812" s="28"/>
      <c r="AR812" s="28"/>
      <c r="AS812" s="28"/>
      <c r="AT812" s="28"/>
      <c r="AU812" s="235"/>
      <c r="AV812" s="360">
        <f t="shared" si="93"/>
        <v>3868543.5791347572</v>
      </c>
      <c r="AW812" s="235"/>
      <c r="AX812" s="355"/>
      <c r="AY812" s="344"/>
      <c r="AZ812" s="14">
        <f t="shared" si="95"/>
        <v>13682.402647869239</v>
      </c>
      <c r="BA812" s="14">
        <f t="shared" si="94"/>
        <v>-3.724206861267465E-2</v>
      </c>
      <c r="BB812" s="14">
        <f t="shared" si="89"/>
        <v>-367391.0488208672</v>
      </c>
      <c r="BC812" s="344"/>
      <c r="BD812" s="344"/>
      <c r="BE812" s="344"/>
      <c r="BF812" s="344"/>
      <c r="BG812" s="344"/>
      <c r="BH812" s="344"/>
      <c r="BI812" s="344"/>
      <c r="BJ812" s="344"/>
      <c r="BK812" s="344"/>
      <c r="BL812" s="344"/>
      <c r="BM812" s="344"/>
      <c r="BN812" s="344"/>
      <c r="BO812" s="344"/>
      <c r="BP812" s="344"/>
      <c r="BQ812" s="344"/>
      <c r="BR812" s="344"/>
      <c r="BS812" s="344"/>
      <c r="BT812" s="344"/>
      <c r="BU812" s="344"/>
      <c r="BV812" s="344"/>
      <c r="BW812" s="344"/>
      <c r="BX812" s="344"/>
      <c r="BY812" s="344"/>
      <c r="BZ812" s="344"/>
      <c r="CA812" s="344"/>
      <c r="CB812" s="28"/>
      <c r="CC812" s="28"/>
      <c r="CD812" s="28"/>
      <c r="CE812" s="28"/>
      <c r="CF812" s="28"/>
      <c r="CG812" s="28"/>
      <c r="CH812" s="28"/>
      <c r="CI812" s="28"/>
      <c r="CJ812" s="28"/>
      <c r="CK812" s="28"/>
      <c r="CL812" s="28"/>
      <c r="CM812" s="28"/>
      <c r="CN812" s="28"/>
      <c r="CO812" s="28"/>
      <c r="CP812" s="28"/>
      <c r="CQ812" s="28"/>
      <c r="CR812" s="28"/>
      <c r="CS812" s="28"/>
      <c r="CT812" s="28"/>
      <c r="CU812" s="28"/>
      <c r="CV812" s="28"/>
      <c r="CW812" s="28"/>
    </row>
    <row r="813" spans="1:101" ht="14.25" customHeight="1" x14ac:dyDescent="0.2">
      <c r="A813" s="328"/>
      <c r="B813" s="52">
        <v>0.17639555265159512</v>
      </c>
      <c r="C813" s="330">
        <v>0.34414209497580894</v>
      </c>
      <c r="D813" s="330">
        <v>9.239964234206817E-3</v>
      </c>
      <c r="E813" s="330">
        <v>1.0726172477267639E-2</v>
      </c>
      <c r="F813" s="331">
        <v>0.7983572387512814</v>
      </c>
      <c r="G813" s="94">
        <v>0.37420445204854325</v>
      </c>
      <c r="H813" s="330">
        <v>0.15328673356512301</v>
      </c>
      <c r="I813" s="330">
        <v>1.0034823047968116E-2</v>
      </c>
      <c r="J813" s="330">
        <v>0.99999999999998235</v>
      </c>
      <c r="K813" s="330">
        <v>0.72472658595806716</v>
      </c>
      <c r="L813" s="332">
        <v>13262.08670376999</v>
      </c>
      <c r="M813" s="330">
        <v>0</v>
      </c>
      <c r="N813" s="330">
        <v>17323.484303749025</v>
      </c>
      <c r="O813" s="330">
        <v>1238.6816421035876</v>
      </c>
      <c r="P813" s="330">
        <v>36401.951315870785</v>
      </c>
      <c r="Q813" s="333">
        <v>119839.1848444324</v>
      </c>
      <c r="R813" s="330">
        <v>23300.306413038332</v>
      </c>
      <c r="S813" s="330">
        <v>8641.0512457590921</v>
      </c>
      <c r="T813" s="332">
        <v>0.95547784846142436</v>
      </c>
      <c r="U813" s="330">
        <v>0.84641595203593345</v>
      </c>
      <c r="V813" s="330">
        <v>0.9923404143479807</v>
      </c>
      <c r="W813" s="330">
        <v>0.98166964414842606</v>
      </c>
      <c r="X813" s="330">
        <v>0.99629692469732201</v>
      </c>
      <c r="Y813" s="330">
        <v>0</v>
      </c>
      <c r="Z813" s="331">
        <v>0</v>
      </c>
      <c r="AA813" s="235"/>
      <c r="AB813" s="335">
        <v>89122.260343752801</v>
      </c>
      <c r="AC813" s="336">
        <v>4.8234816632612123</v>
      </c>
      <c r="AD813" s="337">
        <v>69671.744350299035</v>
      </c>
      <c r="AE813" s="336">
        <v>4.5925627300428129</v>
      </c>
      <c r="AF813" s="337">
        <v>19450.515993453766</v>
      </c>
      <c r="AG813" s="338">
        <v>0.2309189332183994</v>
      </c>
      <c r="AH813" s="235"/>
      <c r="AI813" s="208">
        <f t="shared" si="90"/>
        <v>4493185.3197543984</v>
      </c>
      <c r="AJ813" s="208">
        <f t="shared" si="91"/>
        <v>4293262.849190373</v>
      </c>
      <c r="AK813" s="208">
        <f t="shared" si="92"/>
        <v>199922.47056402566</v>
      </c>
      <c r="AL813" s="235"/>
      <c r="AM813" s="52">
        <f t="shared" si="86"/>
        <v>1</v>
      </c>
      <c r="AN813" s="52">
        <f t="shared" si="87"/>
        <v>0</v>
      </c>
      <c r="AO813" s="52">
        <f t="shared" si="88"/>
        <v>1</v>
      </c>
      <c r="AP813" s="235"/>
      <c r="AQ813" s="28"/>
      <c r="AR813" s="28"/>
      <c r="AS813" s="28"/>
      <c r="AT813" s="28"/>
      <c r="AU813" s="235"/>
      <c r="AV813" s="360">
        <f t="shared" si="93"/>
        <v>4493185.3197543984</v>
      </c>
      <c r="AW813" s="235"/>
      <c r="AX813" s="355"/>
      <c r="AY813" s="344"/>
      <c r="AZ813" s="14">
        <f t="shared" si="95"/>
        <v>19450.515993453766</v>
      </c>
      <c r="BA813" s="14">
        <f t="shared" si="94"/>
        <v>0.2309189332183994</v>
      </c>
      <c r="BB813" s="14">
        <f t="shared" si="89"/>
        <v>84230.927808148932</v>
      </c>
      <c r="BC813" s="344"/>
      <c r="BD813" s="344"/>
      <c r="BE813" s="344"/>
      <c r="BF813" s="344"/>
      <c r="BG813" s="344"/>
      <c r="BH813" s="344"/>
      <c r="BI813" s="344"/>
      <c r="BJ813" s="344"/>
      <c r="BK813" s="344"/>
      <c r="BL813" s="344"/>
      <c r="BM813" s="344"/>
      <c r="BN813" s="344"/>
      <c r="BO813" s="344"/>
      <c r="BP813" s="344"/>
      <c r="BQ813" s="344"/>
      <c r="BR813" s="344"/>
      <c r="BS813" s="344"/>
      <c r="BT813" s="344"/>
      <c r="BU813" s="344"/>
      <c r="BV813" s="344"/>
      <c r="BW813" s="344"/>
      <c r="BX813" s="344"/>
      <c r="BY813" s="344"/>
      <c r="BZ813" s="344"/>
      <c r="CA813" s="344"/>
      <c r="CB813" s="28"/>
      <c r="CC813" s="28"/>
      <c r="CD813" s="28"/>
      <c r="CE813" s="28"/>
      <c r="CF813" s="28"/>
      <c r="CG813" s="28"/>
      <c r="CH813" s="28"/>
      <c r="CI813" s="28"/>
      <c r="CJ813" s="28"/>
      <c r="CK813" s="28"/>
      <c r="CL813" s="28"/>
      <c r="CM813" s="28"/>
      <c r="CN813" s="28"/>
      <c r="CO813" s="28"/>
      <c r="CP813" s="28"/>
      <c r="CQ813" s="28"/>
      <c r="CR813" s="28"/>
      <c r="CS813" s="28"/>
      <c r="CT813" s="28"/>
      <c r="CU813" s="28"/>
      <c r="CV813" s="28"/>
      <c r="CW813" s="28"/>
    </row>
    <row r="814" spans="1:101" ht="14.25" customHeight="1" x14ac:dyDescent="0.2">
      <c r="A814" s="328"/>
      <c r="B814" s="52">
        <v>0.14855792566967205</v>
      </c>
      <c r="C814" s="330">
        <v>0.4799303630264522</v>
      </c>
      <c r="D814" s="330">
        <v>1.4988190176454808E-2</v>
      </c>
      <c r="E814" s="330">
        <v>1.5196455146275434E-2</v>
      </c>
      <c r="F814" s="331">
        <v>0.78126277676526579</v>
      </c>
      <c r="G814" s="94">
        <v>0.34899384264306793</v>
      </c>
      <c r="H814" s="330">
        <v>0.61691124610830017</v>
      </c>
      <c r="I814" s="330">
        <v>2.8264795584641567E-2</v>
      </c>
      <c r="J814" s="330">
        <v>0.9999992444836111</v>
      </c>
      <c r="K814" s="330">
        <v>0.72384195672405161</v>
      </c>
      <c r="L814" s="332">
        <v>12577.55991363154</v>
      </c>
      <c r="M814" s="330">
        <v>0</v>
      </c>
      <c r="N814" s="330">
        <v>18249.761606872606</v>
      </c>
      <c r="O814" s="330">
        <v>1167.031454076666</v>
      </c>
      <c r="P814" s="330">
        <v>46602.464613676901</v>
      </c>
      <c r="Q814" s="333">
        <v>112752.59550346048</v>
      </c>
      <c r="R814" s="330">
        <v>25135.860094159678</v>
      </c>
      <c r="S814" s="330">
        <v>6712.216934329148</v>
      </c>
      <c r="T814" s="332">
        <v>0.56309538390589875</v>
      </c>
      <c r="U814" s="330">
        <v>0.99500049741299224</v>
      </c>
      <c r="V814" s="330">
        <v>0.79581885742721326</v>
      </c>
      <c r="W814" s="330">
        <v>5.2572214528667026E-2</v>
      </c>
      <c r="X814" s="330">
        <v>0.61795642501777281</v>
      </c>
      <c r="Y814" s="330">
        <v>0</v>
      </c>
      <c r="Z814" s="331">
        <v>0</v>
      </c>
      <c r="AA814" s="235"/>
      <c r="AB814" s="335">
        <v>71070.938617056949</v>
      </c>
      <c r="AC814" s="336">
        <v>3.1382291145016641</v>
      </c>
      <c r="AD814" s="337">
        <v>59675.556178668623</v>
      </c>
      <c r="AE814" s="336">
        <v>3.0424667233753833</v>
      </c>
      <c r="AF814" s="337">
        <v>11395.382438388326</v>
      </c>
      <c r="AG814" s="338">
        <v>9.5762391126280821E-2</v>
      </c>
      <c r="AH814" s="235"/>
      <c r="AI814" s="208">
        <f t="shared" si="90"/>
        <v>2910246.7201595237</v>
      </c>
      <c r="AJ814" s="208">
        <f t="shared" si="91"/>
        <v>2830667.8310279455</v>
      </c>
      <c r="AK814" s="208">
        <f t="shared" si="92"/>
        <v>79578.889131578442</v>
      </c>
      <c r="AL814" s="235"/>
      <c r="AM814" s="52">
        <f t="shared" si="86"/>
        <v>1</v>
      </c>
      <c r="AN814" s="52">
        <f t="shared" si="87"/>
        <v>0</v>
      </c>
      <c r="AO814" s="52">
        <f t="shared" si="88"/>
        <v>1</v>
      </c>
      <c r="AP814" s="235"/>
      <c r="AQ814" s="28"/>
      <c r="AR814" s="28"/>
      <c r="AS814" s="28"/>
      <c r="AT814" s="28"/>
      <c r="AU814" s="235"/>
      <c r="AV814" s="360">
        <f t="shared" si="93"/>
        <v>2910246.7201595237</v>
      </c>
      <c r="AW814" s="235"/>
      <c r="AX814" s="355"/>
      <c r="AY814" s="344"/>
      <c r="AZ814" s="14">
        <f t="shared" si="95"/>
        <v>11395.382438388326</v>
      </c>
      <c r="BA814" s="14">
        <f t="shared" si="94"/>
        <v>9.5762391126280821E-2</v>
      </c>
      <c r="BB814" s="14">
        <f t="shared" si="89"/>
        <v>118996.42755746731</v>
      </c>
      <c r="BC814" s="344"/>
      <c r="BD814" s="344"/>
      <c r="BE814" s="344"/>
      <c r="BF814" s="344"/>
      <c r="BG814" s="344"/>
      <c r="BH814" s="344"/>
      <c r="BI814" s="344"/>
      <c r="BJ814" s="344"/>
      <c r="BK814" s="344"/>
      <c r="BL814" s="344"/>
      <c r="BM814" s="344"/>
      <c r="BN814" s="344"/>
      <c r="BO814" s="344"/>
      <c r="BP814" s="344"/>
      <c r="BQ814" s="344"/>
      <c r="BR814" s="344"/>
      <c r="BS814" s="344"/>
      <c r="BT814" s="344"/>
      <c r="BU814" s="344"/>
      <c r="BV814" s="344"/>
      <c r="BW814" s="344"/>
      <c r="BX814" s="344"/>
      <c r="BY814" s="344"/>
      <c r="BZ814" s="344"/>
      <c r="CA814" s="344"/>
      <c r="CB814" s="28"/>
      <c r="CC814" s="28"/>
      <c r="CD814" s="28"/>
      <c r="CE814" s="28"/>
      <c r="CF814" s="28"/>
      <c r="CG814" s="28"/>
      <c r="CH814" s="28"/>
      <c r="CI814" s="28"/>
      <c r="CJ814" s="28"/>
      <c r="CK814" s="28"/>
      <c r="CL814" s="28"/>
      <c r="CM814" s="28"/>
      <c r="CN814" s="28"/>
      <c r="CO814" s="28"/>
      <c r="CP814" s="28"/>
      <c r="CQ814" s="28"/>
      <c r="CR814" s="28"/>
      <c r="CS814" s="28"/>
      <c r="CT814" s="28"/>
      <c r="CU814" s="28"/>
      <c r="CV814" s="28"/>
      <c r="CW814" s="28"/>
    </row>
    <row r="815" spans="1:101" ht="14.25" customHeight="1" x14ac:dyDescent="0.2">
      <c r="A815" s="328"/>
      <c r="B815" s="52">
        <v>0.15078822571836187</v>
      </c>
      <c r="C815" s="330">
        <v>0.22065713077653992</v>
      </c>
      <c r="D815" s="330">
        <v>1.5889460491623542E-2</v>
      </c>
      <c r="E815" s="330">
        <v>7.9184580059257111E-3</v>
      </c>
      <c r="F815" s="331">
        <v>0.81107594215684364</v>
      </c>
      <c r="G815" s="94">
        <v>0.43420239270899808</v>
      </c>
      <c r="H815" s="330">
        <v>0.25276333185496136</v>
      </c>
      <c r="I815" s="330">
        <v>2.3059852737020936E-2</v>
      </c>
      <c r="J815" s="330">
        <v>0.99870331476324881</v>
      </c>
      <c r="K815" s="330">
        <v>0.74147438164317137</v>
      </c>
      <c r="L815" s="332">
        <v>11196.66795480295</v>
      </c>
      <c r="M815" s="330">
        <v>0</v>
      </c>
      <c r="N815" s="330">
        <v>21209.336620153801</v>
      </c>
      <c r="O815" s="330">
        <v>1274.6014280676611</v>
      </c>
      <c r="P815" s="330">
        <v>57530.907100325916</v>
      </c>
      <c r="Q815" s="333">
        <v>123193.45485585692</v>
      </c>
      <c r="R815" s="330">
        <v>19189.873155658755</v>
      </c>
      <c r="S815" s="330">
        <v>7970.8296598055904</v>
      </c>
      <c r="T815" s="332">
        <v>0.57929804093691617</v>
      </c>
      <c r="U815" s="330">
        <v>0.99996210064522228</v>
      </c>
      <c r="V815" s="330">
        <v>0.99903216026970809</v>
      </c>
      <c r="W815" s="330">
        <v>0.98769309487161572</v>
      </c>
      <c r="X815" s="330">
        <v>0.42446566541528652</v>
      </c>
      <c r="Y815" s="330">
        <v>0</v>
      </c>
      <c r="Z815" s="331">
        <v>0</v>
      </c>
      <c r="AA815" s="235"/>
      <c r="AB815" s="335">
        <v>81700.870329832294</v>
      </c>
      <c r="AC815" s="336">
        <v>2.4509327446724418</v>
      </c>
      <c r="AD815" s="337">
        <v>68097.589063087522</v>
      </c>
      <c r="AE815" s="336">
        <v>2.1489525450683522</v>
      </c>
      <c r="AF815" s="337">
        <v>13603.281266744772</v>
      </c>
      <c r="AG815" s="338">
        <v>0.30198019960408962</v>
      </c>
      <c r="AH815" s="235"/>
      <c r="AI815" s="208">
        <f t="shared" si="90"/>
        <v>2246685.2371089878</v>
      </c>
      <c r="AJ815" s="208">
        <f t="shared" si="91"/>
        <v>1973407.3287518471</v>
      </c>
      <c r="AK815" s="208">
        <f t="shared" si="92"/>
        <v>273277.90835714038</v>
      </c>
      <c r="AL815" s="235"/>
      <c r="AM815" s="52">
        <f t="shared" si="86"/>
        <v>1</v>
      </c>
      <c r="AN815" s="52">
        <f t="shared" si="87"/>
        <v>0</v>
      </c>
      <c r="AO815" s="52">
        <f t="shared" si="88"/>
        <v>1</v>
      </c>
      <c r="AP815" s="235"/>
      <c r="AQ815" s="28"/>
      <c r="AR815" s="28"/>
      <c r="AS815" s="28"/>
      <c r="AT815" s="28"/>
      <c r="AU815" s="235"/>
      <c r="AV815" s="360">
        <f t="shared" si="93"/>
        <v>2246685.2371089878</v>
      </c>
      <c r="AW815" s="235"/>
      <c r="AX815" s="355"/>
      <c r="AY815" s="344"/>
      <c r="AZ815" s="14">
        <f t="shared" si="95"/>
        <v>13603.281266744772</v>
      </c>
      <c r="BA815" s="14">
        <f t="shared" si="94"/>
        <v>0.30198019960408962</v>
      </c>
      <c r="BB815" s="14">
        <f t="shared" si="89"/>
        <v>45046.931171577875</v>
      </c>
      <c r="BC815" s="344"/>
      <c r="BD815" s="344"/>
      <c r="BE815" s="344"/>
      <c r="BF815" s="344"/>
      <c r="BG815" s="344"/>
      <c r="BH815" s="344"/>
      <c r="BI815" s="344"/>
      <c r="BJ815" s="344"/>
      <c r="BK815" s="344"/>
      <c r="BL815" s="344"/>
      <c r="BM815" s="344"/>
      <c r="BN815" s="344"/>
      <c r="BO815" s="344"/>
      <c r="BP815" s="344"/>
      <c r="BQ815" s="344"/>
      <c r="BR815" s="344"/>
      <c r="BS815" s="344"/>
      <c r="BT815" s="344"/>
      <c r="BU815" s="344"/>
      <c r="BV815" s="344"/>
      <c r="BW815" s="344"/>
      <c r="BX815" s="344"/>
      <c r="BY815" s="344"/>
      <c r="BZ815" s="344"/>
      <c r="CA815" s="344"/>
      <c r="CB815" s="28"/>
      <c r="CC815" s="28"/>
      <c r="CD815" s="28"/>
      <c r="CE815" s="28"/>
      <c r="CF815" s="28"/>
      <c r="CG815" s="28"/>
      <c r="CH815" s="28"/>
      <c r="CI815" s="28"/>
      <c r="CJ815" s="28"/>
      <c r="CK815" s="28"/>
      <c r="CL815" s="28"/>
      <c r="CM815" s="28"/>
      <c r="CN815" s="28"/>
      <c r="CO815" s="28"/>
      <c r="CP815" s="28"/>
      <c r="CQ815" s="28"/>
      <c r="CR815" s="28"/>
      <c r="CS815" s="28"/>
      <c r="CT815" s="28"/>
      <c r="CU815" s="28"/>
      <c r="CV815" s="28"/>
      <c r="CW815" s="28"/>
    </row>
    <row r="816" spans="1:101" ht="14.25" customHeight="1" x14ac:dyDescent="0.2">
      <c r="A816" s="328"/>
      <c r="B816" s="52">
        <v>0.14247665328563694</v>
      </c>
      <c r="C816" s="330">
        <v>0.16998327144045644</v>
      </c>
      <c r="D816" s="330">
        <v>7.8819940521082429E-3</v>
      </c>
      <c r="E816" s="330">
        <v>5.2734324773344946E-3</v>
      </c>
      <c r="F816" s="331">
        <v>0.77685433035304907</v>
      </c>
      <c r="G816" s="94">
        <v>0.38451446514872939</v>
      </c>
      <c r="H816" s="330">
        <v>0.48728935661799155</v>
      </c>
      <c r="I816" s="330">
        <v>5.967928303093172E-3</v>
      </c>
      <c r="J816" s="330">
        <v>0.99937288127784896</v>
      </c>
      <c r="K816" s="330">
        <v>0.72859273902065791</v>
      </c>
      <c r="L816" s="332">
        <v>10830.056845787403</v>
      </c>
      <c r="M816" s="330">
        <v>0</v>
      </c>
      <c r="N816" s="330">
        <v>19992.775741504334</v>
      </c>
      <c r="O816" s="330">
        <v>940.16395758730823</v>
      </c>
      <c r="P816" s="330">
        <v>49779.674926958753</v>
      </c>
      <c r="Q816" s="333">
        <v>98262.927143875364</v>
      </c>
      <c r="R816" s="330">
        <v>28336.534759155631</v>
      </c>
      <c r="S816" s="330">
        <v>11058.870429355469</v>
      </c>
      <c r="T816" s="332">
        <v>0.73435957462961832</v>
      </c>
      <c r="U816" s="330">
        <v>0.98634444334896187</v>
      </c>
      <c r="V816" s="330">
        <v>0.34573259991405336</v>
      </c>
      <c r="W816" s="330">
        <v>0.88511383250297637</v>
      </c>
      <c r="X816" s="330">
        <v>0.8953527519245239</v>
      </c>
      <c r="Y816" s="330">
        <v>0</v>
      </c>
      <c r="Z816" s="331">
        <v>0</v>
      </c>
      <c r="AA816" s="235"/>
      <c r="AB816" s="335">
        <v>103954.46104545251</v>
      </c>
      <c r="AC816" s="336">
        <v>4.247085335594103</v>
      </c>
      <c r="AD816" s="337">
        <v>92501.743402747758</v>
      </c>
      <c r="AE816" s="336">
        <v>4.106865385231532</v>
      </c>
      <c r="AF816" s="337">
        <v>11452.717642704753</v>
      </c>
      <c r="AG816" s="338">
        <v>0.14021995036257096</v>
      </c>
      <c r="AH816" s="235"/>
      <c r="AI816" s="208">
        <f t="shared" si="90"/>
        <v>3930776.6077689454</v>
      </c>
      <c r="AJ816" s="208">
        <f t="shared" si="91"/>
        <v>3809020.3725672076</v>
      </c>
      <c r="AK816" s="208">
        <f t="shared" si="92"/>
        <v>121756.23520173767</v>
      </c>
      <c r="AL816" s="235"/>
      <c r="AM816" s="52">
        <f t="shared" si="86"/>
        <v>1</v>
      </c>
      <c r="AN816" s="52">
        <f t="shared" si="87"/>
        <v>0</v>
      </c>
      <c r="AO816" s="52">
        <f t="shared" si="88"/>
        <v>1</v>
      </c>
      <c r="AP816" s="235"/>
      <c r="AQ816" s="28"/>
      <c r="AR816" s="28"/>
      <c r="AS816" s="28"/>
      <c r="AT816" s="28"/>
      <c r="AU816" s="235"/>
      <c r="AV816" s="360">
        <f t="shared" si="93"/>
        <v>3930776.6077689454</v>
      </c>
      <c r="AW816" s="235"/>
      <c r="AX816" s="355"/>
      <c r="AY816" s="344"/>
      <c r="AZ816" s="14">
        <f t="shared" si="95"/>
        <v>11452.717642704753</v>
      </c>
      <c r="BA816" s="14">
        <f t="shared" si="94"/>
        <v>0.14021995036257096</v>
      </c>
      <c r="BB816" s="14">
        <f t="shared" si="89"/>
        <v>81676.805711962632</v>
      </c>
      <c r="BC816" s="344"/>
      <c r="BD816" s="344"/>
      <c r="BE816" s="344"/>
      <c r="BF816" s="344"/>
      <c r="BG816" s="344"/>
      <c r="BH816" s="344"/>
      <c r="BI816" s="344"/>
      <c r="BJ816" s="344"/>
      <c r="BK816" s="344"/>
      <c r="BL816" s="344"/>
      <c r="BM816" s="344"/>
      <c r="BN816" s="344"/>
      <c r="BO816" s="344"/>
      <c r="BP816" s="344"/>
      <c r="BQ816" s="344"/>
      <c r="BR816" s="344"/>
      <c r="BS816" s="344"/>
      <c r="BT816" s="344"/>
      <c r="BU816" s="344"/>
      <c r="BV816" s="344"/>
      <c r="BW816" s="344"/>
      <c r="BX816" s="344"/>
      <c r="BY816" s="344"/>
      <c r="BZ816" s="344"/>
      <c r="CA816" s="344"/>
      <c r="CB816" s="28"/>
      <c r="CC816" s="28"/>
      <c r="CD816" s="28"/>
      <c r="CE816" s="28"/>
      <c r="CF816" s="28"/>
      <c r="CG816" s="28"/>
      <c r="CH816" s="28"/>
      <c r="CI816" s="28"/>
      <c r="CJ816" s="28"/>
      <c r="CK816" s="28"/>
      <c r="CL816" s="28"/>
      <c r="CM816" s="28"/>
      <c r="CN816" s="28"/>
      <c r="CO816" s="28"/>
      <c r="CP816" s="28"/>
      <c r="CQ816" s="28"/>
      <c r="CR816" s="28"/>
      <c r="CS816" s="28"/>
      <c r="CT816" s="28"/>
      <c r="CU816" s="28"/>
      <c r="CV816" s="28"/>
      <c r="CW816" s="28"/>
    </row>
    <row r="817" spans="1:101" ht="14.25" customHeight="1" x14ac:dyDescent="0.2">
      <c r="A817" s="328"/>
      <c r="B817" s="52">
        <v>0.16949498871121371</v>
      </c>
      <c r="C817" s="330">
        <v>9.2223654569878674E-2</v>
      </c>
      <c r="D817" s="330">
        <v>1.4220966255393876E-2</v>
      </c>
      <c r="E817" s="330">
        <v>1.1592961561195535E-2</v>
      </c>
      <c r="F817" s="331">
        <v>0.78947624330250266</v>
      </c>
      <c r="G817" s="94">
        <v>0.34206165356421814</v>
      </c>
      <c r="H817" s="330">
        <v>0.99912913686293248</v>
      </c>
      <c r="I817" s="330">
        <v>4.8642880970493196E-3</v>
      </c>
      <c r="J817" s="330">
        <v>0.99999999847175169</v>
      </c>
      <c r="K817" s="330">
        <v>0.75397402090525689</v>
      </c>
      <c r="L817" s="332">
        <v>15483.829674696466</v>
      </c>
      <c r="M817" s="330">
        <v>0</v>
      </c>
      <c r="N817" s="330">
        <v>23797.689547964445</v>
      </c>
      <c r="O817" s="330">
        <v>1465.6236697986883</v>
      </c>
      <c r="P817" s="330">
        <v>38073.453372546159</v>
      </c>
      <c r="Q817" s="333">
        <v>129539.71631715784</v>
      </c>
      <c r="R817" s="330">
        <v>22770.180059160724</v>
      </c>
      <c r="S817" s="330">
        <v>7355.3088613476011</v>
      </c>
      <c r="T817" s="332">
        <v>0.98142714010733045</v>
      </c>
      <c r="U817" s="330">
        <v>0.10572538371857149</v>
      </c>
      <c r="V817" s="330">
        <v>0.90572609031783735</v>
      </c>
      <c r="W817" s="330">
        <v>0.69644995827196898</v>
      </c>
      <c r="X817" s="330">
        <v>0.99577321359989757</v>
      </c>
      <c r="Y817" s="330">
        <v>0</v>
      </c>
      <c r="Z817" s="331">
        <v>0</v>
      </c>
      <c r="AA817" s="235"/>
      <c r="AB817" s="335">
        <v>78716.705837861286</v>
      </c>
      <c r="AC817" s="336">
        <v>5.2768997258848414</v>
      </c>
      <c r="AD817" s="337">
        <v>68079.797994828361</v>
      </c>
      <c r="AE817" s="336">
        <v>4.5407491192485425</v>
      </c>
      <c r="AF817" s="337">
        <v>10636.907843032925</v>
      </c>
      <c r="AG817" s="338">
        <v>0.73615060663629883</v>
      </c>
      <c r="AH817" s="235"/>
      <c r="AI817" s="208">
        <f t="shared" si="90"/>
        <v>4934338.0337527376</v>
      </c>
      <c r="AJ817" s="208">
        <f t="shared" si="91"/>
        <v>4245631.8652912863</v>
      </c>
      <c r="AK817" s="208">
        <f t="shared" si="92"/>
        <v>688706.16846145096</v>
      </c>
      <c r="AL817" s="235"/>
      <c r="AM817" s="52">
        <f t="shared" si="86"/>
        <v>1</v>
      </c>
      <c r="AN817" s="52">
        <f t="shared" si="87"/>
        <v>0</v>
      </c>
      <c r="AO817" s="52">
        <f t="shared" si="88"/>
        <v>1</v>
      </c>
      <c r="AP817" s="235"/>
      <c r="AQ817" s="28"/>
      <c r="AR817" s="28"/>
      <c r="AS817" s="28"/>
      <c r="AT817" s="28"/>
      <c r="AU817" s="235"/>
      <c r="AV817" s="360">
        <f t="shared" si="93"/>
        <v>4934338.0337527376</v>
      </c>
      <c r="AW817" s="235"/>
      <c r="AX817" s="355"/>
      <c r="AY817" s="344"/>
      <c r="AZ817" s="14">
        <f t="shared" si="95"/>
        <v>10636.907843032925</v>
      </c>
      <c r="BA817" s="14">
        <f t="shared" si="94"/>
        <v>0.73615060663629883</v>
      </c>
      <c r="BB817" s="14">
        <f t="shared" si="89"/>
        <v>14449.363686102584</v>
      </c>
      <c r="BC817" s="344"/>
      <c r="BD817" s="344"/>
      <c r="BE817" s="344"/>
      <c r="BF817" s="344"/>
      <c r="BG817" s="344"/>
      <c r="BH817" s="344"/>
      <c r="BI817" s="344"/>
      <c r="BJ817" s="344"/>
      <c r="BK817" s="344"/>
      <c r="BL817" s="344"/>
      <c r="BM817" s="344"/>
      <c r="BN817" s="344"/>
      <c r="BO817" s="344"/>
      <c r="BP817" s="344"/>
      <c r="BQ817" s="344"/>
      <c r="BR817" s="344"/>
      <c r="BS817" s="344"/>
      <c r="BT817" s="344"/>
      <c r="BU817" s="344"/>
      <c r="BV817" s="344"/>
      <c r="BW817" s="344"/>
      <c r="BX817" s="344"/>
      <c r="BY817" s="344"/>
      <c r="BZ817" s="344"/>
      <c r="CA817" s="344"/>
      <c r="CB817" s="28"/>
      <c r="CC817" s="28"/>
      <c r="CD817" s="28"/>
      <c r="CE817" s="28"/>
      <c r="CF817" s="28"/>
      <c r="CG817" s="28"/>
      <c r="CH817" s="28"/>
      <c r="CI817" s="28"/>
      <c r="CJ817" s="28"/>
      <c r="CK817" s="28"/>
      <c r="CL817" s="28"/>
      <c r="CM817" s="28"/>
      <c r="CN817" s="28"/>
      <c r="CO817" s="28"/>
      <c r="CP817" s="28"/>
      <c r="CQ817" s="28"/>
      <c r="CR817" s="28"/>
      <c r="CS817" s="28"/>
      <c r="CT817" s="28"/>
      <c r="CU817" s="28"/>
      <c r="CV817" s="28"/>
      <c r="CW817" s="28"/>
    </row>
    <row r="818" spans="1:101" ht="14.25" customHeight="1" x14ac:dyDescent="0.2">
      <c r="A818" s="328"/>
      <c r="B818" s="52">
        <v>0.11813199610170105</v>
      </c>
      <c r="C818" s="330">
        <v>0.68833261959802094</v>
      </c>
      <c r="D818" s="330">
        <v>5.5093540971400245E-3</v>
      </c>
      <c r="E818" s="330">
        <v>1.0556245572171843E-2</v>
      </c>
      <c r="F818" s="331">
        <v>0.78576260638690143</v>
      </c>
      <c r="G818" s="94">
        <v>0.39325488084590754</v>
      </c>
      <c r="H818" s="330">
        <v>0.12986048353370011</v>
      </c>
      <c r="I818" s="330">
        <v>9.1321078522593468E-3</v>
      </c>
      <c r="J818" s="330">
        <v>0.99091752782444098</v>
      </c>
      <c r="K818" s="330">
        <v>0.70188125711693905</v>
      </c>
      <c r="L818" s="332">
        <v>14939.359727247085</v>
      </c>
      <c r="M818" s="330">
        <v>0</v>
      </c>
      <c r="N818" s="330">
        <v>20238.24395758412</v>
      </c>
      <c r="O818" s="330">
        <v>1605.3544206579224</v>
      </c>
      <c r="P818" s="330">
        <v>56606.868352505327</v>
      </c>
      <c r="Q818" s="333">
        <v>132725.44489174991</v>
      </c>
      <c r="R818" s="330">
        <v>19160.435502006261</v>
      </c>
      <c r="S818" s="330">
        <v>10616.90404249876</v>
      </c>
      <c r="T818" s="332">
        <v>0.36117521047205642</v>
      </c>
      <c r="U818" s="330">
        <v>0.76316425256464882</v>
      </c>
      <c r="V818" s="330">
        <v>0.78195496149737964</v>
      </c>
      <c r="W818" s="330">
        <v>0.74049203585141121</v>
      </c>
      <c r="X818" s="330">
        <v>0.60235549356380336</v>
      </c>
      <c r="Y818" s="330">
        <v>0</v>
      </c>
      <c r="Z818" s="331">
        <v>0</v>
      </c>
      <c r="AA818" s="235"/>
      <c r="AB818" s="335">
        <v>106297.78789896509</v>
      </c>
      <c r="AC818" s="336">
        <v>2.9902802033791032</v>
      </c>
      <c r="AD818" s="337">
        <v>82365.398164887272</v>
      </c>
      <c r="AE818" s="336">
        <v>2.8421155834025447</v>
      </c>
      <c r="AF818" s="337">
        <v>23932.38973407782</v>
      </c>
      <c r="AG818" s="338">
        <v>0.1481646199765585</v>
      </c>
      <c r="AH818" s="235"/>
      <c r="AI818" s="208">
        <f t="shared" si="90"/>
        <v>2734468.4053111826</v>
      </c>
      <c r="AJ818" s="208">
        <f t="shared" si="91"/>
        <v>2617644.4060675302</v>
      </c>
      <c r="AK818" s="208">
        <f t="shared" si="92"/>
        <v>116823.99924365274</v>
      </c>
      <c r="AL818" s="235"/>
      <c r="AM818" s="52">
        <f t="shared" si="86"/>
        <v>1</v>
      </c>
      <c r="AN818" s="52">
        <f t="shared" si="87"/>
        <v>0</v>
      </c>
      <c r="AO818" s="52">
        <f t="shared" si="88"/>
        <v>1</v>
      </c>
      <c r="AP818" s="235"/>
      <c r="AQ818" s="28"/>
      <c r="AR818" s="28"/>
      <c r="AS818" s="28"/>
      <c r="AT818" s="28"/>
      <c r="AU818" s="235"/>
      <c r="AV818" s="360">
        <f t="shared" si="93"/>
        <v>2734468.4053111826</v>
      </c>
      <c r="AW818" s="235"/>
      <c r="AX818" s="355"/>
      <c r="AY818" s="344"/>
      <c r="AZ818" s="14">
        <f t="shared" si="95"/>
        <v>23932.38973407782</v>
      </c>
      <c r="BA818" s="14">
        <f t="shared" si="94"/>
        <v>0.1481646199765585</v>
      </c>
      <c r="BB818" s="14">
        <f t="shared" si="89"/>
        <v>161525.67149879792</v>
      </c>
      <c r="BC818" s="344"/>
      <c r="BD818" s="344"/>
      <c r="BE818" s="344"/>
      <c r="BF818" s="344"/>
      <c r="BG818" s="344"/>
      <c r="BH818" s="344"/>
      <c r="BI818" s="344"/>
      <c r="BJ818" s="344"/>
      <c r="BK818" s="344"/>
      <c r="BL818" s="344"/>
      <c r="BM818" s="344"/>
      <c r="BN818" s="344"/>
      <c r="BO818" s="344"/>
      <c r="BP818" s="344"/>
      <c r="BQ818" s="344"/>
      <c r="BR818" s="344"/>
      <c r="BS818" s="344"/>
      <c r="BT818" s="344"/>
      <c r="BU818" s="344"/>
      <c r="BV818" s="344"/>
      <c r="BW818" s="344"/>
      <c r="BX818" s="344"/>
      <c r="BY818" s="344"/>
      <c r="BZ818" s="344"/>
      <c r="CA818" s="344"/>
      <c r="CB818" s="28"/>
      <c r="CC818" s="28"/>
      <c r="CD818" s="28"/>
      <c r="CE818" s="28"/>
      <c r="CF818" s="28"/>
      <c r="CG818" s="28"/>
      <c r="CH818" s="28"/>
      <c r="CI818" s="28"/>
      <c r="CJ818" s="28"/>
      <c r="CK818" s="28"/>
      <c r="CL818" s="28"/>
      <c r="CM818" s="28"/>
      <c r="CN818" s="28"/>
      <c r="CO818" s="28"/>
      <c r="CP818" s="28"/>
      <c r="CQ818" s="28"/>
      <c r="CR818" s="28"/>
      <c r="CS818" s="28"/>
      <c r="CT818" s="28"/>
      <c r="CU818" s="28"/>
      <c r="CV818" s="28"/>
      <c r="CW818" s="28"/>
    </row>
    <row r="819" spans="1:101" ht="14.25" customHeight="1" x14ac:dyDescent="0.2">
      <c r="A819" s="328"/>
      <c r="B819" s="52">
        <v>0.14773429590584952</v>
      </c>
      <c r="C819" s="330">
        <v>1.0443005919690638E-2</v>
      </c>
      <c r="D819" s="330">
        <v>1.3095458352368188E-2</v>
      </c>
      <c r="E819" s="330">
        <v>1.3943084811972038E-2</v>
      </c>
      <c r="F819" s="331">
        <v>0.77985230190819377</v>
      </c>
      <c r="G819" s="94">
        <v>0.40556292683373985</v>
      </c>
      <c r="H819" s="330">
        <v>0.11634273098688566</v>
      </c>
      <c r="I819" s="330">
        <v>1.7586210351503651E-2</v>
      </c>
      <c r="J819" s="330">
        <v>0.96204364260781228</v>
      </c>
      <c r="K819" s="330">
        <v>0.74605119383247231</v>
      </c>
      <c r="L819" s="332">
        <v>14367.3203219117</v>
      </c>
      <c r="M819" s="330">
        <v>0</v>
      </c>
      <c r="N819" s="330">
        <v>25405.618872850031</v>
      </c>
      <c r="O819" s="330">
        <v>1081.2207384481212</v>
      </c>
      <c r="P819" s="330">
        <v>50432.119040069985</v>
      </c>
      <c r="Q819" s="333">
        <v>124697.72470788192</v>
      </c>
      <c r="R819" s="330">
        <v>20283.802070334485</v>
      </c>
      <c r="S819" s="330">
        <v>8936.4772905889986</v>
      </c>
      <c r="T819" s="332">
        <v>0.99992198785025543</v>
      </c>
      <c r="U819" s="330">
        <v>0.99161251033947106</v>
      </c>
      <c r="V819" s="330">
        <v>0.95238089485277566</v>
      </c>
      <c r="W819" s="330">
        <v>0.9945917618723118</v>
      </c>
      <c r="X819" s="330">
        <v>0.80321023355828602</v>
      </c>
      <c r="Y819" s="330">
        <v>0</v>
      </c>
      <c r="Z819" s="331">
        <v>0</v>
      </c>
      <c r="AA819" s="235"/>
      <c r="AB819" s="335">
        <v>89589.010728234221</v>
      </c>
      <c r="AC819" s="336">
        <v>4.2331235632106798</v>
      </c>
      <c r="AD819" s="337">
        <v>74335.876260975521</v>
      </c>
      <c r="AE819" s="336">
        <v>3.7880215462204441</v>
      </c>
      <c r="AF819" s="337">
        <v>15253.1344672587</v>
      </c>
      <c r="AG819" s="338">
        <v>0.44510201699023577</v>
      </c>
      <c r="AH819" s="235"/>
      <c r="AI819" s="208">
        <f t="shared" si="90"/>
        <v>3931878.3743219115</v>
      </c>
      <c r="AJ819" s="208">
        <f t="shared" si="91"/>
        <v>3524284.5926484466</v>
      </c>
      <c r="AK819" s="208">
        <f t="shared" si="92"/>
        <v>407593.78167346527</v>
      </c>
      <c r="AL819" s="235"/>
      <c r="AM819" s="52">
        <f t="shared" si="86"/>
        <v>1</v>
      </c>
      <c r="AN819" s="52">
        <f t="shared" si="87"/>
        <v>0</v>
      </c>
      <c r="AO819" s="52">
        <f t="shared" si="88"/>
        <v>1</v>
      </c>
      <c r="AP819" s="235"/>
      <c r="AQ819" s="28"/>
      <c r="AR819" s="28"/>
      <c r="AS819" s="28"/>
      <c r="AT819" s="28"/>
      <c r="AU819" s="235"/>
      <c r="AV819" s="360">
        <f t="shared" si="93"/>
        <v>3931878.3743219115</v>
      </c>
      <c r="AW819" s="235"/>
      <c r="AX819" s="355"/>
      <c r="AY819" s="344"/>
      <c r="AZ819" s="14">
        <f t="shared" si="95"/>
        <v>15253.1344672587</v>
      </c>
      <c r="BA819" s="14">
        <f t="shared" si="94"/>
        <v>0.44510201699023577</v>
      </c>
      <c r="BB819" s="14">
        <f t="shared" si="89"/>
        <v>34268.850477020664</v>
      </c>
      <c r="BC819" s="344"/>
      <c r="BD819" s="344"/>
      <c r="BE819" s="344"/>
      <c r="BF819" s="344"/>
      <c r="BG819" s="344"/>
      <c r="BH819" s="344"/>
      <c r="BI819" s="344"/>
      <c r="BJ819" s="344"/>
      <c r="BK819" s="344"/>
      <c r="BL819" s="344"/>
      <c r="BM819" s="344"/>
      <c r="BN819" s="344"/>
      <c r="BO819" s="344"/>
      <c r="BP819" s="344"/>
      <c r="BQ819" s="344"/>
      <c r="BR819" s="344"/>
      <c r="BS819" s="344"/>
      <c r="BT819" s="344"/>
      <c r="BU819" s="344"/>
      <c r="BV819" s="344"/>
      <c r="BW819" s="344"/>
      <c r="BX819" s="344"/>
      <c r="BY819" s="344"/>
      <c r="BZ819" s="344"/>
      <c r="CA819" s="344"/>
      <c r="CB819" s="28"/>
      <c r="CC819" s="28"/>
      <c r="CD819" s="28"/>
      <c r="CE819" s="28"/>
      <c r="CF819" s="28"/>
      <c r="CG819" s="28"/>
      <c r="CH819" s="28"/>
      <c r="CI819" s="28"/>
      <c r="CJ819" s="28"/>
      <c r="CK819" s="28"/>
      <c r="CL819" s="28"/>
      <c r="CM819" s="28"/>
      <c r="CN819" s="28"/>
      <c r="CO819" s="28"/>
      <c r="CP819" s="28"/>
      <c r="CQ819" s="28"/>
      <c r="CR819" s="28"/>
      <c r="CS819" s="28"/>
      <c r="CT819" s="28"/>
      <c r="CU819" s="28"/>
      <c r="CV819" s="28"/>
      <c r="CW819" s="28"/>
    </row>
    <row r="820" spans="1:101" ht="14.25" customHeight="1" x14ac:dyDescent="0.2">
      <c r="A820" s="328"/>
      <c r="B820" s="52">
        <v>0.12017944195955231</v>
      </c>
      <c r="C820" s="330">
        <v>0.60896078212496052</v>
      </c>
      <c r="D820" s="330">
        <v>1.4496387249229081E-2</v>
      </c>
      <c r="E820" s="330">
        <v>2.0726164874856012E-2</v>
      </c>
      <c r="F820" s="331">
        <v>0.76798819398358442</v>
      </c>
      <c r="G820" s="94">
        <v>0.42113379731888334</v>
      </c>
      <c r="H820" s="330">
        <v>0.72284670524112349</v>
      </c>
      <c r="I820" s="330">
        <v>1.357993346385134E-2</v>
      </c>
      <c r="J820" s="330">
        <v>0.99130665109644667</v>
      </c>
      <c r="K820" s="330">
        <v>0.75884888946587536</v>
      </c>
      <c r="L820" s="332">
        <v>12868.146671779079</v>
      </c>
      <c r="M820" s="330">
        <v>0</v>
      </c>
      <c r="N820" s="330">
        <v>21278.419450647882</v>
      </c>
      <c r="O820" s="330">
        <v>733.00303860570853</v>
      </c>
      <c r="P820" s="330">
        <v>44109.262575722692</v>
      </c>
      <c r="Q820" s="333">
        <v>132653.63917077333</v>
      </c>
      <c r="R820" s="330">
        <v>24234.215358194182</v>
      </c>
      <c r="S820" s="330">
        <v>6663.9704392671174</v>
      </c>
      <c r="T820" s="332">
        <v>0.98961496176765906</v>
      </c>
      <c r="U820" s="330">
        <v>0.98106816393520413</v>
      </c>
      <c r="V820" s="330">
        <v>0.92310249492802443</v>
      </c>
      <c r="W820" s="330">
        <v>0.98603004287333884</v>
      </c>
      <c r="X820" s="330">
        <v>0.97997969492953985</v>
      </c>
      <c r="Y820" s="330">
        <v>0</v>
      </c>
      <c r="Z820" s="331">
        <v>0</v>
      </c>
      <c r="AA820" s="235"/>
      <c r="AB820" s="335">
        <v>69884.113713578292</v>
      </c>
      <c r="AC820" s="336">
        <v>5.0808341613662931</v>
      </c>
      <c r="AD820" s="337">
        <v>63066.775780584801</v>
      </c>
      <c r="AE820" s="336">
        <v>4.8587215010004998</v>
      </c>
      <c r="AF820" s="337">
        <v>6817.3379329934905</v>
      </c>
      <c r="AG820" s="338">
        <v>0.22211266036579325</v>
      </c>
      <c r="AH820" s="235"/>
      <c r="AI820" s="208">
        <f t="shared" si="90"/>
        <v>4756908.3395843999</v>
      </c>
      <c r="AJ820" s="208">
        <f t="shared" si="91"/>
        <v>4552718.6501698904</v>
      </c>
      <c r="AK820" s="208">
        <f t="shared" si="92"/>
        <v>204189.6894145101</v>
      </c>
      <c r="AL820" s="235"/>
      <c r="AM820" s="52">
        <f t="shared" si="86"/>
        <v>1</v>
      </c>
      <c r="AN820" s="52">
        <f t="shared" si="87"/>
        <v>0</v>
      </c>
      <c r="AO820" s="52">
        <f t="shared" si="88"/>
        <v>1</v>
      </c>
      <c r="AP820" s="235"/>
      <c r="AQ820" s="28"/>
      <c r="AR820" s="28"/>
      <c r="AS820" s="28"/>
      <c r="AT820" s="28"/>
      <c r="AU820" s="235"/>
      <c r="AV820" s="360">
        <f t="shared" si="93"/>
        <v>4756908.3395843999</v>
      </c>
      <c r="AW820" s="235"/>
      <c r="AX820" s="355"/>
      <c r="AY820" s="344"/>
      <c r="AZ820" s="14">
        <f t="shared" si="95"/>
        <v>6817.3379329934905</v>
      </c>
      <c r="BA820" s="14">
        <f t="shared" si="94"/>
        <v>0.22211266036579325</v>
      </c>
      <c r="BB820" s="14">
        <f t="shared" si="89"/>
        <v>30693.153293315845</v>
      </c>
      <c r="BC820" s="344"/>
      <c r="BD820" s="344"/>
      <c r="BE820" s="344"/>
      <c r="BF820" s="344"/>
      <c r="BG820" s="344"/>
      <c r="BH820" s="344"/>
      <c r="BI820" s="344"/>
      <c r="BJ820" s="344"/>
      <c r="BK820" s="344"/>
      <c r="BL820" s="344"/>
      <c r="BM820" s="344"/>
      <c r="BN820" s="344"/>
      <c r="BO820" s="344"/>
      <c r="BP820" s="344"/>
      <c r="BQ820" s="344"/>
      <c r="BR820" s="344"/>
      <c r="BS820" s="344"/>
      <c r="BT820" s="344"/>
      <c r="BU820" s="344"/>
      <c r="BV820" s="344"/>
      <c r="BW820" s="344"/>
      <c r="BX820" s="344"/>
      <c r="BY820" s="344"/>
      <c r="BZ820" s="344"/>
      <c r="CA820" s="344"/>
      <c r="CB820" s="28"/>
      <c r="CC820" s="28"/>
      <c r="CD820" s="28"/>
      <c r="CE820" s="28"/>
      <c r="CF820" s="28"/>
      <c r="CG820" s="28"/>
      <c r="CH820" s="28"/>
      <c r="CI820" s="28"/>
      <c r="CJ820" s="28"/>
      <c r="CK820" s="28"/>
      <c r="CL820" s="28"/>
      <c r="CM820" s="28"/>
      <c r="CN820" s="28"/>
      <c r="CO820" s="28"/>
      <c r="CP820" s="28"/>
      <c r="CQ820" s="28"/>
      <c r="CR820" s="28"/>
      <c r="CS820" s="28"/>
      <c r="CT820" s="28"/>
      <c r="CU820" s="28"/>
      <c r="CV820" s="28"/>
      <c r="CW820" s="28"/>
    </row>
    <row r="821" spans="1:101" ht="14.25" customHeight="1" x14ac:dyDescent="0.2">
      <c r="A821" s="328"/>
      <c r="B821" s="52">
        <v>0.17053197794986563</v>
      </c>
      <c r="C821" s="330">
        <v>4.8548195248247208E-3</v>
      </c>
      <c r="D821" s="330">
        <v>1.4697478665891106E-2</v>
      </c>
      <c r="E821" s="330">
        <v>1.9517623969018127E-2</v>
      </c>
      <c r="F821" s="331">
        <v>0.81032282082991003</v>
      </c>
      <c r="G821" s="94">
        <v>0.4750141736947483</v>
      </c>
      <c r="H821" s="330">
        <v>2.2636138688990628E-3</v>
      </c>
      <c r="I821" s="330">
        <v>1.7719709961304897E-2</v>
      </c>
      <c r="J821" s="330">
        <v>0.99999999520632321</v>
      </c>
      <c r="K821" s="330">
        <v>0.71585044452957347</v>
      </c>
      <c r="L821" s="332">
        <v>12452.625859285896</v>
      </c>
      <c r="M821" s="330">
        <v>0</v>
      </c>
      <c r="N821" s="330">
        <v>29091.126228232071</v>
      </c>
      <c r="O821" s="330">
        <v>1534.6959857309632</v>
      </c>
      <c r="P821" s="330">
        <v>49799.485553430364</v>
      </c>
      <c r="Q821" s="333">
        <v>98796.126512272953</v>
      </c>
      <c r="R821" s="330">
        <v>19119.013128212002</v>
      </c>
      <c r="S821" s="330">
        <v>8813.8835765438071</v>
      </c>
      <c r="T821" s="332">
        <v>0.62934622719208966</v>
      </c>
      <c r="U821" s="330">
        <v>0.67099843311920826</v>
      </c>
      <c r="V821" s="330">
        <v>0.69443507639926993</v>
      </c>
      <c r="W821" s="330">
        <v>0.47451840252090732</v>
      </c>
      <c r="X821" s="330">
        <v>0.23597875024868742</v>
      </c>
      <c r="Y821" s="330">
        <v>0</v>
      </c>
      <c r="Z821" s="331">
        <v>0</v>
      </c>
      <c r="AA821" s="235"/>
      <c r="AB821" s="335">
        <v>89625.08045611257</v>
      </c>
      <c r="AC821" s="336">
        <v>1.1669301545665789</v>
      </c>
      <c r="AD821" s="337">
        <v>69953.458247743692</v>
      </c>
      <c r="AE821" s="336">
        <v>1.2354301298978947</v>
      </c>
      <c r="AF821" s="337">
        <v>19671.622208368877</v>
      </c>
      <c r="AG821" s="338">
        <v>-6.8499975331315799E-2</v>
      </c>
      <c r="AH821" s="235"/>
      <c r="AI821" s="208">
        <f t="shared" si="90"/>
        <v>1018958.5663821374</v>
      </c>
      <c r="AJ821" s="208">
        <f t="shared" si="91"/>
        <v>1103705.1651552562</v>
      </c>
      <c r="AK821" s="208">
        <f t="shared" si="92"/>
        <v>-84746.598773118894</v>
      </c>
      <c r="AL821" s="235"/>
      <c r="AM821" s="52">
        <f t="shared" si="86"/>
        <v>0</v>
      </c>
      <c r="AN821" s="52">
        <f t="shared" si="87"/>
        <v>1</v>
      </c>
      <c r="AO821" s="52">
        <f t="shared" si="88"/>
        <v>0</v>
      </c>
      <c r="AP821" s="235"/>
      <c r="AQ821" s="28"/>
      <c r="AR821" s="28"/>
      <c r="AS821" s="28"/>
      <c r="AT821" s="28"/>
      <c r="AU821" s="235"/>
      <c r="AV821" s="360">
        <f t="shared" si="93"/>
        <v>1103705.1651552562</v>
      </c>
      <c r="AW821" s="235"/>
      <c r="AX821" s="355"/>
      <c r="AY821" s="344"/>
      <c r="AZ821" s="14">
        <f t="shared" si="95"/>
        <v>19671.622208368877</v>
      </c>
      <c r="BA821" s="14">
        <f t="shared" si="94"/>
        <v>-6.8499975331315799E-2</v>
      </c>
      <c r="BB821" s="14">
        <f t="shared" si="89"/>
        <v>-287177.06996568356</v>
      </c>
      <c r="BC821" s="344"/>
      <c r="BD821" s="344"/>
      <c r="BE821" s="344"/>
      <c r="BF821" s="344"/>
      <c r="BG821" s="344"/>
      <c r="BH821" s="344"/>
      <c r="BI821" s="344"/>
      <c r="BJ821" s="344"/>
      <c r="BK821" s="344"/>
      <c r="BL821" s="344"/>
      <c r="BM821" s="344"/>
      <c r="BN821" s="344"/>
      <c r="BO821" s="344"/>
      <c r="BP821" s="344"/>
      <c r="BQ821" s="344"/>
      <c r="BR821" s="344"/>
      <c r="BS821" s="344"/>
      <c r="BT821" s="344"/>
      <c r="BU821" s="344"/>
      <c r="BV821" s="344"/>
      <c r="BW821" s="344"/>
      <c r="BX821" s="344"/>
      <c r="BY821" s="344"/>
      <c r="BZ821" s="344"/>
      <c r="CA821" s="344"/>
      <c r="CB821" s="28"/>
      <c r="CC821" s="28"/>
      <c r="CD821" s="28"/>
      <c r="CE821" s="28"/>
      <c r="CF821" s="28"/>
      <c r="CG821" s="28"/>
      <c r="CH821" s="28"/>
      <c r="CI821" s="28"/>
      <c r="CJ821" s="28"/>
      <c r="CK821" s="28"/>
      <c r="CL821" s="28"/>
      <c r="CM821" s="28"/>
      <c r="CN821" s="28"/>
      <c r="CO821" s="28"/>
      <c r="CP821" s="28"/>
      <c r="CQ821" s="28"/>
      <c r="CR821" s="28"/>
      <c r="CS821" s="28"/>
      <c r="CT821" s="28"/>
      <c r="CU821" s="28"/>
      <c r="CV821" s="28"/>
      <c r="CW821" s="28"/>
    </row>
    <row r="822" spans="1:101" ht="14.25" customHeight="1" x14ac:dyDescent="0.2">
      <c r="A822" s="328"/>
      <c r="B822" s="52">
        <v>0.16655394472863416</v>
      </c>
      <c r="C822" s="330">
        <v>0.22612337665231261</v>
      </c>
      <c r="D822" s="330">
        <v>1.1036539492490751E-2</v>
      </c>
      <c r="E822" s="330">
        <v>1.7782610564704426E-2</v>
      </c>
      <c r="F822" s="331">
        <v>0.76507461776604957</v>
      </c>
      <c r="G822" s="94">
        <v>0.44533452032211163</v>
      </c>
      <c r="H822" s="330">
        <v>0.66273305677363614</v>
      </c>
      <c r="I822" s="330">
        <v>3.0547207465097315E-2</v>
      </c>
      <c r="J822" s="330">
        <v>0.99999783843352374</v>
      </c>
      <c r="K822" s="330">
        <v>0.69953863134332916</v>
      </c>
      <c r="L822" s="332">
        <v>16156.283137686602</v>
      </c>
      <c r="M822" s="330">
        <v>0</v>
      </c>
      <c r="N822" s="330">
        <v>18072.37019702145</v>
      </c>
      <c r="O822" s="330">
        <v>1431.568319887296</v>
      </c>
      <c r="P822" s="330">
        <v>50201.50676980205</v>
      </c>
      <c r="Q822" s="333">
        <v>111712.54498487171</v>
      </c>
      <c r="R822" s="330">
        <v>28946.923048083056</v>
      </c>
      <c r="S822" s="330">
        <v>8438.9658158273814</v>
      </c>
      <c r="T822" s="332">
        <v>0.82942349855234809</v>
      </c>
      <c r="U822" s="330">
        <v>0.82718687788313749</v>
      </c>
      <c r="V822" s="330">
        <v>0.98437830822102268</v>
      </c>
      <c r="W822" s="330">
        <v>0.89859741284365446</v>
      </c>
      <c r="X822" s="330">
        <v>0.81791593464585366</v>
      </c>
      <c r="Y822" s="330">
        <v>0</v>
      </c>
      <c r="Z822" s="331">
        <v>0</v>
      </c>
      <c r="AA822" s="235"/>
      <c r="AB822" s="335">
        <v>86978.022612744797</v>
      </c>
      <c r="AC822" s="336">
        <v>3.9920613993500362</v>
      </c>
      <c r="AD822" s="337">
        <v>74807.978215001203</v>
      </c>
      <c r="AE822" s="336">
        <v>3.6241087972647077</v>
      </c>
      <c r="AF822" s="337">
        <v>12170.044397743593</v>
      </c>
      <c r="AG822" s="338">
        <v>0.36795260208532854</v>
      </c>
      <c r="AH822" s="235"/>
      <c r="AI822" s="208">
        <f t="shared" si="90"/>
        <v>3705480.3067697897</v>
      </c>
      <c r="AJ822" s="208">
        <f t="shared" si="91"/>
        <v>3368095.3791864715</v>
      </c>
      <c r="AK822" s="208">
        <f t="shared" si="92"/>
        <v>337384.92758331849</v>
      </c>
      <c r="AL822" s="235"/>
      <c r="AM822" s="52">
        <f t="shared" si="86"/>
        <v>1</v>
      </c>
      <c r="AN822" s="52">
        <f t="shared" si="87"/>
        <v>0</v>
      </c>
      <c r="AO822" s="52">
        <f t="shared" si="88"/>
        <v>1</v>
      </c>
      <c r="AP822" s="235"/>
      <c r="AQ822" s="28"/>
      <c r="AR822" s="28"/>
      <c r="AS822" s="28"/>
      <c r="AT822" s="28"/>
      <c r="AU822" s="235"/>
      <c r="AV822" s="360">
        <f t="shared" si="93"/>
        <v>3705480.3067697897</v>
      </c>
      <c r="AW822" s="235"/>
      <c r="AX822" s="355"/>
      <c r="AY822" s="344"/>
      <c r="AZ822" s="14">
        <f t="shared" si="95"/>
        <v>12170.044397743593</v>
      </c>
      <c r="BA822" s="14">
        <f t="shared" si="94"/>
        <v>0.36795260208532854</v>
      </c>
      <c r="BB822" s="14">
        <f t="shared" si="89"/>
        <v>33075.032840565014</v>
      </c>
      <c r="BC822" s="344"/>
      <c r="BD822" s="344"/>
      <c r="BE822" s="344"/>
      <c r="BF822" s="344"/>
      <c r="BG822" s="344"/>
      <c r="BH822" s="344"/>
      <c r="BI822" s="344"/>
      <c r="BJ822" s="344"/>
      <c r="BK822" s="344"/>
      <c r="BL822" s="344"/>
      <c r="BM822" s="344"/>
      <c r="BN822" s="344"/>
      <c r="BO822" s="344"/>
      <c r="BP822" s="344"/>
      <c r="BQ822" s="344"/>
      <c r="BR822" s="344"/>
      <c r="BS822" s="344"/>
      <c r="BT822" s="344"/>
      <c r="BU822" s="344"/>
      <c r="BV822" s="344"/>
      <c r="BW822" s="344"/>
      <c r="BX822" s="344"/>
      <c r="BY822" s="344"/>
      <c r="BZ822" s="344"/>
      <c r="CA822" s="344"/>
      <c r="CB822" s="28"/>
      <c r="CC822" s="28"/>
      <c r="CD822" s="28"/>
      <c r="CE822" s="28"/>
      <c r="CF822" s="28"/>
      <c r="CG822" s="28"/>
      <c r="CH822" s="28"/>
      <c r="CI822" s="28"/>
      <c r="CJ822" s="28"/>
      <c r="CK822" s="28"/>
      <c r="CL822" s="28"/>
      <c r="CM822" s="28"/>
      <c r="CN822" s="28"/>
      <c r="CO822" s="28"/>
      <c r="CP822" s="28"/>
      <c r="CQ822" s="28"/>
      <c r="CR822" s="28"/>
      <c r="CS822" s="28"/>
      <c r="CT822" s="28"/>
      <c r="CU822" s="28"/>
      <c r="CV822" s="28"/>
      <c r="CW822" s="28"/>
    </row>
    <row r="823" spans="1:101" ht="14.25" customHeight="1" x14ac:dyDescent="0.2">
      <c r="A823" s="328"/>
      <c r="B823" s="52">
        <v>0.15592702067600583</v>
      </c>
      <c r="C823" s="330">
        <v>0.12330020048680482</v>
      </c>
      <c r="D823" s="330">
        <v>7.2405068852873077E-3</v>
      </c>
      <c r="E823" s="330">
        <v>1.0012816819561694E-2</v>
      </c>
      <c r="F823" s="331">
        <v>0.83143394469475029</v>
      </c>
      <c r="G823" s="94">
        <v>0.36972650923817918</v>
      </c>
      <c r="H823" s="330">
        <v>0.17893722361630318</v>
      </c>
      <c r="I823" s="330">
        <v>2.8311627571099246E-3</v>
      </c>
      <c r="J823" s="330">
        <v>0.62469342590545462</v>
      </c>
      <c r="K823" s="330">
        <v>0.78142720991475911</v>
      </c>
      <c r="L823" s="332">
        <v>13521.49571610231</v>
      </c>
      <c r="M823" s="330">
        <v>0</v>
      </c>
      <c r="N823" s="330">
        <v>18832.041821471652</v>
      </c>
      <c r="O823" s="330">
        <v>1400.9121733465433</v>
      </c>
      <c r="P823" s="330">
        <v>31106.433063142638</v>
      </c>
      <c r="Q823" s="333">
        <v>84905.135430207505</v>
      </c>
      <c r="R823" s="330">
        <v>23829.616295003638</v>
      </c>
      <c r="S823" s="330">
        <v>10667.11020489807</v>
      </c>
      <c r="T823" s="332">
        <v>0.99990284287198228</v>
      </c>
      <c r="U823" s="330">
        <v>0.99979683376221562</v>
      </c>
      <c r="V823" s="330">
        <v>0.36594589240701059</v>
      </c>
      <c r="W823" s="330">
        <v>0.96134585144862128</v>
      </c>
      <c r="X823" s="330">
        <v>0.61141238921664331</v>
      </c>
      <c r="Y823" s="330">
        <v>0</v>
      </c>
      <c r="Z823" s="331">
        <v>0</v>
      </c>
      <c r="AA823" s="235"/>
      <c r="AB823" s="335">
        <v>109469.76513538715</v>
      </c>
      <c r="AC823" s="336">
        <v>3.2697184170782276</v>
      </c>
      <c r="AD823" s="337">
        <v>91665.543430934486</v>
      </c>
      <c r="AE823" s="336">
        <v>2.9787295883746592</v>
      </c>
      <c r="AF823" s="337">
        <v>17804.221704452662</v>
      </c>
      <c r="AG823" s="338">
        <v>0.29098882870356846</v>
      </c>
      <c r="AH823" s="235"/>
      <c r="AI823" s="208">
        <f t="shared" si="90"/>
        <v>2996762.7310889293</v>
      </c>
      <c r="AJ823" s="208">
        <f t="shared" si="91"/>
        <v>2738127.5655249916</v>
      </c>
      <c r="AK823" s="208">
        <f t="shared" si="92"/>
        <v>258635.16556393739</v>
      </c>
      <c r="AL823" s="235"/>
      <c r="AM823" s="52">
        <f t="shared" si="86"/>
        <v>1</v>
      </c>
      <c r="AN823" s="52">
        <f t="shared" si="87"/>
        <v>0</v>
      </c>
      <c r="AO823" s="52">
        <f t="shared" si="88"/>
        <v>1</v>
      </c>
      <c r="AP823" s="235"/>
      <c r="AQ823" s="28"/>
      <c r="AR823" s="28"/>
      <c r="AS823" s="28"/>
      <c r="AT823" s="28"/>
      <c r="AU823" s="235"/>
      <c r="AV823" s="360">
        <f t="shared" si="93"/>
        <v>2996762.7310889293</v>
      </c>
      <c r="AW823" s="235"/>
      <c r="AX823" s="355"/>
      <c r="AY823" s="344"/>
      <c r="AZ823" s="14">
        <f t="shared" si="95"/>
        <v>17804.221704452662</v>
      </c>
      <c r="BA823" s="14">
        <f t="shared" si="94"/>
        <v>0.29098882870356846</v>
      </c>
      <c r="BB823" s="14">
        <f t="shared" si="89"/>
        <v>61185.241315878477</v>
      </c>
      <c r="BC823" s="344"/>
      <c r="BD823" s="344"/>
      <c r="BE823" s="344"/>
      <c r="BF823" s="344"/>
      <c r="BG823" s="344"/>
      <c r="BH823" s="344"/>
      <c r="BI823" s="344"/>
      <c r="BJ823" s="344"/>
      <c r="BK823" s="344"/>
      <c r="BL823" s="344"/>
      <c r="BM823" s="344"/>
      <c r="BN823" s="344"/>
      <c r="BO823" s="344"/>
      <c r="BP823" s="344"/>
      <c r="BQ823" s="344"/>
      <c r="BR823" s="344"/>
      <c r="BS823" s="344"/>
      <c r="BT823" s="344"/>
      <c r="BU823" s="344"/>
      <c r="BV823" s="344"/>
      <c r="BW823" s="344"/>
      <c r="BX823" s="344"/>
      <c r="BY823" s="344"/>
      <c r="BZ823" s="344"/>
      <c r="CA823" s="344"/>
      <c r="CB823" s="28"/>
      <c r="CC823" s="28"/>
      <c r="CD823" s="28"/>
      <c r="CE823" s="28"/>
      <c r="CF823" s="28"/>
      <c r="CG823" s="28"/>
      <c r="CH823" s="28"/>
      <c r="CI823" s="28"/>
      <c r="CJ823" s="28"/>
      <c r="CK823" s="28"/>
      <c r="CL823" s="28"/>
      <c r="CM823" s="28"/>
      <c r="CN823" s="28"/>
      <c r="CO823" s="28"/>
      <c r="CP823" s="28"/>
      <c r="CQ823" s="28"/>
      <c r="CR823" s="28"/>
      <c r="CS823" s="28"/>
      <c r="CT823" s="28"/>
      <c r="CU823" s="28"/>
      <c r="CV823" s="28"/>
      <c r="CW823" s="28"/>
    </row>
    <row r="824" spans="1:101" ht="14.25" customHeight="1" x14ac:dyDescent="0.2">
      <c r="A824" s="328"/>
      <c r="B824" s="52">
        <v>0.15919353035018649</v>
      </c>
      <c r="C824" s="330">
        <v>6.2092959494869052E-2</v>
      </c>
      <c r="D824" s="330">
        <v>1.4606048996424814E-2</v>
      </c>
      <c r="E824" s="330">
        <v>1.7094573913158828E-2</v>
      </c>
      <c r="F824" s="331">
        <v>0.82664163753973507</v>
      </c>
      <c r="G824" s="94">
        <v>0.33155821800017971</v>
      </c>
      <c r="H824" s="330">
        <v>7.6919458069917238E-3</v>
      </c>
      <c r="I824" s="330">
        <v>1.6855577511889819E-2</v>
      </c>
      <c r="J824" s="330">
        <v>0.99986091604978178</v>
      </c>
      <c r="K824" s="330">
        <v>0.78716021700387195</v>
      </c>
      <c r="L824" s="332">
        <v>14225.187083162407</v>
      </c>
      <c r="M824" s="330">
        <v>0</v>
      </c>
      <c r="N824" s="330">
        <v>18246.657843530858</v>
      </c>
      <c r="O824" s="330">
        <v>1375.6391984829745</v>
      </c>
      <c r="P824" s="330">
        <v>39450.321071055652</v>
      </c>
      <c r="Q824" s="333">
        <v>114588.1699955932</v>
      </c>
      <c r="R824" s="330">
        <v>25898.889761221879</v>
      </c>
      <c r="S824" s="330">
        <v>7523.0207717608564</v>
      </c>
      <c r="T824" s="332">
        <v>0.74460360495998301</v>
      </c>
      <c r="U824" s="330">
        <v>0.71317871136986566</v>
      </c>
      <c r="V824" s="330">
        <v>0.88152117040382971</v>
      </c>
      <c r="W824" s="330">
        <v>0.24849470846213123</v>
      </c>
      <c r="X824" s="330">
        <v>0.49099282582214909</v>
      </c>
      <c r="Y824" s="330">
        <v>0</v>
      </c>
      <c r="Z824" s="331">
        <v>0</v>
      </c>
      <c r="AA824" s="235"/>
      <c r="AB824" s="335">
        <v>81704.751671537277</v>
      </c>
      <c r="AC824" s="336">
        <v>2.6622066063889842</v>
      </c>
      <c r="AD824" s="337">
        <v>65041.26646923431</v>
      </c>
      <c r="AE824" s="336">
        <v>2.5343267798819014</v>
      </c>
      <c r="AF824" s="337">
        <v>16663.485202302967</v>
      </c>
      <c r="AG824" s="338">
        <v>0.12787982650708285</v>
      </c>
      <c r="AH824" s="235"/>
      <c r="AI824" s="208">
        <f t="shared" si="90"/>
        <v>2447391.5243979977</v>
      </c>
      <c r="AJ824" s="208">
        <f t="shared" si="91"/>
        <v>2342569.1744185723</v>
      </c>
      <c r="AK824" s="208">
        <f t="shared" si="92"/>
        <v>104822.34997942574</v>
      </c>
      <c r="AL824" s="235"/>
      <c r="AM824" s="52">
        <f t="shared" si="86"/>
        <v>1</v>
      </c>
      <c r="AN824" s="52">
        <f t="shared" si="87"/>
        <v>0</v>
      </c>
      <c r="AO824" s="52">
        <f t="shared" si="88"/>
        <v>1</v>
      </c>
      <c r="AP824" s="235"/>
      <c r="AQ824" s="28"/>
      <c r="AR824" s="28"/>
      <c r="AS824" s="28"/>
      <c r="AT824" s="28"/>
      <c r="AU824" s="235"/>
      <c r="AV824" s="360">
        <f t="shared" si="93"/>
        <v>2447391.5243979977</v>
      </c>
      <c r="AW824" s="235"/>
      <c r="AX824" s="355"/>
      <c r="AY824" s="344"/>
      <c r="AZ824" s="14">
        <f t="shared" si="95"/>
        <v>16663.485202302967</v>
      </c>
      <c r="BA824" s="14">
        <f t="shared" si="94"/>
        <v>0.12787982650708285</v>
      </c>
      <c r="BB824" s="14">
        <f t="shared" si="89"/>
        <v>130305.81646417882</v>
      </c>
      <c r="BC824" s="344"/>
      <c r="BD824" s="344"/>
      <c r="BE824" s="344"/>
      <c r="BF824" s="344"/>
      <c r="BG824" s="344"/>
      <c r="BH824" s="344"/>
      <c r="BI824" s="344"/>
      <c r="BJ824" s="344"/>
      <c r="BK824" s="344"/>
      <c r="BL824" s="344"/>
      <c r="BM824" s="344"/>
      <c r="BN824" s="344"/>
      <c r="BO824" s="344"/>
      <c r="BP824" s="344"/>
      <c r="BQ824" s="344"/>
      <c r="BR824" s="344"/>
      <c r="BS824" s="344"/>
      <c r="BT824" s="344"/>
      <c r="BU824" s="344"/>
      <c r="BV824" s="344"/>
      <c r="BW824" s="344"/>
      <c r="BX824" s="344"/>
      <c r="BY824" s="344"/>
      <c r="BZ824" s="344"/>
      <c r="CA824" s="344"/>
      <c r="CB824" s="28"/>
      <c r="CC824" s="28"/>
      <c r="CD824" s="28"/>
      <c r="CE824" s="28"/>
      <c r="CF824" s="28"/>
      <c r="CG824" s="28"/>
      <c r="CH824" s="28"/>
      <c r="CI824" s="28"/>
      <c r="CJ824" s="28"/>
      <c r="CK824" s="28"/>
      <c r="CL824" s="28"/>
      <c r="CM824" s="28"/>
      <c r="CN824" s="28"/>
      <c r="CO824" s="28"/>
      <c r="CP824" s="28"/>
      <c r="CQ824" s="28"/>
      <c r="CR824" s="28"/>
      <c r="CS824" s="28"/>
      <c r="CT824" s="28"/>
      <c r="CU824" s="28"/>
      <c r="CV824" s="28"/>
      <c r="CW824" s="28"/>
    </row>
    <row r="825" spans="1:101" ht="14.25" customHeight="1" x14ac:dyDescent="0.2">
      <c r="A825" s="328"/>
      <c r="B825" s="52">
        <v>0.15096058629993392</v>
      </c>
      <c r="C825" s="330">
        <v>0.37466525683922158</v>
      </c>
      <c r="D825" s="330">
        <v>2.6725792202905718E-2</v>
      </c>
      <c r="E825" s="330">
        <v>1.0456188582541621E-2</v>
      </c>
      <c r="F825" s="331">
        <v>0.74365528008551773</v>
      </c>
      <c r="G825" s="94">
        <v>0.35235757475279089</v>
      </c>
      <c r="H825" s="330">
        <v>4.1119504786149815E-3</v>
      </c>
      <c r="I825" s="330">
        <v>2.4608450079832256E-2</v>
      </c>
      <c r="J825" s="330">
        <v>1</v>
      </c>
      <c r="K825" s="330">
        <v>0.80164331801812727</v>
      </c>
      <c r="L825" s="332">
        <v>16483.605758498259</v>
      </c>
      <c r="M825" s="330">
        <v>0</v>
      </c>
      <c r="N825" s="330">
        <v>16909.248173236803</v>
      </c>
      <c r="O825" s="330">
        <v>1004.4990418076828</v>
      </c>
      <c r="P825" s="330">
        <v>62956.25999492046</v>
      </c>
      <c r="Q825" s="333">
        <v>145846.36958955959</v>
      </c>
      <c r="R825" s="330">
        <v>26671.763802094087</v>
      </c>
      <c r="S825" s="330">
        <v>11113.229740639381</v>
      </c>
      <c r="T825" s="332">
        <v>0.566567826250859</v>
      </c>
      <c r="U825" s="330">
        <v>0.75421861999601314</v>
      </c>
      <c r="V825" s="330">
        <v>0.99979622376625854</v>
      </c>
      <c r="W825" s="330">
        <v>0.97514665227289865</v>
      </c>
      <c r="X825" s="330">
        <v>7.044074396601574E-2</v>
      </c>
      <c r="Y825" s="330">
        <v>0</v>
      </c>
      <c r="Z825" s="331">
        <v>0</v>
      </c>
      <c r="AA825" s="235"/>
      <c r="AB825" s="335">
        <v>107422.90077281091</v>
      </c>
      <c r="AC825" s="336">
        <v>0.31706011319569372</v>
      </c>
      <c r="AD825" s="337">
        <v>98038.317349985417</v>
      </c>
      <c r="AE825" s="336">
        <v>0.38655059431722882</v>
      </c>
      <c r="AF825" s="337">
        <v>9384.5834228254971</v>
      </c>
      <c r="AG825" s="338">
        <v>-6.9490481121535108E-2</v>
      </c>
      <c r="AH825" s="235"/>
      <c r="AI825" s="208">
        <f t="shared" si="90"/>
        <v>193784.20676309813</v>
      </c>
      <c r="AJ825" s="208">
        <f t="shared" si="91"/>
        <v>269184.74725138198</v>
      </c>
      <c r="AK825" s="208">
        <f t="shared" si="92"/>
        <v>-75400.540488283848</v>
      </c>
      <c r="AL825" s="235"/>
      <c r="AM825" s="52">
        <f t="shared" si="86"/>
        <v>0</v>
      </c>
      <c r="AN825" s="52">
        <f t="shared" si="87"/>
        <v>1</v>
      </c>
      <c r="AO825" s="52">
        <f t="shared" si="88"/>
        <v>0</v>
      </c>
      <c r="AP825" s="235"/>
      <c r="AQ825" s="28"/>
      <c r="AR825" s="28"/>
      <c r="AS825" s="28"/>
      <c r="AT825" s="28"/>
      <c r="AU825" s="235"/>
      <c r="AV825" s="360">
        <f t="shared" si="93"/>
        <v>269184.74725138198</v>
      </c>
      <c r="AW825" s="235"/>
      <c r="AX825" s="355"/>
      <c r="AY825" s="344"/>
      <c r="AZ825" s="14">
        <f t="shared" si="95"/>
        <v>9384.5834228254971</v>
      </c>
      <c r="BA825" s="14">
        <f t="shared" si="94"/>
        <v>-6.9490481121535108E-2</v>
      </c>
      <c r="BB825" s="14">
        <f t="shared" si="89"/>
        <v>-135048.47385374072</v>
      </c>
      <c r="BC825" s="344"/>
      <c r="BD825" s="344"/>
      <c r="BE825" s="344"/>
      <c r="BF825" s="344"/>
      <c r="BG825" s="344"/>
      <c r="BH825" s="344"/>
      <c r="BI825" s="344"/>
      <c r="BJ825" s="344"/>
      <c r="BK825" s="344"/>
      <c r="BL825" s="344"/>
      <c r="BM825" s="344"/>
      <c r="BN825" s="344"/>
      <c r="BO825" s="344"/>
      <c r="BP825" s="344"/>
      <c r="BQ825" s="344"/>
      <c r="BR825" s="344"/>
      <c r="BS825" s="344"/>
      <c r="BT825" s="344"/>
      <c r="BU825" s="344"/>
      <c r="BV825" s="344"/>
      <c r="BW825" s="344"/>
      <c r="BX825" s="344"/>
      <c r="BY825" s="344"/>
      <c r="BZ825" s="344"/>
      <c r="CA825" s="344"/>
      <c r="CB825" s="28"/>
      <c r="CC825" s="28"/>
      <c r="CD825" s="28"/>
      <c r="CE825" s="28"/>
      <c r="CF825" s="28"/>
      <c r="CG825" s="28"/>
      <c r="CH825" s="28"/>
      <c r="CI825" s="28"/>
      <c r="CJ825" s="28"/>
      <c r="CK825" s="28"/>
      <c r="CL825" s="28"/>
      <c r="CM825" s="28"/>
      <c r="CN825" s="28"/>
      <c r="CO825" s="28"/>
      <c r="CP825" s="28"/>
      <c r="CQ825" s="28"/>
      <c r="CR825" s="28"/>
      <c r="CS825" s="28"/>
      <c r="CT825" s="28"/>
      <c r="CU825" s="28"/>
      <c r="CV825" s="28"/>
      <c r="CW825" s="28"/>
    </row>
    <row r="826" spans="1:101" ht="14.25" customHeight="1" x14ac:dyDescent="0.2">
      <c r="A826" s="328"/>
      <c r="B826" s="52">
        <v>0.15068216183408517</v>
      </c>
      <c r="C826" s="330">
        <v>0.82469301656242722</v>
      </c>
      <c r="D826" s="330">
        <v>1.0712390919527123E-2</v>
      </c>
      <c r="E826" s="330">
        <v>1.2549277345797286E-2</v>
      </c>
      <c r="F826" s="331">
        <v>0.78325603956635648</v>
      </c>
      <c r="G826" s="94">
        <v>0.34993030723535795</v>
      </c>
      <c r="H826" s="330">
        <v>1.2733843267629627E-2</v>
      </c>
      <c r="I826" s="330">
        <v>1.0847806353413477E-2</v>
      </c>
      <c r="J826" s="330">
        <v>0.99999999999951961</v>
      </c>
      <c r="K826" s="330">
        <v>0.75390038170280471</v>
      </c>
      <c r="L826" s="332">
        <v>12739.815886682798</v>
      </c>
      <c r="M826" s="330">
        <v>0</v>
      </c>
      <c r="N826" s="330">
        <v>21207.646841041078</v>
      </c>
      <c r="O826" s="330">
        <v>1070.8136726765947</v>
      </c>
      <c r="P826" s="330">
        <v>44353.170671341693</v>
      </c>
      <c r="Q826" s="333">
        <v>125200.00915867252</v>
      </c>
      <c r="R826" s="330">
        <v>19504.644446287588</v>
      </c>
      <c r="S826" s="330">
        <v>7185.5410014395911</v>
      </c>
      <c r="T826" s="332">
        <v>0.69154756187752053</v>
      </c>
      <c r="U826" s="330">
        <v>0.99173313642597349</v>
      </c>
      <c r="V826" s="330">
        <v>0.98942747682017895</v>
      </c>
      <c r="W826" s="330">
        <v>0.51210333695352395</v>
      </c>
      <c r="X826" s="330">
        <v>0.75987524897495751</v>
      </c>
      <c r="Y826" s="330">
        <v>0</v>
      </c>
      <c r="Z826" s="331">
        <v>0</v>
      </c>
      <c r="AA826" s="235"/>
      <c r="AB826" s="335">
        <v>75925.004533222891</v>
      </c>
      <c r="AC826" s="336">
        <v>3.7233522977143618</v>
      </c>
      <c r="AD826" s="337">
        <v>59378.896372434639</v>
      </c>
      <c r="AE826" s="336">
        <v>3.7381616582410433</v>
      </c>
      <c r="AF826" s="337">
        <v>16546.108160788252</v>
      </c>
      <c r="AG826" s="338">
        <v>-1.480936052668147E-2</v>
      </c>
      <c r="AH826" s="235"/>
      <c r="AI826" s="208">
        <f t="shared" si="90"/>
        <v>3461259.6782954209</v>
      </c>
      <c r="AJ826" s="208">
        <f t="shared" si="91"/>
        <v>3491874.6789565566</v>
      </c>
      <c r="AK826" s="208">
        <f t="shared" si="92"/>
        <v>-30615.000661135648</v>
      </c>
      <c r="AL826" s="235"/>
      <c r="AM826" s="52">
        <f t="shared" si="86"/>
        <v>0</v>
      </c>
      <c r="AN826" s="52">
        <f t="shared" si="87"/>
        <v>1</v>
      </c>
      <c r="AO826" s="52">
        <f t="shared" si="88"/>
        <v>0</v>
      </c>
      <c r="AP826" s="235"/>
      <c r="AQ826" s="28"/>
      <c r="AR826" s="28"/>
      <c r="AS826" s="28"/>
      <c r="AT826" s="28"/>
      <c r="AU826" s="235"/>
      <c r="AV826" s="360">
        <f t="shared" si="93"/>
        <v>3491874.6789565566</v>
      </c>
      <c r="AW826" s="235"/>
      <c r="AX826" s="355"/>
      <c r="AY826" s="344"/>
      <c r="AZ826" s="14">
        <f t="shared" si="95"/>
        <v>16546.108160788252</v>
      </c>
      <c r="BA826" s="14">
        <f t="shared" si="94"/>
        <v>-1.480936052668147E-2</v>
      </c>
      <c r="BB826" s="14">
        <f t="shared" si="89"/>
        <v>-1117273.6412877347</v>
      </c>
      <c r="BC826" s="344"/>
      <c r="BD826" s="344"/>
      <c r="BE826" s="344"/>
      <c r="BF826" s="344"/>
      <c r="BG826" s="344"/>
      <c r="BH826" s="344"/>
      <c r="BI826" s="344"/>
      <c r="BJ826" s="344"/>
      <c r="BK826" s="344"/>
      <c r="BL826" s="344"/>
      <c r="BM826" s="344"/>
      <c r="BN826" s="344"/>
      <c r="BO826" s="344"/>
      <c r="BP826" s="344"/>
      <c r="BQ826" s="344"/>
      <c r="BR826" s="344"/>
      <c r="BS826" s="344"/>
      <c r="BT826" s="344"/>
      <c r="BU826" s="344"/>
      <c r="BV826" s="344"/>
      <c r="BW826" s="344"/>
      <c r="BX826" s="344"/>
      <c r="BY826" s="344"/>
      <c r="BZ826" s="344"/>
      <c r="CA826" s="344"/>
      <c r="CB826" s="28"/>
      <c r="CC826" s="28"/>
      <c r="CD826" s="28"/>
      <c r="CE826" s="28"/>
      <c r="CF826" s="28"/>
      <c r="CG826" s="28"/>
      <c r="CH826" s="28"/>
      <c r="CI826" s="28"/>
      <c r="CJ826" s="28"/>
      <c r="CK826" s="28"/>
      <c r="CL826" s="28"/>
      <c r="CM826" s="28"/>
      <c r="CN826" s="28"/>
      <c r="CO826" s="28"/>
      <c r="CP826" s="28"/>
      <c r="CQ826" s="28"/>
      <c r="CR826" s="28"/>
      <c r="CS826" s="28"/>
      <c r="CT826" s="28"/>
      <c r="CU826" s="28"/>
      <c r="CV826" s="28"/>
      <c r="CW826" s="28"/>
    </row>
    <row r="827" spans="1:101" ht="14.25" customHeight="1" x14ac:dyDescent="0.2">
      <c r="A827" s="328"/>
      <c r="B827" s="52">
        <v>0.1313461205322824</v>
      </c>
      <c r="C827" s="330">
        <v>0.72012988273558964</v>
      </c>
      <c r="D827" s="330">
        <v>2.4577459379769184E-2</v>
      </c>
      <c r="E827" s="330">
        <v>3.2140793691372788E-3</v>
      </c>
      <c r="F827" s="331">
        <v>0.83773275411965953</v>
      </c>
      <c r="G827" s="94">
        <v>0.44223258585828151</v>
      </c>
      <c r="H827" s="330">
        <v>0.863901676314631</v>
      </c>
      <c r="I827" s="330">
        <v>7.8320214382733757E-3</v>
      </c>
      <c r="J827" s="330">
        <v>0.99999999986095156</v>
      </c>
      <c r="K827" s="330">
        <v>0.74859247419485464</v>
      </c>
      <c r="L827" s="332">
        <v>10789.125727552484</v>
      </c>
      <c r="M827" s="330">
        <v>0</v>
      </c>
      <c r="N827" s="330">
        <v>21231.836366777268</v>
      </c>
      <c r="O827" s="330">
        <v>1584.2621769723305</v>
      </c>
      <c r="P827" s="330">
        <v>52657.401569997666</v>
      </c>
      <c r="Q827" s="333">
        <v>110424.69480326089</v>
      </c>
      <c r="R827" s="330">
        <v>13398.428070759659</v>
      </c>
      <c r="S827" s="330">
        <v>7692.0620482455652</v>
      </c>
      <c r="T827" s="332">
        <v>0.28432579610729014</v>
      </c>
      <c r="U827" s="330">
        <v>0.77115605902233009</v>
      </c>
      <c r="V827" s="330">
        <v>0.9608583042255564</v>
      </c>
      <c r="W827" s="330">
        <v>0.98010956411830463</v>
      </c>
      <c r="X827" s="330">
        <v>0.74469392912936916</v>
      </c>
      <c r="Y827" s="330">
        <v>0</v>
      </c>
      <c r="Z827" s="331">
        <v>0</v>
      </c>
      <c r="AA827" s="235"/>
      <c r="AB827" s="335">
        <v>81772.653094353533</v>
      </c>
      <c r="AC827" s="336">
        <v>3.7864268613522492</v>
      </c>
      <c r="AD827" s="337">
        <v>68243.92231598153</v>
      </c>
      <c r="AE827" s="336">
        <v>3.5791605352202094</v>
      </c>
      <c r="AF827" s="337">
        <v>13528.730778372003</v>
      </c>
      <c r="AG827" s="338">
        <v>0.20726632613203977</v>
      </c>
      <c r="AH827" s="235"/>
      <c r="AI827" s="208">
        <f t="shared" si="90"/>
        <v>3515332.8651902829</v>
      </c>
      <c r="AJ827" s="208">
        <f t="shared" si="91"/>
        <v>3331958.586143217</v>
      </c>
      <c r="AK827" s="208">
        <f t="shared" si="92"/>
        <v>183374.27904706576</v>
      </c>
      <c r="AL827" s="235"/>
      <c r="AM827" s="52">
        <f t="shared" si="86"/>
        <v>1</v>
      </c>
      <c r="AN827" s="52">
        <f t="shared" si="87"/>
        <v>0</v>
      </c>
      <c r="AO827" s="52">
        <f t="shared" si="88"/>
        <v>1</v>
      </c>
      <c r="AP827" s="235"/>
      <c r="AQ827" s="28"/>
      <c r="AR827" s="28"/>
      <c r="AS827" s="28"/>
      <c r="AT827" s="28"/>
      <c r="AU827" s="235"/>
      <c r="AV827" s="360">
        <f t="shared" si="93"/>
        <v>3515332.8651902829</v>
      </c>
      <c r="AW827" s="235"/>
      <c r="AX827" s="355"/>
      <c r="AY827" s="344"/>
      <c r="AZ827" s="14">
        <f t="shared" si="95"/>
        <v>13528.730778372003</v>
      </c>
      <c r="BA827" s="14">
        <f t="shared" si="94"/>
        <v>0.20726632613203977</v>
      </c>
      <c r="BB827" s="14">
        <f t="shared" si="89"/>
        <v>65272.208133575325</v>
      </c>
      <c r="BC827" s="344"/>
      <c r="BD827" s="344"/>
      <c r="BE827" s="344"/>
      <c r="BF827" s="344"/>
      <c r="BG827" s="344"/>
      <c r="BH827" s="344"/>
      <c r="BI827" s="344"/>
      <c r="BJ827" s="344"/>
      <c r="BK827" s="344"/>
      <c r="BL827" s="344"/>
      <c r="BM827" s="344"/>
      <c r="BN827" s="344"/>
      <c r="BO827" s="344"/>
      <c r="BP827" s="344"/>
      <c r="BQ827" s="344"/>
      <c r="BR827" s="344"/>
      <c r="BS827" s="344"/>
      <c r="BT827" s="344"/>
      <c r="BU827" s="344"/>
      <c r="BV827" s="344"/>
      <c r="BW827" s="344"/>
      <c r="BX827" s="344"/>
      <c r="BY827" s="344"/>
      <c r="BZ827" s="344"/>
      <c r="CA827" s="344"/>
      <c r="CB827" s="28"/>
      <c r="CC827" s="28"/>
      <c r="CD827" s="28"/>
      <c r="CE827" s="28"/>
      <c r="CF827" s="28"/>
      <c r="CG827" s="28"/>
      <c r="CH827" s="28"/>
      <c r="CI827" s="28"/>
      <c r="CJ827" s="28"/>
      <c r="CK827" s="28"/>
      <c r="CL827" s="28"/>
      <c r="CM827" s="28"/>
      <c r="CN827" s="28"/>
      <c r="CO827" s="28"/>
      <c r="CP827" s="28"/>
      <c r="CQ827" s="28"/>
      <c r="CR827" s="28"/>
      <c r="CS827" s="28"/>
      <c r="CT827" s="28"/>
      <c r="CU827" s="28"/>
      <c r="CV827" s="28"/>
      <c r="CW827" s="28"/>
    </row>
    <row r="828" spans="1:101" ht="14.25" customHeight="1" x14ac:dyDescent="0.2">
      <c r="A828" s="328"/>
      <c r="B828" s="52">
        <v>0.16973858543067932</v>
      </c>
      <c r="C828" s="330">
        <v>0.41300734841490083</v>
      </c>
      <c r="D828" s="330">
        <v>2.0925862228273417E-2</v>
      </c>
      <c r="E828" s="330">
        <v>1.0340467662052825E-2</v>
      </c>
      <c r="F828" s="331">
        <v>0.81577071684719171</v>
      </c>
      <c r="G828" s="94">
        <v>0.49589925666956414</v>
      </c>
      <c r="H828" s="330">
        <v>3.4963189343551263E-3</v>
      </c>
      <c r="I828" s="330">
        <v>6.252616155482232E-3</v>
      </c>
      <c r="J828" s="330">
        <v>0.99988214827692767</v>
      </c>
      <c r="K828" s="330">
        <v>0.77331290435676081</v>
      </c>
      <c r="L828" s="332">
        <v>11207.749539463068</v>
      </c>
      <c r="M828" s="330">
        <v>0</v>
      </c>
      <c r="N828" s="330">
        <v>27762.861197595703</v>
      </c>
      <c r="O828" s="330">
        <v>1612.7395484671529</v>
      </c>
      <c r="P828" s="330">
        <v>53002.62891504007</v>
      </c>
      <c r="Q828" s="333">
        <v>138285.44254643537</v>
      </c>
      <c r="R828" s="330">
        <v>19966.09484316098</v>
      </c>
      <c r="S828" s="330">
        <v>10660.145809795327</v>
      </c>
      <c r="T828" s="332">
        <v>0.95822931124177102</v>
      </c>
      <c r="U828" s="330">
        <v>0.72960644445226663</v>
      </c>
      <c r="V828" s="330">
        <v>0.92481678933926603</v>
      </c>
      <c r="W828" s="330">
        <v>0.94722708185600513</v>
      </c>
      <c r="X828" s="330">
        <v>0.72433482116098435</v>
      </c>
      <c r="Y828" s="330">
        <v>0</v>
      </c>
      <c r="Z828" s="331">
        <v>0</v>
      </c>
      <c r="AA828" s="235"/>
      <c r="AB828" s="335">
        <v>106696.6352905151</v>
      </c>
      <c r="AC828" s="336">
        <v>3.7276083958321213</v>
      </c>
      <c r="AD828" s="337">
        <v>90003.182738253978</v>
      </c>
      <c r="AE828" s="336">
        <v>3.4568389306405067</v>
      </c>
      <c r="AF828" s="337">
        <v>16693.452552261122</v>
      </c>
      <c r="AG828" s="338">
        <v>0.2707694651916146</v>
      </c>
      <c r="AH828" s="235"/>
      <c r="AI828" s="208">
        <f t="shared" si="90"/>
        <v>3434531.34075</v>
      </c>
      <c r="AJ828" s="208">
        <f t="shared" si="91"/>
        <v>3193993.8013702277</v>
      </c>
      <c r="AK828" s="208">
        <f t="shared" si="92"/>
        <v>240537.53937977276</v>
      </c>
      <c r="AL828" s="235"/>
      <c r="AM828" s="52">
        <f t="shared" si="86"/>
        <v>1</v>
      </c>
      <c r="AN828" s="52">
        <f t="shared" si="87"/>
        <v>0</v>
      </c>
      <c r="AO828" s="52">
        <f t="shared" si="88"/>
        <v>1</v>
      </c>
      <c r="AP828" s="235"/>
      <c r="AQ828" s="28"/>
      <c r="AR828" s="28"/>
      <c r="AS828" s="28"/>
      <c r="AT828" s="28"/>
      <c r="AU828" s="235"/>
      <c r="AV828" s="360">
        <f t="shared" si="93"/>
        <v>3434531.34075</v>
      </c>
      <c r="AW828" s="235"/>
      <c r="AX828" s="355"/>
      <c r="AY828" s="344"/>
      <c r="AZ828" s="14">
        <f t="shared" si="95"/>
        <v>16693.452552261122</v>
      </c>
      <c r="BA828" s="14">
        <f t="shared" si="94"/>
        <v>0.2707694651916146</v>
      </c>
      <c r="BB828" s="14">
        <f t="shared" si="89"/>
        <v>61651.90207266435</v>
      </c>
      <c r="BC828" s="344"/>
      <c r="BD828" s="344"/>
      <c r="BE828" s="344"/>
      <c r="BF828" s="344"/>
      <c r="BG828" s="344"/>
      <c r="BH828" s="344"/>
      <c r="BI828" s="344"/>
      <c r="BJ828" s="344"/>
      <c r="BK828" s="344"/>
      <c r="BL828" s="344"/>
      <c r="BM828" s="344"/>
      <c r="BN828" s="344"/>
      <c r="BO828" s="344"/>
      <c r="BP828" s="344"/>
      <c r="BQ828" s="344"/>
      <c r="BR828" s="344"/>
      <c r="BS828" s="344"/>
      <c r="BT828" s="344"/>
      <c r="BU828" s="344"/>
      <c r="BV828" s="344"/>
      <c r="BW828" s="344"/>
      <c r="BX828" s="344"/>
      <c r="BY828" s="344"/>
      <c r="BZ828" s="344"/>
      <c r="CA828" s="344"/>
      <c r="CB828" s="28"/>
      <c r="CC828" s="28"/>
      <c r="CD828" s="28"/>
      <c r="CE828" s="28"/>
      <c r="CF828" s="28"/>
      <c r="CG828" s="28"/>
      <c r="CH828" s="28"/>
      <c r="CI828" s="28"/>
      <c r="CJ828" s="28"/>
      <c r="CK828" s="28"/>
      <c r="CL828" s="28"/>
      <c r="CM828" s="28"/>
      <c r="CN828" s="28"/>
      <c r="CO828" s="28"/>
      <c r="CP828" s="28"/>
      <c r="CQ828" s="28"/>
      <c r="CR828" s="28"/>
      <c r="CS828" s="28"/>
      <c r="CT828" s="28"/>
      <c r="CU828" s="28"/>
      <c r="CV828" s="28"/>
      <c r="CW828" s="28"/>
    </row>
    <row r="829" spans="1:101" ht="14.25" customHeight="1" x14ac:dyDescent="0.2">
      <c r="A829" s="328"/>
      <c r="B829" s="52">
        <v>0.21777418261212045</v>
      </c>
      <c r="C829" s="330">
        <v>0.2184321271003834</v>
      </c>
      <c r="D829" s="330">
        <v>7.3338611900897067E-3</v>
      </c>
      <c r="E829" s="330">
        <v>5.6882584126360363E-3</v>
      </c>
      <c r="F829" s="331">
        <v>0.75303241354971506</v>
      </c>
      <c r="G829" s="94">
        <v>0.43119389690143051</v>
      </c>
      <c r="H829" s="330">
        <v>0.3398000363296439</v>
      </c>
      <c r="I829" s="330">
        <v>2.1129576982424902E-2</v>
      </c>
      <c r="J829" s="330">
        <v>0.99999999999999845</v>
      </c>
      <c r="K829" s="330">
        <v>0.71767873497396206</v>
      </c>
      <c r="L829" s="332">
        <v>14663.627332419932</v>
      </c>
      <c r="M829" s="330">
        <v>0</v>
      </c>
      <c r="N829" s="330">
        <v>17071.578149517609</v>
      </c>
      <c r="O829" s="330">
        <v>977.88072477059552</v>
      </c>
      <c r="P829" s="330">
        <v>41461.520869875385</v>
      </c>
      <c r="Q829" s="333">
        <v>97919.881684498992</v>
      </c>
      <c r="R829" s="330">
        <v>16726.731384277555</v>
      </c>
      <c r="S829" s="330">
        <v>8006.6125795733378</v>
      </c>
      <c r="T829" s="332">
        <v>0.19178151021474571</v>
      </c>
      <c r="U829" s="330">
        <v>0.97623497302935991</v>
      </c>
      <c r="V829" s="330">
        <v>2.8509378704287283E-2</v>
      </c>
      <c r="W829" s="330">
        <v>0.8037883287654396</v>
      </c>
      <c r="X829" s="330">
        <v>0.65053567877131235</v>
      </c>
      <c r="Y829" s="330">
        <v>0</v>
      </c>
      <c r="Z829" s="331">
        <v>0</v>
      </c>
      <c r="AA829" s="235"/>
      <c r="AB829" s="335">
        <v>80530.334381513952</v>
      </c>
      <c r="AC829" s="336">
        <v>2.961378152105242</v>
      </c>
      <c r="AD829" s="337">
        <v>65942.929484720851</v>
      </c>
      <c r="AE829" s="336">
        <v>3.0922875164630557</v>
      </c>
      <c r="AF829" s="337">
        <v>14587.404896793101</v>
      </c>
      <c r="AG829" s="338">
        <v>-0.13090936435781364</v>
      </c>
      <c r="AH829" s="235"/>
      <c r="AI829" s="208">
        <f t="shared" si="90"/>
        <v>2732778.9101184662</v>
      </c>
      <c r="AJ829" s="208">
        <f t="shared" si="91"/>
        <v>2871730.2111551822</v>
      </c>
      <c r="AK829" s="208">
        <f t="shared" si="92"/>
        <v>-138951.30103671606</v>
      </c>
      <c r="AL829" s="235"/>
      <c r="AM829" s="52">
        <f t="shared" si="86"/>
        <v>0</v>
      </c>
      <c r="AN829" s="52">
        <f t="shared" si="87"/>
        <v>1</v>
      </c>
      <c r="AO829" s="52">
        <f t="shared" si="88"/>
        <v>0</v>
      </c>
      <c r="AP829" s="235"/>
      <c r="AQ829" s="28"/>
      <c r="AR829" s="28"/>
      <c r="AS829" s="28"/>
      <c r="AT829" s="28"/>
      <c r="AU829" s="235"/>
      <c r="AV829" s="360">
        <f t="shared" si="93"/>
        <v>2871730.2111551822</v>
      </c>
      <c r="AW829" s="235"/>
      <c r="AX829" s="355"/>
      <c r="AY829" s="344"/>
      <c r="AZ829" s="14">
        <f t="shared" si="95"/>
        <v>14587.404896793101</v>
      </c>
      <c r="BA829" s="14">
        <f t="shared" si="94"/>
        <v>-0.13090936435781364</v>
      </c>
      <c r="BB829" s="14">
        <f t="shared" si="89"/>
        <v>-111431.33242112039</v>
      </c>
      <c r="BC829" s="344"/>
      <c r="BD829" s="344"/>
      <c r="BE829" s="344"/>
      <c r="BF829" s="344"/>
      <c r="BG829" s="344"/>
      <c r="BH829" s="344"/>
      <c r="BI829" s="344"/>
      <c r="BJ829" s="344"/>
      <c r="BK829" s="344"/>
      <c r="BL829" s="344"/>
      <c r="BM829" s="344"/>
      <c r="BN829" s="344"/>
      <c r="BO829" s="344"/>
      <c r="BP829" s="344"/>
      <c r="BQ829" s="344"/>
      <c r="BR829" s="344"/>
      <c r="BS829" s="344"/>
      <c r="BT829" s="344"/>
      <c r="BU829" s="344"/>
      <c r="BV829" s="344"/>
      <c r="BW829" s="344"/>
      <c r="BX829" s="344"/>
      <c r="BY829" s="344"/>
      <c r="BZ829" s="344"/>
      <c r="CA829" s="344"/>
      <c r="CB829" s="28"/>
      <c r="CC829" s="28"/>
      <c r="CD829" s="28"/>
      <c r="CE829" s="28"/>
      <c r="CF829" s="28"/>
      <c r="CG829" s="28"/>
      <c r="CH829" s="28"/>
      <c r="CI829" s="28"/>
      <c r="CJ829" s="28"/>
      <c r="CK829" s="28"/>
      <c r="CL829" s="28"/>
      <c r="CM829" s="28"/>
      <c r="CN829" s="28"/>
      <c r="CO829" s="28"/>
      <c r="CP829" s="28"/>
      <c r="CQ829" s="28"/>
      <c r="CR829" s="28"/>
      <c r="CS829" s="28"/>
      <c r="CT829" s="28"/>
      <c r="CU829" s="28"/>
      <c r="CV829" s="28"/>
      <c r="CW829" s="28"/>
    </row>
    <row r="830" spans="1:101" ht="14.25" customHeight="1" x14ac:dyDescent="0.2">
      <c r="A830" s="328"/>
      <c r="B830" s="52">
        <v>0.14188120408389099</v>
      </c>
      <c r="C830" s="330">
        <v>0.74462382941066263</v>
      </c>
      <c r="D830" s="330">
        <v>2.3545889832424999E-3</v>
      </c>
      <c r="E830" s="330">
        <v>1.239490366162831E-2</v>
      </c>
      <c r="F830" s="331">
        <v>0.78512148441960894</v>
      </c>
      <c r="G830" s="94">
        <v>0.46108536151223922</v>
      </c>
      <c r="H830" s="330">
        <v>0.96066854288049008</v>
      </c>
      <c r="I830" s="330">
        <v>1.1759698907568509E-2</v>
      </c>
      <c r="J830" s="330">
        <v>0.99999860970714338</v>
      </c>
      <c r="K830" s="330">
        <v>0.76505415039457214</v>
      </c>
      <c r="L830" s="332">
        <v>13601.38405746701</v>
      </c>
      <c r="M830" s="330">
        <v>0</v>
      </c>
      <c r="N830" s="330">
        <v>16604.354726997561</v>
      </c>
      <c r="O830" s="330">
        <v>1109.0144171898473</v>
      </c>
      <c r="P830" s="330">
        <v>48838.447143929283</v>
      </c>
      <c r="Q830" s="333">
        <v>64950.899117549794</v>
      </c>
      <c r="R830" s="330">
        <v>25786.683525978271</v>
      </c>
      <c r="S830" s="330">
        <v>7392.2561128345496</v>
      </c>
      <c r="T830" s="332">
        <v>0.9149365771961584</v>
      </c>
      <c r="U830" s="330">
        <v>0.98707171422504159</v>
      </c>
      <c r="V830" s="330">
        <v>0.39134088680474066</v>
      </c>
      <c r="W830" s="330">
        <v>0.99565511473225787</v>
      </c>
      <c r="X830" s="330">
        <v>0.63303742361813731</v>
      </c>
      <c r="Y830" s="330">
        <v>0</v>
      </c>
      <c r="Z830" s="331">
        <v>0</v>
      </c>
      <c r="AA830" s="235"/>
      <c r="AB830" s="335">
        <v>78787.141342316289</v>
      </c>
      <c r="AC830" s="336">
        <v>3.0896121604118503</v>
      </c>
      <c r="AD830" s="337">
        <v>73300.60614010226</v>
      </c>
      <c r="AE830" s="336">
        <v>3.3566956776062309</v>
      </c>
      <c r="AF830" s="337">
        <v>5486.5352022140287</v>
      </c>
      <c r="AG830" s="338">
        <v>-0.26708351719438062</v>
      </c>
      <c r="AH830" s="235"/>
      <c r="AI830" s="208">
        <f t="shared" si="90"/>
        <v>2856344.4110489413</v>
      </c>
      <c r="AJ830" s="208">
        <f t="shared" si="91"/>
        <v>3115560.2875858173</v>
      </c>
      <c r="AK830" s="208">
        <f t="shared" si="92"/>
        <v>-259215.87653687561</v>
      </c>
      <c r="AL830" s="235"/>
      <c r="AM830" s="52">
        <f t="shared" si="86"/>
        <v>0</v>
      </c>
      <c r="AN830" s="52">
        <f t="shared" si="87"/>
        <v>1</v>
      </c>
      <c r="AO830" s="52">
        <f t="shared" si="88"/>
        <v>0</v>
      </c>
      <c r="AP830" s="235"/>
      <c r="AQ830" s="28"/>
      <c r="AR830" s="28"/>
      <c r="AS830" s="28"/>
      <c r="AT830" s="28"/>
      <c r="AU830" s="235"/>
      <c r="AV830" s="360">
        <f t="shared" si="93"/>
        <v>3115560.2875858173</v>
      </c>
      <c r="AW830" s="235"/>
      <c r="AX830" s="355"/>
      <c r="AY830" s="344"/>
      <c r="AZ830" s="14">
        <f t="shared" si="95"/>
        <v>5486.5352022140287</v>
      </c>
      <c r="BA830" s="14">
        <f t="shared" si="94"/>
        <v>-0.26708351719438062</v>
      </c>
      <c r="BB830" s="14">
        <f t="shared" si="89"/>
        <v>-20542.39535201637</v>
      </c>
      <c r="BC830" s="344"/>
      <c r="BD830" s="344"/>
      <c r="BE830" s="344"/>
      <c r="BF830" s="344"/>
      <c r="BG830" s="344"/>
      <c r="BH830" s="344"/>
      <c r="BI830" s="344"/>
      <c r="BJ830" s="344"/>
      <c r="BK830" s="344"/>
      <c r="BL830" s="344"/>
      <c r="BM830" s="344"/>
      <c r="BN830" s="344"/>
      <c r="BO830" s="344"/>
      <c r="BP830" s="344"/>
      <c r="BQ830" s="344"/>
      <c r="BR830" s="344"/>
      <c r="BS830" s="344"/>
      <c r="BT830" s="344"/>
      <c r="BU830" s="344"/>
      <c r="BV830" s="344"/>
      <c r="BW830" s="344"/>
      <c r="BX830" s="344"/>
      <c r="BY830" s="344"/>
      <c r="BZ830" s="344"/>
      <c r="CA830" s="344"/>
      <c r="CB830" s="28"/>
      <c r="CC830" s="28"/>
      <c r="CD830" s="28"/>
      <c r="CE830" s="28"/>
      <c r="CF830" s="28"/>
      <c r="CG830" s="28"/>
      <c r="CH830" s="28"/>
      <c r="CI830" s="28"/>
      <c r="CJ830" s="28"/>
      <c r="CK830" s="28"/>
      <c r="CL830" s="28"/>
      <c r="CM830" s="28"/>
      <c r="CN830" s="28"/>
      <c r="CO830" s="28"/>
      <c r="CP830" s="28"/>
      <c r="CQ830" s="28"/>
      <c r="CR830" s="28"/>
      <c r="CS830" s="28"/>
      <c r="CT830" s="28"/>
      <c r="CU830" s="28"/>
      <c r="CV830" s="28"/>
      <c r="CW830" s="28"/>
    </row>
    <row r="831" spans="1:101" ht="14.25" customHeight="1" x14ac:dyDescent="0.2">
      <c r="A831" s="328"/>
      <c r="B831" s="52">
        <v>0.17600406113634215</v>
      </c>
      <c r="C831" s="330">
        <v>0.11615526879837436</v>
      </c>
      <c r="D831" s="330">
        <v>2.5828499037626518E-2</v>
      </c>
      <c r="E831" s="330">
        <v>2.2416554922735199E-2</v>
      </c>
      <c r="F831" s="331">
        <v>0.81488937933109051</v>
      </c>
      <c r="G831" s="94">
        <v>0.44070827632430809</v>
      </c>
      <c r="H831" s="330">
        <v>2.4555670789160627E-2</v>
      </c>
      <c r="I831" s="330">
        <v>3.4899743081275969E-2</v>
      </c>
      <c r="J831" s="330">
        <v>0.22385257016626017</v>
      </c>
      <c r="K831" s="330">
        <v>0.71301398025594886</v>
      </c>
      <c r="L831" s="332">
        <v>10305.389859270781</v>
      </c>
      <c r="M831" s="330">
        <v>0</v>
      </c>
      <c r="N831" s="330">
        <v>18698.536281953831</v>
      </c>
      <c r="O831" s="330">
        <v>1213.0511559096096</v>
      </c>
      <c r="P831" s="330">
        <v>36198.759515940037</v>
      </c>
      <c r="Q831" s="333">
        <v>73629.932004026967</v>
      </c>
      <c r="R831" s="330">
        <v>23019.264672557976</v>
      </c>
      <c r="S831" s="330">
        <v>8485.3085981228287</v>
      </c>
      <c r="T831" s="332">
        <v>0.99612797396153863</v>
      </c>
      <c r="U831" s="330">
        <v>0.9190556169886035</v>
      </c>
      <c r="V831" s="330">
        <v>0.56325315169106682</v>
      </c>
      <c r="W831" s="330">
        <v>0.99297455361287823</v>
      </c>
      <c r="X831" s="330">
        <v>0.97192199368959042</v>
      </c>
      <c r="Y831" s="330">
        <v>0</v>
      </c>
      <c r="Z831" s="331">
        <v>0</v>
      </c>
      <c r="AA831" s="235"/>
      <c r="AB831" s="335">
        <v>85531.844543519357</v>
      </c>
      <c r="AC831" s="336">
        <v>5.1267092157328182</v>
      </c>
      <c r="AD831" s="337">
        <v>67063.118936270155</v>
      </c>
      <c r="AE831" s="336">
        <v>4.2887674269631244</v>
      </c>
      <c r="AF831" s="337">
        <v>18468.725607249202</v>
      </c>
      <c r="AG831" s="338">
        <v>0.83794178876969383</v>
      </c>
      <c r="AH831" s="235"/>
      <c r="AI831" s="208">
        <f t="shared" si="90"/>
        <v>4784841.9104026575</v>
      </c>
      <c r="AJ831" s="208">
        <f t="shared" si="91"/>
        <v>4007265.9366786983</v>
      </c>
      <c r="AK831" s="208">
        <f t="shared" si="92"/>
        <v>777575.97372395999</v>
      </c>
      <c r="AL831" s="235"/>
      <c r="AM831" s="52">
        <f t="shared" si="86"/>
        <v>1</v>
      </c>
      <c r="AN831" s="52">
        <f t="shared" si="87"/>
        <v>0</v>
      </c>
      <c r="AO831" s="52">
        <f t="shared" si="88"/>
        <v>1</v>
      </c>
      <c r="AP831" s="235"/>
      <c r="AQ831" s="28"/>
      <c r="AR831" s="28"/>
      <c r="AS831" s="28"/>
      <c r="AT831" s="28"/>
      <c r="AU831" s="235"/>
      <c r="AV831" s="360">
        <f t="shared" si="93"/>
        <v>4784841.9104026575</v>
      </c>
      <c r="AW831" s="235"/>
      <c r="AX831" s="355"/>
      <c r="AY831" s="344"/>
      <c r="AZ831" s="14">
        <f t="shared" si="95"/>
        <v>18468.725607249202</v>
      </c>
      <c r="BA831" s="14">
        <f t="shared" si="94"/>
        <v>0.83794178876969383</v>
      </c>
      <c r="BB831" s="14">
        <f t="shared" si="89"/>
        <v>22040.583074828941</v>
      </c>
      <c r="BC831" s="344"/>
      <c r="BD831" s="344"/>
      <c r="BE831" s="344"/>
      <c r="BF831" s="344"/>
      <c r="BG831" s="344"/>
      <c r="BH831" s="344"/>
      <c r="BI831" s="344"/>
      <c r="BJ831" s="344"/>
      <c r="BK831" s="344"/>
      <c r="BL831" s="344"/>
      <c r="BM831" s="344"/>
      <c r="BN831" s="344"/>
      <c r="BO831" s="344"/>
      <c r="BP831" s="344"/>
      <c r="BQ831" s="344"/>
      <c r="BR831" s="344"/>
      <c r="BS831" s="344"/>
      <c r="BT831" s="344"/>
      <c r="BU831" s="344"/>
      <c r="BV831" s="344"/>
      <c r="BW831" s="344"/>
      <c r="BX831" s="344"/>
      <c r="BY831" s="344"/>
      <c r="BZ831" s="344"/>
      <c r="CA831" s="344"/>
      <c r="CB831" s="28"/>
      <c r="CC831" s="28"/>
      <c r="CD831" s="28"/>
      <c r="CE831" s="28"/>
      <c r="CF831" s="28"/>
      <c r="CG831" s="28"/>
      <c r="CH831" s="28"/>
      <c r="CI831" s="28"/>
      <c r="CJ831" s="28"/>
      <c r="CK831" s="28"/>
      <c r="CL831" s="28"/>
      <c r="CM831" s="28"/>
      <c r="CN831" s="28"/>
      <c r="CO831" s="28"/>
      <c r="CP831" s="28"/>
      <c r="CQ831" s="28"/>
      <c r="CR831" s="28"/>
      <c r="CS831" s="28"/>
      <c r="CT831" s="28"/>
      <c r="CU831" s="28"/>
      <c r="CV831" s="28"/>
      <c r="CW831" s="28"/>
    </row>
    <row r="832" spans="1:101" ht="14.25" customHeight="1" x14ac:dyDescent="0.2">
      <c r="A832" s="328"/>
      <c r="B832" s="52">
        <v>0.17375333494680789</v>
      </c>
      <c r="C832" s="330">
        <v>4.7172892345400834E-2</v>
      </c>
      <c r="D832" s="330">
        <v>1.2707101401322781E-2</v>
      </c>
      <c r="E832" s="330">
        <v>7.9573863756108292E-3</v>
      </c>
      <c r="F832" s="331">
        <v>0.80446913545611609</v>
      </c>
      <c r="G832" s="94">
        <v>0.45224450987283404</v>
      </c>
      <c r="H832" s="330">
        <v>0.34193216919855313</v>
      </c>
      <c r="I832" s="330">
        <v>1.1854478217624642E-2</v>
      </c>
      <c r="J832" s="330">
        <v>0.56940471805472803</v>
      </c>
      <c r="K832" s="330">
        <v>0.73042160933256883</v>
      </c>
      <c r="L832" s="332">
        <v>8968.4720897353181</v>
      </c>
      <c r="M832" s="330">
        <v>0</v>
      </c>
      <c r="N832" s="330">
        <v>27396.174042399296</v>
      </c>
      <c r="O832" s="330">
        <v>1355.0225035867802</v>
      </c>
      <c r="P832" s="330">
        <v>56181.42573171504</v>
      </c>
      <c r="Q832" s="333">
        <v>80569.66609962548</v>
      </c>
      <c r="R832" s="330">
        <v>14634.080926942301</v>
      </c>
      <c r="S832" s="330">
        <v>13137.193936923662</v>
      </c>
      <c r="T832" s="332">
        <v>4.1944304595960602E-2</v>
      </c>
      <c r="U832" s="330">
        <v>0.9762441865610274</v>
      </c>
      <c r="V832" s="330">
        <v>0.99489663335908296</v>
      </c>
      <c r="W832" s="330">
        <v>0.9712680730052845</v>
      </c>
      <c r="X832" s="330">
        <v>0.41850666090014715</v>
      </c>
      <c r="Y832" s="330">
        <v>0</v>
      </c>
      <c r="Z832" s="331">
        <v>0</v>
      </c>
      <c r="AA832" s="235"/>
      <c r="AB832" s="335">
        <v>122915.88159812789</v>
      </c>
      <c r="AC832" s="336">
        <v>2.0431328722025657</v>
      </c>
      <c r="AD832" s="337">
        <v>106513.29484737148</v>
      </c>
      <c r="AE832" s="336">
        <v>2.0969858683525247</v>
      </c>
      <c r="AF832" s="337">
        <v>16402.586750756411</v>
      </c>
      <c r="AG832" s="338">
        <v>-5.3852996149958976E-2</v>
      </c>
      <c r="AH832" s="235"/>
      <c r="AI832" s="208">
        <f t="shared" si="90"/>
        <v>1818060.3469943097</v>
      </c>
      <c r="AJ832" s="208">
        <f t="shared" si="91"/>
        <v>1885623.2800875269</v>
      </c>
      <c r="AK832" s="208">
        <f t="shared" si="92"/>
        <v>-67562.933093217434</v>
      </c>
      <c r="AL832" s="235"/>
      <c r="AM832" s="52">
        <f t="shared" si="86"/>
        <v>0</v>
      </c>
      <c r="AN832" s="52">
        <f t="shared" si="87"/>
        <v>1</v>
      </c>
      <c r="AO832" s="52">
        <f t="shared" si="88"/>
        <v>0</v>
      </c>
      <c r="AP832" s="235"/>
      <c r="AQ832" s="28"/>
      <c r="AR832" s="28"/>
      <c r="AS832" s="28"/>
      <c r="AT832" s="28"/>
      <c r="AU832" s="235"/>
      <c r="AV832" s="360">
        <f t="shared" si="93"/>
        <v>1885623.2800875269</v>
      </c>
      <c r="AW832" s="235"/>
      <c r="AX832" s="355"/>
      <c r="AY832" s="344"/>
      <c r="AZ832" s="14">
        <f t="shared" si="95"/>
        <v>16402.586750756411</v>
      </c>
      <c r="BA832" s="14">
        <f t="shared" si="94"/>
        <v>-5.3852996149958976E-2</v>
      </c>
      <c r="BB832" s="14">
        <f t="shared" si="89"/>
        <v>-304580.76473743061</v>
      </c>
      <c r="BC832" s="344"/>
      <c r="BD832" s="344"/>
      <c r="BE832" s="344"/>
      <c r="BF832" s="344"/>
      <c r="BG832" s="344"/>
      <c r="BH832" s="344"/>
      <c r="BI832" s="344"/>
      <c r="BJ832" s="344"/>
      <c r="BK832" s="344"/>
      <c r="BL832" s="344"/>
      <c r="BM832" s="344"/>
      <c r="BN832" s="344"/>
      <c r="BO832" s="344"/>
      <c r="BP832" s="344"/>
      <c r="BQ832" s="344"/>
      <c r="BR832" s="344"/>
      <c r="BS832" s="344"/>
      <c r="BT832" s="344"/>
      <c r="BU832" s="344"/>
      <c r="BV832" s="344"/>
      <c r="BW832" s="344"/>
      <c r="BX832" s="344"/>
      <c r="BY832" s="344"/>
      <c r="BZ832" s="344"/>
      <c r="CA832" s="344"/>
      <c r="CB832" s="28"/>
      <c r="CC832" s="28"/>
      <c r="CD832" s="28"/>
      <c r="CE832" s="28"/>
      <c r="CF832" s="28"/>
      <c r="CG832" s="28"/>
      <c r="CH832" s="28"/>
      <c r="CI832" s="28"/>
      <c r="CJ832" s="28"/>
      <c r="CK832" s="28"/>
      <c r="CL832" s="28"/>
      <c r="CM832" s="28"/>
      <c r="CN832" s="28"/>
      <c r="CO832" s="28"/>
      <c r="CP832" s="28"/>
      <c r="CQ832" s="28"/>
      <c r="CR832" s="28"/>
      <c r="CS832" s="28"/>
      <c r="CT832" s="28"/>
      <c r="CU832" s="28"/>
      <c r="CV832" s="28"/>
      <c r="CW832" s="28"/>
    </row>
    <row r="833" spans="1:101" ht="14.25" customHeight="1" x14ac:dyDescent="0.2">
      <c r="A833" s="328"/>
      <c r="B833" s="52">
        <v>0.16822338152193173</v>
      </c>
      <c r="C833" s="330">
        <v>0.87182094065340587</v>
      </c>
      <c r="D833" s="330">
        <v>2.6568240538682675E-2</v>
      </c>
      <c r="E833" s="330">
        <v>1.6777299035963478E-2</v>
      </c>
      <c r="F833" s="331">
        <v>0.7597337890178274</v>
      </c>
      <c r="G833" s="94">
        <v>0.33500809911308577</v>
      </c>
      <c r="H833" s="330">
        <v>0.74188948954748768</v>
      </c>
      <c r="I833" s="330">
        <v>9.8213205375285838E-3</v>
      </c>
      <c r="J833" s="330">
        <v>0.99997504082081012</v>
      </c>
      <c r="K833" s="330">
        <v>0.74045622684482781</v>
      </c>
      <c r="L833" s="332">
        <v>10484.093728591335</v>
      </c>
      <c r="M833" s="330">
        <v>0</v>
      </c>
      <c r="N833" s="330">
        <v>17873.274697477475</v>
      </c>
      <c r="O833" s="330">
        <v>1249.8944014768015</v>
      </c>
      <c r="P833" s="330">
        <v>47885.97413707574</v>
      </c>
      <c r="Q833" s="333">
        <v>91562.274408727695</v>
      </c>
      <c r="R833" s="330">
        <v>24628.840260186862</v>
      </c>
      <c r="S833" s="330">
        <v>7228.895419266114</v>
      </c>
      <c r="T833" s="332">
        <v>0.45851094040395629</v>
      </c>
      <c r="U833" s="330">
        <v>0.98967784895811151</v>
      </c>
      <c r="V833" s="330">
        <v>0.99991490017238749</v>
      </c>
      <c r="W833" s="330">
        <v>0.96758317383549297</v>
      </c>
      <c r="X833" s="330">
        <v>0.42136315939448898</v>
      </c>
      <c r="Y833" s="330">
        <v>0</v>
      </c>
      <c r="Z833" s="331">
        <v>0</v>
      </c>
      <c r="AA833" s="235"/>
      <c r="AB833" s="335">
        <v>73656.906235771996</v>
      </c>
      <c r="AC833" s="336">
        <v>2.0621596258520047</v>
      </c>
      <c r="AD833" s="337">
        <v>64508.951741947363</v>
      </c>
      <c r="AE833" s="336">
        <v>2.2751237240672189</v>
      </c>
      <c r="AF833" s="337">
        <v>9147.9544938246327</v>
      </c>
      <c r="AG833" s="338">
        <v>-0.21296409821521411</v>
      </c>
      <c r="AH833" s="235"/>
      <c r="AI833" s="208">
        <f t="shared" si="90"/>
        <v>1885394.7383236326</v>
      </c>
      <c r="AJ833" s="208">
        <f t="shared" si="91"/>
        <v>2096858.5861219107</v>
      </c>
      <c r="AK833" s="208">
        <f t="shared" si="92"/>
        <v>-211463.84779827803</v>
      </c>
      <c r="AL833" s="235"/>
      <c r="AM833" s="52">
        <f t="shared" si="86"/>
        <v>0</v>
      </c>
      <c r="AN833" s="52">
        <f t="shared" si="87"/>
        <v>1</v>
      </c>
      <c r="AO833" s="52">
        <f t="shared" si="88"/>
        <v>0</v>
      </c>
      <c r="AP833" s="235"/>
      <c r="AQ833" s="28"/>
      <c r="AR833" s="28"/>
      <c r="AS833" s="28"/>
      <c r="AT833" s="28"/>
      <c r="AU833" s="235"/>
      <c r="AV833" s="360">
        <f t="shared" si="93"/>
        <v>2096858.5861219107</v>
      </c>
      <c r="AW833" s="235"/>
      <c r="AX833" s="355"/>
      <c r="AY833" s="344"/>
      <c r="AZ833" s="14">
        <f t="shared" si="95"/>
        <v>9147.9544938246327</v>
      </c>
      <c r="BA833" s="14">
        <f t="shared" si="94"/>
        <v>-0.21296409821521411</v>
      </c>
      <c r="BB833" s="14">
        <f t="shared" si="89"/>
        <v>-42955.383421387902</v>
      </c>
      <c r="BC833" s="344"/>
      <c r="BD833" s="344"/>
      <c r="BE833" s="344"/>
      <c r="BF833" s="344"/>
      <c r="BG833" s="344"/>
      <c r="BH833" s="344"/>
      <c r="BI833" s="344"/>
      <c r="BJ833" s="344"/>
      <c r="BK833" s="344"/>
      <c r="BL833" s="344"/>
      <c r="BM833" s="344"/>
      <c r="BN833" s="344"/>
      <c r="BO833" s="344"/>
      <c r="BP833" s="344"/>
      <c r="BQ833" s="344"/>
      <c r="BR833" s="344"/>
      <c r="BS833" s="344"/>
      <c r="BT833" s="344"/>
      <c r="BU833" s="344"/>
      <c r="BV833" s="344"/>
      <c r="BW833" s="344"/>
      <c r="BX833" s="344"/>
      <c r="BY833" s="344"/>
      <c r="BZ833" s="344"/>
      <c r="CA833" s="344"/>
      <c r="CB833" s="28"/>
      <c r="CC833" s="28"/>
      <c r="CD833" s="28"/>
      <c r="CE833" s="28"/>
      <c r="CF833" s="28"/>
      <c r="CG833" s="28"/>
      <c r="CH833" s="28"/>
      <c r="CI833" s="28"/>
      <c r="CJ833" s="28"/>
      <c r="CK833" s="28"/>
      <c r="CL833" s="28"/>
      <c r="CM833" s="28"/>
      <c r="CN833" s="28"/>
      <c r="CO833" s="28"/>
      <c r="CP833" s="28"/>
      <c r="CQ833" s="28"/>
      <c r="CR833" s="28"/>
      <c r="CS833" s="28"/>
      <c r="CT833" s="28"/>
      <c r="CU833" s="28"/>
      <c r="CV833" s="28"/>
      <c r="CW833" s="28"/>
    </row>
    <row r="834" spans="1:101" ht="14.25" customHeight="1" x14ac:dyDescent="0.2">
      <c r="A834" s="328"/>
      <c r="B834" s="52">
        <v>0.16131051461005208</v>
      </c>
      <c r="C834" s="330">
        <v>0.17277111224824968</v>
      </c>
      <c r="D834" s="330">
        <v>1.1950889205226113E-2</v>
      </c>
      <c r="E834" s="330">
        <v>1.8890383607709782E-2</v>
      </c>
      <c r="F834" s="331">
        <v>0.80363713644291912</v>
      </c>
      <c r="G834" s="94">
        <v>0.40824108770618683</v>
      </c>
      <c r="H834" s="330">
        <v>3.4692235019311763E-3</v>
      </c>
      <c r="I834" s="330">
        <v>1.7006938615625633E-2</v>
      </c>
      <c r="J834" s="330">
        <v>0.99477147124014464</v>
      </c>
      <c r="K834" s="330">
        <v>0.78217420169988883</v>
      </c>
      <c r="L834" s="332">
        <v>10115.304936972374</v>
      </c>
      <c r="M834" s="330">
        <v>0</v>
      </c>
      <c r="N834" s="330">
        <v>15604.393222080291</v>
      </c>
      <c r="O834" s="330">
        <v>1191.526554614517</v>
      </c>
      <c r="P834" s="330">
        <v>39978.586517532138</v>
      </c>
      <c r="Q834" s="333">
        <v>109726.84401051422</v>
      </c>
      <c r="R834" s="330">
        <v>15022.394903124061</v>
      </c>
      <c r="S834" s="330">
        <v>9673.9361353265849</v>
      </c>
      <c r="T834" s="332">
        <v>0.99915978008369044</v>
      </c>
      <c r="U834" s="330">
        <v>0.91654570036669014</v>
      </c>
      <c r="V834" s="330">
        <v>0.99032651509183678</v>
      </c>
      <c r="W834" s="330">
        <v>0.65857302821245822</v>
      </c>
      <c r="X834" s="330">
        <v>0.99539905283179486</v>
      </c>
      <c r="Y834" s="330">
        <v>0</v>
      </c>
      <c r="Z834" s="331">
        <v>0</v>
      </c>
      <c r="AA834" s="235"/>
      <c r="AB834" s="335">
        <v>94367.917550021535</v>
      </c>
      <c r="AC834" s="336">
        <v>4.8359561491420289</v>
      </c>
      <c r="AD834" s="337">
        <v>82871.1238953844</v>
      </c>
      <c r="AE834" s="336">
        <v>4.9122827573097076</v>
      </c>
      <c r="AF834" s="337">
        <v>11496.793654637135</v>
      </c>
      <c r="AG834" s="338">
        <v>-7.6326608167678778E-2</v>
      </c>
      <c r="AH834" s="235"/>
      <c r="AI834" s="208">
        <f t="shared" si="90"/>
        <v>4499790.4241349055</v>
      </c>
      <c r="AJ834" s="208">
        <f t="shared" si="91"/>
        <v>4583797.4955488378</v>
      </c>
      <c r="AK834" s="208">
        <f t="shared" si="92"/>
        <v>-84007.071413931975</v>
      </c>
      <c r="AL834" s="235"/>
      <c r="AM834" s="52">
        <f t="shared" si="86"/>
        <v>0</v>
      </c>
      <c r="AN834" s="52">
        <f t="shared" si="87"/>
        <v>1</v>
      </c>
      <c r="AO834" s="52">
        <f t="shared" si="88"/>
        <v>0</v>
      </c>
      <c r="AP834" s="235"/>
      <c r="AQ834" s="28"/>
      <c r="AR834" s="28"/>
      <c r="AS834" s="28"/>
      <c r="AT834" s="28"/>
      <c r="AU834" s="235"/>
      <c r="AV834" s="360">
        <f t="shared" si="93"/>
        <v>4583797.4955488378</v>
      </c>
      <c r="AW834" s="235"/>
      <c r="AX834" s="355"/>
      <c r="AY834" s="344"/>
      <c r="AZ834" s="14">
        <f t="shared" si="95"/>
        <v>11496.793654637135</v>
      </c>
      <c r="BA834" s="14">
        <f t="shared" si="94"/>
        <v>-7.6326608167678778E-2</v>
      </c>
      <c r="BB834" s="14">
        <f t="shared" si="89"/>
        <v>-150626.28787827573</v>
      </c>
      <c r="BC834" s="344"/>
      <c r="BD834" s="344"/>
      <c r="BE834" s="344"/>
      <c r="BF834" s="344"/>
      <c r="BG834" s="344"/>
      <c r="BH834" s="344"/>
      <c r="BI834" s="344"/>
      <c r="BJ834" s="344"/>
      <c r="BK834" s="344"/>
      <c r="BL834" s="344"/>
      <c r="BM834" s="344"/>
      <c r="BN834" s="344"/>
      <c r="BO834" s="344"/>
      <c r="BP834" s="344"/>
      <c r="BQ834" s="344"/>
      <c r="BR834" s="344"/>
      <c r="BS834" s="344"/>
      <c r="BT834" s="344"/>
      <c r="BU834" s="344"/>
      <c r="BV834" s="344"/>
      <c r="BW834" s="344"/>
      <c r="BX834" s="344"/>
      <c r="BY834" s="344"/>
      <c r="BZ834" s="344"/>
      <c r="CA834" s="344"/>
      <c r="CB834" s="28"/>
      <c r="CC834" s="28"/>
      <c r="CD834" s="28"/>
      <c r="CE834" s="28"/>
      <c r="CF834" s="28"/>
      <c r="CG834" s="28"/>
      <c r="CH834" s="28"/>
      <c r="CI834" s="28"/>
      <c r="CJ834" s="28"/>
      <c r="CK834" s="28"/>
      <c r="CL834" s="28"/>
      <c r="CM834" s="28"/>
      <c r="CN834" s="28"/>
      <c r="CO834" s="28"/>
      <c r="CP834" s="28"/>
      <c r="CQ834" s="28"/>
      <c r="CR834" s="28"/>
      <c r="CS834" s="28"/>
      <c r="CT834" s="28"/>
      <c r="CU834" s="28"/>
      <c r="CV834" s="28"/>
      <c r="CW834" s="28"/>
    </row>
    <row r="835" spans="1:101" ht="14.25" customHeight="1" x14ac:dyDescent="0.2">
      <c r="A835" s="328"/>
      <c r="B835" s="52">
        <v>0.1593365727118633</v>
      </c>
      <c r="C835" s="330">
        <v>0.92439929275422095</v>
      </c>
      <c r="D835" s="330">
        <v>1.1041253377801926E-2</v>
      </c>
      <c r="E835" s="330">
        <v>4.4096127065689382E-3</v>
      </c>
      <c r="F835" s="331">
        <v>0.79413290222546595</v>
      </c>
      <c r="G835" s="94">
        <v>0.41682105115480661</v>
      </c>
      <c r="H835" s="330">
        <v>0.24496508660486432</v>
      </c>
      <c r="I835" s="330">
        <v>1.5616104830084559E-2</v>
      </c>
      <c r="J835" s="330">
        <v>0.99999704401248179</v>
      </c>
      <c r="K835" s="330">
        <v>0.73435809728037293</v>
      </c>
      <c r="L835" s="332">
        <v>8719.3981311703046</v>
      </c>
      <c r="M835" s="330">
        <v>0</v>
      </c>
      <c r="N835" s="330">
        <v>17533.139592070816</v>
      </c>
      <c r="O835" s="330">
        <v>1377.2814882216946</v>
      </c>
      <c r="P835" s="330">
        <v>46632.171672320117</v>
      </c>
      <c r="Q835" s="333">
        <v>134129.2435910895</v>
      </c>
      <c r="R835" s="330">
        <v>28935.312054799608</v>
      </c>
      <c r="S835" s="330">
        <v>6919.3182647147787</v>
      </c>
      <c r="T835" s="332">
        <v>0.9914294303783513</v>
      </c>
      <c r="U835" s="330">
        <v>0.33162409567546031</v>
      </c>
      <c r="V835" s="330">
        <v>0.72327752591735006</v>
      </c>
      <c r="W835" s="330">
        <v>0.99999980114665266</v>
      </c>
      <c r="X835" s="330">
        <v>0.99018244438603209</v>
      </c>
      <c r="Y835" s="330">
        <v>0</v>
      </c>
      <c r="Z835" s="331">
        <v>0</v>
      </c>
      <c r="AA835" s="235"/>
      <c r="AB835" s="335">
        <v>72403.81259681817</v>
      </c>
      <c r="AC835" s="336">
        <v>5.17226078959595</v>
      </c>
      <c r="AD835" s="337">
        <v>59475.403709078993</v>
      </c>
      <c r="AE835" s="336">
        <v>4.439430031234159</v>
      </c>
      <c r="AF835" s="337">
        <v>12928.408887739177</v>
      </c>
      <c r="AG835" s="338">
        <v>0.73283075836179101</v>
      </c>
      <c r="AH835" s="235"/>
      <c r="AI835" s="208">
        <f t="shared" si="90"/>
        <v>4841243.9375193343</v>
      </c>
      <c r="AJ835" s="208">
        <f t="shared" si="91"/>
        <v>4157983.1259633722</v>
      </c>
      <c r="AK835" s="208">
        <f t="shared" si="92"/>
        <v>683260.81155596231</v>
      </c>
      <c r="AL835" s="235"/>
      <c r="AM835" s="52">
        <f t="shared" si="86"/>
        <v>1</v>
      </c>
      <c r="AN835" s="52">
        <f t="shared" si="87"/>
        <v>0</v>
      </c>
      <c r="AO835" s="52">
        <f t="shared" si="88"/>
        <v>1</v>
      </c>
      <c r="AP835" s="235"/>
      <c r="AQ835" s="28"/>
      <c r="AR835" s="28"/>
      <c r="AS835" s="28"/>
      <c r="AT835" s="28"/>
      <c r="AU835" s="235"/>
      <c r="AV835" s="360">
        <f t="shared" si="93"/>
        <v>4841243.9375193343</v>
      </c>
      <c r="AW835" s="235"/>
      <c r="AX835" s="355"/>
      <c r="AY835" s="344"/>
      <c r="AZ835" s="14">
        <f t="shared" si="95"/>
        <v>12928.408887739177</v>
      </c>
      <c r="BA835" s="14">
        <f t="shared" si="94"/>
        <v>0.73283075836179101</v>
      </c>
      <c r="BB835" s="14">
        <f t="shared" si="89"/>
        <v>17641.738887488882</v>
      </c>
      <c r="BC835" s="344"/>
      <c r="BD835" s="344"/>
      <c r="BE835" s="344"/>
      <c r="BF835" s="344"/>
      <c r="BG835" s="344"/>
      <c r="BH835" s="344"/>
      <c r="BI835" s="344"/>
      <c r="BJ835" s="344"/>
      <c r="BK835" s="344"/>
      <c r="BL835" s="344"/>
      <c r="BM835" s="344"/>
      <c r="BN835" s="344"/>
      <c r="BO835" s="344"/>
      <c r="BP835" s="344"/>
      <c r="BQ835" s="344"/>
      <c r="BR835" s="344"/>
      <c r="BS835" s="344"/>
      <c r="BT835" s="344"/>
      <c r="BU835" s="344"/>
      <c r="BV835" s="344"/>
      <c r="BW835" s="344"/>
      <c r="BX835" s="344"/>
      <c r="BY835" s="344"/>
      <c r="BZ835" s="344"/>
      <c r="CA835" s="344"/>
      <c r="CB835" s="28"/>
      <c r="CC835" s="28"/>
      <c r="CD835" s="28"/>
      <c r="CE835" s="28"/>
      <c r="CF835" s="28"/>
      <c r="CG835" s="28"/>
      <c r="CH835" s="28"/>
      <c r="CI835" s="28"/>
      <c r="CJ835" s="28"/>
      <c r="CK835" s="28"/>
      <c r="CL835" s="28"/>
      <c r="CM835" s="28"/>
      <c r="CN835" s="28"/>
      <c r="CO835" s="28"/>
      <c r="CP835" s="28"/>
      <c r="CQ835" s="28"/>
      <c r="CR835" s="28"/>
      <c r="CS835" s="28"/>
      <c r="CT835" s="28"/>
      <c r="CU835" s="28"/>
      <c r="CV835" s="28"/>
      <c r="CW835" s="28"/>
    </row>
    <row r="836" spans="1:101" ht="14.25" customHeight="1" x14ac:dyDescent="0.2">
      <c r="A836" s="328"/>
      <c r="B836" s="52">
        <v>0.14519676894086653</v>
      </c>
      <c r="C836" s="330">
        <v>0.74990856756029634</v>
      </c>
      <c r="D836" s="330">
        <v>8.7969348608975071E-3</v>
      </c>
      <c r="E836" s="330">
        <v>1.9559530375461875E-2</v>
      </c>
      <c r="F836" s="331">
        <v>0.81618729135456458</v>
      </c>
      <c r="G836" s="94">
        <v>0.40247665136660515</v>
      </c>
      <c r="H836" s="330">
        <v>1.5129616508638777E-2</v>
      </c>
      <c r="I836" s="330">
        <v>1.5403442013458884E-3</v>
      </c>
      <c r="J836" s="330">
        <v>0.99999999999999223</v>
      </c>
      <c r="K836" s="330">
        <v>0.75262551387519128</v>
      </c>
      <c r="L836" s="332">
        <v>11455.34030523257</v>
      </c>
      <c r="M836" s="330">
        <v>0</v>
      </c>
      <c r="N836" s="330">
        <v>16695.804064158598</v>
      </c>
      <c r="O836" s="330">
        <v>1264.454675463543</v>
      </c>
      <c r="P836" s="330">
        <v>40126.219805429151</v>
      </c>
      <c r="Q836" s="333">
        <v>119501.37233332089</v>
      </c>
      <c r="R836" s="330">
        <v>23596.262636655742</v>
      </c>
      <c r="S836" s="330">
        <v>5173.3123011829648</v>
      </c>
      <c r="T836" s="332">
        <v>0.99904079049487216</v>
      </c>
      <c r="U836" s="330">
        <v>0.74006413659893489</v>
      </c>
      <c r="V836" s="330">
        <v>0.99351952721282255</v>
      </c>
      <c r="W836" s="330">
        <v>0.86642733607264621</v>
      </c>
      <c r="X836" s="330">
        <v>0.66285754904125183</v>
      </c>
      <c r="Y836" s="330">
        <v>0</v>
      </c>
      <c r="Z836" s="331">
        <v>0</v>
      </c>
      <c r="AA836" s="235"/>
      <c r="AB836" s="335">
        <v>59673.717128909157</v>
      </c>
      <c r="AC836" s="336">
        <v>3.588425321098601</v>
      </c>
      <c r="AD836" s="337">
        <v>42555.425641594629</v>
      </c>
      <c r="AE836" s="336">
        <v>3.0866333488811777</v>
      </c>
      <c r="AF836" s="337">
        <v>17118.291487314527</v>
      </c>
      <c r="AG836" s="338">
        <v>0.50179197221742333</v>
      </c>
      <c r="AH836" s="235"/>
      <c r="AI836" s="208">
        <f t="shared" si="90"/>
        <v>3349330.3379147616</v>
      </c>
      <c r="AJ836" s="208">
        <f t="shared" si="91"/>
        <v>2889746.2557955245</v>
      </c>
      <c r="AK836" s="208">
        <f t="shared" si="92"/>
        <v>459584.08211923763</v>
      </c>
      <c r="AL836" s="235"/>
      <c r="AM836" s="52">
        <f t="shared" si="86"/>
        <v>1</v>
      </c>
      <c r="AN836" s="52">
        <f t="shared" si="87"/>
        <v>0</v>
      </c>
      <c r="AO836" s="52">
        <f t="shared" si="88"/>
        <v>1</v>
      </c>
      <c r="AP836" s="235"/>
      <c r="AQ836" s="28"/>
      <c r="AR836" s="28"/>
      <c r="AS836" s="28"/>
      <c r="AT836" s="28"/>
      <c r="AU836" s="235"/>
      <c r="AV836" s="360">
        <f t="shared" si="93"/>
        <v>3349330.3379147616</v>
      </c>
      <c r="AW836" s="235"/>
      <c r="AX836" s="355"/>
      <c r="AY836" s="344"/>
      <c r="AZ836" s="14">
        <f t="shared" si="95"/>
        <v>17118.291487314527</v>
      </c>
      <c r="BA836" s="14">
        <f t="shared" si="94"/>
        <v>0.50179197221742333</v>
      </c>
      <c r="BB836" s="14">
        <f t="shared" si="89"/>
        <v>34114.319150361531</v>
      </c>
      <c r="BC836" s="344"/>
      <c r="BD836" s="344"/>
      <c r="BE836" s="344"/>
      <c r="BF836" s="344"/>
      <c r="BG836" s="344"/>
      <c r="BH836" s="344"/>
      <c r="BI836" s="344"/>
      <c r="BJ836" s="344"/>
      <c r="BK836" s="344"/>
      <c r="BL836" s="344"/>
      <c r="BM836" s="344"/>
      <c r="BN836" s="344"/>
      <c r="BO836" s="344"/>
      <c r="BP836" s="344"/>
      <c r="BQ836" s="344"/>
      <c r="BR836" s="344"/>
      <c r="BS836" s="344"/>
      <c r="BT836" s="344"/>
      <c r="BU836" s="344"/>
      <c r="BV836" s="344"/>
      <c r="BW836" s="344"/>
      <c r="BX836" s="344"/>
      <c r="BY836" s="344"/>
      <c r="BZ836" s="344"/>
      <c r="CA836" s="344"/>
      <c r="CB836" s="28"/>
      <c r="CC836" s="28"/>
      <c r="CD836" s="28"/>
      <c r="CE836" s="28"/>
      <c r="CF836" s="28"/>
      <c r="CG836" s="28"/>
      <c r="CH836" s="28"/>
      <c r="CI836" s="28"/>
      <c r="CJ836" s="28"/>
      <c r="CK836" s="28"/>
      <c r="CL836" s="28"/>
      <c r="CM836" s="28"/>
      <c r="CN836" s="28"/>
      <c r="CO836" s="28"/>
      <c r="CP836" s="28"/>
      <c r="CQ836" s="28"/>
      <c r="CR836" s="28"/>
      <c r="CS836" s="28"/>
      <c r="CT836" s="28"/>
      <c r="CU836" s="28"/>
      <c r="CV836" s="28"/>
      <c r="CW836" s="28"/>
    </row>
    <row r="837" spans="1:101" ht="14.25" customHeight="1" x14ac:dyDescent="0.2">
      <c r="A837" s="328"/>
      <c r="B837" s="52">
        <v>0.15170630233982624</v>
      </c>
      <c r="C837" s="330">
        <v>7.076150165325432E-3</v>
      </c>
      <c r="D837" s="330">
        <v>1.2491976414933884E-2</v>
      </c>
      <c r="E837" s="330">
        <v>8.2462778077447858E-3</v>
      </c>
      <c r="F837" s="331">
        <v>0.78322207941519573</v>
      </c>
      <c r="G837" s="94">
        <v>0.39764815217540761</v>
      </c>
      <c r="H837" s="330">
        <v>0.65848367021323884</v>
      </c>
      <c r="I837" s="330">
        <v>2.0135489173192966E-2</v>
      </c>
      <c r="J837" s="330">
        <v>1</v>
      </c>
      <c r="K837" s="330">
        <v>0.72636883203584457</v>
      </c>
      <c r="L837" s="332">
        <v>11088.550633074507</v>
      </c>
      <c r="M837" s="330">
        <v>0</v>
      </c>
      <c r="N837" s="330">
        <v>18420.893064241853</v>
      </c>
      <c r="O837" s="330">
        <v>1036.7686501078097</v>
      </c>
      <c r="P837" s="330">
        <v>51437.246277459846</v>
      </c>
      <c r="Q837" s="333">
        <v>89149.035021129675</v>
      </c>
      <c r="R837" s="330">
        <v>18958.056429768301</v>
      </c>
      <c r="S837" s="330">
        <v>8206.6888687350856</v>
      </c>
      <c r="T837" s="332">
        <v>0.99976676421717725</v>
      </c>
      <c r="U837" s="330">
        <v>0.83510372597657068</v>
      </c>
      <c r="V837" s="330">
        <v>0.9993256918798481</v>
      </c>
      <c r="W837" s="330">
        <v>0.22539304311463676</v>
      </c>
      <c r="X837" s="330">
        <v>0.46543430859664442</v>
      </c>
      <c r="Y837" s="330">
        <v>0</v>
      </c>
      <c r="Z837" s="331">
        <v>0</v>
      </c>
      <c r="AA837" s="235"/>
      <c r="AB837" s="335">
        <v>80412.93061916421</v>
      </c>
      <c r="AC837" s="336">
        <v>2.3532156352766256</v>
      </c>
      <c r="AD837" s="337">
        <v>70520.363492777877</v>
      </c>
      <c r="AE837" s="336">
        <v>2.1000881773289941</v>
      </c>
      <c r="AF837" s="337">
        <v>9892.5671263863333</v>
      </c>
      <c r="AG837" s="338">
        <v>0.25312745794763147</v>
      </c>
      <c r="AH837" s="235"/>
      <c r="AI837" s="208">
        <f t="shared" si="90"/>
        <v>2155141.9228936299</v>
      </c>
      <c r="AJ837" s="208">
        <f t="shared" si="91"/>
        <v>1924563.4049697665</v>
      </c>
      <c r="AK837" s="208">
        <f t="shared" si="92"/>
        <v>230578.51792386358</v>
      </c>
      <c r="AL837" s="235"/>
      <c r="AM837" s="52">
        <f t="shared" si="86"/>
        <v>1</v>
      </c>
      <c r="AN837" s="52">
        <f t="shared" si="87"/>
        <v>0</v>
      </c>
      <c r="AO837" s="52">
        <f t="shared" si="88"/>
        <v>1</v>
      </c>
      <c r="AP837" s="235"/>
      <c r="AQ837" s="28"/>
      <c r="AR837" s="28"/>
      <c r="AS837" s="28"/>
      <c r="AT837" s="28"/>
      <c r="AU837" s="235"/>
      <c r="AV837" s="360">
        <f t="shared" si="93"/>
        <v>2155141.9228936299</v>
      </c>
      <c r="AW837" s="235"/>
      <c r="AX837" s="355"/>
      <c r="AY837" s="344"/>
      <c r="AZ837" s="14">
        <f t="shared" si="95"/>
        <v>9892.5671263863333</v>
      </c>
      <c r="BA837" s="14">
        <f t="shared" si="94"/>
        <v>0.25312745794763147</v>
      </c>
      <c r="BB837" s="14">
        <f t="shared" si="89"/>
        <v>39081.367176029424</v>
      </c>
      <c r="BC837" s="344"/>
      <c r="BD837" s="344"/>
      <c r="BE837" s="344"/>
      <c r="BF837" s="344"/>
      <c r="BG837" s="344"/>
      <c r="BH837" s="344"/>
      <c r="BI837" s="344"/>
      <c r="BJ837" s="344"/>
      <c r="BK837" s="344"/>
      <c r="BL837" s="344"/>
      <c r="BM837" s="344"/>
      <c r="BN837" s="344"/>
      <c r="BO837" s="344"/>
      <c r="BP837" s="344"/>
      <c r="BQ837" s="344"/>
      <c r="BR837" s="344"/>
      <c r="BS837" s="344"/>
      <c r="BT837" s="344"/>
      <c r="BU837" s="344"/>
      <c r="BV837" s="344"/>
      <c r="BW837" s="344"/>
      <c r="BX837" s="344"/>
      <c r="BY837" s="344"/>
      <c r="BZ837" s="344"/>
      <c r="CA837" s="344"/>
      <c r="CB837" s="28"/>
      <c r="CC837" s="28"/>
      <c r="CD837" s="28"/>
      <c r="CE837" s="28"/>
      <c r="CF837" s="28"/>
      <c r="CG837" s="28"/>
      <c r="CH837" s="28"/>
      <c r="CI837" s="28"/>
      <c r="CJ837" s="28"/>
      <c r="CK837" s="28"/>
      <c r="CL837" s="28"/>
      <c r="CM837" s="28"/>
      <c r="CN837" s="28"/>
      <c r="CO837" s="28"/>
      <c r="CP837" s="28"/>
      <c r="CQ837" s="28"/>
      <c r="CR837" s="28"/>
      <c r="CS837" s="28"/>
      <c r="CT837" s="28"/>
      <c r="CU837" s="28"/>
      <c r="CV837" s="28"/>
      <c r="CW837" s="28"/>
    </row>
    <row r="838" spans="1:101" ht="14.25" customHeight="1" x14ac:dyDescent="0.2">
      <c r="A838" s="328"/>
      <c r="B838" s="52">
        <v>0.14053173092815854</v>
      </c>
      <c r="C838" s="330">
        <v>0.19467249396262906</v>
      </c>
      <c r="D838" s="330">
        <v>1.1156273754968762E-2</v>
      </c>
      <c r="E838" s="330">
        <v>1.8108446076835927E-2</v>
      </c>
      <c r="F838" s="331">
        <v>0.81206633424160546</v>
      </c>
      <c r="G838" s="94">
        <v>0.3793342573768646</v>
      </c>
      <c r="H838" s="330">
        <v>0.5108803584306143</v>
      </c>
      <c r="I838" s="330">
        <v>1.0114414685755859E-2</v>
      </c>
      <c r="J838" s="330">
        <v>0.9459864408895382</v>
      </c>
      <c r="K838" s="330">
        <v>0.76400709594985594</v>
      </c>
      <c r="L838" s="332">
        <v>9729.8438071341388</v>
      </c>
      <c r="M838" s="330">
        <v>0</v>
      </c>
      <c r="N838" s="330">
        <v>28081.144864202539</v>
      </c>
      <c r="O838" s="330">
        <v>1134.3036484965346</v>
      </c>
      <c r="P838" s="330">
        <v>53783.692131460077</v>
      </c>
      <c r="Q838" s="333">
        <v>101025.34620261045</v>
      </c>
      <c r="R838" s="330">
        <v>25553.917046172264</v>
      </c>
      <c r="S838" s="330">
        <v>9853.5317994843881</v>
      </c>
      <c r="T838" s="332">
        <v>0.92491105359966497</v>
      </c>
      <c r="U838" s="330">
        <v>0.98257411895272417</v>
      </c>
      <c r="V838" s="330">
        <v>0.81701245898560004</v>
      </c>
      <c r="W838" s="330">
        <v>0.99636876437645672</v>
      </c>
      <c r="X838" s="330">
        <v>0.96496393765768973</v>
      </c>
      <c r="Y838" s="330">
        <v>0</v>
      </c>
      <c r="Z838" s="331">
        <v>0</v>
      </c>
      <c r="AA838" s="235"/>
      <c r="AB838" s="335">
        <v>96617.381128767505</v>
      </c>
      <c r="AC838" s="336">
        <v>4.7712669508462113</v>
      </c>
      <c r="AD838" s="337">
        <v>86822.736198883154</v>
      </c>
      <c r="AE838" s="336">
        <v>4.5551692811156954</v>
      </c>
      <c r="AF838" s="337">
        <v>9794.6449298843509</v>
      </c>
      <c r="AG838" s="338">
        <v>0.21609766973051592</v>
      </c>
      <c r="AH838" s="235"/>
      <c r="AI838" s="208">
        <f t="shared" si="90"/>
        <v>4436086.2221751334</v>
      </c>
      <c r="AJ838" s="208">
        <f t="shared" si="91"/>
        <v>4240588.0808610274</v>
      </c>
      <c r="AK838" s="208">
        <f t="shared" si="92"/>
        <v>195498.14131410577</v>
      </c>
      <c r="AL838" s="235"/>
      <c r="AM838" s="52">
        <f t="shared" si="86"/>
        <v>1</v>
      </c>
      <c r="AN838" s="52">
        <f t="shared" si="87"/>
        <v>0</v>
      </c>
      <c r="AO838" s="52">
        <f t="shared" si="88"/>
        <v>1</v>
      </c>
      <c r="AP838" s="235"/>
      <c r="AQ838" s="28"/>
      <c r="AR838" s="28"/>
      <c r="AS838" s="28"/>
      <c r="AT838" s="28"/>
      <c r="AU838" s="235"/>
      <c r="AV838" s="360">
        <f t="shared" si="93"/>
        <v>4436086.2221751334</v>
      </c>
      <c r="AW838" s="235"/>
      <c r="AX838" s="355"/>
      <c r="AY838" s="344"/>
      <c r="AZ838" s="14">
        <f t="shared" si="95"/>
        <v>9794.6449298843509</v>
      </c>
      <c r="BA838" s="14">
        <f t="shared" si="94"/>
        <v>0.21609766973051592</v>
      </c>
      <c r="BB838" s="14">
        <f t="shared" si="89"/>
        <v>45325.083524032161</v>
      </c>
      <c r="BC838" s="344"/>
      <c r="BD838" s="344"/>
      <c r="BE838" s="344"/>
      <c r="BF838" s="344"/>
      <c r="BG838" s="344"/>
      <c r="BH838" s="344"/>
      <c r="BI838" s="344"/>
      <c r="BJ838" s="344"/>
      <c r="BK838" s="344"/>
      <c r="BL838" s="344"/>
      <c r="BM838" s="344"/>
      <c r="BN838" s="344"/>
      <c r="BO838" s="344"/>
      <c r="BP838" s="344"/>
      <c r="BQ838" s="344"/>
      <c r="BR838" s="344"/>
      <c r="BS838" s="344"/>
      <c r="BT838" s="344"/>
      <c r="BU838" s="344"/>
      <c r="BV838" s="344"/>
      <c r="BW838" s="344"/>
      <c r="BX838" s="344"/>
      <c r="BY838" s="344"/>
      <c r="BZ838" s="344"/>
      <c r="CA838" s="344"/>
      <c r="CB838" s="28"/>
      <c r="CC838" s="28"/>
      <c r="CD838" s="28"/>
      <c r="CE838" s="28"/>
      <c r="CF838" s="28"/>
      <c r="CG838" s="28"/>
      <c r="CH838" s="28"/>
      <c r="CI838" s="28"/>
      <c r="CJ838" s="28"/>
      <c r="CK838" s="28"/>
      <c r="CL838" s="28"/>
      <c r="CM838" s="28"/>
      <c r="CN838" s="28"/>
      <c r="CO838" s="28"/>
      <c r="CP838" s="28"/>
      <c r="CQ838" s="28"/>
      <c r="CR838" s="28"/>
      <c r="CS838" s="28"/>
      <c r="CT838" s="28"/>
      <c r="CU838" s="28"/>
      <c r="CV838" s="28"/>
      <c r="CW838" s="28"/>
    </row>
    <row r="839" spans="1:101" ht="14.25" customHeight="1" x14ac:dyDescent="0.2">
      <c r="A839" s="328"/>
      <c r="B839" s="52">
        <v>0.12877965732506649</v>
      </c>
      <c r="C839" s="330">
        <v>0.12223130004455085</v>
      </c>
      <c r="D839" s="330">
        <v>9.6463213464434462E-3</v>
      </c>
      <c r="E839" s="330">
        <v>1.6719042370406667E-2</v>
      </c>
      <c r="F839" s="331">
        <v>0.78292501035574291</v>
      </c>
      <c r="G839" s="94">
        <v>0.38978055352446633</v>
      </c>
      <c r="H839" s="330">
        <v>0.52347718779914187</v>
      </c>
      <c r="I839" s="330">
        <v>1.4801344436910812E-2</v>
      </c>
      <c r="J839" s="330">
        <v>1</v>
      </c>
      <c r="K839" s="330">
        <v>0.81773576702675854</v>
      </c>
      <c r="L839" s="332">
        <v>10429.734801434272</v>
      </c>
      <c r="M839" s="330">
        <v>0</v>
      </c>
      <c r="N839" s="330">
        <v>20793.736253732914</v>
      </c>
      <c r="O839" s="330">
        <v>1235.3284290517481</v>
      </c>
      <c r="P839" s="330">
        <v>61445.733911296891</v>
      </c>
      <c r="Q839" s="333">
        <v>93538.976700654937</v>
      </c>
      <c r="R839" s="330">
        <v>16910.512476436194</v>
      </c>
      <c r="S839" s="330">
        <v>8460.9593271751291</v>
      </c>
      <c r="T839" s="332">
        <v>0.99840747306090583</v>
      </c>
      <c r="U839" s="330">
        <v>0.99966335842424736</v>
      </c>
      <c r="V839" s="330">
        <v>0.92562583821861599</v>
      </c>
      <c r="W839" s="330">
        <v>0.51813764211826197</v>
      </c>
      <c r="X839" s="330">
        <v>0.7203573749996055</v>
      </c>
      <c r="Y839" s="330">
        <v>0</v>
      </c>
      <c r="Z839" s="331">
        <v>0</v>
      </c>
      <c r="AA839" s="235"/>
      <c r="AB839" s="335">
        <v>82059.773158898999</v>
      </c>
      <c r="AC839" s="336">
        <v>3.872111401485995</v>
      </c>
      <c r="AD839" s="337">
        <v>79154.471866900625</v>
      </c>
      <c r="AE839" s="336">
        <v>3.6415878289965273</v>
      </c>
      <c r="AF839" s="337">
        <v>2905.3012919983739</v>
      </c>
      <c r="AG839" s="338">
        <v>0.23052357248946764</v>
      </c>
      <c r="AH839" s="235"/>
      <c r="AI839" s="208">
        <f t="shared" si="90"/>
        <v>3596446.0582527961</v>
      </c>
      <c r="AJ839" s="208">
        <f t="shared" si="91"/>
        <v>3380353.9656798006</v>
      </c>
      <c r="AK839" s="208">
        <f t="shared" si="92"/>
        <v>216092.09257299587</v>
      </c>
      <c r="AL839" s="235"/>
      <c r="AM839" s="52">
        <f t="shared" si="86"/>
        <v>1</v>
      </c>
      <c r="AN839" s="52">
        <f t="shared" si="87"/>
        <v>0</v>
      </c>
      <c r="AO839" s="52">
        <f t="shared" si="88"/>
        <v>1</v>
      </c>
      <c r="AP839" s="235"/>
      <c r="AQ839" s="28"/>
      <c r="AR839" s="28"/>
      <c r="AS839" s="28"/>
      <c r="AT839" s="28"/>
      <c r="AU839" s="235"/>
      <c r="AV839" s="360">
        <f t="shared" si="93"/>
        <v>3596446.0582527961</v>
      </c>
      <c r="AW839" s="235"/>
      <c r="AX839" s="355"/>
      <c r="AY839" s="344"/>
      <c r="AZ839" s="14">
        <f t="shared" si="95"/>
        <v>2905.3012919983739</v>
      </c>
      <c r="BA839" s="14">
        <f t="shared" si="94"/>
        <v>0.23052357248946764</v>
      </c>
      <c r="BB839" s="14">
        <f t="shared" si="89"/>
        <v>12603.055126308673</v>
      </c>
      <c r="BC839" s="344"/>
      <c r="BD839" s="344"/>
      <c r="BE839" s="344"/>
      <c r="BF839" s="344"/>
      <c r="BG839" s="344"/>
      <c r="BH839" s="344"/>
      <c r="BI839" s="344"/>
      <c r="BJ839" s="344"/>
      <c r="BK839" s="344"/>
      <c r="BL839" s="344"/>
      <c r="BM839" s="344"/>
      <c r="BN839" s="344"/>
      <c r="BO839" s="344"/>
      <c r="BP839" s="344"/>
      <c r="BQ839" s="344"/>
      <c r="BR839" s="344"/>
      <c r="BS839" s="344"/>
      <c r="BT839" s="344"/>
      <c r="BU839" s="344"/>
      <c r="BV839" s="344"/>
      <c r="BW839" s="344"/>
      <c r="BX839" s="344"/>
      <c r="BY839" s="344"/>
      <c r="BZ839" s="344"/>
      <c r="CA839" s="344"/>
      <c r="CB839" s="28"/>
      <c r="CC839" s="28"/>
      <c r="CD839" s="28"/>
      <c r="CE839" s="28"/>
      <c r="CF839" s="28"/>
      <c r="CG839" s="28"/>
      <c r="CH839" s="28"/>
      <c r="CI839" s="28"/>
      <c r="CJ839" s="28"/>
      <c r="CK839" s="28"/>
      <c r="CL839" s="28"/>
      <c r="CM839" s="28"/>
      <c r="CN839" s="28"/>
      <c r="CO839" s="28"/>
      <c r="CP839" s="28"/>
      <c r="CQ839" s="28"/>
      <c r="CR839" s="28"/>
      <c r="CS839" s="28"/>
      <c r="CT839" s="28"/>
      <c r="CU839" s="28"/>
      <c r="CV839" s="28"/>
      <c r="CW839" s="28"/>
    </row>
    <row r="840" spans="1:101" ht="14.25" customHeight="1" x14ac:dyDescent="0.2">
      <c r="A840" s="328"/>
      <c r="B840" s="52">
        <v>0.1468946819063558</v>
      </c>
      <c r="C840" s="330">
        <v>0.33260097907921249</v>
      </c>
      <c r="D840" s="330">
        <v>1.717126198638852E-2</v>
      </c>
      <c r="E840" s="330">
        <v>9.6205939362766068E-3</v>
      </c>
      <c r="F840" s="331">
        <v>0.75918768233867462</v>
      </c>
      <c r="G840" s="94">
        <v>0.404798845073847</v>
      </c>
      <c r="H840" s="330">
        <v>0.86362232842972531</v>
      </c>
      <c r="I840" s="330">
        <v>5.8486958678090955E-3</v>
      </c>
      <c r="J840" s="330">
        <v>1.5635508068355379E-6</v>
      </c>
      <c r="K840" s="330">
        <v>0.7614748906294182</v>
      </c>
      <c r="L840" s="332">
        <v>8078.6991405953304</v>
      </c>
      <c r="M840" s="330">
        <v>0</v>
      </c>
      <c r="N840" s="330">
        <v>16673.942680678814</v>
      </c>
      <c r="O840" s="330">
        <v>1590.6092023486317</v>
      </c>
      <c r="P840" s="330">
        <v>29926.176607348563</v>
      </c>
      <c r="Q840" s="333">
        <v>120916.31536081938</v>
      </c>
      <c r="R840" s="330">
        <v>19383.340475672238</v>
      </c>
      <c r="S840" s="330">
        <v>11135.639266676366</v>
      </c>
      <c r="T840" s="332">
        <v>0.25689048904029976</v>
      </c>
      <c r="U840" s="330">
        <v>0.99989777338787511</v>
      </c>
      <c r="V840" s="330">
        <v>0.99708500639621522</v>
      </c>
      <c r="W840" s="330">
        <v>0.97548450234010409</v>
      </c>
      <c r="X840" s="330">
        <v>0.27459025466246462</v>
      </c>
      <c r="Y840" s="330">
        <v>0</v>
      </c>
      <c r="Z840" s="331">
        <v>0</v>
      </c>
      <c r="AA840" s="235"/>
      <c r="AB840" s="335">
        <v>100287.75552397931</v>
      </c>
      <c r="AC840" s="336">
        <v>1.2909719048968482</v>
      </c>
      <c r="AD840" s="337">
        <v>98677.648698716032</v>
      </c>
      <c r="AE840" s="336">
        <v>1.6478818001250628</v>
      </c>
      <c r="AF840" s="337">
        <v>1610.1068252632831</v>
      </c>
      <c r="AG840" s="338">
        <v>-0.35690989522821459</v>
      </c>
      <c r="AH840" s="235"/>
      <c r="AI840" s="208">
        <f t="shared" si="90"/>
        <v>1126135.5541280266</v>
      </c>
      <c r="AJ840" s="208">
        <f t="shared" si="91"/>
        <v>1466810.0614200938</v>
      </c>
      <c r="AK840" s="208">
        <f t="shared" si="92"/>
        <v>-340674.50729206717</v>
      </c>
      <c r="AL840" s="235"/>
      <c r="AM840" s="52">
        <f t="shared" si="86"/>
        <v>0</v>
      </c>
      <c r="AN840" s="52">
        <f t="shared" si="87"/>
        <v>1</v>
      </c>
      <c r="AO840" s="52">
        <f t="shared" si="88"/>
        <v>0</v>
      </c>
      <c r="AP840" s="235"/>
      <c r="AQ840" s="28"/>
      <c r="AR840" s="28"/>
      <c r="AS840" s="28"/>
      <c r="AT840" s="28"/>
      <c r="AU840" s="235"/>
      <c r="AV840" s="360">
        <f t="shared" si="93"/>
        <v>1466810.0614200938</v>
      </c>
      <c r="AW840" s="235"/>
      <c r="AX840" s="355"/>
      <c r="AY840" s="344"/>
      <c r="AZ840" s="14">
        <f t="shared" si="95"/>
        <v>1610.1068252632831</v>
      </c>
      <c r="BA840" s="14">
        <f t="shared" si="94"/>
        <v>-0.35690989522821459</v>
      </c>
      <c r="BB840" s="14">
        <f t="shared" si="89"/>
        <v>-4511.2417637895751</v>
      </c>
      <c r="BC840" s="344"/>
      <c r="BD840" s="344"/>
      <c r="BE840" s="344"/>
      <c r="BF840" s="344"/>
      <c r="BG840" s="344"/>
      <c r="BH840" s="344"/>
      <c r="BI840" s="344"/>
      <c r="BJ840" s="344"/>
      <c r="BK840" s="344"/>
      <c r="BL840" s="344"/>
      <c r="BM840" s="344"/>
      <c r="BN840" s="344"/>
      <c r="BO840" s="344"/>
      <c r="BP840" s="344"/>
      <c r="BQ840" s="344"/>
      <c r="BR840" s="344"/>
      <c r="BS840" s="344"/>
      <c r="BT840" s="344"/>
      <c r="BU840" s="344"/>
      <c r="BV840" s="344"/>
      <c r="BW840" s="344"/>
      <c r="BX840" s="344"/>
      <c r="BY840" s="344"/>
      <c r="BZ840" s="344"/>
      <c r="CA840" s="344"/>
      <c r="CB840" s="28"/>
      <c r="CC840" s="28"/>
      <c r="CD840" s="28"/>
      <c r="CE840" s="28"/>
      <c r="CF840" s="28"/>
      <c r="CG840" s="28"/>
      <c r="CH840" s="28"/>
      <c r="CI840" s="28"/>
      <c r="CJ840" s="28"/>
      <c r="CK840" s="28"/>
      <c r="CL840" s="28"/>
      <c r="CM840" s="28"/>
      <c r="CN840" s="28"/>
      <c r="CO840" s="28"/>
      <c r="CP840" s="28"/>
      <c r="CQ840" s="28"/>
      <c r="CR840" s="28"/>
      <c r="CS840" s="28"/>
      <c r="CT840" s="28"/>
      <c r="CU840" s="28"/>
      <c r="CV840" s="28"/>
      <c r="CW840" s="28"/>
    </row>
    <row r="841" spans="1:101" ht="14.25" customHeight="1" x14ac:dyDescent="0.2">
      <c r="A841" s="328"/>
      <c r="B841" s="52">
        <v>0.15171283913292993</v>
      </c>
      <c r="C841" s="330">
        <v>0.90360781403814849</v>
      </c>
      <c r="D841" s="330">
        <v>1.0373453687796448E-2</v>
      </c>
      <c r="E841" s="330">
        <v>1.9038055252794783E-2</v>
      </c>
      <c r="F841" s="331">
        <v>0.81098518015002141</v>
      </c>
      <c r="G841" s="94">
        <v>0.41227928619315857</v>
      </c>
      <c r="H841" s="330">
        <v>0.48566161157284071</v>
      </c>
      <c r="I841" s="330">
        <v>2.3773709118696251E-2</v>
      </c>
      <c r="J841" s="330">
        <v>0.99999999944722773</v>
      </c>
      <c r="K841" s="330">
        <v>0.75741809309474928</v>
      </c>
      <c r="L841" s="332">
        <v>16426.177015405952</v>
      </c>
      <c r="M841" s="330">
        <v>0</v>
      </c>
      <c r="N841" s="330">
        <v>16317.833421599498</v>
      </c>
      <c r="O841" s="330">
        <v>1388.6887390359514</v>
      </c>
      <c r="P841" s="330">
        <v>34083.405408721628</v>
      </c>
      <c r="Q841" s="333">
        <v>103540.0792566833</v>
      </c>
      <c r="R841" s="330">
        <v>20116.350821478409</v>
      </c>
      <c r="S841" s="330">
        <v>9275.0271702150512</v>
      </c>
      <c r="T841" s="332">
        <v>0.83083977434068945</v>
      </c>
      <c r="U841" s="330">
        <v>0.72445499726491402</v>
      </c>
      <c r="V841" s="330">
        <v>0.95408436121968532</v>
      </c>
      <c r="W841" s="330">
        <v>0.99565160406505526</v>
      </c>
      <c r="X841" s="330">
        <v>0.64927520040790587</v>
      </c>
      <c r="Y841" s="330">
        <v>0</v>
      </c>
      <c r="Z841" s="331">
        <v>0</v>
      </c>
      <c r="AA841" s="235"/>
      <c r="AB841" s="335">
        <v>100278.39884934266</v>
      </c>
      <c r="AC841" s="336">
        <v>3.1960417120766587</v>
      </c>
      <c r="AD841" s="337">
        <v>81579.32354936334</v>
      </c>
      <c r="AE841" s="336">
        <v>3.1417830392559098</v>
      </c>
      <c r="AF841" s="337">
        <v>18699.075299979319</v>
      </c>
      <c r="AG841" s="338">
        <v>5.425867282074881E-2</v>
      </c>
      <c r="AH841" s="235"/>
      <c r="AI841" s="208">
        <f t="shared" si="90"/>
        <v>2935961.2276234832</v>
      </c>
      <c r="AJ841" s="208">
        <f t="shared" si="91"/>
        <v>2903114.563743751</v>
      </c>
      <c r="AK841" s="208">
        <f t="shared" si="92"/>
        <v>32846.663879732048</v>
      </c>
      <c r="AL841" s="235"/>
      <c r="AM841" s="52">
        <f t="shared" si="86"/>
        <v>1</v>
      </c>
      <c r="AN841" s="52">
        <f t="shared" si="87"/>
        <v>0</v>
      </c>
      <c r="AO841" s="52">
        <f t="shared" si="88"/>
        <v>1</v>
      </c>
      <c r="AP841" s="235"/>
      <c r="AQ841" s="28"/>
      <c r="AR841" s="28"/>
      <c r="AS841" s="28"/>
      <c r="AT841" s="28"/>
      <c r="AU841" s="235"/>
      <c r="AV841" s="360">
        <f t="shared" si="93"/>
        <v>2935961.2276234832</v>
      </c>
      <c r="AW841" s="235"/>
      <c r="AX841" s="355"/>
      <c r="AY841" s="344"/>
      <c r="AZ841" s="14">
        <f t="shared" si="95"/>
        <v>18699.075299979319</v>
      </c>
      <c r="BA841" s="14">
        <f t="shared" si="94"/>
        <v>5.425867282074881E-2</v>
      </c>
      <c r="BB841" s="14">
        <f t="shared" si="89"/>
        <v>344628.32074338337</v>
      </c>
      <c r="BC841" s="344"/>
      <c r="BD841" s="344"/>
      <c r="BE841" s="344"/>
      <c r="BF841" s="344"/>
      <c r="BG841" s="344"/>
      <c r="BH841" s="344"/>
      <c r="BI841" s="344"/>
      <c r="BJ841" s="344"/>
      <c r="BK841" s="344"/>
      <c r="BL841" s="344"/>
      <c r="BM841" s="344"/>
      <c r="BN841" s="344"/>
      <c r="BO841" s="344"/>
      <c r="BP841" s="344"/>
      <c r="BQ841" s="344"/>
      <c r="BR841" s="344"/>
      <c r="BS841" s="344"/>
      <c r="BT841" s="344"/>
      <c r="BU841" s="344"/>
      <c r="BV841" s="344"/>
      <c r="BW841" s="344"/>
      <c r="BX841" s="344"/>
      <c r="BY841" s="344"/>
      <c r="BZ841" s="344"/>
      <c r="CA841" s="344"/>
      <c r="CB841" s="28"/>
      <c r="CC841" s="28"/>
      <c r="CD841" s="28"/>
      <c r="CE841" s="28"/>
      <c r="CF841" s="28"/>
      <c r="CG841" s="28"/>
      <c r="CH841" s="28"/>
      <c r="CI841" s="28"/>
      <c r="CJ841" s="28"/>
      <c r="CK841" s="28"/>
      <c r="CL841" s="28"/>
      <c r="CM841" s="28"/>
      <c r="CN841" s="28"/>
      <c r="CO841" s="28"/>
      <c r="CP841" s="28"/>
      <c r="CQ841" s="28"/>
      <c r="CR841" s="28"/>
      <c r="CS841" s="28"/>
      <c r="CT841" s="28"/>
      <c r="CU841" s="28"/>
      <c r="CV841" s="28"/>
      <c r="CW841" s="28"/>
    </row>
    <row r="842" spans="1:101" ht="14.25" customHeight="1" x14ac:dyDescent="0.2">
      <c r="A842" s="328"/>
      <c r="B842" s="52">
        <v>0.16640179658222598</v>
      </c>
      <c r="C842" s="330">
        <v>0.24154810349749845</v>
      </c>
      <c r="D842" s="330">
        <v>1.5733582467051255E-2</v>
      </c>
      <c r="E842" s="330">
        <v>2.0396529722053303E-2</v>
      </c>
      <c r="F842" s="331">
        <v>0.78509675763904507</v>
      </c>
      <c r="G842" s="94">
        <v>0.41879273280093154</v>
      </c>
      <c r="H842" s="330">
        <v>0.63942699746736298</v>
      </c>
      <c r="I842" s="330">
        <v>4.1962389546938905E-3</v>
      </c>
      <c r="J842" s="330">
        <v>0.58246336361791995</v>
      </c>
      <c r="K842" s="330">
        <v>0.75384795029087093</v>
      </c>
      <c r="L842" s="332">
        <v>12253.816154142603</v>
      </c>
      <c r="M842" s="330">
        <v>0</v>
      </c>
      <c r="N842" s="330">
        <v>20089.933603597889</v>
      </c>
      <c r="O842" s="330">
        <v>1282.7890214416327</v>
      </c>
      <c r="P842" s="330">
        <v>38346.200845617524</v>
      </c>
      <c r="Q842" s="333">
        <v>141722.0666485015</v>
      </c>
      <c r="R842" s="330">
        <v>22675.894799966642</v>
      </c>
      <c r="S842" s="330">
        <v>10911.529346634332</v>
      </c>
      <c r="T842" s="332">
        <v>0.9950424775662442</v>
      </c>
      <c r="U842" s="330">
        <v>0.95023005317691123</v>
      </c>
      <c r="V842" s="330">
        <v>0.86756542393618008</v>
      </c>
      <c r="W842" s="330">
        <v>0.40431329846406988</v>
      </c>
      <c r="X842" s="330">
        <v>0.99912040977082683</v>
      </c>
      <c r="Y842" s="330">
        <v>0</v>
      </c>
      <c r="Z842" s="331">
        <v>0</v>
      </c>
      <c r="AA842" s="235"/>
      <c r="AB842" s="335">
        <v>105683.10641274034</v>
      </c>
      <c r="AC842" s="336">
        <v>5.021176542970708</v>
      </c>
      <c r="AD842" s="337">
        <v>95173.737837419132</v>
      </c>
      <c r="AE842" s="336">
        <v>4.6275651737000105</v>
      </c>
      <c r="AF842" s="337">
        <v>10509.368575321205</v>
      </c>
      <c r="AG842" s="338">
        <v>0.39361136927069751</v>
      </c>
      <c r="AH842" s="235"/>
      <c r="AI842" s="208">
        <f t="shared" si="90"/>
        <v>4664434.6094094319</v>
      </c>
      <c r="AJ842" s="208">
        <f t="shared" si="91"/>
        <v>4301013.1771775912</v>
      </c>
      <c r="AK842" s="208">
        <f t="shared" si="92"/>
        <v>363421.43223184143</v>
      </c>
      <c r="AL842" s="235"/>
      <c r="AM842" s="52">
        <f t="shared" si="86"/>
        <v>1</v>
      </c>
      <c r="AN842" s="52">
        <f t="shared" si="87"/>
        <v>0</v>
      </c>
      <c r="AO842" s="52">
        <f t="shared" si="88"/>
        <v>1</v>
      </c>
      <c r="AP842" s="235"/>
      <c r="AQ842" s="28"/>
      <c r="AR842" s="28"/>
      <c r="AS842" s="28"/>
      <c r="AT842" s="28"/>
      <c r="AU842" s="235"/>
      <c r="AV842" s="360">
        <f t="shared" si="93"/>
        <v>4664434.6094094319</v>
      </c>
      <c r="AW842" s="235"/>
      <c r="AX842" s="355"/>
      <c r="AY842" s="344"/>
      <c r="AZ842" s="14">
        <f t="shared" si="95"/>
        <v>10509.368575321205</v>
      </c>
      <c r="BA842" s="14">
        <f t="shared" si="94"/>
        <v>0.39361136927069751</v>
      </c>
      <c r="BB842" s="14">
        <f t="shared" si="89"/>
        <v>26699.860308388652</v>
      </c>
      <c r="BC842" s="344"/>
      <c r="BD842" s="344"/>
      <c r="BE842" s="344"/>
      <c r="BF842" s="344"/>
      <c r="BG842" s="344"/>
      <c r="BH842" s="344"/>
      <c r="BI842" s="344"/>
      <c r="BJ842" s="344"/>
      <c r="BK842" s="344"/>
      <c r="BL842" s="344"/>
      <c r="BM842" s="344"/>
      <c r="BN842" s="344"/>
      <c r="BO842" s="344"/>
      <c r="BP842" s="344"/>
      <c r="BQ842" s="344"/>
      <c r="BR842" s="344"/>
      <c r="BS842" s="344"/>
      <c r="BT842" s="344"/>
      <c r="BU842" s="344"/>
      <c r="BV842" s="344"/>
      <c r="BW842" s="344"/>
      <c r="BX842" s="344"/>
      <c r="BY842" s="344"/>
      <c r="BZ842" s="344"/>
      <c r="CA842" s="344"/>
      <c r="CB842" s="28"/>
      <c r="CC842" s="28"/>
      <c r="CD842" s="28"/>
      <c r="CE842" s="28"/>
      <c r="CF842" s="28"/>
      <c r="CG842" s="28"/>
      <c r="CH842" s="28"/>
      <c r="CI842" s="28"/>
      <c r="CJ842" s="28"/>
      <c r="CK842" s="28"/>
      <c r="CL842" s="28"/>
      <c r="CM842" s="28"/>
      <c r="CN842" s="28"/>
      <c r="CO842" s="28"/>
      <c r="CP842" s="28"/>
      <c r="CQ842" s="28"/>
      <c r="CR842" s="28"/>
      <c r="CS842" s="28"/>
      <c r="CT842" s="28"/>
      <c r="CU842" s="28"/>
      <c r="CV842" s="28"/>
      <c r="CW842" s="28"/>
    </row>
    <row r="843" spans="1:101" ht="14.25" customHeight="1" x14ac:dyDescent="0.2">
      <c r="A843" s="328"/>
      <c r="B843" s="52">
        <v>0.19369128474430497</v>
      </c>
      <c r="C843" s="330">
        <v>0.31894473403436618</v>
      </c>
      <c r="D843" s="330">
        <v>1.7990906267532636E-2</v>
      </c>
      <c r="E843" s="330">
        <v>1.8400531806822107E-2</v>
      </c>
      <c r="F843" s="331">
        <v>0.81518704802884223</v>
      </c>
      <c r="G843" s="94">
        <v>0.40749294734323616</v>
      </c>
      <c r="H843" s="330">
        <v>0.3784893420579129</v>
      </c>
      <c r="I843" s="330">
        <v>1.1333462042717294E-2</v>
      </c>
      <c r="J843" s="330">
        <v>1</v>
      </c>
      <c r="K843" s="330">
        <v>0.7945456158649743</v>
      </c>
      <c r="L843" s="332">
        <v>14281.389685711563</v>
      </c>
      <c r="M843" s="330">
        <v>0</v>
      </c>
      <c r="N843" s="330">
        <v>22666.892891920761</v>
      </c>
      <c r="O843" s="330">
        <v>1387.681522526258</v>
      </c>
      <c r="P843" s="330">
        <v>58590.489343364665</v>
      </c>
      <c r="Q843" s="333">
        <v>83830.361758910294</v>
      </c>
      <c r="R843" s="330">
        <v>27707.772222997821</v>
      </c>
      <c r="S843" s="330">
        <v>8969.7709820007094</v>
      </c>
      <c r="T843" s="332">
        <v>0.20824755950625323</v>
      </c>
      <c r="U843" s="330">
        <v>0.9821851026318551</v>
      </c>
      <c r="V843" s="330">
        <v>0.73454873358407291</v>
      </c>
      <c r="W843" s="330">
        <v>0.99999994347579335</v>
      </c>
      <c r="X843" s="330">
        <v>0.97671127157536208</v>
      </c>
      <c r="Y843" s="330">
        <v>0</v>
      </c>
      <c r="Z843" s="331">
        <v>0</v>
      </c>
      <c r="AA843" s="235"/>
      <c r="AB843" s="335">
        <v>95026.406211844791</v>
      </c>
      <c r="AC843" s="336">
        <v>4.817859959594883</v>
      </c>
      <c r="AD843" s="337">
        <v>82074.023031190125</v>
      </c>
      <c r="AE843" s="336">
        <v>5.0796129599406523</v>
      </c>
      <c r="AF843" s="337">
        <v>12952.383180654666</v>
      </c>
      <c r="AG843" s="338">
        <v>-0.26175300034576932</v>
      </c>
      <c r="AH843" s="235"/>
      <c r="AI843" s="208">
        <f t="shared" si="90"/>
        <v>4481940.555403294</v>
      </c>
      <c r="AJ843" s="208">
        <f t="shared" si="91"/>
        <v>4743558.2889124295</v>
      </c>
      <c r="AK843" s="208">
        <f t="shared" si="92"/>
        <v>-261617.73350913552</v>
      </c>
      <c r="AL843" s="235"/>
      <c r="AM843" s="52">
        <f t="shared" si="86"/>
        <v>0</v>
      </c>
      <c r="AN843" s="52">
        <f t="shared" si="87"/>
        <v>1</v>
      </c>
      <c r="AO843" s="52">
        <f t="shared" si="88"/>
        <v>0</v>
      </c>
      <c r="AP843" s="235"/>
      <c r="AQ843" s="28"/>
      <c r="AR843" s="28"/>
      <c r="AS843" s="28"/>
      <c r="AT843" s="28"/>
      <c r="AU843" s="235"/>
      <c r="AV843" s="360">
        <f t="shared" si="93"/>
        <v>4743558.2889124295</v>
      </c>
      <c r="AW843" s="235"/>
      <c r="AX843" s="355"/>
      <c r="AY843" s="344"/>
      <c r="AZ843" s="14">
        <f t="shared" si="95"/>
        <v>12952.383180654666</v>
      </c>
      <c r="BA843" s="14">
        <f t="shared" si="94"/>
        <v>-0.26175300034576932</v>
      </c>
      <c r="BB843" s="14">
        <f t="shared" si="89"/>
        <v>-49483.227178083478</v>
      </c>
      <c r="BC843" s="344"/>
      <c r="BD843" s="344"/>
      <c r="BE843" s="344"/>
      <c r="BF843" s="344"/>
      <c r="BG843" s="344"/>
      <c r="BH843" s="344"/>
      <c r="BI843" s="344"/>
      <c r="BJ843" s="344"/>
      <c r="BK843" s="344"/>
      <c r="BL843" s="344"/>
      <c r="BM843" s="344"/>
      <c r="BN843" s="344"/>
      <c r="BO843" s="344"/>
      <c r="BP843" s="344"/>
      <c r="BQ843" s="344"/>
      <c r="BR843" s="344"/>
      <c r="BS843" s="344"/>
      <c r="BT843" s="344"/>
      <c r="BU843" s="344"/>
      <c r="BV843" s="344"/>
      <c r="BW843" s="344"/>
      <c r="BX843" s="344"/>
      <c r="BY843" s="344"/>
      <c r="BZ843" s="344"/>
      <c r="CA843" s="344"/>
      <c r="CB843" s="28"/>
      <c r="CC843" s="28"/>
      <c r="CD843" s="28"/>
      <c r="CE843" s="28"/>
      <c r="CF843" s="28"/>
      <c r="CG843" s="28"/>
      <c r="CH843" s="28"/>
      <c r="CI843" s="28"/>
      <c r="CJ843" s="28"/>
      <c r="CK843" s="28"/>
      <c r="CL843" s="28"/>
      <c r="CM843" s="28"/>
      <c r="CN843" s="28"/>
      <c r="CO843" s="28"/>
      <c r="CP843" s="28"/>
      <c r="CQ843" s="28"/>
      <c r="CR843" s="28"/>
      <c r="CS843" s="28"/>
      <c r="CT843" s="28"/>
      <c r="CU843" s="28"/>
      <c r="CV843" s="28"/>
      <c r="CW843" s="28"/>
    </row>
    <row r="844" spans="1:101" ht="14.25" customHeight="1" x14ac:dyDescent="0.2">
      <c r="A844" s="328"/>
      <c r="B844" s="52">
        <v>0.16496275058358811</v>
      </c>
      <c r="C844" s="330">
        <v>0.9068706224908869</v>
      </c>
      <c r="D844" s="330">
        <v>1.5802668330305192E-2</v>
      </c>
      <c r="E844" s="330">
        <v>2.1824783191885078E-2</v>
      </c>
      <c r="F844" s="331">
        <v>0.76853121221545229</v>
      </c>
      <c r="G844" s="94">
        <v>0.40127497169330673</v>
      </c>
      <c r="H844" s="330">
        <v>0.72407648116464141</v>
      </c>
      <c r="I844" s="330">
        <v>8.3989574060856741E-3</v>
      </c>
      <c r="J844" s="330">
        <v>1</v>
      </c>
      <c r="K844" s="330">
        <v>0.74059054214384556</v>
      </c>
      <c r="L844" s="332">
        <v>11008.116464247381</v>
      </c>
      <c r="M844" s="330">
        <v>0</v>
      </c>
      <c r="N844" s="330">
        <v>20405.259288134028</v>
      </c>
      <c r="O844" s="330">
        <v>1390.6093447746955</v>
      </c>
      <c r="P844" s="330">
        <v>62727.731669071676</v>
      </c>
      <c r="Q844" s="333">
        <v>88755.573802764935</v>
      </c>
      <c r="R844" s="330">
        <v>29989.755873676189</v>
      </c>
      <c r="S844" s="330">
        <v>9275.548936371435</v>
      </c>
      <c r="T844" s="332">
        <v>0.99954785095768439</v>
      </c>
      <c r="U844" s="330">
        <v>0.9496403315594778</v>
      </c>
      <c r="V844" s="330">
        <v>0.87029491329077957</v>
      </c>
      <c r="W844" s="330">
        <v>0.99554960443159346</v>
      </c>
      <c r="X844" s="330">
        <v>0.74198647467319334</v>
      </c>
      <c r="Y844" s="330">
        <v>0</v>
      </c>
      <c r="Z844" s="331">
        <v>0</v>
      </c>
      <c r="AA844" s="235"/>
      <c r="AB844" s="335">
        <v>92458.187780354361</v>
      </c>
      <c r="AC844" s="336">
        <v>3.798500086362905</v>
      </c>
      <c r="AD844" s="337">
        <v>83586.390094399932</v>
      </c>
      <c r="AE844" s="336">
        <v>3.3256991556256499</v>
      </c>
      <c r="AF844" s="337">
        <v>8871.7976859544287</v>
      </c>
      <c r="AG844" s="338">
        <v>0.47280093073725515</v>
      </c>
      <c r="AH844" s="235"/>
      <c r="AI844" s="208">
        <f t="shared" si="90"/>
        <v>3516116.8942644056</v>
      </c>
      <c r="AJ844" s="208">
        <f t="shared" si="91"/>
        <v>3075827.8077499676</v>
      </c>
      <c r="AK844" s="208">
        <f t="shared" si="92"/>
        <v>440289.08651443798</v>
      </c>
      <c r="AL844" s="235"/>
      <c r="AM844" s="52">
        <f t="shared" si="86"/>
        <v>1</v>
      </c>
      <c r="AN844" s="52">
        <f t="shared" si="87"/>
        <v>0</v>
      </c>
      <c r="AO844" s="52">
        <f t="shared" si="88"/>
        <v>1</v>
      </c>
      <c r="AP844" s="235"/>
      <c r="AQ844" s="28"/>
      <c r="AR844" s="28"/>
      <c r="AS844" s="28"/>
      <c r="AT844" s="28"/>
      <c r="AU844" s="235"/>
      <c r="AV844" s="360">
        <f t="shared" si="93"/>
        <v>3516116.8942644056</v>
      </c>
      <c r="AW844" s="235"/>
      <c r="AX844" s="355"/>
      <c r="AY844" s="344"/>
      <c r="AZ844" s="14">
        <f t="shared" si="95"/>
        <v>8871.7976859544287</v>
      </c>
      <c r="BA844" s="14">
        <f t="shared" si="94"/>
        <v>0.47280093073725515</v>
      </c>
      <c r="BB844" s="14">
        <f t="shared" si="89"/>
        <v>18764.340569550746</v>
      </c>
      <c r="BC844" s="344"/>
      <c r="BD844" s="344"/>
      <c r="BE844" s="344"/>
      <c r="BF844" s="344"/>
      <c r="BG844" s="344"/>
      <c r="BH844" s="344"/>
      <c r="BI844" s="344"/>
      <c r="BJ844" s="344"/>
      <c r="BK844" s="344"/>
      <c r="BL844" s="344"/>
      <c r="BM844" s="344"/>
      <c r="BN844" s="344"/>
      <c r="BO844" s="344"/>
      <c r="BP844" s="344"/>
      <c r="BQ844" s="344"/>
      <c r="BR844" s="344"/>
      <c r="BS844" s="344"/>
      <c r="BT844" s="344"/>
      <c r="BU844" s="344"/>
      <c r="BV844" s="344"/>
      <c r="BW844" s="344"/>
      <c r="BX844" s="344"/>
      <c r="BY844" s="344"/>
      <c r="BZ844" s="344"/>
      <c r="CA844" s="344"/>
      <c r="CB844" s="28"/>
      <c r="CC844" s="28"/>
      <c r="CD844" s="28"/>
      <c r="CE844" s="28"/>
      <c r="CF844" s="28"/>
      <c r="CG844" s="28"/>
      <c r="CH844" s="28"/>
      <c r="CI844" s="28"/>
      <c r="CJ844" s="28"/>
      <c r="CK844" s="28"/>
      <c r="CL844" s="28"/>
      <c r="CM844" s="28"/>
      <c r="CN844" s="28"/>
      <c r="CO844" s="28"/>
      <c r="CP844" s="28"/>
      <c r="CQ844" s="28"/>
      <c r="CR844" s="28"/>
      <c r="CS844" s="28"/>
      <c r="CT844" s="28"/>
      <c r="CU844" s="28"/>
      <c r="CV844" s="28"/>
      <c r="CW844" s="28"/>
    </row>
    <row r="845" spans="1:101" ht="14.25" customHeight="1" x14ac:dyDescent="0.2">
      <c r="A845" s="328"/>
      <c r="B845" s="52">
        <v>0.15846215637252267</v>
      </c>
      <c r="C845" s="330">
        <v>0.23949481856089308</v>
      </c>
      <c r="D845" s="330">
        <v>1.174847661676641E-2</v>
      </c>
      <c r="E845" s="330">
        <v>8.8297142122924742E-3</v>
      </c>
      <c r="F845" s="331">
        <v>0.7664412363356351</v>
      </c>
      <c r="G845" s="94">
        <v>0.40064725348817321</v>
      </c>
      <c r="H845" s="330">
        <v>1.4361709241915569E-3</v>
      </c>
      <c r="I845" s="330">
        <v>1.4183229091027729E-2</v>
      </c>
      <c r="J845" s="330">
        <v>0.99999999999991129</v>
      </c>
      <c r="K845" s="330">
        <v>0.74832652281076872</v>
      </c>
      <c r="L845" s="332">
        <v>17422.430693365674</v>
      </c>
      <c r="M845" s="330">
        <v>0</v>
      </c>
      <c r="N845" s="330">
        <v>23180.61432414097</v>
      </c>
      <c r="O845" s="330">
        <v>1214.7929456032657</v>
      </c>
      <c r="P845" s="330">
        <v>35460.394441282609</v>
      </c>
      <c r="Q845" s="333">
        <v>97638.468040217253</v>
      </c>
      <c r="R845" s="330">
        <v>25910.233939433328</v>
      </c>
      <c r="S845" s="330">
        <v>9636.2015027313446</v>
      </c>
      <c r="T845" s="332">
        <v>0.96080320970692235</v>
      </c>
      <c r="U845" s="330">
        <v>0.75807444678438241</v>
      </c>
      <c r="V845" s="330">
        <v>0.44784611937397739</v>
      </c>
      <c r="W845" s="330">
        <v>0.40174901030041399</v>
      </c>
      <c r="X845" s="330">
        <v>0.99624292494681899</v>
      </c>
      <c r="Y845" s="330">
        <v>0</v>
      </c>
      <c r="Z845" s="331">
        <v>0</v>
      </c>
      <c r="AA845" s="235"/>
      <c r="AB845" s="335">
        <v>98037.372215366573</v>
      </c>
      <c r="AC845" s="336">
        <v>4.8351112726670289</v>
      </c>
      <c r="AD845" s="337">
        <v>78807.894985789171</v>
      </c>
      <c r="AE845" s="336">
        <v>4.6598442633140849</v>
      </c>
      <c r="AF845" s="337">
        <v>19229.477229577402</v>
      </c>
      <c r="AG845" s="338">
        <v>0.17526700935294404</v>
      </c>
      <c r="AH845" s="235"/>
      <c r="AI845" s="208">
        <f t="shared" si="90"/>
        <v>4495318.3368183104</v>
      </c>
      <c r="AJ845" s="208">
        <f t="shared" si="91"/>
        <v>4348044.1551625915</v>
      </c>
      <c r="AK845" s="208">
        <f t="shared" si="92"/>
        <v>147274.18165571944</v>
      </c>
      <c r="AL845" s="235"/>
      <c r="AM845" s="52">
        <f t="shared" si="86"/>
        <v>1</v>
      </c>
      <c r="AN845" s="52">
        <f t="shared" si="87"/>
        <v>0</v>
      </c>
      <c r="AO845" s="52">
        <f t="shared" si="88"/>
        <v>1</v>
      </c>
      <c r="AP845" s="235"/>
      <c r="AQ845" s="28"/>
      <c r="AR845" s="28"/>
      <c r="AS845" s="28"/>
      <c r="AT845" s="28"/>
      <c r="AU845" s="235"/>
      <c r="AV845" s="360">
        <f t="shared" si="93"/>
        <v>4495318.3368183104</v>
      </c>
      <c r="AW845" s="235"/>
      <c r="AX845" s="355"/>
      <c r="AY845" s="344"/>
      <c r="AZ845" s="14">
        <f t="shared" si="95"/>
        <v>19229.477229577402</v>
      </c>
      <c r="BA845" s="14">
        <f t="shared" si="94"/>
        <v>0.17526700935294404</v>
      </c>
      <c r="BB845" s="14">
        <f t="shared" si="89"/>
        <v>109715.32692073287</v>
      </c>
      <c r="BC845" s="344"/>
      <c r="BD845" s="344"/>
      <c r="BE845" s="344"/>
      <c r="BF845" s="344"/>
      <c r="BG845" s="344"/>
      <c r="BH845" s="344"/>
      <c r="BI845" s="344"/>
      <c r="BJ845" s="344"/>
      <c r="BK845" s="344"/>
      <c r="BL845" s="344"/>
      <c r="BM845" s="344"/>
      <c r="BN845" s="344"/>
      <c r="BO845" s="344"/>
      <c r="BP845" s="344"/>
      <c r="BQ845" s="344"/>
      <c r="BR845" s="344"/>
      <c r="BS845" s="344"/>
      <c r="BT845" s="344"/>
      <c r="BU845" s="344"/>
      <c r="BV845" s="344"/>
      <c r="BW845" s="344"/>
      <c r="BX845" s="344"/>
      <c r="BY845" s="344"/>
      <c r="BZ845" s="344"/>
      <c r="CA845" s="344"/>
      <c r="CB845" s="28"/>
      <c r="CC845" s="28"/>
      <c r="CD845" s="28"/>
      <c r="CE845" s="28"/>
      <c r="CF845" s="28"/>
      <c r="CG845" s="28"/>
      <c r="CH845" s="28"/>
      <c r="CI845" s="28"/>
      <c r="CJ845" s="28"/>
      <c r="CK845" s="28"/>
      <c r="CL845" s="28"/>
      <c r="CM845" s="28"/>
      <c r="CN845" s="28"/>
      <c r="CO845" s="28"/>
      <c r="CP845" s="28"/>
      <c r="CQ845" s="28"/>
      <c r="CR845" s="28"/>
      <c r="CS845" s="28"/>
      <c r="CT845" s="28"/>
      <c r="CU845" s="28"/>
      <c r="CV845" s="28"/>
      <c r="CW845" s="28"/>
    </row>
    <row r="846" spans="1:101" ht="14.25" customHeight="1" x14ac:dyDescent="0.2">
      <c r="A846" s="328"/>
      <c r="B846" s="52">
        <v>0.14808874345892778</v>
      </c>
      <c r="C846" s="330">
        <v>2.2196654477140084E-2</v>
      </c>
      <c r="D846" s="330">
        <v>1.3714835105283891E-2</v>
      </c>
      <c r="E846" s="330">
        <v>1.7329228767915317E-2</v>
      </c>
      <c r="F846" s="331">
        <v>0.75681165430086528</v>
      </c>
      <c r="G846" s="94">
        <v>0.32559877228145723</v>
      </c>
      <c r="H846" s="330">
        <v>1.558124237049128E-2</v>
      </c>
      <c r="I846" s="330">
        <v>1.4700773266283921E-2</v>
      </c>
      <c r="J846" s="330">
        <v>0.99998856969551975</v>
      </c>
      <c r="K846" s="330">
        <v>0.76580462944857342</v>
      </c>
      <c r="L846" s="332">
        <v>10541.240522335025</v>
      </c>
      <c r="M846" s="330">
        <v>0</v>
      </c>
      <c r="N846" s="330">
        <v>19836.457264951681</v>
      </c>
      <c r="O846" s="330">
        <v>991.93276875044239</v>
      </c>
      <c r="P846" s="330">
        <v>41226.600206379386</v>
      </c>
      <c r="Q846" s="333">
        <v>159884.38016871412</v>
      </c>
      <c r="R846" s="330">
        <v>28377.297666449067</v>
      </c>
      <c r="S846" s="330">
        <v>7827.3443524709328</v>
      </c>
      <c r="T846" s="332">
        <v>0.84067654645002765</v>
      </c>
      <c r="U846" s="330">
        <v>0.62159381264905522</v>
      </c>
      <c r="V846" s="330">
        <v>0.89579346668487358</v>
      </c>
      <c r="W846" s="330">
        <v>0.75327693268078133</v>
      </c>
      <c r="X846" s="330">
        <v>1.0294425703763092E-2</v>
      </c>
      <c r="Y846" s="330">
        <v>0</v>
      </c>
      <c r="Z846" s="331">
        <v>0</v>
      </c>
      <c r="AA846" s="235"/>
      <c r="AB846" s="335">
        <v>74678.229962766694</v>
      </c>
      <c r="AC846" s="336">
        <v>0.46080172535897396</v>
      </c>
      <c r="AD846" s="337">
        <v>65850.732761657651</v>
      </c>
      <c r="AE846" s="336">
        <v>0.32532781188326765</v>
      </c>
      <c r="AF846" s="337">
        <v>8827.4972011090431</v>
      </c>
      <c r="AG846" s="338">
        <v>0.13547391347570631</v>
      </c>
      <c r="AH846" s="235"/>
      <c r="AI846" s="208">
        <f t="shared" ref="AI846:AI909" si="96">AC846*cRatio-AB846</f>
        <v>363083.40912825859</v>
      </c>
      <c r="AJ846" s="208">
        <f t="shared" ref="AJ846:AJ909" si="97">AE846*cRatio-AD846</f>
        <v>243210.68852744662</v>
      </c>
      <c r="AK846" s="208">
        <f t="shared" ref="AK846:AK909" si="98">AG846*cRatio-AF846</f>
        <v>119872.72060081195</v>
      </c>
      <c r="AL846" s="235"/>
      <c r="AM846" s="52">
        <f t="shared" si="86"/>
        <v>1</v>
      </c>
      <c r="AN846" s="52">
        <f t="shared" si="87"/>
        <v>0</v>
      </c>
      <c r="AO846" s="52">
        <f t="shared" si="88"/>
        <v>1</v>
      </c>
      <c r="AP846" s="235"/>
      <c r="AQ846" s="28"/>
      <c r="AR846" s="28"/>
      <c r="AS846" s="28"/>
      <c r="AT846" s="28"/>
      <c r="AU846" s="235"/>
      <c r="AV846" s="360">
        <f t="shared" si="93"/>
        <v>363083.40912825859</v>
      </c>
      <c r="AW846" s="235"/>
      <c r="AX846" s="355"/>
      <c r="AY846" s="344"/>
      <c r="AZ846" s="14">
        <f t="shared" si="95"/>
        <v>8827.4972011090431</v>
      </c>
      <c r="BA846" s="14">
        <f t="shared" si="94"/>
        <v>0.13547391347570631</v>
      </c>
      <c r="BB846" s="14">
        <f t="shared" si="89"/>
        <v>65160.125478267983</v>
      </c>
      <c r="BC846" s="344"/>
      <c r="BD846" s="344"/>
      <c r="BE846" s="344"/>
      <c r="BF846" s="344"/>
      <c r="BG846" s="344"/>
      <c r="BH846" s="344"/>
      <c r="BI846" s="344"/>
      <c r="BJ846" s="344"/>
      <c r="BK846" s="344"/>
      <c r="BL846" s="344"/>
      <c r="BM846" s="344"/>
      <c r="BN846" s="344"/>
      <c r="BO846" s="344"/>
      <c r="BP846" s="344"/>
      <c r="BQ846" s="344"/>
      <c r="BR846" s="344"/>
      <c r="BS846" s="344"/>
      <c r="BT846" s="344"/>
      <c r="BU846" s="344"/>
      <c r="BV846" s="344"/>
      <c r="BW846" s="344"/>
      <c r="BX846" s="344"/>
      <c r="BY846" s="344"/>
      <c r="BZ846" s="344"/>
      <c r="CA846" s="344"/>
      <c r="CB846" s="28"/>
      <c r="CC846" s="28"/>
      <c r="CD846" s="28"/>
      <c r="CE846" s="28"/>
      <c r="CF846" s="28"/>
      <c r="CG846" s="28"/>
      <c r="CH846" s="28"/>
      <c r="CI846" s="28"/>
      <c r="CJ846" s="28"/>
      <c r="CK846" s="28"/>
      <c r="CL846" s="28"/>
      <c r="CM846" s="28"/>
      <c r="CN846" s="28"/>
      <c r="CO846" s="28"/>
      <c r="CP846" s="28"/>
      <c r="CQ846" s="28"/>
      <c r="CR846" s="28"/>
      <c r="CS846" s="28"/>
      <c r="CT846" s="28"/>
      <c r="CU846" s="28"/>
      <c r="CV846" s="28"/>
      <c r="CW846" s="28"/>
    </row>
    <row r="847" spans="1:101" ht="14.25" customHeight="1" x14ac:dyDescent="0.2">
      <c r="A847" s="328"/>
      <c r="B847" s="52">
        <v>0.16015879981938486</v>
      </c>
      <c r="C847" s="330">
        <v>0.24590621644495289</v>
      </c>
      <c r="D847" s="330">
        <v>1.6655135533455434E-2</v>
      </c>
      <c r="E847" s="330">
        <v>1.603970411406852E-2</v>
      </c>
      <c r="F847" s="331">
        <v>0.76384835876166401</v>
      </c>
      <c r="G847" s="94">
        <v>0.42313324573324163</v>
      </c>
      <c r="H847" s="330">
        <v>2.6336397395862174E-2</v>
      </c>
      <c r="I847" s="330">
        <v>1.1264391606449198E-2</v>
      </c>
      <c r="J847" s="330">
        <v>0.99813807384967268</v>
      </c>
      <c r="K847" s="330">
        <v>0.79368106181258924</v>
      </c>
      <c r="L847" s="332">
        <v>12870.063559926784</v>
      </c>
      <c r="M847" s="330">
        <v>0</v>
      </c>
      <c r="N847" s="330">
        <v>19682.184466539104</v>
      </c>
      <c r="O847" s="330">
        <v>1155.8569202540325</v>
      </c>
      <c r="P847" s="330">
        <v>44913.398798919799</v>
      </c>
      <c r="Q847" s="333">
        <v>96687.82021192208</v>
      </c>
      <c r="R847" s="330">
        <v>24210.149404083451</v>
      </c>
      <c r="S847" s="330">
        <v>7597.1848352294119</v>
      </c>
      <c r="T847" s="332">
        <v>0.56302992443180133</v>
      </c>
      <c r="U847" s="330">
        <v>0.84078339514401301</v>
      </c>
      <c r="V847" s="330">
        <v>0.9947082481613887</v>
      </c>
      <c r="W847" s="330">
        <v>0.99267010512386566</v>
      </c>
      <c r="X847" s="330">
        <v>0.99999982244132934</v>
      </c>
      <c r="Y847" s="330">
        <v>0</v>
      </c>
      <c r="Z847" s="331">
        <v>0</v>
      </c>
      <c r="AA847" s="235"/>
      <c r="AB847" s="335">
        <v>76543.730894385502</v>
      </c>
      <c r="AC847" s="336">
        <v>4.6774502429363549</v>
      </c>
      <c r="AD847" s="337">
        <v>66258.922709795355</v>
      </c>
      <c r="AE847" s="336">
        <v>5.0266721764113944</v>
      </c>
      <c r="AF847" s="337">
        <v>10284.808184590147</v>
      </c>
      <c r="AG847" s="338">
        <v>-0.34922193347503949</v>
      </c>
      <c r="AH847" s="235"/>
      <c r="AI847" s="208">
        <f t="shared" si="96"/>
        <v>4367033.9998951517</v>
      </c>
      <c r="AJ847" s="208">
        <f t="shared" si="97"/>
        <v>4709079.6448810287</v>
      </c>
      <c r="AK847" s="208">
        <f t="shared" si="98"/>
        <v>-342045.64498587768</v>
      </c>
      <c r="AL847" s="235"/>
      <c r="AM847" s="52">
        <f t="shared" si="86"/>
        <v>0</v>
      </c>
      <c r="AN847" s="52">
        <f t="shared" si="87"/>
        <v>1</v>
      </c>
      <c r="AO847" s="52">
        <f t="shared" si="88"/>
        <v>0</v>
      </c>
      <c r="AP847" s="235"/>
      <c r="AQ847" s="28"/>
      <c r="AR847" s="28"/>
      <c r="AS847" s="28"/>
      <c r="AT847" s="28"/>
      <c r="AU847" s="235"/>
      <c r="AV847" s="360">
        <f t="shared" ref="AV847:AV910" si="99">MAX(AI847:AJ847)</f>
        <v>4709079.6448810287</v>
      </c>
      <c r="AW847" s="235"/>
      <c r="AX847" s="355"/>
      <c r="AY847" s="344"/>
      <c r="AZ847" s="14">
        <f t="shared" si="95"/>
        <v>10284.808184590147</v>
      </c>
      <c r="BA847" s="14">
        <f t="shared" ref="BA847:BA910" si="100">AG847</f>
        <v>-0.34922193347503949</v>
      </c>
      <c r="BB847" s="14">
        <f t="shared" si="89"/>
        <v>-29450.636396883845</v>
      </c>
      <c r="BC847" s="344"/>
      <c r="BD847" s="344"/>
      <c r="BE847" s="344"/>
      <c r="BF847" s="344"/>
      <c r="BG847" s="344"/>
      <c r="BH847" s="344"/>
      <c r="BI847" s="344"/>
      <c r="BJ847" s="344"/>
      <c r="BK847" s="344"/>
      <c r="BL847" s="344"/>
      <c r="BM847" s="344"/>
      <c r="BN847" s="344"/>
      <c r="BO847" s="344"/>
      <c r="BP847" s="344"/>
      <c r="BQ847" s="344"/>
      <c r="BR847" s="344"/>
      <c r="BS847" s="344"/>
      <c r="BT847" s="344"/>
      <c r="BU847" s="344"/>
      <c r="BV847" s="344"/>
      <c r="BW847" s="344"/>
      <c r="BX847" s="344"/>
      <c r="BY847" s="344"/>
      <c r="BZ847" s="344"/>
      <c r="CA847" s="344"/>
      <c r="CB847" s="28"/>
      <c r="CC847" s="28"/>
      <c r="CD847" s="28"/>
      <c r="CE847" s="28"/>
      <c r="CF847" s="28"/>
      <c r="CG847" s="28"/>
      <c r="CH847" s="28"/>
      <c r="CI847" s="28"/>
      <c r="CJ847" s="28"/>
      <c r="CK847" s="28"/>
      <c r="CL847" s="28"/>
      <c r="CM847" s="28"/>
      <c r="CN847" s="28"/>
      <c r="CO847" s="28"/>
      <c r="CP847" s="28"/>
      <c r="CQ847" s="28"/>
      <c r="CR847" s="28"/>
      <c r="CS847" s="28"/>
      <c r="CT847" s="28"/>
      <c r="CU847" s="28"/>
      <c r="CV847" s="28"/>
      <c r="CW847" s="28"/>
    </row>
    <row r="848" spans="1:101" ht="14.25" customHeight="1" x14ac:dyDescent="0.2">
      <c r="A848" s="328"/>
      <c r="B848" s="52">
        <v>0.16692133207513093</v>
      </c>
      <c r="C848" s="330">
        <v>0.37255449689757192</v>
      </c>
      <c r="D848" s="330">
        <v>2.8647815562036216E-2</v>
      </c>
      <c r="E848" s="330">
        <v>8.3136436329225849E-3</v>
      </c>
      <c r="F848" s="331">
        <v>0.80081353936365329</v>
      </c>
      <c r="G848" s="94">
        <v>0.37805643865088634</v>
      </c>
      <c r="H848" s="330">
        <v>0.13151609044637091</v>
      </c>
      <c r="I848" s="330">
        <v>2.8445399874016619E-2</v>
      </c>
      <c r="J848" s="330">
        <v>0.99999998544632329</v>
      </c>
      <c r="K848" s="330">
        <v>0.7628780673277038</v>
      </c>
      <c r="L848" s="332">
        <v>10899.518674998752</v>
      </c>
      <c r="M848" s="330">
        <v>0</v>
      </c>
      <c r="N848" s="330">
        <v>13072.796788455747</v>
      </c>
      <c r="O848" s="330">
        <v>1442.55612820745</v>
      </c>
      <c r="P848" s="330">
        <v>28037.236154224986</v>
      </c>
      <c r="Q848" s="333">
        <v>81359.904555648129</v>
      </c>
      <c r="R848" s="330">
        <v>20338.129398405927</v>
      </c>
      <c r="S848" s="330">
        <v>6758.1391977599305</v>
      </c>
      <c r="T848" s="332">
        <v>0.93442819895803053</v>
      </c>
      <c r="U848" s="330">
        <v>0.9787218688792515</v>
      </c>
      <c r="V848" s="330">
        <v>0.13038710098782794</v>
      </c>
      <c r="W848" s="330">
        <v>0.81572249620105575</v>
      </c>
      <c r="X848" s="330">
        <v>0.99473866895152208</v>
      </c>
      <c r="Y848" s="330">
        <v>0</v>
      </c>
      <c r="Z848" s="331">
        <v>0</v>
      </c>
      <c r="AA848" s="235"/>
      <c r="AB848" s="335">
        <v>70873.301316806916</v>
      </c>
      <c r="AC848" s="336">
        <v>4.8636692045354044</v>
      </c>
      <c r="AD848" s="337">
        <v>58252.67025104101</v>
      </c>
      <c r="AE848" s="336">
        <v>4.7345176362037025</v>
      </c>
      <c r="AF848" s="337">
        <v>12620.631065765905</v>
      </c>
      <c r="AG848" s="338">
        <v>0.12915156833170194</v>
      </c>
      <c r="AH848" s="235"/>
      <c r="AI848" s="208">
        <f t="shared" si="96"/>
        <v>4549612.4429918267</v>
      </c>
      <c r="AJ848" s="208">
        <f t="shared" si="97"/>
        <v>4439539.0841424763</v>
      </c>
      <c r="AK848" s="208">
        <f t="shared" si="98"/>
        <v>110073.35884935093</v>
      </c>
      <c r="AL848" s="235"/>
      <c r="AM848" s="52">
        <f t="shared" si="86"/>
        <v>1</v>
      </c>
      <c r="AN848" s="52">
        <f t="shared" si="87"/>
        <v>0</v>
      </c>
      <c r="AO848" s="52">
        <f t="shared" si="88"/>
        <v>1</v>
      </c>
      <c r="AP848" s="235"/>
      <c r="AQ848" s="28"/>
      <c r="AR848" s="28"/>
      <c r="AS848" s="28"/>
      <c r="AT848" s="28"/>
      <c r="AU848" s="235"/>
      <c r="AV848" s="360">
        <f t="shared" si="99"/>
        <v>4549612.4429918267</v>
      </c>
      <c r="AW848" s="235"/>
      <c r="AX848" s="355"/>
      <c r="AY848" s="344"/>
      <c r="AZ848" s="14">
        <f t="shared" ref="AZ848:AZ911" si="101">AF848</f>
        <v>12620.631065765905</v>
      </c>
      <c r="BA848" s="14">
        <f t="shared" si="100"/>
        <v>0.12915156833170194</v>
      </c>
      <c r="BB848" s="14">
        <f t="shared" si="89"/>
        <v>97719.533945976917</v>
      </c>
      <c r="BC848" s="344"/>
      <c r="BD848" s="344"/>
      <c r="BE848" s="344"/>
      <c r="BF848" s="344"/>
      <c r="BG848" s="344"/>
      <c r="BH848" s="344"/>
      <c r="BI848" s="344"/>
      <c r="BJ848" s="344"/>
      <c r="BK848" s="344"/>
      <c r="BL848" s="344"/>
      <c r="BM848" s="344"/>
      <c r="BN848" s="344"/>
      <c r="BO848" s="344"/>
      <c r="BP848" s="344"/>
      <c r="BQ848" s="344"/>
      <c r="BR848" s="344"/>
      <c r="BS848" s="344"/>
      <c r="BT848" s="344"/>
      <c r="BU848" s="344"/>
      <c r="BV848" s="344"/>
      <c r="BW848" s="344"/>
      <c r="BX848" s="344"/>
      <c r="BY848" s="344"/>
      <c r="BZ848" s="344"/>
      <c r="CA848" s="344"/>
      <c r="CB848" s="28"/>
      <c r="CC848" s="28"/>
      <c r="CD848" s="28"/>
      <c r="CE848" s="28"/>
      <c r="CF848" s="28"/>
      <c r="CG848" s="28"/>
      <c r="CH848" s="28"/>
      <c r="CI848" s="28"/>
      <c r="CJ848" s="28"/>
      <c r="CK848" s="28"/>
      <c r="CL848" s="28"/>
      <c r="CM848" s="28"/>
      <c r="CN848" s="28"/>
      <c r="CO848" s="28"/>
      <c r="CP848" s="28"/>
      <c r="CQ848" s="28"/>
      <c r="CR848" s="28"/>
      <c r="CS848" s="28"/>
      <c r="CT848" s="28"/>
      <c r="CU848" s="28"/>
      <c r="CV848" s="28"/>
      <c r="CW848" s="28"/>
    </row>
    <row r="849" spans="1:101" ht="14.25" customHeight="1" x14ac:dyDescent="0.2">
      <c r="A849" s="328"/>
      <c r="B849" s="52">
        <v>0.18394385585209716</v>
      </c>
      <c r="C849" s="330">
        <v>3.833601221401807E-2</v>
      </c>
      <c r="D849" s="330">
        <v>3.0946587992028096E-2</v>
      </c>
      <c r="E849" s="330">
        <v>1.6409414186580817E-2</v>
      </c>
      <c r="F849" s="331">
        <v>0.77972633261461011</v>
      </c>
      <c r="G849" s="94">
        <v>0.37528476363749536</v>
      </c>
      <c r="H849" s="330">
        <v>0.35171932445071324</v>
      </c>
      <c r="I849" s="330">
        <v>3.7354294364468688E-2</v>
      </c>
      <c r="J849" s="330">
        <v>9.0340497195827874E-2</v>
      </c>
      <c r="K849" s="330">
        <v>0.78279092751666968</v>
      </c>
      <c r="L849" s="332">
        <v>12247.469591098894</v>
      </c>
      <c r="M849" s="330">
        <v>0</v>
      </c>
      <c r="N849" s="330">
        <v>18397.947360679558</v>
      </c>
      <c r="O849" s="330">
        <v>1222.3132654655412</v>
      </c>
      <c r="P849" s="330">
        <v>40778.297522720066</v>
      </c>
      <c r="Q849" s="333">
        <v>91748.720153332426</v>
      </c>
      <c r="R849" s="330">
        <v>25558.472410060491</v>
      </c>
      <c r="S849" s="330">
        <v>7166.1474494644026</v>
      </c>
      <c r="T849" s="332">
        <v>0.9924731236554778</v>
      </c>
      <c r="U849" s="330">
        <v>0.99233787337655865</v>
      </c>
      <c r="V849" s="330">
        <v>0.80112447977843948</v>
      </c>
      <c r="W849" s="330">
        <v>0.87189225909010459</v>
      </c>
      <c r="X849" s="330">
        <v>0.99463166813745896</v>
      </c>
      <c r="Y849" s="330">
        <v>0</v>
      </c>
      <c r="Z849" s="331">
        <v>0</v>
      </c>
      <c r="AA849" s="235"/>
      <c r="AB849" s="335">
        <v>73142.529170487833</v>
      </c>
      <c r="AC849" s="336">
        <v>5.1257302849589461</v>
      </c>
      <c r="AD849" s="337">
        <v>65279.00689345727</v>
      </c>
      <c r="AE849" s="336">
        <v>4.7505400645327986</v>
      </c>
      <c r="AF849" s="337">
        <v>7863.5222770305627</v>
      </c>
      <c r="AG849" s="338">
        <v>0.37519022042614747</v>
      </c>
      <c r="AH849" s="235"/>
      <c r="AI849" s="208">
        <f t="shared" si="96"/>
        <v>4796301.2415405111</v>
      </c>
      <c r="AJ849" s="208">
        <f t="shared" si="97"/>
        <v>4447734.0544127021</v>
      </c>
      <c r="AK849" s="208">
        <f t="shared" si="98"/>
        <v>348567.18712780951</v>
      </c>
      <c r="AL849" s="235"/>
      <c r="AM849" s="52">
        <f t="shared" si="86"/>
        <v>1</v>
      </c>
      <c r="AN849" s="52">
        <f t="shared" si="87"/>
        <v>0</v>
      </c>
      <c r="AO849" s="52">
        <f t="shared" si="88"/>
        <v>1</v>
      </c>
      <c r="AP849" s="235"/>
      <c r="AQ849" s="28"/>
      <c r="AR849" s="28"/>
      <c r="AS849" s="28"/>
      <c r="AT849" s="28"/>
      <c r="AU849" s="235"/>
      <c r="AV849" s="360">
        <f t="shared" si="99"/>
        <v>4796301.2415405111</v>
      </c>
      <c r="AW849" s="235"/>
      <c r="AX849" s="355"/>
      <c r="AY849" s="344"/>
      <c r="AZ849" s="14">
        <f t="shared" si="101"/>
        <v>7863.5222770305627</v>
      </c>
      <c r="BA849" s="14">
        <f t="shared" si="100"/>
        <v>0.37519022042614747</v>
      </c>
      <c r="BB849" s="14">
        <f t="shared" si="89"/>
        <v>20958.761313392017</v>
      </c>
      <c r="BC849" s="344"/>
      <c r="BD849" s="344"/>
      <c r="BE849" s="344"/>
      <c r="BF849" s="344"/>
      <c r="BG849" s="344"/>
      <c r="BH849" s="344"/>
      <c r="BI849" s="344"/>
      <c r="BJ849" s="344"/>
      <c r="BK849" s="344"/>
      <c r="BL849" s="344"/>
      <c r="BM849" s="344"/>
      <c r="BN849" s="344"/>
      <c r="BO849" s="344"/>
      <c r="BP849" s="344"/>
      <c r="BQ849" s="344"/>
      <c r="BR849" s="344"/>
      <c r="BS849" s="344"/>
      <c r="BT849" s="344"/>
      <c r="BU849" s="344"/>
      <c r="BV849" s="344"/>
      <c r="BW849" s="344"/>
      <c r="BX849" s="344"/>
      <c r="BY849" s="344"/>
      <c r="BZ849" s="344"/>
      <c r="CA849" s="344"/>
      <c r="CB849" s="28"/>
      <c r="CC849" s="28"/>
      <c r="CD849" s="28"/>
      <c r="CE849" s="28"/>
      <c r="CF849" s="28"/>
      <c r="CG849" s="28"/>
      <c r="CH849" s="28"/>
      <c r="CI849" s="28"/>
      <c r="CJ849" s="28"/>
      <c r="CK849" s="28"/>
      <c r="CL849" s="28"/>
      <c r="CM849" s="28"/>
      <c r="CN849" s="28"/>
      <c r="CO849" s="28"/>
      <c r="CP849" s="28"/>
      <c r="CQ849" s="28"/>
      <c r="CR849" s="28"/>
      <c r="CS849" s="28"/>
      <c r="CT849" s="28"/>
      <c r="CU849" s="28"/>
      <c r="CV849" s="28"/>
      <c r="CW849" s="28"/>
    </row>
    <row r="850" spans="1:101" ht="14.25" customHeight="1" x14ac:dyDescent="0.2">
      <c r="A850" s="328"/>
      <c r="B850" s="52">
        <v>0.12965599304598427</v>
      </c>
      <c r="C850" s="330">
        <v>0.36092180162179854</v>
      </c>
      <c r="D850" s="330">
        <v>8.0555078004520223E-3</v>
      </c>
      <c r="E850" s="330">
        <v>1.7928655758972845E-2</v>
      </c>
      <c r="F850" s="331">
        <v>0.78130823476922739</v>
      </c>
      <c r="G850" s="94">
        <v>0.40003410255962113</v>
      </c>
      <c r="H850" s="330">
        <v>0.37105816972641864</v>
      </c>
      <c r="I850" s="330">
        <v>1.84896455384429E-2</v>
      </c>
      <c r="J850" s="330">
        <v>7.3900282903028261E-2</v>
      </c>
      <c r="K850" s="330">
        <v>0.7645769994015601</v>
      </c>
      <c r="L850" s="332">
        <v>9819.1088190561186</v>
      </c>
      <c r="M850" s="330">
        <v>0</v>
      </c>
      <c r="N850" s="330">
        <v>36076.741641535598</v>
      </c>
      <c r="O850" s="330">
        <v>1132.4040321294463</v>
      </c>
      <c r="P850" s="330">
        <v>50611.981897479993</v>
      </c>
      <c r="Q850" s="333">
        <v>85484.369277675578</v>
      </c>
      <c r="R850" s="330">
        <v>25974.849450599293</v>
      </c>
      <c r="S850" s="330">
        <v>8865.8652268830101</v>
      </c>
      <c r="T850" s="332">
        <v>0.99999992837924023</v>
      </c>
      <c r="U850" s="330">
        <v>0.45228599113958423</v>
      </c>
      <c r="V850" s="330">
        <v>5.4828788638409232E-2</v>
      </c>
      <c r="W850" s="330">
        <v>0.93613371505670995</v>
      </c>
      <c r="X850" s="330">
        <v>0.64576007569174221</v>
      </c>
      <c r="Y850" s="330">
        <v>0</v>
      </c>
      <c r="Z850" s="331">
        <v>0</v>
      </c>
      <c r="AA850" s="235"/>
      <c r="AB850" s="335">
        <v>85607.304151367614</v>
      </c>
      <c r="AC850" s="336">
        <v>3.0680655467787901</v>
      </c>
      <c r="AD850" s="337">
        <v>77729.439407038328</v>
      </c>
      <c r="AE850" s="336">
        <v>3.0915433726834172</v>
      </c>
      <c r="AF850" s="337">
        <v>7877.8647443292866</v>
      </c>
      <c r="AG850" s="338">
        <v>-2.3477825904627103E-2</v>
      </c>
      <c r="AH850" s="235"/>
      <c r="AI850" s="208">
        <f t="shared" si="96"/>
        <v>2829054.9652884831</v>
      </c>
      <c r="AJ850" s="208">
        <f t="shared" si="97"/>
        <v>2859236.7646422079</v>
      </c>
      <c r="AK850" s="208">
        <f t="shared" si="98"/>
        <v>-30181.799353725033</v>
      </c>
      <c r="AL850" s="235"/>
      <c r="AM850" s="52">
        <f t="shared" si="86"/>
        <v>0</v>
      </c>
      <c r="AN850" s="52">
        <f t="shared" si="87"/>
        <v>1</v>
      </c>
      <c r="AO850" s="52">
        <f t="shared" si="88"/>
        <v>0</v>
      </c>
      <c r="AP850" s="235"/>
      <c r="AQ850" s="28"/>
      <c r="AR850" s="28"/>
      <c r="AS850" s="28"/>
      <c r="AT850" s="28"/>
      <c r="AU850" s="235"/>
      <c r="AV850" s="360">
        <f t="shared" si="99"/>
        <v>2859236.7646422079</v>
      </c>
      <c r="AW850" s="235"/>
      <c r="AX850" s="355"/>
      <c r="AY850" s="344"/>
      <c r="AZ850" s="14">
        <f t="shared" si="101"/>
        <v>7877.8647443292866</v>
      </c>
      <c r="BA850" s="14">
        <f t="shared" si="100"/>
        <v>-2.3477825904627103E-2</v>
      </c>
      <c r="BB850" s="14">
        <f t="shared" si="89"/>
        <v>-335544.89995501185</v>
      </c>
      <c r="BC850" s="344"/>
      <c r="BD850" s="344"/>
      <c r="BE850" s="344"/>
      <c r="BF850" s="344"/>
      <c r="BG850" s="344"/>
      <c r="BH850" s="344"/>
      <c r="BI850" s="344"/>
      <c r="BJ850" s="344"/>
      <c r="BK850" s="344"/>
      <c r="BL850" s="344"/>
      <c r="BM850" s="344"/>
      <c r="BN850" s="344"/>
      <c r="BO850" s="344"/>
      <c r="BP850" s="344"/>
      <c r="BQ850" s="344"/>
      <c r="BR850" s="344"/>
      <c r="BS850" s="344"/>
      <c r="BT850" s="344"/>
      <c r="BU850" s="344"/>
      <c r="BV850" s="344"/>
      <c r="BW850" s="344"/>
      <c r="BX850" s="344"/>
      <c r="BY850" s="344"/>
      <c r="BZ850" s="344"/>
      <c r="CA850" s="344"/>
      <c r="CB850" s="28"/>
      <c r="CC850" s="28"/>
      <c r="CD850" s="28"/>
      <c r="CE850" s="28"/>
      <c r="CF850" s="28"/>
      <c r="CG850" s="28"/>
      <c r="CH850" s="28"/>
      <c r="CI850" s="28"/>
      <c r="CJ850" s="28"/>
      <c r="CK850" s="28"/>
      <c r="CL850" s="28"/>
      <c r="CM850" s="28"/>
      <c r="CN850" s="28"/>
      <c r="CO850" s="28"/>
      <c r="CP850" s="28"/>
      <c r="CQ850" s="28"/>
      <c r="CR850" s="28"/>
      <c r="CS850" s="28"/>
      <c r="CT850" s="28"/>
      <c r="CU850" s="28"/>
      <c r="CV850" s="28"/>
      <c r="CW850" s="28"/>
    </row>
    <row r="851" spans="1:101" ht="14.25" customHeight="1" x14ac:dyDescent="0.2">
      <c r="A851" s="328"/>
      <c r="B851" s="52">
        <v>0.16040111724336126</v>
      </c>
      <c r="C851" s="330">
        <v>0.67872535431418335</v>
      </c>
      <c r="D851" s="330">
        <v>1.4403206436584548E-2</v>
      </c>
      <c r="E851" s="330">
        <v>1.1740073046036853E-2</v>
      </c>
      <c r="F851" s="331">
        <v>0.815581899334899</v>
      </c>
      <c r="G851" s="94">
        <v>0.38812655195455531</v>
      </c>
      <c r="H851" s="330">
        <v>0.6326729827046218</v>
      </c>
      <c r="I851" s="330">
        <v>2.2825046008382643E-2</v>
      </c>
      <c r="J851" s="330">
        <v>0.99999976560986892</v>
      </c>
      <c r="K851" s="330">
        <v>0.73797579843632799</v>
      </c>
      <c r="L851" s="332">
        <v>12934.979004693601</v>
      </c>
      <c r="M851" s="330">
        <v>0</v>
      </c>
      <c r="N851" s="330">
        <v>24562.09588901648</v>
      </c>
      <c r="O851" s="330">
        <v>1238.3975080421176</v>
      </c>
      <c r="P851" s="330">
        <v>49917.149120748159</v>
      </c>
      <c r="Q851" s="333">
        <v>72665.567581090014</v>
      </c>
      <c r="R851" s="330">
        <v>25157.229742254491</v>
      </c>
      <c r="S851" s="330">
        <v>10706.488503852555</v>
      </c>
      <c r="T851" s="332">
        <v>0.93791651016306832</v>
      </c>
      <c r="U851" s="330">
        <v>0.64900442072266995</v>
      </c>
      <c r="V851" s="330">
        <v>0.93849063884498019</v>
      </c>
      <c r="W851" s="330">
        <v>0.76432589859464095</v>
      </c>
      <c r="X851" s="330">
        <v>0.66874995221833011</v>
      </c>
      <c r="Y851" s="330">
        <v>0</v>
      </c>
      <c r="Z851" s="331">
        <v>0</v>
      </c>
      <c r="AA851" s="235"/>
      <c r="AB851" s="335">
        <v>109747.6500746074</v>
      </c>
      <c r="AC851" s="336">
        <v>3.3433029870335544</v>
      </c>
      <c r="AD851" s="337">
        <v>92760.860648717484</v>
      </c>
      <c r="AE851" s="336">
        <v>3.1251394198061462</v>
      </c>
      <c r="AF851" s="337">
        <v>16986.789425889918</v>
      </c>
      <c r="AG851" s="338">
        <v>0.21816356722740826</v>
      </c>
      <c r="AH851" s="235"/>
      <c r="AI851" s="208">
        <f t="shared" si="96"/>
        <v>3066390.1876072693</v>
      </c>
      <c r="AJ851" s="208">
        <f t="shared" si="97"/>
        <v>2876121.5881671216</v>
      </c>
      <c r="AK851" s="208">
        <f t="shared" si="98"/>
        <v>190268.59944014793</v>
      </c>
      <c r="AL851" s="235"/>
      <c r="AM851" s="52">
        <f t="shared" si="86"/>
        <v>1</v>
      </c>
      <c r="AN851" s="52">
        <f t="shared" si="87"/>
        <v>0</v>
      </c>
      <c r="AO851" s="52">
        <f t="shared" si="88"/>
        <v>1</v>
      </c>
      <c r="AP851" s="235"/>
      <c r="AQ851" s="28"/>
      <c r="AR851" s="28"/>
      <c r="AS851" s="28"/>
      <c r="AT851" s="28"/>
      <c r="AU851" s="235"/>
      <c r="AV851" s="360">
        <f t="shared" si="99"/>
        <v>3066390.1876072693</v>
      </c>
      <c r="AW851" s="235"/>
      <c r="AX851" s="355"/>
      <c r="AY851" s="344"/>
      <c r="AZ851" s="14">
        <f t="shared" si="101"/>
        <v>16986.789425889918</v>
      </c>
      <c r="BA851" s="14">
        <f t="shared" si="100"/>
        <v>0.21816356722740826</v>
      </c>
      <c r="BB851" s="14">
        <f t="shared" si="89"/>
        <v>77862.631427287357</v>
      </c>
      <c r="BC851" s="344"/>
      <c r="BD851" s="344"/>
      <c r="BE851" s="344"/>
      <c r="BF851" s="344"/>
      <c r="BG851" s="344"/>
      <c r="BH851" s="344"/>
      <c r="BI851" s="344"/>
      <c r="BJ851" s="344"/>
      <c r="BK851" s="344"/>
      <c r="BL851" s="344"/>
      <c r="BM851" s="344"/>
      <c r="BN851" s="344"/>
      <c r="BO851" s="344"/>
      <c r="BP851" s="344"/>
      <c r="BQ851" s="344"/>
      <c r="BR851" s="344"/>
      <c r="BS851" s="344"/>
      <c r="BT851" s="344"/>
      <c r="BU851" s="344"/>
      <c r="BV851" s="344"/>
      <c r="BW851" s="344"/>
      <c r="BX851" s="344"/>
      <c r="BY851" s="344"/>
      <c r="BZ851" s="344"/>
      <c r="CA851" s="344"/>
      <c r="CB851" s="28"/>
      <c r="CC851" s="28"/>
      <c r="CD851" s="28"/>
      <c r="CE851" s="28"/>
      <c r="CF851" s="28"/>
      <c r="CG851" s="28"/>
      <c r="CH851" s="28"/>
      <c r="CI851" s="28"/>
      <c r="CJ851" s="28"/>
      <c r="CK851" s="28"/>
      <c r="CL851" s="28"/>
      <c r="CM851" s="28"/>
      <c r="CN851" s="28"/>
      <c r="CO851" s="28"/>
      <c r="CP851" s="28"/>
      <c r="CQ851" s="28"/>
      <c r="CR851" s="28"/>
      <c r="CS851" s="28"/>
      <c r="CT851" s="28"/>
      <c r="CU851" s="28"/>
      <c r="CV851" s="28"/>
      <c r="CW851" s="28"/>
    </row>
    <row r="852" spans="1:101" ht="14.25" customHeight="1" x14ac:dyDescent="0.2">
      <c r="A852" s="328"/>
      <c r="B852" s="52">
        <v>0.17470515204462878</v>
      </c>
      <c r="C852" s="330">
        <v>0.65019694245195769</v>
      </c>
      <c r="D852" s="330">
        <v>1.9984467068983713E-2</v>
      </c>
      <c r="E852" s="330">
        <v>1.6282721915826359E-2</v>
      </c>
      <c r="F852" s="331">
        <v>0.79209535717701074</v>
      </c>
      <c r="G852" s="94">
        <v>0.45269917092217837</v>
      </c>
      <c r="H852" s="330">
        <v>9.1161602812433407E-2</v>
      </c>
      <c r="I852" s="330">
        <v>3.2277533146069293E-2</v>
      </c>
      <c r="J852" s="330">
        <v>0.99923374854750635</v>
      </c>
      <c r="K852" s="330">
        <v>0.78656553371047933</v>
      </c>
      <c r="L852" s="332">
        <v>8914.640474613434</v>
      </c>
      <c r="M852" s="330">
        <v>0</v>
      </c>
      <c r="N852" s="330">
        <v>17117.643805513286</v>
      </c>
      <c r="O852" s="330">
        <v>1478.3499900831598</v>
      </c>
      <c r="P852" s="330">
        <v>46152.770454048819</v>
      </c>
      <c r="Q852" s="333">
        <v>142990.114425268</v>
      </c>
      <c r="R852" s="330">
        <v>24375.205779927903</v>
      </c>
      <c r="S852" s="330">
        <v>7435.8309200903705</v>
      </c>
      <c r="T852" s="332">
        <v>0.98529540004310645</v>
      </c>
      <c r="U852" s="330">
        <v>0.97306006647331245</v>
      </c>
      <c r="V852" s="330">
        <v>0.35991122185700236</v>
      </c>
      <c r="W852" s="330">
        <v>0.99820063817589255</v>
      </c>
      <c r="X852" s="330">
        <v>0.82848704293900366</v>
      </c>
      <c r="Y852" s="330">
        <v>0</v>
      </c>
      <c r="Z852" s="331">
        <v>0</v>
      </c>
      <c r="AA852" s="235"/>
      <c r="AB852" s="335">
        <v>75650.334837995557</v>
      </c>
      <c r="AC852" s="336">
        <v>4.147680704869277</v>
      </c>
      <c r="AD852" s="337">
        <v>67651.953421206053</v>
      </c>
      <c r="AE852" s="336">
        <v>4.1714570810974596</v>
      </c>
      <c r="AF852" s="337">
        <v>7998.3814167895034</v>
      </c>
      <c r="AG852" s="338">
        <v>-2.3776376228182627E-2</v>
      </c>
      <c r="AH852" s="235"/>
      <c r="AI852" s="208">
        <f t="shared" si="96"/>
        <v>3864646.3347878177</v>
      </c>
      <c r="AJ852" s="208">
        <f t="shared" si="97"/>
        <v>3895232.2736213803</v>
      </c>
      <c r="AK852" s="208">
        <f t="shared" si="98"/>
        <v>-30585.938833562999</v>
      </c>
      <c r="AL852" s="235"/>
      <c r="AM852" s="52">
        <f t="shared" si="86"/>
        <v>0</v>
      </c>
      <c r="AN852" s="52">
        <f t="shared" si="87"/>
        <v>1</v>
      </c>
      <c r="AO852" s="52">
        <f t="shared" si="88"/>
        <v>0</v>
      </c>
      <c r="AP852" s="235"/>
      <c r="AQ852" s="28"/>
      <c r="AR852" s="28"/>
      <c r="AS852" s="28"/>
      <c r="AT852" s="28"/>
      <c r="AU852" s="235"/>
      <c r="AV852" s="360">
        <f t="shared" si="99"/>
        <v>3895232.2736213803</v>
      </c>
      <c r="AW852" s="235"/>
      <c r="AX852" s="355"/>
      <c r="AY852" s="344"/>
      <c r="AZ852" s="14">
        <f t="shared" si="101"/>
        <v>7998.3814167895034</v>
      </c>
      <c r="BA852" s="14">
        <f t="shared" si="100"/>
        <v>-2.3776376228182627E-2</v>
      </c>
      <c r="BB852" s="14">
        <f t="shared" si="89"/>
        <v>-336400.35554740496</v>
      </c>
      <c r="BC852" s="344"/>
      <c r="BD852" s="344"/>
      <c r="BE852" s="344"/>
      <c r="BF852" s="344"/>
      <c r="BG852" s="344"/>
      <c r="BH852" s="344"/>
      <c r="BI852" s="344"/>
      <c r="BJ852" s="344"/>
      <c r="BK852" s="344"/>
      <c r="BL852" s="344"/>
      <c r="BM852" s="344"/>
      <c r="BN852" s="344"/>
      <c r="BO852" s="344"/>
      <c r="BP852" s="344"/>
      <c r="BQ852" s="344"/>
      <c r="BR852" s="344"/>
      <c r="BS852" s="344"/>
      <c r="BT852" s="344"/>
      <c r="BU852" s="344"/>
      <c r="BV852" s="344"/>
      <c r="BW852" s="344"/>
      <c r="BX852" s="344"/>
      <c r="BY852" s="344"/>
      <c r="BZ852" s="344"/>
      <c r="CA852" s="344"/>
      <c r="CB852" s="28"/>
      <c r="CC852" s="28"/>
      <c r="CD852" s="28"/>
      <c r="CE852" s="28"/>
      <c r="CF852" s="28"/>
      <c r="CG852" s="28"/>
      <c r="CH852" s="28"/>
      <c r="CI852" s="28"/>
      <c r="CJ852" s="28"/>
      <c r="CK852" s="28"/>
      <c r="CL852" s="28"/>
      <c r="CM852" s="28"/>
      <c r="CN852" s="28"/>
      <c r="CO852" s="28"/>
      <c r="CP852" s="28"/>
      <c r="CQ852" s="28"/>
      <c r="CR852" s="28"/>
      <c r="CS852" s="28"/>
      <c r="CT852" s="28"/>
      <c r="CU852" s="28"/>
      <c r="CV852" s="28"/>
      <c r="CW852" s="28"/>
    </row>
    <row r="853" spans="1:101" ht="14.25" customHeight="1" x14ac:dyDescent="0.2">
      <c r="A853" s="328"/>
      <c r="B853" s="52">
        <v>0.15797411369018702</v>
      </c>
      <c r="C853" s="330">
        <v>1.1827819871007141E-4</v>
      </c>
      <c r="D853" s="330">
        <v>2.0523134018426537E-2</v>
      </c>
      <c r="E853" s="330">
        <v>1.3026457743395656E-2</v>
      </c>
      <c r="F853" s="331">
        <v>0.78747600157945186</v>
      </c>
      <c r="G853" s="94">
        <v>0.35028374220452679</v>
      </c>
      <c r="H853" s="330">
        <v>7.7226381742153127E-2</v>
      </c>
      <c r="I853" s="330">
        <v>7.9791869298084031E-3</v>
      </c>
      <c r="J853" s="330">
        <v>0.99927589848887022</v>
      </c>
      <c r="K853" s="330">
        <v>0.75439488076213224</v>
      </c>
      <c r="L853" s="332">
        <v>18526.17696005078</v>
      </c>
      <c r="M853" s="330">
        <v>0</v>
      </c>
      <c r="N853" s="330">
        <v>26040.723088679119</v>
      </c>
      <c r="O853" s="330">
        <v>1270.6628908160537</v>
      </c>
      <c r="P853" s="330">
        <v>26757.382867981509</v>
      </c>
      <c r="Q853" s="333">
        <v>133573.10855684089</v>
      </c>
      <c r="R853" s="330">
        <v>23315.1987387234</v>
      </c>
      <c r="S853" s="330">
        <v>10329.656741621016</v>
      </c>
      <c r="T853" s="332">
        <v>0.89923608499026286</v>
      </c>
      <c r="U853" s="330">
        <v>0.82134915616979653</v>
      </c>
      <c r="V853" s="330">
        <v>0.44590214424727781</v>
      </c>
      <c r="W853" s="330">
        <v>0.99959112173754905</v>
      </c>
      <c r="X853" s="330">
        <v>0.95919518841780893</v>
      </c>
      <c r="Y853" s="330">
        <v>0</v>
      </c>
      <c r="Z853" s="331">
        <v>0</v>
      </c>
      <c r="AA853" s="235"/>
      <c r="AB853" s="335">
        <v>106454.29881510121</v>
      </c>
      <c r="AC853" s="336">
        <v>4.6724780721771548</v>
      </c>
      <c r="AD853" s="337">
        <v>85216.191319555175</v>
      </c>
      <c r="AE853" s="336">
        <v>4.6863573345198954</v>
      </c>
      <c r="AF853" s="337">
        <v>21238.107495546035</v>
      </c>
      <c r="AG853" s="338">
        <v>-1.3879262342740617E-2</v>
      </c>
      <c r="AH853" s="235"/>
      <c r="AI853" s="208">
        <f t="shared" si="96"/>
        <v>4332399.8697531959</v>
      </c>
      <c r="AJ853" s="208">
        <f t="shared" si="97"/>
        <v>4366823.2764743455</v>
      </c>
      <c r="AK853" s="208">
        <f t="shared" si="98"/>
        <v>-34423.406721149622</v>
      </c>
      <c r="AL853" s="235"/>
      <c r="AM853" s="52">
        <f t="shared" si="86"/>
        <v>0</v>
      </c>
      <c r="AN853" s="52">
        <f t="shared" si="87"/>
        <v>1</v>
      </c>
      <c r="AO853" s="52">
        <f t="shared" si="88"/>
        <v>0</v>
      </c>
      <c r="AP853" s="235"/>
      <c r="AQ853" s="28"/>
      <c r="AR853" s="28"/>
      <c r="AS853" s="28"/>
      <c r="AT853" s="28"/>
      <c r="AU853" s="235"/>
      <c r="AV853" s="360">
        <f t="shared" si="99"/>
        <v>4366823.2764743455</v>
      </c>
      <c r="AW853" s="235"/>
      <c r="AX853" s="355"/>
      <c r="AY853" s="344"/>
      <c r="AZ853" s="14">
        <f t="shared" si="101"/>
        <v>21238.107495546035</v>
      </c>
      <c r="BA853" s="14">
        <f t="shared" si="100"/>
        <v>-1.3879262342740617E-2</v>
      </c>
      <c r="BB853" s="14">
        <f t="shared" si="89"/>
        <v>-1530204.3416345087</v>
      </c>
      <c r="BC853" s="344"/>
      <c r="BD853" s="344"/>
      <c r="BE853" s="344"/>
      <c r="BF853" s="344"/>
      <c r="BG853" s="344"/>
      <c r="BH853" s="344"/>
      <c r="BI853" s="344"/>
      <c r="BJ853" s="344"/>
      <c r="BK853" s="344"/>
      <c r="BL853" s="344"/>
      <c r="BM853" s="344"/>
      <c r="BN853" s="344"/>
      <c r="BO853" s="344"/>
      <c r="BP853" s="344"/>
      <c r="BQ853" s="344"/>
      <c r="BR853" s="344"/>
      <c r="BS853" s="344"/>
      <c r="BT853" s="344"/>
      <c r="BU853" s="344"/>
      <c r="BV853" s="344"/>
      <c r="BW853" s="344"/>
      <c r="BX853" s="344"/>
      <c r="BY853" s="344"/>
      <c r="BZ853" s="344"/>
      <c r="CA853" s="344"/>
      <c r="CB853" s="28"/>
      <c r="CC853" s="28"/>
      <c r="CD853" s="28"/>
      <c r="CE853" s="28"/>
      <c r="CF853" s="28"/>
      <c r="CG853" s="28"/>
      <c r="CH853" s="28"/>
      <c r="CI853" s="28"/>
      <c r="CJ853" s="28"/>
      <c r="CK853" s="28"/>
      <c r="CL853" s="28"/>
      <c r="CM853" s="28"/>
      <c r="CN853" s="28"/>
      <c r="CO853" s="28"/>
      <c r="CP853" s="28"/>
      <c r="CQ853" s="28"/>
      <c r="CR853" s="28"/>
      <c r="CS853" s="28"/>
      <c r="CT853" s="28"/>
      <c r="CU853" s="28"/>
      <c r="CV853" s="28"/>
      <c r="CW853" s="28"/>
    </row>
    <row r="854" spans="1:101" ht="14.25" customHeight="1" x14ac:dyDescent="0.2">
      <c r="A854" s="328"/>
      <c r="B854" s="52">
        <v>0.16695791187665066</v>
      </c>
      <c r="C854" s="330">
        <v>0.1401507475725291</v>
      </c>
      <c r="D854" s="330">
        <v>1.5251966927829264E-2</v>
      </c>
      <c r="E854" s="330">
        <v>3.6683617120088718E-2</v>
      </c>
      <c r="F854" s="331">
        <v>0.7766772122571548</v>
      </c>
      <c r="G854" s="94">
        <v>0.36825873072525378</v>
      </c>
      <c r="H854" s="330">
        <v>0.90770052620367381</v>
      </c>
      <c r="I854" s="330">
        <v>2.8267995183201333E-2</v>
      </c>
      <c r="J854" s="330">
        <v>0.99995841815250508</v>
      </c>
      <c r="K854" s="330">
        <v>0.7010933329250072</v>
      </c>
      <c r="L854" s="332">
        <v>10082.655615632821</v>
      </c>
      <c r="M854" s="330">
        <v>0</v>
      </c>
      <c r="N854" s="330">
        <v>23808.7544639275</v>
      </c>
      <c r="O854" s="330">
        <v>1388.3362628948332</v>
      </c>
      <c r="P854" s="330">
        <v>43728.242654680005</v>
      </c>
      <c r="Q854" s="333">
        <v>88303.091208138256</v>
      </c>
      <c r="R854" s="330">
        <v>29349.185037820622</v>
      </c>
      <c r="S854" s="330">
        <v>7625.7496390012511</v>
      </c>
      <c r="T854" s="332">
        <v>0.90567870058664846</v>
      </c>
      <c r="U854" s="330">
        <v>0.9976819220582076</v>
      </c>
      <c r="V854" s="330">
        <v>0.96806888845414263</v>
      </c>
      <c r="W854" s="330">
        <v>0.98989593361563333</v>
      </c>
      <c r="X854" s="330">
        <v>0.11501508369257514</v>
      </c>
      <c r="Y854" s="330">
        <v>0</v>
      </c>
      <c r="Z854" s="331">
        <v>0</v>
      </c>
      <c r="AA854" s="235"/>
      <c r="AB854" s="335">
        <v>74790.722831354913</v>
      </c>
      <c r="AC854" s="336">
        <v>0.66709549310353311</v>
      </c>
      <c r="AD854" s="337">
        <v>69082.580688784437</v>
      </c>
      <c r="AE854" s="336">
        <v>0.64290738407603598</v>
      </c>
      <c r="AF854" s="337">
        <v>5708.1421425704757</v>
      </c>
      <c r="AG854" s="338">
        <v>2.4188109027497129E-2</v>
      </c>
      <c r="AH854" s="235"/>
      <c r="AI854" s="208">
        <f t="shared" si="96"/>
        <v>558949.99561700155</v>
      </c>
      <c r="AJ854" s="208">
        <f t="shared" si="97"/>
        <v>541679.43418344972</v>
      </c>
      <c r="AK854" s="208">
        <f t="shared" si="98"/>
        <v>17270.561433551797</v>
      </c>
      <c r="AL854" s="235"/>
      <c r="AM854" s="52">
        <f t="shared" si="86"/>
        <v>1</v>
      </c>
      <c r="AN854" s="52">
        <f t="shared" si="87"/>
        <v>0</v>
      </c>
      <c r="AO854" s="52">
        <f t="shared" si="88"/>
        <v>1</v>
      </c>
      <c r="AP854" s="235"/>
      <c r="AQ854" s="28"/>
      <c r="AR854" s="28"/>
      <c r="AS854" s="28"/>
      <c r="AT854" s="28"/>
      <c r="AU854" s="235"/>
      <c r="AV854" s="360">
        <f t="shared" si="99"/>
        <v>558949.99561700155</v>
      </c>
      <c r="AW854" s="235"/>
      <c r="AX854" s="355"/>
      <c r="AY854" s="344"/>
      <c r="AZ854" s="14">
        <f t="shared" si="101"/>
        <v>5708.1421425704757</v>
      </c>
      <c r="BA854" s="14">
        <f t="shared" si="100"/>
        <v>2.4188109027497129E-2</v>
      </c>
      <c r="BB854" s="14">
        <f t="shared" si="89"/>
        <v>235989.59869419472</v>
      </c>
      <c r="BC854" s="344"/>
      <c r="BD854" s="344"/>
      <c r="BE854" s="344"/>
      <c r="BF854" s="344"/>
      <c r="BG854" s="344"/>
      <c r="BH854" s="344"/>
      <c r="BI854" s="344"/>
      <c r="BJ854" s="344"/>
      <c r="BK854" s="344"/>
      <c r="BL854" s="344"/>
      <c r="BM854" s="344"/>
      <c r="BN854" s="344"/>
      <c r="BO854" s="344"/>
      <c r="BP854" s="344"/>
      <c r="BQ854" s="344"/>
      <c r="BR854" s="344"/>
      <c r="BS854" s="344"/>
      <c r="BT854" s="344"/>
      <c r="BU854" s="344"/>
      <c r="BV854" s="344"/>
      <c r="BW854" s="344"/>
      <c r="BX854" s="344"/>
      <c r="BY854" s="344"/>
      <c r="BZ854" s="344"/>
      <c r="CA854" s="344"/>
      <c r="CB854" s="28"/>
      <c r="CC854" s="28"/>
      <c r="CD854" s="28"/>
      <c r="CE854" s="28"/>
      <c r="CF854" s="28"/>
      <c r="CG854" s="28"/>
      <c r="CH854" s="28"/>
      <c r="CI854" s="28"/>
      <c r="CJ854" s="28"/>
      <c r="CK854" s="28"/>
      <c r="CL854" s="28"/>
      <c r="CM854" s="28"/>
      <c r="CN854" s="28"/>
      <c r="CO854" s="28"/>
      <c r="CP854" s="28"/>
      <c r="CQ854" s="28"/>
      <c r="CR854" s="28"/>
      <c r="CS854" s="28"/>
      <c r="CT854" s="28"/>
      <c r="CU854" s="28"/>
      <c r="CV854" s="28"/>
      <c r="CW854" s="28"/>
    </row>
    <row r="855" spans="1:101" ht="14.25" customHeight="1" x14ac:dyDescent="0.2">
      <c r="A855" s="328"/>
      <c r="B855" s="52">
        <v>0.17313537296966197</v>
      </c>
      <c r="C855" s="330">
        <v>7.2924297505650562E-2</v>
      </c>
      <c r="D855" s="330">
        <v>9.6391245388079676E-3</v>
      </c>
      <c r="E855" s="330">
        <v>1.512893192464726E-2</v>
      </c>
      <c r="F855" s="331">
        <v>0.79654320774802101</v>
      </c>
      <c r="G855" s="94">
        <v>0.40124376148574603</v>
      </c>
      <c r="H855" s="330">
        <v>0.76394179747234436</v>
      </c>
      <c r="I855" s="330">
        <v>9.3411869900559934E-3</v>
      </c>
      <c r="J855" s="330">
        <v>0.99999999710008369</v>
      </c>
      <c r="K855" s="330">
        <v>0.75838472049021233</v>
      </c>
      <c r="L855" s="332">
        <v>12386.875322274675</v>
      </c>
      <c r="M855" s="330">
        <v>0</v>
      </c>
      <c r="N855" s="330">
        <v>13787.842358145606</v>
      </c>
      <c r="O855" s="330">
        <v>1495.8195008798239</v>
      </c>
      <c r="P855" s="330">
        <v>40850.200400699548</v>
      </c>
      <c r="Q855" s="333">
        <v>113004.31568126418</v>
      </c>
      <c r="R855" s="330">
        <v>23056.771150845427</v>
      </c>
      <c r="S855" s="330">
        <v>8815.5437622199097</v>
      </c>
      <c r="T855" s="332">
        <v>0.99986363600280137</v>
      </c>
      <c r="U855" s="330">
        <v>0.74991918515970135</v>
      </c>
      <c r="V855" s="330">
        <v>0.99762414318959092</v>
      </c>
      <c r="W855" s="330">
        <v>0.73015187817095117</v>
      </c>
      <c r="X855" s="330">
        <v>0.72804017909868357</v>
      </c>
      <c r="Y855" s="330">
        <v>0</v>
      </c>
      <c r="Z855" s="331">
        <v>0</v>
      </c>
      <c r="AA855" s="235"/>
      <c r="AB855" s="335">
        <v>88481.226536927934</v>
      </c>
      <c r="AC855" s="336">
        <v>3.9042462686159825</v>
      </c>
      <c r="AD855" s="337">
        <v>79980.768022053191</v>
      </c>
      <c r="AE855" s="336">
        <v>3.3380347131825121</v>
      </c>
      <c r="AF855" s="337">
        <v>8500.4585148747428</v>
      </c>
      <c r="AG855" s="338">
        <v>0.56621155543347035</v>
      </c>
      <c r="AH855" s="235"/>
      <c r="AI855" s="208">
        <f t="shared" si="96"/>
        <v>3620552.7286482556</v>
      </c>
      <c r="AJ855" s="208">
        <f t="shared" si="97"/>
        <v>3091152.2095013331</v>
      </c>
      <c r="AK855" s="208">
        <f t="shared" si="98"/>
        <v>529400.51914692204</v>
      </c>
      <c r="AL855" s="235"/>
      <c r="AM855" s="52">
        <f t="shared" si="86"/>
        <v>1</v>
      </c>
      <c r="AN855" s="52">
        <f t="shared" si="87"/>
        <v>0</v>
      </c>
      <c r="AO855" s="52">
        <f t="shared" si="88"/>
        <v>1</v>
      </c>
      <c r="AP855" s="235"/>
      <c r="AQ855" s="28"/>
      <c r="AR855" s="28"/>
      <c r="AS855" s="28"/>
      <c r="AT855" s="28"/>
      <c r="AU855" s="235"/>
      <c r="AV855" s="360">
        <f t="shared" si="99"/>
        <v>3620552.7286482556</v>
      </c>
      <c r="AW855" s="235"/>
      <c r="AX855" s="355"/>
      <c r="AY855" s="344"/>
      <c r="AZ855" s="14">
        <f t="shared" si="101"/>
        <v>8500.4585148747428</v>
      </c>
      <c r="BA855" s="14">
        <f t="shared" si="100"/>
        <v>0.56621155543347035</v>
      </c>
      <c r="BB855" s="14">
        <f t="shared" si="89"/>
        <v>15012.866539551829</v>
      </c>
      <c r="BC855" s="344"/>
      <c r="BD855" s="344"/>
      <c r="BE855" s="344"/>
      <c r="BF855" s="344"/>
      <c r="BG855" s="344"/>
      <c r="BH855" s="344"/>
      <c r="BI855" s="344"/>
      <c r="BJ855" s="344"/>
      <c r="BK855" s="344"/>
      <c r="BL855" s="344"/>
      <c r="BM855" s="344"/>
      <c r="BN855" s="344"/>
      <c r="BO855" s="344"/>
      <c r="BP855" s="344"/>
      <c r="BQ855" s="344"/>
      <c r="BR855" s="344"/>
      <c r="BS855" s="344"/>
      <c r="BT855" s="344"/>
      <c r="BU855" s="344"/>
      <c r="BV855" s="344"/>
      <c r="BW855" s="344"/>
      <c r="BX855" s="344"/>
      <c r="BY855" s="344"/>
      <c r="BZ855" s="344"/>
      <c r="CA855" s="344"/>
      <c r="CB855" s="28"/>
      <c r="CC855" s="28"/>
      <c r="CD855" s="28"/>
      <c r="CE855" s="28"/>
      <c r="CF855" s="28"/>
      <c r="CG855" s="28"/>
      <c r="CH855" s="28"/>
      <c r="CI855" s="28"/>
      <c r="CJ855" s="28"/>
      <c r="CK855" s="28"/>
      <c r="CL855" s="28"/>
      <c r="CM855" s="28"/>
      <c r="CN855" s="28"/>
      <c r="CO855" s="28"/>
      <c r="CP855" s="28"/>
      <c r="CQ855" s="28"/>
      <c r="CR855" s="28"/>
      <c r="CS855" s="28"/>
      <c r="CT855" s="28"/>
      <c r="CU855" s="28"/>
      <c r="CV855" s="28"/>
      <c r="CW855" s="28"/>
    </row>
    <row r="856" spans="1:101" ht="14.25" customHeight="1" x14ac:dyDescent="0.2">
      <c r="A856" s="328"/>
      <c r="B856" s="52">
        <v>0.13931578131333638</v>
      </c>
      <c r="C856" s="330">
        <v>0.42632346626683582</v>
      </c>
      <c r="D856" s="330">
        <v>1.6378815421868587E-2</v>
      </c>
      <c r="E856" s="330">
        <v>1.8452141689392465E-2</v>
      </c>
      <c r="F856" s="331">
        <v>0.78218929744229682</v>
      </c>
      <c r="G856" s="94">
        <v>0.4009147293094617</v>
      </c>
      <c r="H856" s="330">
        <v>0.41078941253419926</v>
      </c>
      <c r="I856" s="330">
        <v>4.9241924224855413E-3</v>
      </c>
      <c r="J856" s="330">
        <v>0.99532616427774889</v>
      </c>
      <c r="K856" s="330">
        <v>0.73970413247511091</v>
      </c>
      <c r="L856" s="332">
        <v>12362.740560285862</v>
      </c>
      <c r="M856" s="330">
        <v>0</v>
      </c>
      <c r="N856" s="330">
        <v>24561.460258416879</v>
      </c>
      <c r="O856" s="330">
        <v>1337.1574928748048</v>
      </c>
      <c r="P856" s="330">
        <v>44670.995312836014</v>
      </c>
      <c r="Q856" s="333">
        <v>70295.963088350283</v>
      </c>
      <c r="R856" s="330">
        <v>22454.524572570353</v>
      </c>
      <c r="S856" s="330">
        <v>7091.2656685068569</v>
      </c>
      <c r="T856" s="332">
        <v>0.71160128820388269</v>
      </c>
      <c r="U856" s="330">
        <v>0.99996183917723003</v>
      </c>
      <c r="V856" s="330">
        <v>0.74844473676739154</v>
      </c>
      <c r="W856" s="330">
        <v>0.71835507332751758</v>
      </c>
      <c r="X856" s="330">
        <v>0.31410414292443745</v>
      </c>
      <c r="Y856" s="330">
        <v>0</v>
      </c>
      <c r="Z856" s="331">
        <v>0</v>
      </c>
      <c r="AA856" s="235"/>
      <c r="AB856" s="335">
        <v>73569.051191622013</v>
      </c>
      <c r="AC856" s="336">
        <v>1.7240994590396959</v>
      </c>
      <c r="AD856" s="337">
        <v>60799.67413384575</v>
      </c>
      <c r="AE856" s="336">
        <v>1.7790663708677925</v>
      </c>
      <c r="AF856" s="337">
        <v>12769.377057776263</v>
      </c>
      <c r="AG856" s="338">
        <v>-5.4966911828096654E-2</v>
      </c>
      <c r="AH856" s="235"/>
      <c r="AI856" s="208">
        <f t="shared" si="96"/>
        <v>1564325.4348960891</v>
      </c>
      <c r="AJ856" s="208">
        <f t="shared" si="97"/>
        <v>1629313.378190557</v>
      </c>
      <c r="AK856" s="208">
        <f t="shared" si="98"/>
        <v>-64987.943294468081</v>
      </c>
      <c r="AL856" s="235"/>
      <c r="AM856" s="52">
        <f t="shared" si="86"/>
        <v>0</v>
      </c>
      <c r="AN856" s="52">
        <f t="shared" si="87"/>
        <v>1</v>
      </c>
      <c r="AO856" s="52">
        <f t="shared" si="88"/>
        <v>0</v>
      </c>
      <c r="AP856" s="235"/>
      <c r="AQ856" s="28"/>
      <c r="AR856" s="28"/>
      <c r="AS856" s="28"/>
      <c r="AT856" s="28"/>
      <c r="AU856" s="235"/>
      <c r="AV856" s="360">
        <f t="shared" si="99"/>
        <v>1629313.378190557</v>
      </c>
      <c r="AW856" s="235"/>
      <c r="AX856" s="355"/>
      <c r="AY856" s="344"/>
      <c r="AZ856" s="14">
        <f t="shared" si="101"/>
        <v>12769.377057776263</v>
      </c>
      <c r="BA856" s="14">
        <f t="shared" si="100"/>
        <v>-5.4966911828096654E-2</v>
      </c>
      <c r="BB856" s="14">
        <f t="shared" si="89"/>
        <v>-232310.25053237795</v>
      </c>
      <c r="BC856" s="344"/>
      <c r="BD856" s="344"/>
      <c r="BE856" s="344"/>
      <c r="BF856" s="344"/>
      <c r="BG856" s="344"/>
      <c r="BH856" s="344"/>
      <c r="BI856" s="344"/>
      <c r="BJ856" s="344"/>
      <c r="BK856" s="344"/>
      <c r="BL856" s="344"/>
      <c r="BM856" s="344"/>
      <c r="BN856" s="344"/>
      <c r="BO856" s="344"/>
      <c r="BP856" s="344"/>
      <c r="BQ856" s="344"/>
      <c r="BR856" s="344"/>
      <c r="BS856" s="344"/>
      <c r="BT856" s="344"/>
      <c r="BU856" s="344"/>
      <c r="BV856" s="344"/>
      <c r="BW856" s="344"/>
      <c r="BX856" s="344"/>
      <c r="BY856" s="344"/>
      <c r="BZ856" s="344"/>
      <c r="CA856" s="344"/>
      <c r="CB856" s="28"/>
      <c r="CC856" s="28"/>
      <c r="CD856" s="28"/>
      <c r="CE856" s="28"/>
      <c r="CF856" s="28"/>
      <c r="CG856" s="28"/>
      <c r="CH856" s="28"/>
      <c r="CI856" s="28"/>
      <c r="CJ856" s="28"/>
      <c r="CK856" s="28"/>
      <c r="CL856" s="28"/>
      <c r="CM856" s="28"/>
      <c r="CN856" s="28"/>
      <c r="CO856" s="28"/>
      <c r="CP856" s="28"/>
      <c r="CQ856" s="28"/>
      <c r="CR856" s="28"/>
      <c r="CS856" s="28"/>
      <c r="CT856" s="28"/>
      <c r="CU856" s="28"/>
      <c r="CV856" s="28"/>
      <c r="CW856" s="28"/>
    </row>
    <row r="857" spans="1:101" ht="14.25" customHeight="1" x14ac:dyDescent="0.2">
      <c r="A857" s="328"/>
      <c r="B857" s="52">
        <v>0.16738465027722438</v>
      </c>
      <c r="C857" s="330">
        <v>0.12705930251300185</v>
      </c>
      <c r="D857" s="330">
        <v>2.1187735865180635E-2</v>
      </c>
      <c r="E857" s="330">
        <v>9.1379664414900311E-3</v>
      </c>
      <c r="F857" s="331">
        <v>0.78085313129281098</v>
      </c>
      <c r="G857" s="94">
        <v>0.37211436080836596</v>
      </c>
      <c r="H857" s="330">
        <v>0.81951253913057309</v>
      </c>
      <c r="I857" s="330">
        <v>5.4568546095710461E-3</v>
      </c>
      <c r="J857" s="330">
        <v>0.99999999938756945</v>
      </c>
      <c r="K857" s="330">
        <v>0.69261881578793338</v>
      </c>
      <c r="L857" s="332">
        <v>15764.084916565695</v>
      </c>
      <c r="M857" s="330">
        <v>0</v>
      </c>
      <c r="N857" s="330">
        <v>17230.56476072568</v>
      </c>
      <c r="O857" s="330">
        <v>1016.9086095212049</v>
      </c>
      <c r="P857" s="330">
        <v>58041.171484722632</v>
      </c>
      <c r="Q857" s="333">
        <v>89823.600193301914</v>
      </c>
      <c r="R857" s="330">
        <v>20044.82322029713</v>
      </c>
      <c r="S857" s="330">
        <v>4836.171527556894</v>
      </c>
      <c r="T857" s="332">
        <v>0.99984257690928291</v>
      </c>
      <c r="U857" s="330">
        <v>0.73390437914027851</v>
      </c>
      <c r="V857" s="330">
        <v>0.98266260531058203</v>
      </c>
      <c r="W857" s="330">
        <v>0.99833094540848322</v>
      </c>
      <c r="X857" s="330">
        <v>0.36514985062984368</v>
      </c>
      <c r="Y857" s="330">
        <v>0</v>
      </c>
      <c r="Z857" s="331">
        <v>0</v>
      </c>
      <c r="AA857" s="235"/>
      <c r="AB857" s="335">
        <v>57206.38206618977</v>
      </c>
      <c r="AC857" s="336">
        <v>1.7347207292887492</v>
      </c>
      <c r="AD857" s="337">
        <v>42743.759999960021</v>
      </c>
      <c r="AE857" s="336">
        <v>1.6165078811310107</v>
      </c>
      <c r="AF857" s="337">
        <v>14462.622066229749</v>
      </c>
      <c r="AG857" s="338">
        <v>0.11821284815773847</v>
      </c>
      <c r="AH857" s="235"/>
      <c r="AI857" s="208">
        <f t="shared" si="96"/>
        <v>1590778.310758122</v>
      </c>
      <c r="AJ857" s="208">
        <f t="shared" si="97"/>
        <v>1492938.7270745002</v>
      </c>
      <c r="AK857" s="208">
        <f t="shared" si="98"/>
        <v>97839.583683621808</v>
      </c>
      <c r="AL857" s="235"/>
      <c r="AM857" s="52">
        <f t="shared" si="86"/>
        <v>1</v>
      </c>
      <c r="AN857" s="52">
        <f t="shared" si="87"/>
        <v>0</v>
      </c>
      <c r="AO857" s="52">
        <f t="shared" si="88"/>
        <v>1</v>
      </c>
      <c r="AP857" s="235"/>
      <c r="AQ857" s="28"/>
      <c r="AR857" s="28"/>
      <c r="AS857" s="28"/>
      <c r="AT857" s="28"/>
      <c r="AU857" s="235"/>
      <c r="AV857" s="360">
        <f t="shared" si="99"/>
        <v>1590778.310758122</v>
      </c>
      <c r="AW857" s="235"/>
      <c r="AX857" s="355"/>
      <c r="AY857" s="344"/>
      <c r="AZ857" s="14">
        <f t="shared" si="101"/>
        <v>14462.622066229749</v>
      </c>
      <c r="BA857" s="14">
        <f t="shared" si="100"/>
        <v>0.11821284815773847</v>
      </c>
      <c r="BB857" s="14">
        <f t="shared" si="89"/>
        <v>122343.91008777158</v>
      </c>
      <c r="BC857" s="344"/>
      <c r="BD857" s="344"/>
      <c r="BE857" s="344"/>
      <c r="BF857" s="344"/>
      <c r="BG857" s="344"/>
      <c r="BH857" s="344"/>
      <c r="BI857" s="344"/>
      <c r="BJ857" s="344"/>
      <c r="BK857" s="344"/>
      <c r="BL857" s="344"/>
      <c r="BM857" s="344"/>
      <c r="BN857" s="344"/>
      <c r="BO857" s="344"/>
      <c r="BP857" s="344"/>
      <c r="BQ857" s="344"/>
      <c r="BR857" s="344"/>
      <c r="BS857" s="344"/>
      <c r="BT857" s="344"/>
      <c r="BU857" s="344"/>
      <c r="BV857" s="344"/>
      <c r="BW857" s="344"/>
      <c r="BX857" s="344"/>
      <c r="BY857" s="344"/>
      <c r="BZ857" s="344"/>
      <c r="CA857" s="344"/>
      <c r="CB857" s="28"/>
      <c r="CC857" s="28"/>
      <c r="CD857" s="28"/>
      <c r="CE857" s="28"/>
      <c r="CF857" s="28"/>
      <c r="CG857" s="28"/>
      <c r="CH857" s="28"/>
      <c r="CI857" s="28"/>
      <c r="CJ857" s="28"/>
      <c r="CK857" s="28"/>
      <c r="CL857" s="28"/>
      <c r="CM857" s="28"/>
      <c r="CN857" s="28"/>
      <c r="CO857" s="28"/>
      <c r="CP857" s="28"/>
      <c r="CQ857" s="28"/>
      <c r="CR857" s="28"/>
      <c r="CS857" s="28"/>
      <c r="CT857" s="28"/>
      <c r="CU857" s="28"/>
      <c r="CV857" s="28"/>
      <c r="CW857" s="28"/>
    </row>
    <row r="858" spans="1:101" ht="14.25" customHeight="1" x14ac:dyDescent="0.2">
      <c r="A858" s="328"/>
      <c r="B858" s="52">
        <v>0.1899731972049904</v>
      </c>
      <c r="C858" s="330">
        <v>0.5109774677003478</v>
      </c>
      <c r="D858" s="330">
        <v>1.3539158287412128E-2</v>
      </c>
      <c r="E858" s="330">
        <v>2.2470020408472569E-2</v>
      </c>
      <c r="F858" s="331">
        <v>0.80242077175585602</v>
      </c>
      <c r="G858" s="94">
        <v>0.38368183120440191</v>
      </c>
      <c r="H858" s="330">
        <v>0.85227048713971287</v>
      </c>
      <c r="I858" s="330">
        <v>2.9130871790847612E-2</v>
      </c>
      <c r="J858" s="330">
        <v>0.99993204401612679</v>
      </c>
      <c r="K858" s="330">
        <v>0.80201781503573411</v>
      </c>
      <c r="L858" s="332">
        <v>12045.84606789371</v>
      </c>
      <c r="M858" s="330">
        <v>0</v>
      </c>
      <c r="N858" s="330">
        <v>17167.500794997275</v>
      </c>
      <c r="O858" s="330">
        <v>1648.2152880990186</v>
      </c>
      <c r="P858" s="330">
        <v>44186.183872073219</v>
      </c>
      <c r="Q858" s="333">
        <v>112888.38065381354</v>
      </c>
      <c r="R858" s="330">
        <v>29665.955453140272</v>
      </c>
      <c r="S858" s="330">
        <v>9434.2454759314132</v>
      </c>
      <c r="T858" s="332">
        <v>0.69712256108292481</v>
      </c>
      <c r="U858" s="330">
        <v>0.56537035613905473</v>
      </c>
      <c r="V858" s="330">
        <v>0.93877109524488944</v>
      </c>
      <c r="W858" s="330">
        <v>0.9530989917569237</v>
      </c>
      <c r="X858" s="330">
        <v>0.99993327818594568</v>
      </c>
      <c r="Y858" s="330">
        <v>0</v>
      </c>
      <c r="Z858" s="331">
        <v>0</v>
      </c>
      <c r="AA858" s="235"/>
      <c r="AB858" s="335">
        <v>96770.538250710641</v>
      </c>
      <c r="AC858" s="336">
        <v>5.2663566358806966</v>
      </c>
      <c r="AD858" s="337">
        <v>93364.610319443178</v>
      </c>
      <c r="AE858" s="336">
        <v>4.926759286773339</v>
      </c>
      <c r="AF858" s="337">
        <v>3405.9279312674626</v>
      </c>
      <c r="AG858" s="338">
        <v>0.33959734910735762</v>
      </c>
      <c r="AH858" s="235"/>
      <c r="AI858" s="208">
        <f t="shared" si="96"/>
        <v>4906268.2658359511</v>
      </c>
      <c r="AJ858" s="208">
        <f t="shared" si="97"/>
        <v>4587056.7121152291</v>
      </c>
      <c r="AK858" s="208">
        <f t="shared" si="98"/>
        <v>319211.55372072227</v>
      </c>
      <c r="AL858" s="235"/>
      <c r="AM858" s="52">
        <f t="shared" si="86"/>
        <v>1</v>
      </c>
      <c r="AN858" s="52">
        <f t="shared" si="87"/>
        <v>0</v>
      </c>
      <c r="AO858" s="52">
        <f t="shared" si="88"/>
        <v>1</v>
      </c>
      <c r="AP858" s="235"/>
      <c r="AQ858" s="28"/>
      <c r="AR858" s="28"/>
      <c r="AS858" s="28"/>
      <c r="AT858" s="28"/>
      <c r="AU858" s="235"/>
      <c r="AV858" s="360">
        <f t="shared" si="99"/>
        <v>4906268.2658359511</v>
      </c>
      <c r="AW858" s="235"/>
      <c r="AX858" s="355"/>
      <c r="AY858" s="344"/>
      <c r="AZ858" s="14">
        <f t="shared" si="101"/>
        <v>3405.9279312674626</v>
      </c>
      <c r="BA858" s="14">
        <f t="shared" si="100"/>
        <v>0.33959734910735762</v>
      </c>
      <c r="BB858" s="14">
        <f t="shared" si="89"/>
        <v>10029.312479087519</v>
      </c>
      <c r="BC858" s="344"/>
      <c r="BD858" s="344"/>
      <c r="BE858" s="344"/>
      <c r="BF858" s="344"/>
      <c r="BG858" s="344"/>
      <c r="BH858" s="344"/>
      <c r="BI858" s="344"/>
      <c r="BJ858" s="344"/>
      <c r="BK858" s="344"/>
      <c r="BL858" s="344"/>
      <c r="BM858" s="344"/>
      <c r="BN858" s="344"/>
      <c r="BO858" s="344"/>
      <c r="BP858" s="344"/>
      <c r="BQ858" s="344"/>
      <c r="BR858" s="344"/>
      <c r="BS858" s="344"/>
      <c r="BT858" s="344"/>
      <c r="BU858" s="344"/>
      <c r="BV858" s="344"/>
      <c r="BW858" s="344"/>
      <c r="BX858" s="344"/>
      <c r="BY858" s="344"/>
      <c r="BZ858" s="344"/>
      <c r="CA858" s="344"/>
      <c r="CB858" s="28"/>
      <c r="CC858" s="28"/>
      <c r="CD858" s="28"/>
      <c r="CE858" s="28"/>
      <c r="CF858" s="28"/>
      <c r="CG858" s="28"/>
      <c r="CH858" s="28"/>
      <c r="CI858" s="28"/>
      <c r="CJ858" s="28"/>
      <c r="CK858" s="28"/>
      <c r="CL858" s="28"/>
      <c r="CM858" s="28"/>
      <c r="CN858" s="28"/>
      <c r="CO858" s="28"/>
      <c r="CP858" s="28"/>
      <c r="CQ858" s="28"/>
      <c r="CR858" s="28"/>
      <c r="CS858" s="28"/>
      <c r="CT858" s="28"/>
      <c r="CU858" s="28"/>
      <c r="CV858" s="28"/>
      <c r="CW858" s="28"/>
    </row>
    <row r="859" spans="1:101" ht="14.25" customHeight="1" x14ac:dyDescent="0.2">
      <c r="A859" s="328"/>
      <c r="B859" s="52">
        <v>0.14770087366160314</v>
      </c>
      <c r="C859" s="330">
        <v>0.26125635899863586</v>
      </c>
      <c r="D859" s="330">
        <v>2.4354605699992371E-2</v>
      </c>
      <c r="E859" s="330">
        <v>7.0408356336515059E-3</v>
      </c>
      <c r="F859" s="331">
        <v>0.82205130446544339</v>
      </c>
      <c r="G859" s="94">
        <v>0.40609778086386084</v>
      </c>
      <c r="H859" s="330">
        <v>0.53688345816496463</v>
      </c>
      <c r="I859" s="330">
        <v>1.4888528433920729E-2</v>
      </c>
      <c r="J859" s="330">
        <v>0.99999999890981406</v>
      </c>
      <c r="K859" s="330">
        <v>0.78003103150378239</v>
      </c>
      <c r="L859" s="332">
        <v>13934.799318415678</v>
      </c>
      <c r="M859" s="330">
        <v>0</v>
      </c>
      <c r="N859" s="330">
        <v>21090.373590182015</v>
      </c>
      <c r="O859" s="330">
        <v>1010.5926944251737</v>
      </c>
      <c r="P859" s="330">
        <v>35013.142219044799</v>
      </c>
      <c r="Q859" s="333">
        <v>76886.803408951178</v>
      </c>
      <c r="R859" s="330">
        <v>27892.758650771233</v>
      </c>
      <c r="S859" s="330">
        <v>5477.2786971249434</v>
      </c>
      <c r="T859" s="332">
        <v>0.99980231302915579</v>
      </c>
      <c r="U859" s="330">
        <v>0.92515967182595482</v>
      </c>
      <c r="V859" s="330">
        <v>0.57514186762489727</v>
      </c>
      <c r="W859" s="330">
        <v>0.98021548081247623</v>
      </c>
      <c r="X859" s="330">
        <v>0.82351858830859925</v>
      </c>
      <c r="Y859" s="330">
        <v>0</v>
      </c>
      <c r="Z859" s="331">
        <v>0</v>
      </c>
      <c r="AA859" s="235"/>
      <c r="AB859" s="335">
        <v>63756.868523106052</v>
      </c>
      <c r="AC859" s="336">
        <v>4.3980647207162606</v>
      </c>
      <c r="AD859" s="337">
        <v>53098.002299899599</v>
      </c>
      <c r="AE859" s="336">
        <v>3.9713793124651362</v>
      </c>
      <c r="AF859" s="337">
        <v>10658.866223206453</v>
      </c>
      <c r="AG859" s="338">
        <v>0.42668540825112444</v>
      </c>
      <c r="AH859" s="235"/>
      <c r="AI859" s="208">
        <f t="shared" si="96"/>
        <v>4114404.6161573417</v>
      </c>
      <c r="AJ859" s="208">
        <f t="shared" si="97"/>
        <v>3719712.3445419795</v>
      </c>
      <c r="AK859" s="208">
        <f t="shared" si="98"/>
        <v>394692.27161536179</v>
      </c>
      <c r="AL859" s="235"/>
      <c r="AM859" s="52">
        <f t="shared" si="86"/>
        <v>1</v>
      </c>
      <c r="AN859" s="52">
        <f t="shared" si="87"/>
        <v>0</v>
      </c>
      <c r="AO859" s="52">
        <f t="shared" si="88"/>
        <v>1</v>
      </c>
      <c r="AP859" s="235"/>
      <c r="AQ859" s="28"/>
      <c r="AR859" s="28"/>
      <c r="AS859" s="28"/>
      <c r="AT859" s="28"/>
      <c r="AU859" s="235"/>
      <c r="AV859" s="360">
        <f t="shared" si="99"/>
        <v>4114404.6161573417</v>
      </c>
      <c r="AW859" s="235"/>
      <c r="AX859" s="355"/>
      <c r="AY859" s="344"/>
      <c r="AZ859" s="14">
        <f t="shared" si="101"/>
        <v>10658.866223206453</v>
      </c>
      <c r="BA859" s="14">
        <f t="shared" si="100"/>
        <v>0.42668540825112444</v>
      </c>
      <c r="BB859" s="14">
        <f t="shared" si="89"/>
        <v>24980.620422185162</v>
      </c>
      <c r="BC859" s="344"/>
      <c r="BD859" s="344"/>
      <c r="BE859" s="344"/>
      <c r="BF859" s="344"/>
      <c r="BG859" s="344"/>
      <c r="BH859" s="344"/>
      <c r="BI859" s="344"/>
      <c r="BJ859" s="344"/>
      <c r="BK859" s="344"/>
      <c r="BL859" s="344"/>
      <c r="BM859" s="344"/>
      <c r="BN859" s="344"/>
      <c r="BO859" s="344"/>
      <c r="BP859" s="344"/>
      <c r="BQ859" s="344"/>
      <c r="BR859" s="344"/>
      <c r="BS859" s="344"/>
      <c r="BT859" s="344"/>
      <c r="BU859" s="344"/>
      <c r="BV859" s="344"/>
      <c r="BW859" s="344"/>
      <c r="BX859" s="344"/>
      <c r="BY859" s="344"/>
      <c r="BZ859" s="344"/>
      <c r="CA859" s="344"/>
      <c r="CB859" s="28"/>
      <c r="CC859" s="28"/>
      <c r="CD859" s="28"/>
      <c r="CE859" s="28"/>
      <c r="CF859" s="28"/>
      <c r="CG859" s="28"/>
      <c r="CH859" s="28"/>
      <c r="CI859" s="28"/>
      <c r="CJ859" s="28"/>
      <c r="CK859" s="28"/>
      <c r="CL859" s="28"/>
      <c r="CM859" s="28"/>
      <c r="CN859" s="28"/>
      <c r="CO859" s="28"/>
      <c r="CP859" s="28"/>
      <c r="CQ859" s="28"/>
      <c r="CR859" s="28"/>
      <c r="CS859" s="28"/>
      <c r="CT859" s="28"/>
      <c r="CU859" s="28"/>
      <c r="CV859" s="28"/>
      <c r="CW859" s="28"/>
    </row>
    <row r="860" spans="1:101" ht="14.25" customHeight="1" x14ac:dyDescent="0.2">
      <c r="A860" s="328"/>
      <c r="B860" s="52">
        <v>0.15566011243950531</v>
      </c>
      <c r="C860" s="330">
        <v>0.90742104485306618</v>
      </c>
      <c r="D860" s="330">
        <v>1.3928157407389397E-2</v>
      </c>
      <c r="E860" s="330">
        <v>1.010588022633466E-2</v>
      </c>
      <c r="F860" s="331">
        <v>0.77533526616261184</v>
      </c>
      <c r="G860" s="94">
        <v>0.34668695140291667</v>
      </c>
      <c r="H860" s="330">
        <v>0.33872830359724132</v>
      </c>
      <c r="I860" s="330">
        <v>1.5609711656990701E-2</v>
      </c>
      <c r="J860" s="330">
        <v>0.99999999998444578</v>
      </c>
      <c r="K860" s="330">
        <v>0.75307217523082792</v>
      </c>
      <c r="L860" s="332">
        <v>11650.593149620088</v>
      </c>
      <c r="M860" s="330">
        <v>0</v>
      </c>
      <c r="N860" s="330">
        <v>18857.351262412474</v>
      </c>
      <c r="O860" s="330">
        <v>1512.9020048517377</v>
      </c>
      <c r="P860" s="330">
        <v>39069.613969460392</v>
      </c>
      <c r="Q860" s="333">
        <v>120017.78912283713</v>
      </c>
      <c r="R860" s="330">
        <v>23146.929496258072</v>
      </c>
      <c r="S860" s="330">
        <v>9223.8212172266467</v>
      </c>
      <c r="T860" s="332">
        <v>0.90060848390798842</v>
      </c>
      <c r="U860" s="330">
        <v>0.99868013489878549</v>
      </c>
      <c r="V860" s="330">
        <v>0.33808766475074464</v>
      </c>
      <c r="W860" s="330">
        <v>0.27732087117610354</v>
      </c>
      <c r="X860" s="330">
        <v>0.90650259315659021</v>
      </c>
      <c r="Y860" s="330">
        <v>0</v>
      </c>
      <c r="Z860" s="331">
        <v>0</v>
      </c>
      <c r="AA860" s="235"/>
      <c r="AB860" s="335">
        <v>92162.031766656277</v>
      </c>
      <c r="AC860" s="336">
        <v>4.4281866561969565</v>
      </c>
      <c r="AD860" s="337">
        <v>78818.238746758798</v>
      </c>
      <c r="AE860" s="336">
        <v>4.517740318308114</v>
      </c>
      <c r="AF860" s="337">
        <v>13343.793019897479</v>
      </c>
      <c r="AG860" s="338">
        <v>-8.955366211115745E-2</v>
      </c>
      <c r="AH860" s="235"/>
      <c r="AI860" s="208">
        <f t="shared" si="96"/>
        <v>4114615.2916204524</v>
      </c>
      <c r="AJ860" s="208">
        <f t="shared" si="97"/>
        <v>4213035.0636459496</v>
      </c>
      <c r="AK860" s="208">
        <f t="shared" si="98"/>
        <v>-98419.772025497063</v>
      </c>
      <c r="AL860" s="235"/>
      <c r="AM860" s="52">
        <f t="shared" si="86"/>
        <v>0</v>
      </c>
      <c r="AN860" s="52">
        <f t="shared" si="87"/>
        <v>1</v>
      </c>
      <c r="AO860" s="52">
        <f t="shared" si="88"/>
        <v>0</v>
      </c>
      <c r="AP860" s="235"/>
      <c r="AQ860" s="28"/>
      <c r="AR860" s="28"/>
      <c r="AS860" s="28"/>
      <c r="AT860" s="28"/>
      <c r="AU860" s="235"/>
      <c r="AV860" s="360">
        <f t="shared" si="99"/>
        <v>4213035.0636459496</v>
      </c>
      <c r="AW860" s="235"/>
      <c r="AX860" s="355"/>
      <c r="AY860" s="344"/>
      <c r="AZ860" s="14">
        <f t="shared" si="101"/>
        <v>13343.793019897479</v>
      </c>
      <c r="BA860" s="14">
        <f t="shared" si="100"/>
        <v>-8.955366211115745E-2</v>
      </c>
      <c r="BB860" s="14">
        <f t="shared" si="89"/>
        <v>-149003.32052679933</v>
      </c>
      <c r="BC860" s="344"/>
      <c r="BD860" s="344"/>
      <c r="BE860" s="344"/>
      <c r="BF860" s="344"/>
      <c r="BG860" s="344"/>
      <c r="BH860" s="344"/>
      <c r="BI860" s="344"/>
      <c r="BJ860" s="344"/>
      <c r="BK860" s="344"/>
      <c r="BL860" s="344"/>
      <c r="BM860" s="344"/>
      <c r="BN860" s="344"/>
      <c r="BO860" s="344"/>
      <c r="BP860" s="344"/>
      <c r="BQ860" s="344"/>
      <c r="BR860" s="344"/>
      <c r="BS860" s="344"/>
      <c r="BT860" s="344"/>
      <c r="BU860" s="344"/>
      <c r="BV860" s="344"/>
      <c r="BW860" s="344"/>
      <c r="BX860" s="344"/>
      <c r="BY860" s="344"/>
      <c r="BZ860" s="344"/>
      <c r="CA860" s="344"/>
      <c r="CB860" s="28"/>
      <c r="CC860" s="28"/>
      <c r="CD860" s="28"/>
      <c r="CE860" s="28"/>
      <c r="CF860" s="28"/>
      <c r="CG860" s="28"/>
      <c r="CH860" s="28"/>
      <c r="CI860" s="28"/>
      <c r="CJ860" s="28"/>
      <c r="CK860" s="28"/>
      <c r="CL860" s="28"/>
      <c r="CM860" s="28"/>
      <c r="CN860" s="28"/>
      <c r="CO860" s="28"/>
      <c r="CP860" s="28"/>
      <c r="CQ860" s="28"/>
      <c r="CR860" s="28"/>
      <c r="CS860" s="28"/>
      <c r="CT860" s="28"/>
      <c r="CU860" s="28"/>
      <c r="CV860" s="28"/>
      <c r="CW860" s="28"/>
    </row>
    <row r="861" spans="1:101" ht="14.25" customHeight="1" x14ac:dyDescent="0.2">
      <c r="A861" s="328"/>
      <c r="B861" s="52">
        <v>0.19229899407061035</v>
      </c>
      <c r="C861" s="330">
        <v>0.20655398741644096</v>
      </c>
      <c r="D861" s="330">
        <v>1.6130602206821831E-2</v>
      </c>
      <c r="E861" s="330">
        <v>1.8173967789267387E-2</v>
      </c>
      <c r="F861" s="331">
        <v>0.80974263913691347</v>
      </c>
      <c r="G861" s="94">
        <v>0.33973543643134313</v>
      </c>
      <c r="H861" s="330">
        <v>0.87271502785341715</v>
      </c>
      <c r="I861" s="330">
        <v>3.3412849700259484E-2</v>
      </c>
      <c r="J861" s="330">
        <v>0.99905337215956203</v>
      </c>
      <c r="K861" s="330">
        <v>0.76618232577185696</v>
      </c>
      <c r="L861" s="332">
        <v>11140.52787151174</v>
      </c>
      <c r="M861" s="330">
        <v>0</v>
      </c>
      <c r="N861" s="330">
        <v>17766.772540587139</v>
      </c>
      <c r="O861" s="330">
        <v>1248.0964935306811</v>
      </c>
      <c r="P861" s="330">
        <v>61176.959760019308</v>
      </c>
      <c r="Q861" s="333">
        <v>93703.751810167611</v>
      </c>
      <c r="R861" s="330">
        <v>17659.587590552503</v>
      </c>
      <c r="S861" s="330">
        <v>8392.1625793223247</v>
      </c>
      <c r="T861" s="332">
        <v>0.16396490198307145</v>
      </c>
      <c r="U861" s="330">
        <v>0.99997027728033649</v>
      </c>
      <c r="V861" s="330">
        <v>0.50474513115526243</v>
      </c>
      <c r="W861" s="330">
        <v>0.23624670972365244</v>
      </c>
      <c r="X861" s="330">
        <v>0.8767971792279442</v>
      </c>
      <c r="Y861" s="330">
        <v>0</v>
      </c>
      <c r="Z861" s="331">
        <v>0</v>
      </c>
      <c r="AA861" s="235"/>
      <c r="AB861" s="335">
        <v>85301.081400423776</v>
      </c>
      <c r="AC861" s="336">
        <v>4.3249171013727885</v>
      </c>
      <c r="AD861" s="337">
        <v>76486.406607407844</v>
      </c>
      <c r="AE861" s="336">
        <v>4.442023440008084</v>
      </c>
      <c r="AF861" s="337">
        <v>8814.6747930159327</v>
      </c>
      <c r="AG861" s="338">
        <v>-0.11710633863529551</v>
      </c>
      <c r="AH861" s="235"/>
      <c r="AI861" s="208">
        <f t="shared" si="96"/>
        <v>4023370.1649037255</v>
      </c>
      <c r="AJ861" s="208">
        <f t="shared" si="97"/>
        <v>4143435.8614002718</v>
      </c>
      <c r="AK861" s="208">
        <f t="shared" si="98"/>
        <v>-120065.69649654668</v>
      </c>
      <c r="AL861" s="235"/>
      <c r="AM861" s="52">
        <f t="shared" si="86"/>
        <v>0</v>
      </c>
      <c r="AN861" s="52">
        <f t="shared" si="87"/>
        <v>1</v>
      </c>
      <c r="AO861" s="52">
        <f t="shared" si="88"/>
        <v>0</v>
      </c>
      <c r="AP861" s="235"/>
      <c r="AQ861" s="28"/>
      <c r="AR861" s="28"/>
      <c r="AS861" s="28"/>
      <c r="AT861" s="28"/>
      <c r="AU861" s="235"/>
      <c r="AV861" s="360">
        <f t="shared" si="99"/>
        <v>4143435.8614002718</v>
      </c>
      <c r="AW861" s="235"/>
      <c r="AX861" s="355"/>
      <c r="AY861" s="344"/>
      <c r="AZ861" s="14">
        <f t="shared" si="101"/>
        <v>8814.6747930159327</v>
      </c>
      <c r="BA861" s="14">
        <f t="shared" si="100"/>
        <v>-0.11710633863529551</v>
      </c>
      <c r="BB861" s="14">
        <f t="shared" si="89"/>
        <v>-75270.688980102859</v>
      </c>
      <c r="BC861" s="344"/>
      <c r="BD861" s="344"/>
      <c r="BE861" s="344"/>
      <c r="BF861" s="344"/>
      <c r="BG861" s="344"/>
      <c r="BH861" s="344"/>
      <c r="BI861" s="344"/>
      <c r="BJ861" s="344"/>
      <c r="BK861" s="344"/>
      <c r="BL861" s="344"/>
      <c r="BM861" s="344"/>
      <c r="BN861" s="344"/>
      <c r="BO861" s="344"/>
      <c r="BP861" s="344"/>
      <c r="BQ861" s="344"/>
      <c r="BR861" s="344"/>
      <c r="BS861" s="344"/>
      <c r="BT861" s="344"/>
      <c r="BU861" s="344"/>
      <c r="BV861" s="344"/>
      <c r="BW861" s="344"/>
      <c r="BX861" s="344"/>
      <c r="BY861" s="344"/>
      <c r="BZ861" s="344"/>
      <c r="CA861" s="344"/>
      <c r="CB861" s="28"/>
      <c r="CC861" s="28"/>
      <c r="CD861" s="28"/>
      <c r="CE861" s="28"/>
      <c r="CF861" s="28"/>
      <c r="CG861" s="28"/>
      <c r="CH861" s="28"/>
      <c r="CI861" s="28"/>
      <c r="CJ861" s="28"/>
      <c r="CK861" s="28"/>
      <c r="CL861" s="28"/>
      <c r="CM861" s="28"/>
      <c r="CN861" s="28"/>
      <c r="CO861" s="28"/>
      <c r="CP861" s="28"/>
      <c r="CQ861" s="28"/>
      <c r="CR861" s="28"/>
      <c r="CS861" s="28"/>
      <c r="CT861" s="28"/>
      <c r="CU861" s="28"/>
      <c r="CV861" s="28"/>
      <c r="CW861" s="28"/>
    </row>
    <row r="862" spans="1:101" ht="14.25" customHeight="1" x14ac:dyDescent="0.2">
      <c r="A862" s="328"/>
      <c r="B862" s="52">
        <v>0.14924713212663018</v>
      </c>
      <c r="C862" s="330">
        <v>0.30130332288241135</v>
      </c>
      <c r="D862" s="330">
        <v>2.8458301246918283E-2</v>
      </c>
      <c r="E862" s="330">
        <v>2.2567259608940904E-2</v>
      </c>
      <c r="F862" s="331">
        <v>0.77687225558347073</v>
      </c>
      <c r="G862" s="94">
        <v>0.39701222572844719</v>
      </c>
      <c r="H862" s="330">
        <v>1.2269053182931112E-4</v>
      </c>
      <c r="I862" s="330">
        <v>1.6256800468316679E-2</v>
      </c>
      <c r="J862" s="330">
        <v>0.99980976610255545</v>
      </c>
      <c r="K862" s="330">
        <v>0.74551461278981279</v>
      </c>
      <c r="L862" s="332">
        <v>12974.684032192545</v>
      </c>
      <c r="M862" s="330">
        <v>0</v>
      </c>
      <c r="N862" s="330">
        <v>24123.779676854811</v>
      </c>
      <c r="O862" s="330">
        <v>1270.2967739740136</v>
      </c>
      <c r="P862" s="330">
        <v>44973.166272898947</v>
      </c>
      <c r="Q862" s="333">
        <v>96769.949342611217</v>
      </c>
      <c r="R862" s="330">
        <v>26942.939217008807</v>
      </c>
      <c r="S862" s="330">
        <v>7401.6504508163971</v>
      </c>
      <c r="T862" s="332">
        <v>0.97836984019645568</v>
      </c>
      <c r="U862" s="330">
        <v>0.53522400043885809</v>
      </c>
      <c r="V862" s="330">
        <v>0.96598833272718854</v>
      </c>
      <c r="W862" s="330">
        <v>0.99953324277409694</v>
      </c>
      <c r="X862" s="330">
        <v>0.92839497084708578</v>
      </c>
      <c r="Y862" s="330">
        <v>0</v>
      </c>
      <c r="Z862" s="331">
        <v>0</v>
      </c>
      <c r="AA862" s="235"/>
      <c r="AB862" s="335">
        <v>76499.544585198077</v>
      </c>
      <c r="AC862" s="336">
        <v>4.4323339916912481</v>
      </c>
      <c r="AD862" s="337">
        <v>60843.801964910977</v>
      </c>
      <c r="AE862" s="336">
        <v>4.2773418017576965</v>
      </c>
      <c r="AF862" s="337">
        <v>15655.742620287099</v>
      </c>
      <c r="AG862" s="338">
        <v>0.15499218993355157</v>
      </c>
      <c r="AH862" s="235"/>
      <c r="AI862" s="208">
        <f t="shared" si="96"/>
        <v>4134217.7475214871</v>
      </c>
      <c r="AJ862" s="208">
        <f t="shared" si="97"/>
        <v>4002630.9097049003</v>
      </c>
      <c r="AK862" s="208">
        <f t="shared" si="98"/>
        <v>131586.83781658689</v>
      </c>
      <c r="AL862" s="235"/>
      <c r="AM862" s="52">
        <f t="shared" si="86"/>
        <v>1</v>
      </c>
      <c r="AN862" s="52">
        <f t="shared" si="87"/>
        <v>0</v>
      </c>
      <c r="AO862" s="52">
        <f t="shared" si="88"/>
        <v>1</v>
      </c>
      <c r="AP862" s="235"/>
      <c r="AQ862" s="28"/>
      <c r="AR862" s="28"/>
      <c r="AS862" s="28"/>
      <c r="AT862" s="28"/>
      <c r="AU862" s="235"/>
      <c r="AV862" s="360">
        <f t="shared" si="99"/>
        <v>4134217.7475214871</v>
      </c>
      <c r="AW862" s="235"/>
      <c r="AX862" s="355"/>
      <c r="AY862" s="344"/>
      <c r="AZ862" s="14">
        <f t="shared" si="101"/>
        <v>15655.742620287099</v>
      </c>
      <c r="BA862" s="14">
        <f t="shared" si="100"/>
        <v>0.15499218993355157</v>
      </c>
      <c r="BB862" s="14">
        <f t="shared" si="89"/>
        <v>101009.88073656516</v>
      </c>
      <c r="BC862" s="344"/>
      <c r="BD862" s="344"/>
      <c r="BE862" s="344"/>
      <c r="BF862" s="344"/>
      <c r="BG862" s="344"/>
      <c r="BH862" s="344"/>
      <c r="BI862" s="344"/>
      <c r="BJ862" s="344"/>
      <c r="BK862" s="344"/>
      <c r="BL862" s="344"/>
      <c r="BM862" s="344"/>
      <c r="BN862" s="344"/>
      <c r="BO862" s="344"/>
      <c r="BP862" s="344"/>
      <c r="BQ862" s="344"/>
      <c r="BR862" s="344"/>
      <c r="BS862" s="344"/>
      <c r="BT862" s="344"/>
      <c r="BU862" s="344"/>
      <c r="BV862" s="344"/>
      <c r="BW862" s="344"/>
      <c r="BX862" s="344"/>
      <c r="BY862" s="344"/>
      <c r="BZ862" s="344"/>
      <c r="CA862" s="344"/>
      <c r="CB862" s="28"/>
      <c r="CC862" s="28"/>
      <c r="CD862" s="28"/>
      <c r="CE862" s="28"/>
      <c r="CF862" s="28"/>
      <c r="CG862" s="28"/>
      <c r="CH862" s="28"/>
      <c r="CI862" s="28"/>
      <c r="CJ862" s="28"/>
      <c r="CK862" s="28"/>
      <c r="CL862" s="28"/>
      <c r="CM862" s="28"/>
      <c r="CN862" s="28"/>
      <c r="CO862" s="28"/>
      <c r="CP862" s="28"/>
      <c r="CQ862" s="28"/>
      <c r="CR862" s="28"/>
      <c r="CS862" s="28"/>
      <c r="CT862" s="28"/>
      <c r="CU862" s="28"/>
      <c r="CV862" s="28"/>
      <c r="CW862" s="28"/>
    </row>
    <row r="863" spans="1:101" ht="14.25" customHeight="1" x14ac:dyDescent="0.2">
      <c r="A863" s="328"/>
      <c r="B863" s="52">
        <v>0.14684903616227038</v>
      </c>
      <c r="C863" s="330">
        <v>0.17875549959176848</v>
      </c>
      <c r="D863" s="330">
        <v>1.91145947414606E-2</v>
      </c>
      <c r="E863" s="330">
        <v>1.3293328941268856E-2</v>
      </c>
      <c r="F863" s="331">
        <v>0.77338696982771515</v>
      </c>
      <c r="G863" s="94">
        <v>0.42750647829539667</v>
      </c>
      <c r="H863" s="330">
        <v>0.58574374227127246</v>
      </c>
      <c r="I863" s="330">
        <v>2.5217692729909147E-2</v>
      </c>
      <c r="J863" s="330">
        <v>0.45861415817667561</v>
      </c>
      <c r="K863" s="330">
        <v>0.77424463656505993</v>
      </c>
      <c r="L863" s="332">
        <v>16770.566382848585</v>
      </c>
      <c r="M863" s="330">
        <v>0</v>
      </c>
      <c r="N863" s="330">
        <v>11274.234119518178</v>
      </c>
      <c r="O863" s="330">
        <v>1350.1553608204094</v>
      </c>
      <c r="P863" s="330">
        <v>55720.273698835037</v>
      </c>
      <c r="Q863" s="333">
        <v>84230.311153153074</v>
      </c>
      <c r="R863" s="330">
        <v>23619.247775713851</v>
      </c>
      <c r="S863" s="330">
        <v>7296.0728146096626</v>
      </c>
      <c r="T863" s="332">
        <v>0.78451148508693025</v>
      </c>
      <c r="U863" s="330">
        <v>0.94120620935489241</v>
      </c>
      <c r="V863" s="330">
        <v>0.73046642085535596</v>
      </c>
      <c r="W863" s="330">
        <v>0.99907413229036102</v>
      </c>
      <c r="X863" s="330">
        <v>0.36225870693964668</v>
      </c>
      <c r="Y863" s="330">
        <v>0</v>
      </c>
      <c r="Z863" s="331">
        <v>0</v>
      </c>
      <c r="AA863" s="235"/>
      <c r="AB863" s="335">
        <v>78380.759420495568</v>
      </c>
      <c r="AC863" s="336">
        <v>1.7567845598442755</v>
      </c>
      <c r="AD863" s="337">
        <v>68247.481361226892</v>
      </c>
      <c r="AE863" s="336">
        <v>1.7285721482500629</v>
      </c>
      <c r="AF863" s="337">
        <v>10133.278059268676</v>
      </c>
      <c r="AG863" s="338">
        <v>2.8212411594212616E-2</v>
      </c>
      <c r="AH863" s="235"/>
      <c r="AI863" s="208">
        <f t="shared" si="96"/>
        <v>1590564.5724315662</v>
      </c>
      <c r="AJ863" s="208">
        <f t="shared" si="97"/>
        <v>1573896.059476333</v>
      </c>
      <c r="AK863" s="208">
        <f t="shared" si="98"/>
        <v>16668.512955233309</v>
      </c>
      <c r="AL863" s="235"/>
      <c r="AM863" s="52">
        <f t="shared" si="86"/>
        <v>1</v>
      </c>
      <c r="AN863" s="52">
        <f t="shared" si="87"/>
        <v>0</v>
      </c>
      <c r="AO863" s="52">
        <f t="shared" si="88"/>
        <v>1</v>
      </c>
      <c r="AP863" s="235"/>
      <c r="AQ863" s="28"/>
      <c r="AR863" s="28"/>
      <c r="AS863" s="28"/>
      <c r="AT863" s="28"/>
      <c r="AU863" s="235"/>
      <c r="AV863" s="360">
        <f t="shared" si="99"/>
        <v>1590564.5724315662</v>
      </c>
      <c r="AW863" s="235"/>
      <c r="AX863" s="355"/>
      <c r="AY863" s="344"/>
      <c r="AZ863" s="14">
        <f t="shared" si="101"/>
        <v>10133.278059268676</v>
      </c>
      <c r="BA863" s="14">
        <f t="shared" si="100"/>
        <v>2.8212411594212616E-2</v>
      </c>
      <c r="BB863" s="14">
        <f t="shared" si="89"/>
        <v>359178.01728610031</v>
      </c>
      <c r="BC863" s="344"/>
      <c r="BD863" s="344"/>
      <c r="BE863" s="344"/>
      <c r="BF863" s="344"/>
      <c r="BG863" s="344"/>
      <c r="BH863" s="344"/>
      <c r="BI863" s="344"/>
      <c r="BJ863" s="344"/>
      <c r="BK863" s="344"/>
      <c r="BL863" s="344"/>
      <c r="BM863" s="344"/>
      <c r="BN863" s="344"/>
      <c r="BO863" s="344"/>
      <c r="BP863" s="344"/>
      <c r="BQ863" s="344"/>
      <c r="BR863" s="344"/>
      <c r="BS863" s="344"/>
      <c r="BT863" s="344"/>
      <c r="BU863" s="344"/>
      <c r="BV863" s="344"/>
      <c r="BW863" s="344"/>
      <c r="BX863" s="344"/>
      <c r="BY863" s="344"/>
      <c r="BZ863" s="344"/>
      <c r="CA863" s="344"/>
      <c r="CB863" s="28"/>
      <c r="CC863" s="28"/>
      <c r="CD863" s="28"/>
      <c r="CE863" s="28"/>
      <c r="CF863" s="28"/>
      <c r="CG863" s="28"/>
      <c r="CH863" s="28"/>
      <c r="CI863" s="28"/>
      <c r="CJ863" s="28"/>
      <c r="CK863" s="28"/>
      <c r="CL863" s="28"/>
      <c r="CM863" s="28"/>
      <c r="CN863" s="28"/>
      <c r="CO863" s="28"/>
      <c r="CP863" s="28"/>
      <c r="CQ863" s="28"/>
      <c r="CR863" s="28"/>
      <c r="CS863" s="28"/>
      <c r="CT863" s="28"/>
      <c r="CU863" s="28"/>
      <c r="CV863" s="28"/>
      <c r="CW863" s="28"/>
    </row>
    <row r="864" spans="1:101" ht="14.25" customHeight="1" x14ac:dyDescent="0.2">
      <c r="A864" s="328"/>
      <c r="B864" s="52">
        <v>0.15223910775753688</v>
      </c>
      <c r="C864" s="330">
        <v>1.5842129978806934E-3</v>
      </c>
      <c r="D864" s="330">
        <v>2.4843498891886528E-2</v>
      </c>
      <c r="E864" s="330">
        <v>2.0187221020128487E-2</v>
      </c>
      <c r="F864" s="331">
        <v>0.78089166984232017</v>
      </c>
      <c r="G864" s="94">
        <v>0.36627942053193868</v>
      </c>
      <c r="H864" s="330">
        <v>0.41807087682025801</v>
      </c>
      <c r="I864" s="330">
        <v>3.8916374434374457E-2</v>
      </c>
      <c r="J864" s="330">
        <v>3.212427092400176E-2</v>
      </c>
      <c r="K864" s="330">
        <v>0.77547743883868114</v>
      </c>
      <c r="L864" s="332">
        <v>15946.61845811967</v>
      </c>
      <c r="M864" s="330">
        <v>0</v>
      </c>
      <c r="N864" s="330">
        <v>20579.902264516812</v>
      </c>
      <c r="O864" s="330">
        <v>1456.4958571599614</v>
      </c>
      <c r="P864" s="330">
        <v>49577.280104844074</v>
      </c>
      <c r="Q864" s="333">
        <v>129699.62002672866</v>
      </c>
      <c r="R864" s="330">
        <v>22686.348731735481</v>
      </c>
      <c r="S864" s="330">
        <v>8850.2324255714029</v>
      </c>
      <c r="T864" s="332">
        <v>0.81779108272384837</v>
      </c>
      <c r="U864" s="330">
        <v>0.99924706964449461</v>
      </c>
      <c r="V864" s="330">
        <v>0.37054433149233884</v>
      </c>
      <c r="W864" s="330">
        <v>0.99510814433224659</v>
      </c>
      <c r="X864" s="330">
        <v>0.95585479936881179</v>
      </c>
      <c r="Y864" s="330">
        <v>0</v>
      </c>
      <c r="Z864" s="331">
        <v>0</v>
      </c>
      <c r="AA864" s="235"/>
      <c r="AB864" s="335">
        <v>90834.04615402277</v>
      </c>
      <c r="AC864" s="336">
        <v>4.5915447001485976</v>
      </c>
      <c r="AD864" s="337">
        <v>79403.788214380504</v>
      </c>
      <c r="AE864" s="336">
        <v>4.5665777935040133</v>
      </c>
      <c r="AF864" s="337">
        <v>11430.257939642266</v>
      </c>
      <c r="AG864" s="338">
        <v>2.4966906644584341E-2</v>
      </c>
      <c r="AH864" s="235"/>
      <c r="AI864" s="208">
        <f t="shared" si="96"/>
        <v>4271133.4189871447</v>
      </c>
      <c r="AJ864" s="208">
        <f t="shared" si="97"/>
        <v>4258845.1156144319</v>
      </c>
      <c r="AK864" s="208">
        <f t="shared" si="98"/>
        <v>12288.303372712857</v>
      </c>
      <c r="AL864" s="235"/>
      <c r="AM864" s="52">
        <f t="shared" si="86"/>
        <v>1</v>
      </c>
      <c r="AN864" s="52">
        <f t="shared" si="87"/>
        <v>0</v>
      </c>
      <c r="AO864" s="52">
        <f t="shared" si="88"/>
        <v>1</v>
      </c>
      <c r="AP864" s="235"/>
      <c r="AQ864" s="28"/>
      <c r="AR864" s="28"/>
      <c r="AS864" s="28"/>
      <c r="AT864" s="28"/>
      <c r="AU864" s="235"/>
      <c r="AV864" s="360">
        <f t="shared" si="99"/>
        <v>4271133.4189871447</v>
      </c>
      <c r="AW864" s="235"/>
      <c r="AX864" s="355"/>
      <c r="AY864" s="344"/>
      <c r="AZ864" s="14">
        <f t="shared" si="101"/>
        <v>11430.257939642266</v>
      </c>
      <c r="BA864" s="14">
        <f t="shared" si="100"/>
        <v>2.4966906644584341E-2</v>
      </c>
      <c r="BB864" s="14">
        <f t="shared" si="89"/>
        <v>457816.34474616195</v>
      </c>
      <c r="BC864" s="344"/>
      <c r="BD864" s="344"/>
      <c r="BE864" s="344"/>
      <c r="BF864" s="344"/>
      <c r="BG864" s="344"/>
      <c r="BH864" s="344"/>
      <c r="BI864" s="344"/>
      <c r="BJ864" s="344"/>
      <c r="BK864" s="344"/>
      <c r="BL864" s="344"/>
      <c r="BM864" s="344"/>
      <c r="BN864" s="344"/>
      <c r="BO864" s="344"/>
      <c r="BP864" s="344"/>
      <c r="BQ864" s="344"/>
      <c r="BR864" s="344"/>
      <c r="BS864" s="344"/>
      <c r="BT864" s="344"/>
      <c r="BU864" s="344"/>
      <c r="BV864" s="344"/>
      <c r="BW864" s="344"/>
      <c r="BX864" s="344"/>
      <c r="BY864" s="344"/>
      <c r="BZ864" s="344"/>
      <c r="CA864" s="344"/>
      <c r="CB864" s="28"/>
      <c r="CC864" s="28"/>
      <c r="CD864" s="28"/>
      <c r="CE864" s="28"/>
      <c r="CF864" s="28"/>
      <c r="CG864" s="28"/>
      <c r="CH864" s="28"/>
      <c r="CI864" s="28"/>
      <c r="CJ864" s="28"/>
      <c r="CK864" s="28"/>
      <c r="CL864" s="28"/>
      <c r="CM864" s="28"/>
      <c r="CN864" s="28"/>
      <c r="CO864" s="28"/>
      <c r="CP864" s="28"/>
      <c r="CQ864" s="28"/>
      <c r="CR864" s="28"/>
      <c r="CS864" s="28"/>
      <c r="CT864" s="28"/>
      <c r="CU864" s="28"/>
      <c r="CV864" s="28"/>
      <c r="CW864" s="28"/>
    </row>
    <row r="865" spans="1:101" ht="14.25" customHeight="1" x14ac:dyDescent="0.2">
      <c r="A865" s="328"/>
      <c r="B865" s="52">
        <v>0.1383163365233584</v>
      </c>
      <c r="C865" s="330">
        <v>0.11010082695857561</v>
      </c>
      <c r="D865" s="330">
        <v>1.6870365705595414E-2</v>
      </c>
      <c r="E865" s="330">
        <v>1.0502343282398179E-2</v>
      </c>
      <c r="F865" s="331">
        <v>0.78082397262440706</v>
      </c>
      <c r="G865" s="94">
        <v>0.36729928853846788</v>
      </c>
      <c r="H865" s="330">
        <v>1.3334791038004423E-2</v>
      </c>
      <c r="I865" s="330">
        <v>3.6504470801761151E-3</v>
      </c>
      <c r="J865" s="330">
        <v>0.3539747677965781</v>
      </c>
      <c r="K865" s="330">
        <v>0.73543885020658728</v>
      </c>
      <c r="L865" s="332">
        <v>17446.087041684154</v>
      </c>
      <c r="M865" s="330">
        <v>0</v>
      </c>
      <c r="N865" s="330">
        <v>26159.005835667529</v>
      </c>
      <c r="O865" s="330">
        <v>1073.116204024959</v>
      </c>
      <c r="P865" s="330">
        <v>59867.090151422912</v>
      </c>
      <c r="Q865" s="333">
        <v>130449.15440012442</v>
      </c>
      <c r="R865" s="330">
        <v>20601.08725517998</v>
      </c>
      <c r="S865" s="330">
        <v>7473.5050332712444</v>
      </c>
      <c r="T865" s="332">
        <v>0.99991703819707933</v>
      </c>
      <c r="U865" s="330">
        <v>0.48465802285872361</v>
      </c>
      <c r="V865" s="330">
        <v>0.92321411748231164</v>
      </c>
      <c r="W865" s="330">
        <v>0.99994412458651083</v>
      </c>
      <c r="X865" s="330">
        <v>4.118225671747619E-2</v>
      </c>
      <c r="Y865" s="330">
        <v>0</v>
      </c>
      <c r="Z865" s="331">
        <v>0</v>
      </c>
      <c r="AA865" s="235"/>
      <c r="AB865" s="335">
        <v>80836.762691341821</v>
      </c>
      <c r="AC865" s="336">
        <v>0.21026143028790503</v>
      </c>
      <c r="AD865" s="337">
        <v>59695.595288553108</v>
      </c>
      <c r="AE865" s="336">
        <v>0.30688989870309197</v>
      </c>
      <c r="AF865" s="337">
        <v>21141.167402788713</v>
      </c>
      <c r="AG865" s="338">
        <v>-9.6628468415186936E-2</v>
      </c>
      <c r="AH865" s="235"/>
      <c r="AI865" s="208">
        <f t="shared" si="96"/>
        <v>118911.59608216795</v>
      </c>
      <c r="AJ865" s="208">
        <f t="shared" si="97"/>
        <v>231849.80847938429</v>
      </c>
      <c r="AK865" s="208">
        <f t="shared" si="98"/>
        <v>-112938.2123972163</v>
      </c>
      <c r="AL865" s="235"/>
      <c r="AM865" s="52">
        <f t="shared" si="86"/>
        <v>0</v>
      </c>
      <c r="AN865" s="52">
        <f t="shared" si="87"/>
        <v>1</v>
      </c>
      <c r="AO865" s="52">
        <f t="shared" si="88"/>
        <v>0</v>
      </c>
      <c r="AP865" s="235"/>
      <c r="AQ865" s="28"/>
      <c r="AR865" s="28"/>
      <c r="AS865" s="28"/>
      <c r="AT865" s="28"/>
      <c r="AU865" s="235"/>
      <c r="AV865" s="360">
        <f t="shared" si="99"/>
        <v>231849.80847938429</v>
      </c>
      <c r="AW865" s="235"/>
      <c r="AX865" s="355"/>
      <c r="AY865" s="344"/>
      <c r="AZ865" s="14">
        <f t="shared" si="101"/>
        <v>21141.167402788713</v>
      </c>
      <c r="BA865" s="14">
        <f t="shared" si="100"/>
        <v>-9.6628468415186936E-2</v>
      </c>
      <c r="BB865" s="14">
        <f t="shared" si="89"/>
        <v>-218788.18685142268</v>
      </c>
      <c r="BC865" s="344"/>
      <c r="BD865" s="344"/>
      <c r="BE865" s="344"/>
      <c r="BF865" s="344"/>
      <c r="BG865" s="344"/>
      <c r="BH865" s="344"/>
      <c r="BI865" s="344"/>
      <c r="BJ865" s="344"/>
      <c r="BK865" s="344"/>
      <c r="BL865" s="344"/>
      <c r="BM865" s="344"/>
      <c r="BN865" s="344"/>
      <c r="BO865" s="344"/>
      <c r="BP865" s="344"/>
      <c r="BQ865" s="344"/>
      <c r="BR865" s="344"/>
      <c r="BS865" s="344"/>
      <c r="BT865" s="344"/>
      <c r="BU865" s="344"/>
      <c r="BV865" s="344"/>
      <c r="BW865" s="344"/>
      <c r="BX865" s="344"/>
      <c r="BY865" s="344"/>
      <c r="BZ865" s="344"/>
      <c r="CA865" s="344"/>
      <c r="CB865" s="28"/>
      <c r="CC865" s="28"/>
      <c r="CD865" s="28"/>
      <c r="CE865" s="28"/>
      <c r="CF865" s="28"/>
      <c r="CG865" s="28"/>
      <c r="CH865" s="28"/>
      <c r="CI865" s="28"/>
      <c r="CJ865" s="28"/>
      <c r="CK865" s="28"/>
      <c r="CL865" s="28"/>
      <c r="CM865" s="28"/>
      <c r="CN865" s="28"/>
      <c r="CO865" s="28"/>
      <c r="CP865" s="28"/>
      <c r="CQ865" s="28"/>
      <c r="CR865" s="28"/>
      <c r="CS865" s="28"/>
      <c r="CT865" s="28"/>
      <c r="CU865" s="28"/>
      <c r="CV865" s="28"/>
      <c r="CW865" s="28"/>
    </row>
    <row r="866" spans="1:101" ht="14.25" customHeight="1" x14ac:dyDescent="0.2">
      <c r="A866" s="328"/>
      <c r="B866" s="52">
        <v>0.11476348498692325</v>
      </c>
      <c r="C866" s="330">
        <v>0.8477529456637134</v>
      </c>
      <c r="D866" s="330">
        <v>8.3722532057740277E-3</v>
      </c>
      <c r="E866" s="330">
        <v>1.1210509964377363E-2</v>
      </c>
      <c r="F866" s="331">
        <v>0.76656438958567796</v>
      </c>
      <c r="G866" s="94">
        <v>0.39541711151923764</v>
      </c>
      <c r="H866" s="330">
        <v>9.2605334427694238E-4</v>
      </c>
      <c r="I866" s="330">
        <v>1.5237426385346734E-2</v>
      </c>
      <c r="J866" s="330">
        <v>0.94063200821052639</v>
      </c>
      <c r="K866" s="330">
        <v>0.68195671416222758</v>
      </c>
      <c r="L866" s="332">
        <v>13387.436102406113</v>
      </c>
      <c r="M866" s="330">
        <v>0</v>
      </c>
      <c r="N866" s="330">
        <v>14229.547722675059</v>
      </c>
      <c r="O866" s="330">
        <v>1520.9765018731064</v>
      </c>
      <c r="P866" s="330">
        <v>44245.994822419358</v>
      </c>
      <c r="Q866" s="333">
        <v>78490.899348342893</v>
      </c>
      <c r="R866" s="330">
        <v>24353.033115173581</v>
      </c>
      <c r="S866" s="330">
        <v>8211.3582563299169</v>
      </c>
      <c r="T866" s="332">
        <v>0.42082824815068343</v>
      </c>
      <c r="U866" s="330">
        <v>0.99231449647552505</v>
      </c>
      <c r="V866" s="330">
        <v>0.76333101606643994</v>
      </c>
      <c r="W866" s="330">
        <v>0.98944962107615186</v>
      </c>
      <c r="X866" s="330">
        <v>0.99089787730296863</v>
      </c>
      <c r="Y866" s="330">
        <v>0</v>
      </c>
      <c r="Z866" s="331">
        <v>0</v>
      </c>
      <c r="AA866" s="235"/>
      <c r="AB866" s="335">
        <v>83555.476822636934</v>
      </c>
      <c r="AC866" s="336">
        <v>4.7767646400282002</v>
      </c>
      <c r="AD866" s="337">
        <v>61631.569245420753</v>
      </c>
      <c r="AE866" s="336">
        <v>4.1663094001592844</v>
      </c>
      <c r="AF866" s="337">
        <v>21923.907577216181</v>
      </c>
      <c r="AG866" s="338">
        <v>0.61045523986891581</v>
      </c>
      <c r="AH866" s="235"/>
      <c r="AI866" s="208">
        <f t="shared" si="96"/>
        <v>4454370.9312041532</v>
      </c>
      <c r="AJ866" s="208">
        <f t="shared" si="97"/>
        <v>3896362.3609058992</v>
      </c>
      <c r="AK866" s="208">
        <f t="shared" si="98"/>
        <v>558008.57029825391</v>
      </c>
      <c r="AL866" s="235"/>
      <c r="AM866" s="52">
        <f t="shared" si="86"/>
        <v>1</v>
      </c>
      <c r="AN866" s="52">
        <f t="shared" si="87"/>
        <v>0</v>
      </c>
      <c r="AO866" s="52">
        <f t="shared" si="88"/>
        <v>1</v>
      </c>
      <c r="AP866" s="235"/>
      <c r="AQ866" s="28"/>
      <c r="AR866" s="28"/>
      <c r="AS866" s="28"/>
      <c r="AT866" s="28"/>
      <c r="AU866" s="235"/>
      <c r="AV866" s="360">
        <f t="shared" si="99"/>
        <v>4454370.9312041532</v>
      </c>
      <c r="AW866" s="235"/>
      <c r="AX866" s="355"/>
      <c r="AY866" s="344"/>
      <c r="AZ866" s="14">
        <f t="shared" si="101"/>
        <v>21923.907577216181</v>
      </c>
      <c r="BA866" s="14">
        <f t="shared" si="100"/>
        <v>0.61045523986891581</v>
      </c>
      <c r="BB866" s="14">
        <f t="shared" si="89"/>
        <v>35914.029637822328</v>
      </c>
      <c r="BC866" s="344"/>
      <c r="BD866" s="344"/>
      <c r="BE866" s="344"/>
      <c r="BF866" s="344"/>
      <c r="BG866" s="344"/>
      <c r="BH866" s="344"/>
      <c r="BI866" s="344"/>
      <c r="BJ866" s="344"/>
      <c r="BK866" s="344"/>
      <c r="BL866" s="344"/>
      <c r="BM866" s="344"/>
      <c r="BN866" s="344"/>
      <c r="BO866" s="344"/>
      <c r="BP866" s="344"/>
      <c r="BQ866" s="344"/>
      <c r="BR866" s="344"/>
      <c r="BS866" s="344"/>
      <c r="BT866" s="344"/>
      <c r="BU866" s="344"/>
      <c r="BV866" s="344"/>
      <c r="BW866" s="344"/>
      <c r="BX866" s="344"/>
      <c r="BY866" s="344"/>
      <c r="BZ866" s="344"/>
      <c r="CA866" s="344"/>
      <c r="CB866" s="28"/>
      <c r="CC866" s="28"/>
      <c r="CD866" s="28"/>
      <c r="CE866" s="28"/>
      <c r="CF866" s="28"/>
      <c r="CG866" s="28"/>
      <c r="CH866" s="28"/>
      <c r="CI866" s="28"/>
      <c r="CJ866" s="28"/>
      <c r="CK866" s="28"/>
      <c r="CL866" s="28"/>
      <c r="CM866" s="28"/>
      <c r="CN866" s="28"/>
      <c r="CO866" s="28"/>
      <c r="CP866" s="28"/>
      <c r="CQ866" s="28"/>
      <c r="CR866" s="28"/>
      <c r="CS866" s="28"/>
      <c r="CT866" s="28"/>
      <c r="CU866" s="28"/>
      <c r="CV866" s="28"/>
      <c r="CW866" s="28"/>
    </row>
    <row r="867" spans="1:101" ht="14.25" customHeight="1" x14ac:dyDescent="0.2">
      <c r="A867" s="328"/>
      <c r="B867" s="52">
        <v>0.12761264710351639</v>
      </c>
      <c r="C867" s="330">
        <v>0.38635890480996093</v>
      </c>
      <c r="D867" s="330">
        <v>8.4892142396548655E-3</v>
      </c>
      <c r="E867" s="330">
        <v>1.746162582072186E-2</v>
      </c>
      <c r="F867" s="331">
        <v>0.76280043774491169</v>
      </c>
      <c r="G867" s="94">
        <v>0.41395992918654423</v>
      </c>
      <c r="H867" s="330">
        <v>0.96915272400078567</v>
      </c>
      <c r="I867" s="330">
        <v>7.1441304738534507E-3</v>
      </c>
      <c r="J867" s="330">
        <v>0.99999982751983807</v>
      </c>
      <c r="K867" s="330">
        <v>0.75919444295284499</v>
      </c>
      <c r="L867" s="332">
        <v>11048.904575342425</v>
      </c>
      <c r="M867" s="330">
        <v>0</v>
      </c>
      <c r="N867" s="330">
        <v>17401.867563344269</v>
      </c>
      <c r="O867" s="330">
        <v>1238.3233286764323</v>
      </c>
      <c r="P867" s="330">
        <v>61635.564563979802</v>
      </c>
      <c r="Q867" s="333">
        <v>69425.865583387058</v>
      </c>
      <c r="R867" s="330">
        <v>20962.791005187704</v>
      </c>
      <c r="S867" s="330">
        <v>10040.768439943857</v>
      </c>
      <c r="T867" s="332">
        <v>0.97408850210485731</v>
      </c>
      <c r="U867" s="330">
        <v>0.90448461398221647</v>
      </c>
      <c r="V867" s="330">
        <v>0.97533465013335974</v>
      </c>
      <c r="W867" s="330">
        <v>1.1243851096465196E-3</v>
      </c>
      <c r="X867" s="330">
        <v>0.49232192854273399</v>
      </c>
      <c r="Y867" s="330">
        <v>0</v>
      </c>
      <c r="Z867" s="331">
        <v>0</v>
      </c>
      <c r="AA867" s="235"/>
      <c r="AB867" s="335">
        <v>94508.792923927642</v>
      </c>
      <c r="AC867" s="336">
        <v>2.5112218546443157</v>
      </c>
      <c r="AD867" s="337">
        <v>91128.674872560048</v>
      </c>
      <c r="AE867" s="336">
        <v>2.261213079314313</v>
      </c>
      <c r="AF867" s="337">
        <v>3380.1180513675936</v>
      </c>
      <c r="AG867" s="338">
        <v>0.25000877533000265</v>
      </c>
      <c r="AH867" s="235"/>
      <c r="AI867" s="208">
        <f t="shared" si="96"/>
        <v>2291151.9689881722</v>
      </c>
      <c r="AJ867" s="208">
        <f t="shared" si="97"/>
        <v>2057023.7504760376</v>
      </c>
      <c r="AK867" s="208">
        <f t="shared" si="98"/>
        <v>234128.21851213492</v>
      </c>
      <c r="AL867" s="235"/>
      <c r="AM867" s="52">
        <f t="shared" si="86"/>
        <v>1</v>
      </c>
      <c r="AN867" s="52">
        <f t="shared" si="87"/>
        <v>0</v>
      </c>
      <c r="AO867" s="52">
        <f t="shared" si="88"/>
        <v>1</v>
      </c>
      <c r="AP867" s="235"/>
      <c r="AQ867" s="28"/>
      <c r="AR867" s="28"/>
      <c r="AS867" s="28"/>
      <c r="AT867" s="28"/>
      <c r="AU867" s="235"/>
      <c r="AV867" s="360">
        <f t="shared" si="99"/>
        <v>2291151.9689881722</v>
      </c>
      <c r="AW867" s="235"/>
      <c r="AX867" s="355"/>
      <c r="AY867" s="344"/>
      <c r="AZ867" s="14">
        <f t="shared" si="101"/>
        <v>3380.1180513675936</v>
      </c>
      <c r="BA867" s="14">
        <f t="shared" si="100"/>
        <v>0.25000877533000265</v>
      </c>
      <c r="BB867" s="14">
        <f t="shared" si="89"/>
        <v>13519.997635706821</v>
      </c>
      <c r="BC867" s="344"/>
      <c r="BD867" s="344"/>
      <c r="BE867" s="344"/>
      <c r="BF867" s="344"/>
      <c r="BG867" s="344"/>
      <c r="BH867" s="344"/>
      <c r="BI867" s="344"/>
      <c r="BJ867" s="344"/>
      <c r="BK867" s="344"/>
      <c r="BL867" s="344"/>
      <c r="BM867" s="344"/>
      <c r="BN867" s="344"/>
      <c r="BO867" s="344"/>
      <c r="BP867" s="344"/>
      <c r="BQ867" s="344"/>
      <c r="BR867" s="344"/>
      <c r="BS867" s="344"/>
      <c r="BT867" s="344"/>
      <c r="BU867" s="344"/>
      <c r="BV867" s="344"/>
      <c r="BW867" s="344"/>
      <c r="BX867" s="344"/>
      <c r="BY867" s="344"/>
      <c r="BZ867" s="344"/>
      <c r="CA867" s="344"/>
      <c r="CB867" s="28"/>
      <c r="CC867" s="28"/>
      <c r="CD867" s="28"/>
      <c r="CE867" s="28"/>
      <c r="CF867" s="28"/>
      <c r="CG867" s="28"/>
      <c r="CH867" s="28"/>
      <c r="CI867" s="28"/>
      <c r="CJ867" s="28"/>
      <c r="CK867" s="28"/>
      <c r="CL867" s="28"/>
      <c r="CM867" s="28"/>
      <c r="CN867" s="28"/>
      <c r="CO867" s="28"/>
      <c r="CP867" s="28"/>
      <c r="CQ867" s="28"/>
      <c r="CR867" s="28"/>
      <c r="CS867" s="28"/>
      <c r="CT867" s="28"/>
      <c r="CU867" s="28"/>
      <c r="CV867" s="28"/>
      <c r="CW867" s="28"/>
    </row>
    <row r="868" spans="1:101" ht="14.25" customHeight="1" x14ac:dyDescent="0.2">
      <c r="A868" s="328"/>
      <c r="B868" s="52">
        <v>0.14092762644516221</v>
      </c>
      <c r="C868" s="330">
        <v>0.70150547454089129</v>
      </c>
      <c r="D868" s="330">
        <v>1.4209045687708902E-2</v>
      </c>
      <c r="E868" s="330">
        <v>1.5945151580325279E-2</v>
      </c>
      <c r="F868" s="331">
        <v>0.77119559854551267</v>
      </c>
      <c r="G868" s="94">
        <v>0.35624782572002811</v>
      </c>
      <c r="H868" s="330">
        <v>0.86924307760644215</v>
      </c>
      <c r="I868" s="330">
        <v>2.6074628033531888E-2</v>
      </c>
      <c r="J868" s="330">
        <v>0.98601641479454327</v>
      </c>
      <c r="K868" s="330">
        <v>0.75757763037837755</v>
      </c>
      <c r="L868" s="332">
        <v>8713.1098428452551</v>
      </c>
      <c r="M868" s="330">
        <v>0</v>
      </c>
      <c r="N868" s="330">
        <v>17743.764034766806</v>
      </c>
      <c r="O868" s="330">
        <v>1486.2799666477104</v>
      </c>
      <c r="P868" s="330">
        <v>38314.30729029973</v>
      </c>
      <c r="Q868" s="333">
        <v>107083.09467617338</v>
      </c>
      <c r="R868" s="330">
        <v>23686.785353465901</v>
      </c>
      <c r="S868" s="330">
        <v>9313.2555921943676</v>
      </c>
      <c r="T868" s="332">
        <v>0.99343253906298368</v>
      </c>
      <c r="U868" s="330">
        <v>0.99983640746267011</v>
      </c>
      <c r="V868" s="330">
        <v>0.97073561254509366</v>
      </c>
      <c r="W868" s="330">
        <v>0.99991842257069896</v>
      </c>
      <c r="X868" s="330">
        <v>0.99986926325015246</v>
      </c>
      <c r="Y868" s="330">
        <v>0</v>
      </c>
      <c r="Z868" s="331">
        <v>0</v>
      </c>
      <c r="AA868" s="235"/>
      <c r="AB868" s="335">
        <v>88555.867132342421</v>
      </c>
      <c r="AC868" s="336">
        <v>5.0175497294088096</v>
      </c>
      <c r="AD868" s="337">
        <v>85050.063298618275</v>
      </c>
      <c r="AE868" s="336">
        <v>4.7582371544803372</v>
      </c>
      <c r="AF868" s="337">
        <v>3505.8038337241451</v>
      </c>
      <c r="AG868" s="338">
        <v>0.25931257492847237</v>
      </c>
      <c r="AH868" s="235"/>
      <c r="AI868" s="208">
        <f t="shared" si="96"/>
        <v>4678116.3758060271</v>
      </c>
      <c r="AJ868" s="208">
        <f t="shared" si="97"/>
        <v>4435275.2334577022</v>
      </c>
      <c r="AK868" s="208">
        <f t="shared" si="98"/>
        <v>242841.14234832462</v>
      </c>
      <c r="AL868" s="235"/>
      <c r="AM868" s="52">
        <f t="shared" si="86"/>
        <v>1</v>
      </c>
      <c r="AN868" s="52">
        <f t="shared" si="87"/>
        <v>0</v>
      </c>
      <c r="AO868" s="52">
        <f t="shared" si="88"/>
        <v>1</v>
      </c>
      <c r="AP868" s="235"/>
      <c r="AQ868" s="28"/>
      <c r="AR868" s="28"/>
      <c r="AS868" s="28"/>
      <c r="AT868" s="28"/>
      <c r="AU868" s="235"/>
      <c r="AV868" s="360">
        <f t="shared" si="99"/>
        <v>4678116.3758060271</v>
      </c>
      <c r="AW868" s="235"/>
      <c r="AX868" s="355"/>
      <c r="AY868" s="344"/>
      <c r="AZ868" s="14">
        <f t="shared" si="101"/>
        <v>3505.8038337241451</v>
      </c>
      <c r="BA868" s="14">
        <f t="shared" si="100"/>
        <v>0.25931257492847237</v>
      </c>
      <c r="BB868" s="14">
        <f t="shared" si="89"/>
        <v>13519.605960841545</v>
      </c>
      <c r="BC868" s="344"/>
      <c r="BD868" s="344"/>
      <c r="BE868" s="344"/>
      <c r="BF868" s="344"/>
      <c r="BG868" s="344"/>
      <c r="BH868" s="344"/>
      <c r="BI868" s="344"/>
      <c r="BJ868" s="344"/>
      <c r="BK868" s="344"/>
      <c r="BL868" s="344"/>
      <c r="BM868" s="344"/>
      <c r="BN868" s="344"/>
      <c r="BO868" s="344"/>
      <c r="BP868" s="344"/>
      <c r="BQ868" s="344"/>
      <c r="BR868" s="344"/>
      <c r="BS868" s="344"/>
      <c r="BT868" s="344"/>
      <c r="BU868" s="344"/>
      <c r="BV868" s="344"/>
      <c r="BW868" s="344"/>
      <c r="BX868" s="344"/>
      <c r="BY868" s="344"/>
      <c r="BZ868" s="344"/>
      <c r="CA868" s="344"/>
      <c r="CB868" s="28"/>
      <c r="CC868" s="28"/>
      <c r="CD868" s="28"/>
      <c r="CE868" s="28"/>
      <c r="CF868" s="28"/>
      <c r="CG868" s="28"/>
      <c r="CH868" s="28"/>
      <c r="CI868" s="28"/>
      <c r="CJ868" s="28"/>
      <c r="CK868" s="28"/>
      <c r="CL868" s="28"/>
      <c r="CM868" s="28"/>
      <c r="CN868" s="28"/>
      <c r="CO868" s="28"/>
      <c r="CP868" s="28"/>
      <c r="CQ868" s="28"/>
      <c r="CR868" s="28"/>
      <c r="CS868" s="28"/>
      <c r="CT868" s="28"/>
      <c r="CU868" s="28"/>
      <c r="CV868" s="28"/>
      <c r="CW868" s="28"/>
    </row>
    <row r="869" spans="1:101" ht="14.25" customHeight="1" x14ac:dyDescent="0.2">
      <c r="A869" s="328"/>
      <c r="B869" s="52">
        <v>0.14811539884776043</v>
      </c>
      <c r="C869" s="330">
        <v>0.40325457505732676</v>
      </c>
      <c r="D869" s="330">
        <v>1.2187419582610182E-2</v>
      </c>
      <c r="E869" s="330">
        <v>1.5220165072834191E-2</v>
      </c>
      <c r="F869" s="331">
        <v>0.77885751809272152</v>
      </c>
      <c r="G869" s="94">
        <v>0.4023428519541794</v>
      </c>
      <c r="H869" s="330">
        <v>0.64531031370961656</v>
      </c>
      <c r="I869" s="330">
        <v>2.3839776887873976E-2</v>
      </c>
      <c r="J869" s="330">
        <v>0.9999993116172079</v>
      </c>
      <c r="K869" s="330">
        <v>0.77352622555813266</v>
      </c>
      <c r="L869" s="332">
        <v>14665.475067460326</v>
      </c>
      <c r="M869" s="330">
        <v>0</v>
      </c>
      <c r="N869" s="330">
        <v>18720.775470218727</v>
      </c>
      <c r="O869" s="330">
        <v>787.11226538130097</v>
      </c>
      <c r="P869" s="330">
        <v>40194.79034714459</v>
      </c>
      <c r="Q869" s="333">
        <v>97389.5031192639</v>
      </c>
      <c r="R869" s="330">
        <v>20513.206778598556</v>
      </c>
      <c r="S869" s="330">
        <v>6623.4006531786854</v>
      </c>
      <c r="T869" s="332">
        <v>0.99799822996571463</v>
      </c>
      <c r="U869" s="330">
        <v>0.36101846668652016</v>
      </c>
      <c r="V869" s="330">
        <v>0.99775043303537159</v>
      </c>
      <c r="W869" s="330">
        <v>0.93090851245813899</v>
      </c>
      <c r="X869" s="330">
        <v>0.9898810524996009</v>
      </c>
      <c r="Y869" s="330">
        <v>0</v>
      </c>
      <c r="Z869" s="331">
        <v>0</v>
      </c>
      <c r="AA869" s="235"/>
      <c r="AB869" s="335">
        <v>71543.742520754662</v>
      </c>
      <c r="AC869" s="336">
        <v>5.2546075667487697</v>
      </c>
      <c r="AD869" s="337">
        <v>62074.382786820504</v>
      </c>
      <c r="AE869" s="336">
        <v>4.6680325367675968</v>
      </c>
      <c r="AF869" s="337">
        <v>9469.3597339341577</v>
      </c>
      <c r="AG869" s="338">
        <v>0.58657502998117295</v>
      </c>
      <c r="AH869" s="235"/>
      <c r="AI869" s="208">
        <f t="shared" si="96"/>
        <v>4920333.4458905766</v>
      </c>
      <c r="AJ869" s="208">
        <f t="shared" si="97"/>
        <v>4372556.5271423962</v>
      </c>
      <c r="AK869" s="208">
        <f t="shared" si="98"/>
        <v>547776.91874818015</v>
      </c>
      <c r="AL869" s="235"/>
      <c r="AM869" s="52">
        <f t="shared" si="86"/>
        <v>1</v>
      </c>
      <c r="AN869" s="52">
        <f t="shared" si="87"/>
        <v>0</v>
      </c>
      <c r="AO869" s="52">
        <f t="shared" si="88"/>
        <v>1</v>
      </c>
      <c r="AP869" s="235"/>
      <c r="AQ869" s="28"/>
      <c r="AR869" s="28"/>
      <c r="AS869" s="28"/>
      <c r="AT869" s="28"/>
      <c r="AU869" s="235"/>
      <c r="AV869" s="360">
        <f t="shared" si="99"/>
        <v>4920333.4458905766</v>
      </c>
      <c r="AW869" s="235"/>
      <c r="AX869" s="355"/>
      <c r="AY869" s="344"/>
      <c r="AZ869" s="14">
        <f t="shared" si="101"/>
        <v>9469.3597339341577</v>
      </c>
      <c r="BA869" s="14">
        <f t="shared" si="100"/>
        <v>0.58657502998117295</v>
      </c>
      <c r="BB869" s="14">
        <f t="shared" si="89"/>
        <v>16143.475685008432</v>
      </c>
      <c r="BC869" s="344"/>
      <c r="BD869" s="344"/>
      <c r="BE869" s="344"/>
      <c r="BF869" s="344"/>
      <c r="BG869" s="344"/>
      <c r="BH869" s="344"/>
      <c r="BI869" s="344"/>
      <c r="BJ869" s="344"/>
      <c r="BK869" s="344"/>
      <c r="BL869" s="344"/>
      <c r="BM869" s="344"/>
      <c r="BN869" s="344"/>
      <c r="BO869" s="344"/>
      <c r="BP869" s="344"/>
      <c r="BQ869" s="344"/>
      <c r="BR869" s="344"/>
      <c r="BS869" s="344"/>
      <c r="BT869" s="344"/>
      <c r="BU869" s="344"/>
      <c r="BV869" s="344"/>
      <c r="BW869" s="344"/>
      <c r="BX869" s="344"/>
      <c r="BY869" s="344"/>
      <c r="BZ869" s="344"/>
      <c r="CA869" s="344"/>
      <c r="CB869" s="28"/>
      <c r="CC869" s="28"/>
      <c r="CD869" s="28"/>
      <c r="CE869" s="28"/>
      <c r="CF869" s="28"/>
      <c r="CG869" s="28"/>
      <c r="CH869" s="28"/>
      <c r="CI869" s="28"/>
      <c r="CJ869" s="28"/>
      <c r="CK869" s="28"/>
      <c r="CL869" s="28"/>
      <c r="CM869" s="28"/>
      <c r="CN869" s="28"/>
      <c r="CO869" s="28"/>
      <c r="CP869" s="28"/>
      <c r="CQ869" s="28"/>
      <c r="CR869" s="28"/>
      <c r="CS869" s="28"/>
      <c r="CT869" s="28"/>
      <c r="CU869" s="28"/>
      <c r="CV869" s="28"/>
      <c r="CW869" s="28"/>
    </row>
    <row r="870" spans="1:101" ht="14.25" customHeight="1" x14ac:dyDescent="0.2">
      <c r="A870" s="328"/>
      <c r="B870" s="52">
        <v>0.10453136663518471</v>
      </c>
      <c r="C870" s="330">
        <v>0.21735872203969672</v>
      </c>
      <c r="D870" s="330">
        <v>1.9729186481099448E-2</v>
      </c>
      <c r="E870" s="330">
        <v>1.9992264428182582E-2</v>
      </c>
      <c r="F870" s="331">
        <v>0.81216017476305835</v>
      </c>
      <c r="G870" s="94">
        <v>0.39268876609765563</v>
      </c>
      <c r="H870" s="330">
        <v>0.41601881129062007</v>
      </c>
      <c r="I870" s="330">
        <v>1.0704129555242685E-2</v>
      </c>
      <c r="J870" s="330">
        <v>1</v>
      </c>
      <c r="K870" s="330">
        <v>0.79133718742115056</v>
      </c>
      <c r="L870" s="332">
        <v>12809.004336112985</v>
      </c>
      <c r="M870" s="330">
        <v>0</v>
      </c>
      <c r="N870" s="330">
        <v>20565.052866582322</v>
      </c>
      <c r="O870" s="330">
        <v>1129.440408935855</v>
      </c>
      <c r="P870" s="330">
        <v>46307.927902661744</v>
      </c>
      <c r="Q870" s="333">
        <v>89785.502624606175</v>
      </c>
      <c r="R870" s="330">
        <v>26322.421402545009</v>
      </c>
      <c r="S870" s="330">
        <v>10229.283139876105</v>
      </c>
      <c r="T870" s="332">
        <v>0.75282905027679536</v>
      </c>
      <c r="U870" s="330">
        <v>0.83622718592671308</v>
      </c>
      <c r="V870" s="330">
        <v>0.9227897592324259</v>
      </c>
      <c r="W870" s="330">
        <v>0.84100675431222571</v>
      </c>
      <c r="X870" s="330">
        <v>0.93392425304987725</v>
      </c>
      <c r="Y870" s="330">
        <v>0</v>
      </c>
      <c r="Z870" s="331">
        <v>0</v>
      </c>
      <c r="AA870" s="235"/>
      <c r="AB870" s="335">
        <v>102866.1553810053</v>
      </c>
      <c r="AC870" s="336">
        <v>5.0272344639299318</v>
      </c>
      <c r="AD870" s="337">
        <v>92247.522760764565</v>
      </c>
      <c r="AE870" s="336">
        <v>4.5120869698368722</v>
      </c>
      <c r="AF870" s="337">
        <v>10618.632620240736</v>
      </c>
      <c r="AG870" s="338">
        <v>0.5151474940930596</v>
      </c>
      <c r="AH870" s="235"/>
      <c r="AI870" s="208">
        <f t="shared" si="96"/>
        <v>4673006.5853524301</v>
      </c>
      <c r="AJ870" s="208">
        <f t="shared" si="97"/>
        <v>4194235.0985842636</v>
      </c>
      <c r="AK870" s="208">
        <f t="shared" si="98"/>
        <v>478771.48676816589</v>
      </c>
      <c r="AL870" s="235"/>
      <c r="AM870" s="52">
        <f t="shared" si="86"/>
        <v>1</v>
      </c>
      <c r="AN870" s="52">
        <f t="shared" si="87"/>
        <v>0</v>
      </c>
      <c r="AO870" s="52">
        <f t="shared" si="88"/>
        <v>1</v>
      </c>
      <c r="AP870" s="235"/>
      <c r="AQ870" s="28"/>
      <c r="AR870" s="28"/>
      <c r="AS870" s="28"/>
      <c r="AT870" s="28"/>
      <c r="AU870" s="235"/>
      <c r="AV870" s="360">
        <f t="shared" si="99"/>
        <v>4673006.5853524301</v>
      </c>
      <c r="AW870" s="235"/>
      <c r="AX870" s="355"/>
      <c r="AY870" s="344"/>
      <c r="AZ870" s="14">
        <f t="shared" si="101"/>
        <v>10618.632620240736</v>
      </c>
      <c r="BA870" s="14">
        <f t="shared" si="100"/>
        <v>0.5151474940930596</v>
      </c>
      <c r="BB870" s="14">
        <f t="shared" si="89"/>
        <v>20612.800687180508</v>
      </c>
      <c r="BC870" s="344"/>
      <c r="BD870" s="344"/>
      <c r="BE870" s="344"/>
      <c r="BF870" s="344"/>
      <c r="BG870" s="344"/>
      <c r="BH870" s="344"/>
      <c r="BI870" s="344"/>
      <c r="BJ870" s="344"/>
      <c r="BK870" s="344"/>
      <c r="BL870" s="344"/>
      <c r="BM870" s="344"/>
      <c r="BN870" s="344"/>
      <c r="BO870" s="344"/>
      <c r="BP870" s="344"/>
      <c r="BQ870" s="344"/>
      <c r="BR870" s="344"/>
      <c r="BS870" s="344"/>
      <c r="BT870" s="344"/>
      <c r="BU870" s="344"/>
      <c r="BV870" s="344"/>
      <c r="BW870" s="344"/>
      <c r="BX870" s="344"/>
      <c r="BY870" s="344"/>
      <c r="BZ870" s="344"/>
      <c r="CA870" s="344"/>
      <c r="CB870" s="28"/>
      <c r="CC870" s="28"/>
      <c r="CD870" s="28"/>
      <c r="CE870" s="28"/>
      <c r="CF870" s="28"/>
      <c r="CG870" s="28"/>
      <c r="CH870" s="28"/>
      <c r="CI870" s="28"/>
      <c r="CJ870" s="28"/>
      <c r="CK870" s="28"/>
      <c r="CL870" s="28"/>
      <c r="CM870" s="28"/>
      <c r="CN870" s="28"/>
      <c r="CO870" s="28"/>
      <c r="CP870" s="28"/>
      <c r="CQ870" s="28"/>
      <c r="CR870" s="28"/>
      <c r="CS870" s="28"/>
      <c r="CT870" s="28"/>
      <c r="CU870" s="28"/>
      <c r="CV870" s="28"/>
      <c r="CW870" s="28"/>
    </row>
    <row r="871" spans="1:101" ht="14.25" customHeight="1" x14ac:dyDescent="0.2">
      <c r="A871" s="328"/>
      <c r="B871" s="52">
        <v>0.20753995641332945</v>
      </c>
      <c r="C871" s="330">
        <v>1.3231336748937424E-2</v>
      </c>
      <c r="D871" s="330">
        <v>1.7036941048560239E-2</v>
      </c>
      <c r="E871" s="330">
        <v>1.7349391070668352E-2</v>
      </c>
      <c r="F871" s="331">
        <v>0.80423042215805141</v>
      </c>
      <c r="G871" s="94">
        <v>0.4316975371997982</v>
      </c>
      <c r="H871" s="330">
        <v>0.19542013807073205</v>
      </c>
      <c r="I871" s="330">
        <v>6.7984137714069944E-3</v>
      </c>
      <c r="J871" s="330">
        <v>0.99999999621791902</v>
      </c>
      <c r="K871" s="330">
        <v>0.67147144350558718</v>
      </c>
      <c r="L871" s="332">
        <v>13769.646386938439</v>
      </c>
      <c r="M871" s="330">
        <v>0</v>
      </c>
      <c r="N871" s="330">
        <v>17792.266270416581</v>
      </c>
      <c r="O871" s="330">
        <v>1312.7866555513351</v>
      </c>
      <c r="P871" s="330">
        <v>34263.325732867095</v>
      </c>
      <c r="Q871" s="333">
        <v>92464.60966908306</v>
      </c>
      <c r="R871" s="330">
        <v>23834.298575793273</v>
      </c>
      <c r="S871" s="330">
        <v>7488.7019085892689</v>
      </c>
      <c r="T871" s="332">
        <v>0.95527855198609735</v>
      </c>
      <c r="U871" s="330">
        <v>0.87705905482213087</v>
      </c>
      <c r="V871" s="330">
        <v>0.98775544234481782</v>
      </c>
      <c r="W871" s="330">
        <v>0.88729062558944594</v>
      </c>
      <c r="X871" s="330">
        <v>0.59226852350202397</v>
      </c>
      <c r="Y871" s="330">
        <v>0</v>
      </c>
      <c r="Z871" s="331">
        <v>0</v>
      </c>
      <c r="AA871" s="235"/>
      <c r="AB871" s="335">
        <v>79068.048831914668</v>
      </c>
      <c r="AC871" s="336">
        <v>2.9187692488695993</v>
      </c>
      <c r="AD871" s="337">
        <v>56950.301713970133</v>
      </c>
      <c r="AE871" s="336">
        <v>2.5178728952996261</v>
      </c>
      <c r="AF871" s="337">
        <v>22117.747117944535</v>
      </c>
      <c r="AG871" s="338">
        <v>0.40089635356997322</v>
      </c>
      <c r="AH871" s="235"/>
      <c r="AI871" s="208">
        <f t="shared" si="96"/>
        <v>2693762.737594205</v>
      </c>
      <c r="AJ871" s="208">
        <f t="shared" si="97"/>
        <v>2335028.9488206748</v>
      </c>
      <c r="AK871" s="208">
        <f t="shared" si="98"/>
        <v>358733.78877353005</v>
      </c>
      <c r="AL871" s="235"/>
      <c r="AM871" s="52">
        <f t="shared" si="86"/>
        <v>1</v>
      </c>
      <c r="AN871" s="52">
        <f t="shared" si="87"/>
        <v>0</v>
      </c>
      <c r="AO871" s="52">
        <f t="shared" si="88"/>
        <v>1</v>
      </c>
      <c r="AP871" s="235"/>
      <c r="AQ871" s="28"/>
      <c r="AR871" s="28"/>
      <c r="AS871" s="28"/>
      <c r="AT871" s="28"/>
      <c r="AU871" s="235"/>
      <c r="AV871" s="360">
        <f t="shared" si="99"/>
        <v>2693762.737594205</v>
      </c>
      <c r="AW871" s="235"/>
      <c r="AX871" s="355"/>
      <c r="AY871" s="344"/>
      <c r="AZ871" s="14">
        <f t="shared" si="101"/>
        <v>22117.747117944535</v>
      </c>
      <c r="BA871" s="14">
        <f t="shared" si="100"/>
        <v>0.40089635356997322</v>
      </c>
      <c r="BB871" s="14">
        <f t="shared" si="89"/>
        <v>55170.736578136675</v>
      </c>
      <c r="BC871" s="344"/>
      <c r="BD871" s="344"/>
      <c r="BE871" s="344"/>
      <c r="BF871" s="344"/>
      <c r="BG871" s="344"/>
      <c r="BH871" s="344"/>
      <c r="BI871" s="344"/>
      <c r="BJ871" s="344"/>
      <c r="BK871" s="344"/>
      <c r="BL871" s="344"/>
      <c r="BM871" s="344"/>
      <c r="BN871" s="344"/>
      <c r="BO871" s="344"/>
      <c r="BP871" s="344"/>
      <c r="BQ871" s="344"/>
      <c r="BR871" s="344"/>
      <c r="BS871" s="344"/>
      <c r="BT871" s="344"/>
      <c r="BU871" s="344"/>
      <c r="BV871" s="344"/>
      <c r="BW871" s="344"/>
      <c r="BX871" s="344"/>
      <c r="BY871" s="344"/>
      <c r="BZ871" s="344"/>
      <c r="CA871" s="344"/>
      <c r="CB871" s="28"/>
      <c r="CC871" s="28"/>
      <c r="CD871" s="28"/>
      <c r="CE871" s="28"/>
      <c r="CF871" s="28"/>
      <c r="CG871" s="28"/>
      <c r="CH871" s="28"/>
      <c r="CI871" s="28"/>
      <c r="CJ871" s="28"/>
      <c r="CK871" s="28"/>
      <c r="CL871" s="28"/>
      <c r="CM871" s="28"/>
      <c r="CN871" s="28"/>
      <c r="CO871" s="28"/>
      <c r="CP871" s="28"/>
      <c r="CQ871" s="28"/>
      <c r="CR871" s="28"/>
      <c r="CS871" s="28"/>
      <c r="CT871" s="28"/>
      <c r="CU871" s="28"/>
      <c r="CV871" s="28"/>
      <c r="CW871" s="28"/>
    </row>
    <row r="872" spans="1:101" ht="14.25" customHeight="1" x14ac:dyDescent="0.2">
      <c r="A872" s="328"/>
      <c r="B872" s="52">
        <v>0.15637083791271184</v>
      </c>
      <c r="C872" s="330">
        <v>0.56197795625177949</v>
      </c>
      <c r="D872" s="330">
        <v>2.0083688188552218E-2</v>
      </c>
      <c r="E872" s="330">
        <v>1.0010295061416602E-2</v>
      </c>
      <c r="F872" s="331">
        <v>0.7893046026179934</v>
      </c>
      <c r="G872" s="94">
        <v>0.39366850417763499</v>
      </c>
      <c r="H872" s="330">
        <v>0.77439578045058544</v>
      </c>
      <c r="I872" s="330">
        <v>6.3347601818836332E-3</v>
      </c>
      <c r="J872" s="330">
        <v>1.6125012065710839E-3</v>
      </c>
      <c r="K872" s="330">
        <v>0.78099935335409787</v>
      </c>
      <c r="L872" s="332">
        <v>16159.126310854834</v>
      </c>
      <c r="M872" s="330">
        <v>0</v>
      </c>
      <c r="N872" s="330">
        <v>21605.458386350918</v>
      </c>
      <c r="O872" s="330">
        <v>1450.0831620419622</v>
      </c>
      <c r="P872" s="330">
        <v>37544.961897448316</v>
      </c>
      <c r="Q872" s="333">
        <v>57873.657287627844</v>
      </c>
      <c r="R872" s="330">
        <v>20333.352017340447</v>
      </c>
      <c r="S872" s="330">
        <v>10079.488777056751</v>
      </c>
      <c r="T872" s="332">
        <v>0.9848433306115878</v>
      </c>
      <c r="U872" s="330">
        <v>0.44626407209906976</v>
      </c>
      <c r="V872" s="330">
        <v>0.13895772847250454</v>
      </c>
      <c r="W872" s="330">
        <v>0.99994930705809115</v>
      </c>
      <c r="X872" s="330">
        <v>0.91659833172335414</v>
      </c>
      <c r="Y872" s="330">
        <v>0</v>
      </c>
      <c r="Z872" s="331">
        <v>0</v>
      </c>
      <c r="AA872" s="235"/>
      <c r="AB872" s="335">
        <v>103731.71121810503</v>
      </c>
      <c r="AC872" s="336">
        <v>4.4554765266969945</v>
      </c>
      <c r="AD872" s="337">
        <v>91380.421578978072</v>
      </c>
      <c r="AE872" s="336">
        <v>4.3949122758518566</v>
      </c>
      <c r="AF872" s="337">
        <v>12351.289639126961</v>
      </c>
      <c r="AG872" s="338">
        <v>6.0564250845137835E-2</v>
      </c>
      <c r="AH872" s="235"/>
      <c r="AI872" s="208">
        <f t="shared" si="96"/>
        <v>4128970.9891440398</v>
      </c>
      <c r="AJ872" s="208">
        <f t="shared" si="97"/>
        <v>4083786.2404802856</v>
      </c>
      <c r="AK872" s="208">
        <f t="shared" si="98"/>
        <v>45184.748663753984</v>
      </c>
      <c r="AL872" s="235"/>
      <c r="AM872" s="52">
        <f t="shared" si="86"/>
        <v>1</v>
      </c>
      <c r="AN872" s="52">
        <f t="shared" si="87"/>
        <v>0</v>
      </c>
      <c r="AO872" s="52">
        <f t="shared" si="88"/>
        <v>1</v>
      </c>
      <c r="AP872" s="235"/>
      <c r="AQ872" s="28"/>
      <c r="AR872" s="28"/>
      <c r="AS872" s="28"/>
      <c r="AT872" s="28"/>
      <c r="AU872" s="235"/>
      <c r="AV872" s="360">
        <f t="shared" si="99"/>
        <v>4128970.9891440398</v>
      </c>
      <c r="AW872" s="235"/>
      <c r="AX872" s="355"/>
      <c r="AY872" s="344"/>
      <c r="AZ872" s="14">
        <f t="shared" si="101"/>
        <v>12351.289639126961</v>
      </c>
      <c r="BA872" s="14">
        <f t="shared" si="100"/>
        <v>6.0564250845137835E-2</v>
      </c>
      <c r="BB872" s="14">
        <f t="shared" si="89"/>
        <v>203936.96721699869</v>
      </c>
      <c r="BC872" s="344"/>
      <c r="BD872" s="344"/>
      <c r="BE872" s="344"/>
      <c r="BF872" s="344"/>
      <c r="BG872" s="344"/>
      <c r="BH872" s="344"/>
      <c r="BI872" s="344"/>
      <c r="BJ872" s="344"/>
      <c r="BK872" s="344"/>
      <c r="BL872" s="344"/>
      <c r="BM872" s="344"/>
      <c r="BN872" s="344"/>
      <c r="BO872" s="344"/>
      <c r="BP872" s="344"/>
      <c r="BQ872" s="344"/>
      <c r="BR872" s="344"/>
      <c r="BS872" s="344"/>
      <c r="BT872" s="344"/>
      <c r="BU872" s="344"/>
      <c r="BV872" s="344"/>
      <c r="BW872" s="344"/>
      <c r="BX872" s="344"/>
      <c r="BY872" s="344"/>
      <c r="BZ872" s="344"/>
      <c r="CA872" s="344"/>
      <c r="CB872" s="28"/>
      <c r="CC872" s="28"/>
      <c r="CD872" s="28"/>
      <c r="CE872" s="28"/>
      <c r="CF872" s="28"/>
      <c r="CG872" s="28"/>
      <c r="CH872" s="28"/>
      <c r="CI872" s="28"/>
      <c r="CJ872" s="28"/>
      <c r="CK872" s="28"/>
      <c r="CL872" s="28"/>
      <c r="CM872" s="28"/>
      <c r="CN872" s="28"/>
      <c r="CO872" s="28"/>
      <c r="CP872" s="28"/>
      <c r="CQ872" s="28"/>
      <c r="CR872" s="28"/>
      <c r="CS872" s="28"/>
      <c r="CT872" s="28"/>
      <c r="CU872" s="28"/>
      <c r="CV872" s="28"/>
      <c r="CW872" s="28"/>
    </row>
    <row r="873" spans="1:101" ht="14.25" customHeight="1" x14ac:dyDescent="0.2">
      <c r="A873" s="328"/>
      <c r="B873" s="52">
        <v>0.17506939745594463</v>
      </c>
      <c r="C873" s="330">
        <v>0.22121012474532192</v>
      </c>
      <c r="D873" s="330">
        <v>4.399738015589949E-2</v>
      </c>
      <c r="E873" s="330">
        <v>1.2677002765168964E-2</v>
      </c>
      <c r="F873" s="331">
        <v>0.7784391010476247</v>
      </c>
      <c r="G873" s="94">
        <v>0.38412526735113506</v>
      </c>
      <c r="H873" s="330">
        <v>0.91245595208808528</v>
      </c>
      <c r="I873" s="330">
        <v>2.2855015111662547E-2</v>
      </c>
      <c r="J873" s="330">
        <v>1</v>
      </c>
      <c r="K873" s="330">
        <v>0.75335881300176444</v>
      </c>
      <c r="L873" s="332">
        <v>13125.403474863435</v>
      </c>
      <c r="M873" s="330">
        <v>0</v>
      </c>
      <c r="N873" s="330">
        <v>14529.413654084219</v>
      </c>
      <c r="O873" s="330">
        <v>1204.1475829148701</v>
      </c>
      <c r="P873" s="330">
        <v>37146.067622290015</v>
      </c>
      <c r="Q873" s="333">
        <v>104761.76699258079</v>
      </c>
      <c r="R873" s="330">
        <v>26146.220348447412</v>
      </c>
      <c r="S873" s="330">
        <v>8933.5921629849981</v>
      </c>
      <c r="T873" s="332">
        <v>0.96902758803246147</v>
      </c>
      <c r="U873" s="330">
        <v>0.99635339114884092</v>
      </c>
      <c r="V873" s="330">
        <v>0.97211233449890888</v>
      </c>
      <c r="W873" s="330">
        <v>0.99998768169661201</v>
      </c>
      <c r="X873" s="330">
        <v>0.9473455153556628</v>
      </c>
      <c r="Y873" s="330">
        <v>0</v>
      </c>
      <c r="Z873" s="331">
        <v>0</v>
      </c>
      <c r="AA873" s="235"/>
      <c r="AB873" s="335">
        <v>89788.509160744696</v>
      </c>
      <c r="AC873" s="336">
        <v>4.9754713542236937</v>
      </c>
      <c r="AD873" s="337">
        <v>83064.784057390352</v>
      </c>
      <c r="AE873" s="336">
        <v>4.4445519149591082</v>
      </c>
      <c r="AF873" s="337">
        <v>6723.7251033543434</v>
      </c>
      <c r="AG873" s="338">
        <v>0.53091943926458551</v>
      </c>
      <c r="AH873" s="235"/>
      <c r="AI873" s="208">
        <f t="shared" si="96"/>
        <v>4636909.277351764</v>
      </c>
      <c r="AJ873" s="208">
        <f t="shared" si="97"/>
        <v>4139259.535153762</v>
      </c>
      <c r="AK873" s="208">
        <f t="shared" si="98"/>
        <v>497649.74219800194</v>
      </c>
      <c r="AL873" s="235"/>
      <c r="AM873" s="52">
        <f t="shared" si="86"/>
        <v>1</v>
      </c>
      <c r="AN873" s="52">
        <f t="shared" si="87"/>
        <v>0</v>
      </c>
      <c r="AO873" s="52">
        <f t="shared" si="88"/>
        <v>1</v>
      </c>
      <c r="AP873" s="235"/>
      <c r="AQ873" s="28"/>
      <c r="AR873" s="28"/>
      <c r="AS873" s="28"/>
      <c r="AT873" s="28"/>
      <c r="AU873" s="235"/>
      <c r="AV873" s="360">
        <f t="shared" si="99"/>
        <v>4636909.277351764</v>
      </c>
      <c r="AW873" s="235"/>
      <c r="AX873" s="355"/>
      <c r="AY873" s="344"/>
      <c r="AZ873" s="14">
        <f t="shared" si="101"/>
        <v>6723.7251033543434</v>
      </c>
      <c r="BA873" s="14">
        <f t="shared" si="100"/>
        <v>0.53091943926458551</v>
      </c>
      <c r="BB873" s="14">
        <f t="shared" si="89"/>
        <v>12664.303858732044</v>
      </c>
      <c r="BC873" s="344"/>
      <c r="BD873" s="344"/>
      <c r="BE873" s="344"/>
      <c r="BF873" s="344"/>
      <c r="BG873" s="344"/>
      <c r="BH873" s="344"/>
      <c r="BI873" s="344"/>
      <c r="BJ873" s="344"/>
      <c r="BK873" s="344"/>
      <c r="BL873" s="344"/>
      <c r="BM873" s="344"/>
      <c r="BN873" s="344"/>
      <c r="BO873" s="344"/>
      <c r="BP873" s="344"/>
      <c r="BQ873" s="344"/>
      <c r="BR873" s="344"/>
      <c r="BS873" s="344"/>
      <c r="BT873" s="344"/>
      <c r="BU873" s="344"/>
      <c r="BV873" s="344"/>
      <c r="BW873" s="344"/>
      <c r="BX873" s="344"/>
      <c r="BY873" s="344"/>
      <c r="BZ873" s="344"/>
      <c r="CA873" s="344"/>
      <c r="CB873" s="28"/>
      <c r="CC873" s="28"/>
      <c r="CD873" s="28"/>
      <c r="CE873" s="28"/>
      <c r="CF873" s="28"/>
      <c r="CG873" s="28"/>
      <c r="CH873" s="28"/>
      <c r="CI873" s="28"/>
      <c r="CJ873" s="28"/>
      <c r="CK873" s="28"/>
      <c r="CL873" s="28"/>
      <c r="CM873" s="28"/>
      <c r="CN873" s="28"/>
      <c r="CO873" s="28"/>
      <c r="CP873" s="28"/>
      <c r="CQ873" s="28"/>
      <c r="CR873" s="28"/>
      <c r="CS873" s="28"/>
      <c r="CT873" s="28"/>
      <c r="CU873" s="28"/>
      <c r="CV873" s="28"/>
      <c r="CW873" s="28"/>
    </row>
    <row r="874" spans="1:101" ht="14.25" customHeight="1" x14ac:dyDescent="0.2">
      <c r="A874" s="328"/>
      <c r="B874" s="52">
        <v>0.15371333550531696</v>
      </c>
      <c r="C874" s="330">
        <v>0.39868989455043846</v>
      </c>
      <c r="D874" s="330">
        <v>1.7094306976422224E-2</v>
      </c>
      <c r="E874" s="330">
        <v>8.9149922684237624E-3</v>
      </c>
      <c r="F874" s="331">
        <v>0.76704403094492091</v>
      </c>
      <c r="G874" s="94">
        <v>0.46221305031263304</v>
      </c>
      <c r="H874" s="330">
        <v>0.56018704612134884</v>
      </c>
      <c r="I874" s="330">
        <v>1.3192579132597299E-2</v>
      </c>
      <c r="J874" s="330">
        <v>0.99995606890890243</v>
      </c>
      <c r="K874" s="330">
        <v>0.71455391043132699</v>
      </c>
      <c r="L874" s="332">
        <v>16281.889815281051</v>
      </c>
      <c r="M874" s="330">
        <v>0</v>
      </c>
      <c r="N874" s="330">
        <v>17030.342634647626</v>
      </c>
      <c r="O874" s="330">
        <v>1398.402091618364</v>
      </c>
      <c r="P874" s="330">
        <v>41376.207788550993</v>
      </c>
      <c r="Q874" s="333">
        <v>95127.728242888275</v>
      </c>
      <c r="R874" s="330">
        <v>27255.789134564278</v>
      </c>
      <c r="S874" s="330">
        <v>7588.5452615839922</v>
      </c>
      <c r="T874" s="332">
        <v>0.99846320131947552</v>
      </c>
      <c r="U874" s="330">
        <v>0.50118184525648279</v>
      </c>
      <c r="V874" s="330">
        <v>0.98936695805338259</v>
      </c>
      <c r="W874" s="330">
        <v>0.72995242835499585</v>
      </c>
      <c r="X874" s="330">
        <v>0.99995243220677366</v>
      </c>
      <c r="Y874" s="330">
        <v>0</v>
      </c>
      <c r="Z874" s="331">
        <v>0</v>
      </c>
      <c r="AA874" s="235"/>
      <c r="AB874" s="335">
        <v>80882.310057660114</v>
      </c>
      <c r="AC874" s="336">
        <v>5.1863925892158917</v>
      </c>
      <c r="AD874" s="337">
        <v>66802.241272710933</v>
      </c>
      <c r="AE874" s="336">
        <v>4.323752286557502</v>
      </c>
      <c r="AF874" s="337">
        <v>14080.068784949181</v>
      </c>
      <c r="AG874" s="338">
        <v>0.86264030265838976</v>
      </c>
      <c r="AH874" s="235"/>
      <c r="AI874" s="208">
        <f t="shared" si="96"/>
        <v>4846190.649697437</v>
      </c>
      <c r="AJ874" s="208">
        <f t="shared" si="97"/>
        <v>4040762.430956916</v>
      </c>
      <c r="AK874" s="208">
        <f t="shared" si="98"/>
        <v>805428.21874052112</v>
      </c>
      <c r="AL874" s="235"/>
      <c r="AM874" s="52">
        <f t="shared" si="86"/>
        <v>1</v>
      </c>
      <c r="AN874" s="52">
        <f t="shared" si="87"/>
        <v>0</v>
      </c>
      <c r="AO874" s="52">
        <f t="shared" si="88"/>
        <v>1</v>
      </c>
      <c r="AP874" s="235"/>
      <c r="AQ874" s="28"/>
      <c r="AR874" s="28"/>
      <c r="AS874" s="28"/>
      <c r="AT874" s="28"/>
      <c r="AU874" s="235"/>
      <c r="AV874" s="360">
        <f t="shared" si="99"/>
        <v>4846190.649697437</v>
      </c>
      <c r="AW874" s="235"/>
      <c r="AX874" s="355"/>
      <c r="AY874" s="344"/>
      <c r="AZ874" s="14">
        <f t="shared" si="101"/>
        <v>14080.068784949181</v>
      </c>
      <c r="BA874" s="14">
        <f t="shared" si="100"/>
        <v>0.86264030265838976</v>
      </c>
      <c r="BB874" s="14">
        <f t="shared" si="89"/>
        <v>16322.06232604572</v>
      </c>
      <c r="BC874" s="344"/>
      <c r="BD874" s="344"/>
      <c r="BE874" s="344"/>
      <c r="BF874" s="344"/>
      <c r="BG874" s="344"/>
      <c r="BH874" s="344"/>
      <c r="BI874" s="344"/>
      <c r="BJ874" s="344"/>
      <c r="BK874" s="344"/>
      <c r="BL874" s="344"/>
      <c r="BM874" s="344"/>
      <c r="BN874" s="344"/>
      <c r="BO874" s="344"/>
      <c r="BP874" s="344"/>
      <c r="BQ874" s="344"/>
      <c r="BR874" s="344"/>
      <c r="BS874" s="344"/>
      <c r="BT874" s="344"/>
      <c r="BU874" s="344"/>
      <c r="BV874" s="344"/>
      <c r="BW874" s="344"/>
      <c r="BX874" s="344"/>
      <c r="BY874" s="344"/>
      <c r="BZ874" s="344"/>
      <c r="CA874" s="344"/>
      <c r="CB874" s="28"/>
      <c r="CC874" s="28"/>
      <c r="CD874" s="28"/>
      <c r="CE874" s="28"/>
      <c r="CF874" s="28"/>
      <c r="CG874" s="28"/>
      <c r="CH874" s="28"/>
      <c r="CI874" s="28"/>
      <c r="CJ874" s="28"/>
      <c r="CK874" s="28"/>
      <c r="CL874" s="28"/>
      <c r="CM874" s="28"/>
      <c r="CN874" s="28"/>
      <c r="CO874" s="28"/>
      <c r="CP874" s="28"/>
      <c r="CQ874" s="28"/>
      <c r="CR874" s="28"/>
      <c r="CS874" s="28"/>
      <c r="CT874" s="28"/>
      <c r="CU874" s="28"/>
      <c r="CV874" s="28"/>
      <c r="CW874" s="28"/>
    </row>
    <row r="875" spans="1:101" ht="14.25" customHeight="1" x14ac:dyDescent="0.2">
      <c r="A875" s="328"/>
      <c r="B875" s="52">
        <v>0.15919069813872627</v>
      </c>
      <c r="C875" s="330">
        <v>9.7418316132622557E-2</v>
      </c>
      <c r="D875" s="330">
        <v>1.9309605763107252E-2</v>
      </c>
      <c r="E875" s="330">
        <v>7.7384336081412954E-3</v>
      </c>
      <c r="F875" s="331">
        <v>0.78279871410872914</v>
      </c>
      <c r="G875" s="94">
        <v>0.42475291384524672</v>
      </c>
      <c r="H875" s="330">
        <v>0.68986201683553117</v>
      </c>
      <c r="I875" s="330">
        <v>1.2567999659114428E-2</v>
      </c>
      <c r="J875" s="330">
        <v>0.99999999997671152</v>
      </c>
      <c r="K875" s="330">
        <v>0.70528090052367787</v>
      </c>
      <c r="L875" s="332">
        <v>9521.8112286779196</v>
      </c>
      <c r="M875" s="330">
        <v>0</v>
      </c>
      <c r="N875" s="330">
        <v>21507.833677101644</v>
      </c>
      <c r="O875" s="330">
        <v>843.49772266220248</v>
      </c>
      <c r="P875" s="330">
        <v>41098.511810269578</v>
      </c>
      <c r="Q875" s="333">
        <v>100898.71741760633</v>
      </c>
      <c r="R875" s="330">
        <v>25776.004425474213</v>
      </c>
      <c r="S875" s="330">
        <v>10964.048741841085</v>
      </c>
      <c r="T875" s="332">
        <v>0.80620065514301187</v>
      </c>
      <c r="U875" s="330">
        <v>0.99804895110529035</v>
      </c>
      <c r="V875" s="330">
        <v>0.16980158648400473</v>
      </c>
      <c r="W875" s="330">
        <v>0.99953480071527823</v>
      </c>
      <c r="X875" s="330">
        <v>0.9976732165188954</v>
      </c>
      <c r="Y875" s="330">
        <v>0</v>
      </c>
      <c r="Z875" s="331">
        <v>0</v>
      </c>
      <c r="AA875" s="235"/>
      <c r="AB875" s="335">
        <v>102469.79730293405</v>
      </c>
      <c r="AC875" s="336">
        <v>4.770572396533268</v>
      </c>
      <c r="AD875" s="337">
        <v>91684.262909402518</v>
      </c>
      <c r="AE875" s="336">
        <v>4.3851104037102875</v>
      </c>
      <c r="AF875" s="337">
        <v>10785.534393531532</v>
      </c>
      <c r="AG875" s="338">
        <v>0.38546199282298055</v>
      </c>
      <c r="AH875" s="235"/>
      <c r="AI875" s="208">
        <f t="shared" si="96"/>
        <v>4429573.9794036699</v>
      </c>
      <c r="AJ875" s="208">
        <f t="shared" si="97"/>
        <v>4074170.6206153706</v>
      </c>
      <c r="AK875" s="208">
        <f t="shared" si="98"/>
        <v>355403.35878829996</v>
      </c>
      <c r="AL875" s="235"/>
      <c r="AM875" s="52">
        <f t="shared" si="86"/>
        <v>1</v>
      </c>
      <c r="AN875" s="52">
        <f t="shared" si="87"/>
        <v>0</v>
      </c>
      <c r="AO875" s="52">
        <f t="shared" si="88"/>
        <v>1</v>
      </c>
      <c r="AP875" s="235"/>
      <c r="AQ875" s="28"/>
      <c r="AR875" s="28"/>
      <c r="AS875" s="28"/>
      <c r="AT875" s="28"/>
      <c r="AU875" s="235"/>
      <c r="AV875" s="360">
        <f t="shared" si="99"/>
        <v>4429573.9794036699</v>
      </c>
      <c r="AW875" s="235"/>
      <c r="AX875" s="355"/>
      <c r="AY875" s="344"/>
      <c r="AZ875" s="14">
        <f t="shared" si="101"/>
        <v>10785.534393531532</v>
      </c>
      <c r="BA875" s="14">
        <f t="shared" si="100"/>
        <v>0.38546199282298055</v>
      </c>
      <c r="BB875" s="14">
        <f t="shared" si="89"/>
        <v>27980.798611407266</v>
      </c>
      <c r="BC875" s="344"/>
      <c r="BD875" s="344"/>
      <c r="BE875" s="344"/>
      <c r="BF875" s="344"/>
      <c r="BG875" s="344"/>
      <c r="BH875" s="344"/>
      <c r="BI875" s="344"/>
      <c r="BJ875" s="344"/>
      <c r="BK875" s="344"/>
      <c r="BL875" s="344"/>
      <c r="BM875" s="344"/>
      <c r="BN875" s="344"/>
      <c r="BO875" s="344"/>
      <c r="BP875" s="344"/>
      <c r="BQ875" s="344"/>
      <c r="BR875" s="344"/>
      <c r="BS875" s="344"/>
      <c r="BT875" s="344"/>
      <c r="BU875" s="344"/>
      <c r="BV875" s="344"/>
      <c r="BW875" s="344"/>
      <c r="BX875" s="344"/>
      <c r="BY875" s="344"/>
      <c r="BZ875" s="344"/>
      <c r="CA875" s="344"/>
      <c r="CB875" s="28"/>
      <c r="CC875" s="28"/>
      <c r="CD875" s="28"/>
      <c r="CE875" s="28"/>
      <c r="CF875" s="28"/>
      <c r="CG875" s="28"/>
      <c r="CH875" s="28"/>
      <c r="CI875" s="28"/>
      <c r="CJ875" s="28"/>
      <c r="CK875" s="28"/>
      <c r="CL875" s="28"/>
      <c r="CM875" s="28"/>
      <c r="CN875" s="28"/>
      <c r="CO875" s="28"/>
      <c r="CP875" s="28"/>
      <c r="CQ875" s="28"/>
      <c r="CR875" s="28"/>
      <c r="CS875" s="28"/>
      <c r="CT875" s="28"/>
      <c r="CU875" s="28"/>
      <c r="CV875" s="28"/>
      <c r="CW875" s="28"/>
    </row>
    <row r="876" spans="1:101" ht="14.25" customHeight="1" x14ac:dyDescent="0.2">
      <c r="A876" s="328"/>
      <c r="B876" s="52">
        <v>0.13778797804541509</v>
      </c>
      <c r="C876" s="330">
        <v>0.42616674169635405</v>
      </c>
      <c r="D876" s="330">
        <v>2.0073526419513654E-2</v>
      </c>
      <c r="E876" s="330">
        <v>3.2529346780612256E-2</v>
      </c>
      <c r="F876" s="331">
        <v>0.75138404287995908</v>
      </c>
      <c r="G876" s="94">
        <v>0.40378383213899571</v>
      </c>
      <c r="H876" s="330">
        <v>0.83140634063048191</v>
      </c>
      <c r="I876" s="330">
        <v>1.2698758123289517E-2</v>
      </c>
      <c r="J876" s="330">
        <v>0.99999999999999989</v>
      </c>
      <c r="K876" s="330">
        <v>0.65162977746869477</v>
      </c>
      <c r="L876" s="332">
        <v>13715.24407004057</v>
      </c>
      <c r="M876" s="330">
        <v>0</v>
      </c>
      <c r="N876" s="330">
        <v>23395.278218933458</v>
      </c>
      <c r="O876" s="330">
        <v>1756.7270595247564</v>
      </c>
      <c r="P876" s="330">
        <v>49714.760898532739</v>
      </c>
      <c r="Q876" s="333">
        <v>113755.16543112132</v>
      </c>
      <c r="R876" s="330">
        <v>30055.793169474746</v>
      </c>
      <c r="S876" s="330">
        <v>10035.922957255867</v>
      </c>
      <c r="T876" s="332">
        <v>0.81736096786981838</v>
      </c>
      <c r="U876" s="330">
        <v>0.76293778385476096</v>
      </c>
      <c r="V876" s="330">
        <v>0.93287579410154975</v>
      </c>
      <c r="W876" s="330">
        <v>0.93039914523904133</v>
      </c>
      <c r="X876" s="330">
        <v>0.98351026316111456</v>
      </c>
      <c r="Y876" s="330">
        <v>0</v>
      </c>
      <c r="Z876" s="331">
        <v>0</v>
      </c>
      <c r="AA876" s="235"/>
      <c r="AB876" s="335">
        <v>96965.82411533632</v>
      </c>
      <c r="AC876" s="336">
        <v>4.5119896296806337</v>
      </c>
      <c r="AD876" s="337">
        <v>81874.130247604524</v>
      </c>
      <c r="AE876" s="336">
        <v>4.1015848600201377</v>
      </c>
      <c r="AF876" s="337">
        <v>15091.693867731796</v>
      </c>
      <c r="AG876" s="338">
        <v>0.41040476966049599</v>
      </c>
      <c r="AH876" s="235"/>
      <c r="AI876" s="208">
        <f t="shared" si="96"/>
        <v>4189424.3240812658</v>
      </c>
      <c r="AJ876" s="208">
        <f t="shared" si="97"/>
        <v>3814631.4867715263</v>
      </c>
      <c r="AK876" s="208">
        <f t="shared" si="98"/>
        <v>374792.83730973944</v>
      </c>
      <c r="AL876" s="235"/>
      <c r="AM876" s="52">
        <f t="shared" si="86"/>
        <v>1</v>
      </c>
      <c r="AN876" s="52">
        <f t="shared" si="87"/>
        <v>0</v>
      </c>
      <c r="AO876" s="52">
        <f t="shared" si="88"/>
        <v>1</v>
      </c>
      <c r="AP876" s="235"/>
      <c r="AQ876" s="28"/>
      <c r="AR876" s="28"/>
      <c r="AS876" s="28"/>
      <c r="AT876" s="28"/>
      <c r="AU876" s="235"/>
      <c r="AV876" s="360">
        <f t="shared" si="99"/>
        <v>4189424.3240812658</v>
      </c>
      <c r="AW876" s="235"/>
      <c r="AX876" s="355"/>
      <c r="AY876" s="344"/>
      <c r="AZ876" s="14">
        <f t="shared" si="101"/>
        <v>15091.693867731796</v>
      </c>
      <c r="BA876" s="14">
        <f t="shared" si="100"/>
        <v>0.41040476966049599</v>
      </c>
      <c r="BB876" s="14">
        <f t="shared" si="89"/>
        <v>36772.705834331013</v>
      </c>
      <c r="BC876" s="344"/>
      <c r="BD876" s="344"/>
      <c r="BE876" s="344"/>
      <c r="BF876" s="344"/>
      <c r="BG876" s="344"/>
      <c r="BH876" s="344"/>
      <c r="BI876" s="344"/>
      <c r="BJ876" s="344"/>
      <c r="BK876" s="344"/>
      <c r="BL876" s="344"/>
      <c r="BM876" s="344"/>
      <c r="BN876" s="344"/>
      <c r="BO876" s="344"/>
      <c r="BP876" s="344"/>
      <c r="BQ876" s="344"/>
      <c r="BR876" s="344"/>
      <c r="BS876" s="344"/>
      <c r="BT876" s="344"/>
      <c r="BU876" s="344"/>
      <c r="BV876" s="344"/>
      <c r="BW876" s="344"/>
      <c r="BX876" s="344"/>
      <c r="BY876" s="344"/>
      <c r="BZ876" s="344"/>
      <c r="CA876" s="344"/>
      <c r="CB876" s="28"/>
      <c r="CC876" s="28"/>
      <c r="CD876" s="28"/>
      <c r="CE876" s="28"/>
      <c r="CF876" s="28"/>
      <c r="CG876" s="28"/>
      <c r="CH876" s="28"/>
      <c r="CI876" s="28"/>
      <c r="CJ876" s="28"/>
      <c r="CK876" s="28"/>
      <c r="CL876" s="28"/>
      <c r="CM876" s="28"/>
      <c r="CN876" s="28"/>
      <c r="CO876" s="28"/>
      <c r="CP876" s="28"/>
      <c r="CQ876" s="28"/>
      <c r="CR876" s="28"/>
      <c r="CS876" s="28"/>
      <c r="CT876" s="28"/>
      <c r="CU876" s="28"/>
      <c r="CV876" s="28"/>
      <c r="CW876" s="28"/>
    </row>
    <row r="877" spans="1:101" ht="14.25" customHeight="1" x14ac:dyDescent="0.2">
      <c r="A877" s="328"/>
      <c r="B877" s="52">
        <v>0.14928696212013004</v>
      </c>
      <c r="C877" s="330">
        <v>0.42159230487789368</v>
      </c>
      <c r="D877" s="330">
        <v>5.5528277007689799E-3</v>
      </c>
      <c r="E877" s="330">
        <v>8.33992512507809E-3</v>
      </c>
      <c r="F877" s="331">
        <v>0.79009726334461661</v>
      </c>
      <c r="G877" s="94">
        <v>0.38656683571755895</v>
      </c>
      <c r="H877" s="330">
        <v>0.22288104771117515</v>
      </c>
      <c r="I877" s="330">
        <v>1.9058683992611125E-2</v>
      </c>
      <c r="J877" s="330">
        <v>3.4406863429902367E-2</v>
      </c>
      <c r="K877" s="330">
        <v>0.73594782179934604</v>
      </c>
      <c r="L877" s="332">
        <v>10658.937416327708</v>
      </c>
      <c r="M877" s="330">
        <v>0</v>
      </c>
      <c r="N877" s="330">
        <v>16384.29806499711</v>
      </c>
      <c r="O877" s="330">
        <v>1026.5904237106581</v>
      </c>
      <c r="P877" s="330">
        <v>59605.573417048385</v>
      </c>
      <c r="Q877" s="333">
        <v>109553.11517433762</v>
      </c>
      <c r="R877" s="330">
        <v>22244.262275560515</v>
      </c>
      <c r="S877" s="330">
        <v>8632.459414764593</v>
      </c>
      <c r="T877" s="332">
        <v>0.95456663920669804</v>
      </c>
      <c r="U877" s="330">
        <v>0.35388902391150578</v>
      </c>
      <c r="V877" s="330">
        <v>0.97878242774546986</v>
      </c>
      <c r="W877" s="330">
        <v>0.99914881794702315</v>
      </c>
      <c r="X877" s="330">
        <v>0.39157676663968116</v>
      </c>
      <c r="Y877" s="330">
        <v>0</v>
      </c>
      <c r="Z877" s="331">
        <v>0</v>
      </c>
      <c r="AA877" s="235"/>
      <c r="AB877" s="335">
        <v>85495.72534811392</v>
      </c>
      <c r="AC877" s="336">
        <v>1.9999425118734739</v>
      </c>
      <c r="AD877" s="337">
        <v>71348.270607004859</v>
      </c>
      <c r="AE877" s="336">
        <v>1.8649682462215664</v>
      </c>
      <c r="AF877" s="337">
        <v>14147.454741109061</v>
      </c>
      <c r="AG877" s="338">
        <v>0.13497426565190751</v>
      </c>
      <c r="AH877" s="235"/>
      <c r="AI877" s="208">
        <f t="shared" si="96"/>
        <v>1814449.6609316864</v>
      </c>
      <c r="AJ877" s="208">
        <f t="shared" si="97"/>
        <v>1700371.5633034832</v>
      </c>
      <c r="AK877" s="208">
        <f t="shared" si="98"/>
        <v>114078.09762820308</v>
      </c>
      <c r="AL877" s="235"/>
      <c r="AM877" s="52">
        <f t="shared" si="86"/>
        <v>1</v>
      </c>
      <c r="AN877" s="52">
        <f t="shared" si="87"/>
        <v>0</v>
      </c>
      <c r="AO877" s="52">
        <f t="shared" si="88"/>
        <v>1</v>
      </c>
      <c r="AP877" s="235"/>
      <c r="AQ877" s="28"/>
      <c r="AR877" s="28"/>
      <c r="AS877" s="28"/>
      <c r="AT877" s="28"/>
      <c r="AU877" s="235"/>
      <c r="AV877" s="360">
        <f t="shared" si="99"/>
        <v>1814449.6609316864</v>
      </c>
      <c r="AW877" s="235"/>
      <c r="AX877" s="355"/>
      <c r="AY877" s="344"/>
      <c r="AZ877" s="14">
        <f t="shared" si="101"/>
        <v>14147.454741109061</v>
      </c>
      <c r="BA877" s="14">
        <f t="shared" si="100"/>
        <v>0.13497426565190751</v>
      </c>
      <c r="BB877" s="14">
        <f t="shared" si="89"/>
        <v>104815.94156322141</v>
      </c>
      <c r="BC877" s="344"/>
      <c r="BD877" s="344"/>
      <c r="BE877" s="344"/>
      <c r="BF877" s="344"/>
      <c r="BG877" s="344"/>
      <c r="BH877" s="344"/>
      <c r="BI877" s="344"/>
      <c r="BJ877" s="344"/>
      <c r="BK877" s="344"/>
      <c r="BL877" s="344"/>
      <c r="BM877" s="344"/>
      <c r="BN877" s="344"/>
      <c r="BO877" s="344"/>
      <c r="BP877" s="344"/>
      <c r="BQ877" s="344"/>
      <c r="BR877" s="344"/>
      <c r="BS877" s="344"/>
      <c r="BT877" s="344"/>
      <c r="BU877" s="344"/>
      <c r="BV877" s="344"/>
      <c r="BW877" s="344"/>
      <c r="BX877" s="344"/>
      <c r="BY877" s="344"/>
      <c r="BZ877" s="344"/>
      <c r="CA877" s="344"/>
      <c r="CB877" s="28"/>
      <c r="CC877" s="28"/>
      <c r="CD877" s="28"/>
      <c r="CE877" s="28"/>
      <c r="CF877" s="28"/>
      <c r="CG877" s="28"/>
      <c r="CH877" s="28"/>
      <c r="CI877" s="28"/>
      <c r="CJ877" s="28"/>
      <c r="CK877" s="28"/>
      <c r="CL877" s="28"/>
      <c r="CM877" s="28"/>
      <c r="CN877" s="28"/>
      <c r="CO877" s="28"/>
      <c r="CP877" s="28"/>
      <c r="CQ877" s="28"/>
      <c r="CR877" s="28"/>
      <c r="CS877" s="28"/>
      <c r="CT877" s="28"/>
      <c r="CU877" s="28"/>
      <c r="CV877" s="28"/>
      <c r="CW877" s="28"/>
    </row>
    <row r="878" spans="1:101" ht="14.25" customHeight="1" x14ac:dyDescent="0.2">
      <c r="A878" s="328"/>
      <c r="B878" s="52">
        <v>0.19008125255190189</v>
      </c>
      <c r="C878" s="330">
        <v>7.3561579931870581E-3</v>
      </c>
      <c r="D878" s="330">
        <v>3.4389289373407436E-3</v>
      </c>
      <c r="E878" s="330">
        <v>1.1550032387368491E-2</v>
      </c>
      <c r="F878" s="331">
        <v>0.77863587729694872</v>
      </c>
      <c r="G878" s="94">
        <v>0.41734500492610604</v>
      </c>
      <c r="H878" s="330">
        <v>4.7752423987756599E-3</v>
      </c>
      <c r="I878" s="330">
        <v>7.2038430742294643E-3</v>
      </c>
      <c r="J878" s="330">
        <v>0.99999999971282416</v>
      </c>
      <c r="K878" s="330">
        <v>0.75441864994962671</v>
      </c>
      <c r="L878" s="332">
        <v>10448.648942333919</v>
      </c>
      <c r="M878" s="330">
        <v>0</v>
      </c>
      <c r="N878" s="330">
        <v>20008.175487830846</v>
      </c>
      <c r="O878" s="330">
        <v>1243.0882450628906</v>
      </c>
      <c r="P878" s="330">
        <v>40441.798010526392</v>
      </c>
      <c r="Q878" s="333">
        <v>95492.076826078934</v>
      </c>
      <c r="R878" s="330">
        <v>15342.834570865194</v>
      </c>
      <c r="S878" s="330">
        <v>6760.6992730422917</v>
      </c>
      <c r="T878" s="332">
        <v>0.97303553581607805</v>
      </c>
      <c r="U878" s="330">
        <v>0.81724014970155401</v>
      </c>
      <c r="V878" s="330">
        <v>0.58044688566194802</v>
      </c>
      <c r="W878" s="330">
        <v>0.97038922622481283</v>
      </c>
      <c r="X878" s="330">
        <v>0.55323338149548118</v>
      </c>
      <c r="Y878" s="330">
        <v>0</v>
      </c>
      <c r="Z878" s="331">
        <v>0</v>
      </c>
      <c r="AA878" s="235"/>
      <c r="AB878" s="335">
        <v>67259.788837521148</v>
      </c>
      <c r="AC878" s="336">
        <v>2.8414011782942645</v>
      </c>
      <c r="AD878" s="337">
        <v>55751.877137292555</v>
      </c>
      <c r="AE878" s="336">
        <v>2.7314643479558041</v>
      </c>
      <c r="AF878" s="337">
        <v>11507.911700228593</v>
      </c>
      <c r="AG878" s="338">
        <v>0.10993683033846047</v>
      </c>
      <c r="AH878" s="235"/>
      <c r="AI878" s="208">
        <f t="shared" si="96"/>
        <v>2632071.3305420298</v>
      </c>
      <c r="AJ878" s="208">
        <f t="shared" si="97"/>
        <v>2539139.2534207213</v>
      </c>
      <c r="AK878" s="208">
        <f t="shared" si="98"/>
        <v>92932.077121308845</v>
      </c>
      <c r="AL878" s="235"/>
      <c r="AM878" s="52">
        <f t="shared" si="86"/>
        <v>1</v>
      </c>
      <c r="AN878" s="52">
        <f t="shared" si="87"/>
        <v>0</v>
      </c>
      <c r="AO878" s="52">
        <f t="shared" si="88"/>
        <v>1</v>
      </c>
      <c r="AP878" s="235"/>
      <c r="AQ878" s="28"/>
      <c r="AR878" s="28"/>
      <c r="AS878" s="28"/>
      <c r="AT878" s="28"/>
      <c r="AU878" s="235"/>
      <c r="AV878" s="360">
        <f t="shared" si="99"/>
        <v>2632071.3305420298</v>
      </c>
      <c r="AW878" s="235"/>
      <c r="AX878" s="355"/>
      <c r="AY878" s="344"/>
      <c r="AZ878" s="14">
        <f t="shared" si="101"/>
        <v>11507.911700228593</v>
      </c>
      <c r="BA878" s="14">
        <f t="shared" si="100"/>
        <v>0.10993683033846047</v>
      </c>
      <c r="BB878" s="14">
        <f t="shared" si="89"/>
        <v>104677.4921998333</v>
      </c>
      <c r="BC878" s="344"/>
      <c r="BD878" s="344"/>
      <c r="BE878" s="344"/>
      <c r="BF878" s="344"/>
      <c r="BG878" s="344"/>
      <c r="BH878" s="344"/>
      <c r="BI878" s="344"/>
      <c r="BJ878" s="344"/>
      <c r="BK878" s="344"/>
      <c r="BL878" s="344"/>
      <c r="BM878" s="344"/>
      <c r="BN878" s="344"/>
      <c r="BO878" s="344"/>
      <c r="BP878" s="344"/>
      <c r="BQ878" s="344"/>
      <c r="BR878" s="344"/>
      <c r="BS878" s="344"/>
      <c r="BT878" s="344"/>
      <c r="BU878" s="344"/>
      <c r="BV878" s="344"/>
      <c r="BW878" s="344"/>
      <c r="BX878" s="344"/>
      <c r="BY878" s="344"/>
      <c r="BZ878" s="344"/>
      <c r="CA878" s="344"/>
      <c r="CB878" s="28"/>
      <c r="CC878" s="28"/>
      <c r="CD878" s="28"/>
      <c r="CE878" s="28"/>
      <c r="CF878" s="28"/>
      <c r="CG878" s="28"/>
      <c r="CH878" s="28"/>
      <c r="CI878" s="28"/>
      <c r="CJ878" s="28"/>
      <c r="CK878" s="28"/>
      <c r="CL878" s="28"/>
      <c r="CM878" s="28"/>
      <c r="CN878" s="28"/>
      <c r="CO878" s="28"/>
      <c r="CP878" s="28"/>
      <c r="CQ878" s="28"/>
      <c r="CR878" s="28"/>
      <c r="CS878" s="28"/>
      <c r="CT878" s="28"/>
      <c r="CU878" s="28"/>
      <c r="CV878" s="28"/>
      <c r="CW878" s="28"/>
    </row>
    <row r="879" spans="1:101" ht="14.25" customHeight="1" x14ac:dyDescent="0.2">
      <c r="A879" s="328"/>
      <c r="B879" s="52">
        <v>0.16121321548731793</v>
      </c>
      <c r="C879" s="330">
        <v>0.37075907344231673</v>
      </c>
      <c r="D879" s="330">
        <v>1.9758953335461404E-2</v>
      </c>
      <c r="E879" s="330">
        <v>1.2593992168693363E-2</v>
      </c>
      <c r="F879" s="331">
        <v>0.77862092885838885</v>
      </c>
      <c r="G879" s="94">
        <v>0.47819661622169873</v>
      </c>
      <c r="H879" s="330">
        <v>7.9481798395960826E-2</v>
      </c>
      <c r="I879" s="330">
        <v>9.925743503774738E-3</v>
      </c>
      <c r="J879" s="330">
        <v>1</v>
      </c>
      <c r="K879" s="330">
        <v>0.76415314099275666</v>
      </c>
      <c r="L879" s="332">
        <v>14593.94253856029</v>
      </c>
      <c r="M879" s="330">
        <v>0</v>
      </c>
      <c r="N879" s="330">
        <v>16674.407878385522</v>
      </c>
      <c r="O879" s="330">
        <v>887.28892578215084</v>
      </c>
      <c r="P879" s="330">
        <v>36507.841599507861</v>
      </c>
      <c r="Q879" s="333">
        <v>87359.609674085237</v>
      </c>
      <c r="R879" s="330">
        <v>20868.387857154663</v>
      </c>
      <c r="S879" s="330">
        <v>11392.360659497113</v>
      </c>
      <c r="T879" s="332">
        <v>0.9930918555549415</v>
      </c>
      <c r="U879" s="330">
        <v>0.49846911302665503</v>
      </c>
      <c r="V879" s="330">
        <v>0.99987080316085808</v>
      </c>
      <c r="W879" s="330">
        <v>0.99850156522933853</v>
      </c>
      <c r="X879" s="330">
        <v>0.9997859650783899</v>
      </c>
      <c r="Y879" s="330">
        <v>0</v>
      </c>
      <c r="Z879" s="331">
        <v>0</v>
      </c>
      <c r="AA879" s="235"/>
      <c r="AB879" s="335">
        <v>111454.29172789563</v>
      </c>
      <c r="AC879" s="336">
        <v>4.8972120928000082</v>
      </c>
      <c r="AD879" s="337">
        <v>95334.211532462214</v>
      </c>
      <c r="AE879" s="336">
        <v>4.7351403896362845</v>
      </c>
      <c r="AF879" s="337">
        <v>16120.080195433417</v>
      </c>
      <c r="AG879" s="338">
        <v>0.16207170316372377</v>
      </c>
      <c r="AH879" s="235"/>
      <c r="AI879" s="208">
        <f t="shared" si="96"/>
        <v>4540897.1964321118</v>
      </c>
      <c r="AJ879" s="208">
        <f t="shared" si="97"/>
        <v>4403049.1586220078</v>
      </c>
      <c r="AK879" s="208">
        <f t="shared" si="98"/>
        <v>137848.03781010414</v>
      </c>
      <c r="AL879" s="235"/>
      <c r="AM879" s="52">
        <f t="shared" si="86"/>
        <v>1</v>
      </c>
      <c r="AN879" s="52">
        <f t="shared" si="87"/>
        <v>0</v>
      </c>
      <c r="AO879" s="52">
        <f t="shared" si="88"/>
        <v>1</v>
      </c>
      <c r="AP879" s="235"/>
      <c r="AQ879" s="28"/>
      <c r="AR879" s="28"/>
      <c r="AS879" s="28"/>
      <c r="AT879" s="28"/>
      <c r="AU879" s="235"/>
      <c r="AV879" s="360">
        <f t="shared" si="99"/>
        <v>4540897.1964321118</v>
      </c>
      <c r="AW879" s="235"/>
      <c r="AX879" s="355"/>
      <c r="AY879" s="344"/>
      <c r="AZ879" s="14">
        <f t="shared" si="101"/>
        <v>16120.080195433417</v>
      </c>
      <c r="BA879" s="14">
        <f t="shared" si="100"/>
        <v>0.16207170316372377</v>
      </c>
      <c r="BB879" s="14">
        <f t="shared" si="89"/>
        <v>99462.644500928189</v>
      </c>
      <c r="BC879" s="344"/>
      <c r="BD879" s="344"/>
      <c r="BE879" s="344"/>
      <c r="BF879" s="344"/>
      <c r="BG879" s="344"/>
      <c r="BH879" s="344"/>
      <c r="BI879" s="344"/>
      <c r="BJ879" s="344"/>
      <c r="BK879" s="344"/>
      <c r="BL879" s="344"/>
      <c r="BM879" s="344"/>
      <c r="BN879" s="344"/>
      <c r="BO879" s="344"/>
      <c r="BP879" s="344"/>
      <c r="BQ879" s="344"/>
      <c r="BR879" s="344"/>
      <c r="BS879" s="344"/>
      <c r="BT879" s="344"/>
      <c r="BU879" s="344"/>
      <c r="BV879" s="344"/>
      <c r="BW879" s="344"/>
      <c r="BX879" s="344"/>
      <c r="BY879" s="344"/>
      <c r="BZ879" s="344"/>
      <c r="CA879" s="344"/>
      <c r="CB879" s="28"/>
      <c r="CC879" s="28"/>
      <c r="CD879" s="28"/>
      <c r="CE879" s="28"/>
      <c r="CF879" s="28"/>
      <c r="CG879" s="28"/>
      <c r="CH879" s="28"/>
      <c r="CI879" s="28"/>
      <c r="CJ879" s="28"/>
      <c r="CK879" s="28"/>
      <c r="CL879" s="28"/>
      <c r="CM879" s="28"/>
      <c r="CN879" s="28"/>
      <c r="CO879" s="28"/>
      <c r="CP879" s="28"/>
      <c r="CQ879" s="28"/>
      <c r="CR879" s="28"/>
      <c r="CS879" s="28"/>
      <c r="CT879" s="28"/>
      <c r="CU879" s="28"/>
      <c r="CV879" s="28"/>
      <c r="CW879" s="28"/>
    </row>
    <row r="880" spans="1:101" ht="14.25" customHeight="1" x14ac:dyDescent="0.2">
      <c r="A880" s="328"/>
      <c r="B880" s="52">
        <v>0.15512535740729549</v>
      </c>
      <c r="C880" s="330">
        <v>0.804198684388715</v>
      </c>
      <c r="D880" s="330">
        <v>1.051695883541702E-2</v>
      </c>
      <c r="E880" s="330">
        <v>7.9032914154085043E-3</v>
      </c>
      <c r="F880" s="331">
        <v>0.8023675765488022</v>
      </c>
      <c r="G880" s="94">
        <v>0.33303735481585833</v>
      </c>
      <c r="H880" s="330">
        <v>0.84897077280189281</v>
      </c>
      <c r="I880" s="330">
        <v>1.284736322602255E-2</v>
      </c>
      <c r="J880" s="330">
        <v>0.99999586879112234</v>
      </c>
      <c r="K880" s="330">
        <v>0.75740271080986765</v>
      </c>
      <c r="L880" s="332">
        <v>9892.7330912588368</v>
      </c>
      <c r="M880" s="330">
        <v>0</v>
      </c>
      <c r="N880" s="330">
        <v>14657.513816282759</v>
      </c>
      <c r="O880" s="330">
        <v>1245.8772803983788</v>
      </c>
      <c r="P880" s="330">
        <v>60096.455217855342</v>
      </c>
      <c r="Q880" s="333">
        <v>113931.1321067964</v>
      </c>
      <c r="R880" s="330">
        <v>12337.489563222149</v>
      </c>
      <c r="S880" s="330">
        <v>12197.854155500214</v>
      </c>
      <c r="T880" s="332">
        <v>0.94182815694530286</v>
      </c>
      <c r="U880" s="330">
        <v>0.51121971543145062</v>
      </c>
      <c r="V880" s="330">
        <v>0.94280072218974742</v>
      </c>
      <c r="W880" s="330">
        <v>0.98867956823553349</v>
      </c>
      <c r="X880" s="330">
        <v>0.97845647274346437</v>
      </c>
      <c r="Y880" s="330">
        <v>0</v>
      </c>
      <c r="Z880" s="331">
        <v>0</v>
      </c>
      <c r="AA880" s="235"/>
      <c r="AB880" s="335">
        <v>116840.2645868965</v>
      </c>
      <c r="AC880" s="336">
        <v>5.2525915956239082</v>
      </c>
      <c r="AD880" s="337">
        <v>103850.6614925193</v>
      </c>
      <c r="AE880" s="336">
        <v>4.6444897532670639</v>
      </c>
      <c r="AF880" s="337">
        <v>12989.603094377206</v>
      </c>
      <c r="AG880" s="338">
        <v>0.60810184235684428</v>
      </c>
      <c r="AH880" s="235"/>
      <c r="AI880" s="208">
        <f t="shared" si="96"/>
        <v>4873121.7512558158</v>
      </c>
      <c r="AJ880" s="208">
        <f t="shared" si="97"/>
        <v>4308414.6041111918</v>
      </c>
      <c r="AK880" s="208">
        <f t="shared" si="98"/>
        <v>564707.14714462485</v>
      </c>
      <c r="AL880" s="235"/>
      <c r="AM880" s="52">
        <f t="shared" si="86"/>
        <v>1</v>
      </c>
      <c r="AN880" s="52">
        <f t="shared" si="87"/>
        <v>0</v>
      </c>
      <c r="AO880" s="52">
        <f t="shared" si="88"/>
        <v>1</v>
      </c>
      <c r="AP880" s="235"/>
      <c r="AQ880" s="28"/>
      <c r="AR880" s="28"/>
      <c r="AS880" s="28"/>
      <c r="AT880" s="28"/>
      <c r="AU880" s="235"/>
      <c r="AV880" s="360">
        <f t="shared" si="99"/>
        <v>4873121.7512558158</v>
      </c>
      <c r="AW880" s="235"/>
      <c r="AX880" s="355"/>
      <c r="AY880" s="344"/>
      <c r="AZ880" s="14">
        <f t="shared" si="101"/>
        <v>12989.603094377206</v>
      </c>
      <c r="BA880" s="14">
        <f t="shared" si="100"/>
        <v>0.60810184235684428</v>
      </c>
      <c r="BB880" s="14">
        <f t="shared" si="89"/>
        <v>21360.900739969624</v>
      </c>
      <c r="BC880" s="344"/>
      <c r="BD880" s="344"/>
      <c r="BE880" s="344"/>
      <c r="BF880" s="344"/>
      <c r="BG880" s="344"/>
      <c r="BH880" s="344"/>
      <c r="BI880" s="344"/>
      <c r="BJ880" s="344"/>
      <c r="BK880" s="344"/>
      <c r="BL880" s="344"/>
      <c r="BM880" s="344"/>
      <c r="BN880" s="344"/>
      <c r="BO880" s="344"/>
      <c r="BP880" s="344"/>
      <c r="BQ880" s="344"/>
      <c r="BR880" s="344"/>
      <c r="BS880" s="344"/>
      <c r="BT880" s="344"/>
      <c r="BU880" s="344"/>
      <c r="BV880" s="344"/>
      <c r="BW880" s="344"/>
      <c r="BX880" s="344"/>
      <c r="BY880" s="344"/>
      <c r="BZ880" s="344"/>
      <c r="CA880" s="344"/>
      <c r="CB880" s="28"/>
      <c r="CC880" s="28"/>
      <c r="CD880" s="28"/>
      <c r="CE880" s="28"/>
      <c r="CF880" s="28"/>
      <c r="CG880" s="28"/>
      <c r="CH880" s="28"/>
      <c r="CI880" s="28"/>
      <c r="CJ880" s="28"/>
      <c r="CK880" s="28"/>
      <c r="CL880" s="28"/>
      <c r="CM880" s="28"/>
      <c r="CN880" s="28"/>
      <c r="CO880" s="28"/>
      <c r="CP880" s="28"/>
      <c r="CQ880" s="28"/>
      <c r="CR880" s="28"/>
      <c r="CS880" s="28"/>
      <c r="CT880" s="28"/>
      <c r="CU880" s="28"/>
      <c r="CV880" s="28"/>
      <c r="CW880" s="28"/>
    </row>
    <row r="881" spans="1:101" ht="14.25" customHeight="1" x14ac:dyDescent="0.2">
      <c r="A881" s="328"/>
      <c r="B881" s="52">
        <v>0.13838676828640328</v>
      </c>
      <c r="C881" s="330">
        <v>0.1807656365576665</v>
      </c>
      <c r="D881" s="330">
        <v>2.4553514910189866E-2</v>
      </c>
      <c r="E881" s="330">
        <v>2.0535276599417229E-2</v>
      </c>
      <c r="F881" s="331">
        <v>0.79998496468226321</v>
      </c>
      <c r="G881" s="94">
        <v>0.36570116979812517</v>
      </c>
      <c r="H881" s="330">
        <v>0.86164795663231086</v>
      </c>
      <c r="I881" s="330">
        <v>5.3614855868696016E-3</v>
      </c>
      <c r="J881" s="330">
        <v>0.99999999819990892</v>
      </c>
      <c r="K881" s="330">
        <v>0.75456128520033117</v>
      </c>
      <c r="L881" s="332">
        <v>13269.065113351093</v>
      </c>
      <c r="M881" s="330">
        <v>0</v>
      </c>
      <c r="N881" s="330">
        <v>15050.809522516403</v>
      </c>
      <c r="O881" s="330">
        <v>1010.3058451312697</v>
      </c>
      <c r="P881" s="330">
        <v>37403.677947189019</v>
      </c>
      <c r="Q881" s="333">
        <v>96104.97878239298</v>
      </c>
      <c r="R881" s="330">
        <v>22061.197385652707</v>
      </c>
      <c r="S881" s="330">
        <v>8868.1186369912703</v>
      </c>
      <c r="T881" s="332">
        <v>0.11076952254131145</v>
      </c>
      <c r="U881" s="330">
        <v>0.99389672103854176</v>
      </c>
      <c r="V881" s="330">
        <v>0.6943945965495214</v>
      </c>
      <c r="W881" s="330">
        <v>0.9688105841267397</v>
      </c>
      <c r="X881" s="330">
        <v>0.99988406762729332</v>
      </c>
      <c r="Y881" s="330">
        <v>0</v>
      </c>
      <c r="Z881" s="331">
        <v>0</v>
      </c>
      <c r="AA881" s="235"/>
      <c r="AB881" s="335">
        <v>90422.199769227853</v>
      </c>
      <c r="AC881" s="336">
        <v>4.8764307756209542</v>
      </c>
      <c r="AD881" s="337">
        <v>79391.359780507148</v>
      </c>
      <c r="AE881" s="336">
        <v>4.9713262171307839</v>
      </c>
      <c r="AF881" s="337">
        <v>11030.839988720705</v>
      </c>
      <c r="AG881" s="338">
        <v>-9.4895441509829759E-2</v>
      </c>
      <c r="AH881" s="235"/>
      <c r="AI881" s="208">
        <f t="shared" si="96"/>
        <v>4542187.0370706785</v>
      </c>
      <c r="AJ881" s="208">
        <f t="shared" si="97"/>
        <v>4643368.546493738</v>
      </c>
      <c r="AK881" s="208">
        <f t="shared" si="98"/>
        <v>-101181.50942305897</v>
      </c>
      <c r="AL881" s="235"/>
      <c r="AM881" s="52">
        <f t="shared" si="86"/>
        <v>0</v>
      </c>
      <c r="AN881" s="52">
        <f t="shared" si="87"/>
        <v>1</v>
      </c>
      <c r="AO881" s="52">
        <f t="shared" si="88"/>
        <v>0</v>
      </c>
      <c r="AP881" s="235"/>
      <c r="AQ881" s="28"/>
      <c r="AR881" s="28"/>
      <c r="AS881" s="28"/>
      <c r="AT881" s="28"/>
      <c r="AU881" s="235"/>
      <c r="AV881" s="360">
        <f t="shared" si="99"/>
        <v>4643368.546493738</v>
      </c>
      <c r="AW881" s="235"/>
      <c r="AX881" s="355"/>
      <c r="AY881" s="344"/>
      <c r="AZ881" s="14">
        <f t="shared" si="101"/>
        <v>11030.839988720705</v>
      </c>
      <c r="BA881" s="14">
        <f t="shared" si="100"/>
        <v>-9.4895441509829759E-2</v>
      </c>
      <c r="BB881" s="14">
        <f t="shared" si="89"/>
        <v>-116242.04296028355</v>
      </c>
      <c r="BC881" s="344"/>
      <c r="BD881" s="344"/>
      <c r="BE881" s="344"/>
      <c r="BF881" s="344"/>
      <c r="BG881" s="344"/>
      <c r="BH881" s="344"/>
      <c r="BI881" s="344"/>
      <c r="BJ881" s="344"/>
      <c r="BK881" s="344"/>
      <c r="BL881" s="344"/>
      <c r="BM881" s="344"/>
      <c r="BN881" s="344"/>
      <c r="BO881" s="344"/>
      <c r="BP881" s="344"/>
      <c r="BQ881" s="344"/>
      <c r="BR881" s="344"/>
      <c r="BS881" s="344"/>
      <c r="BT881" s="344"/>
      <c r="BU881" s="344"/>
      <c r="BV881" s="344"/>
      <c r="BW881" s="344"/>
      <c r="BX881" s="344"/>
      <c r="BY881" s="344"/>
      <c r="BZ881" s="344"/>
      <c r="CA881" s="344"/>
      <c r="CB881" s="28"/>
      <c r="CC881" s="28"/>
      <c r="CD881" s="28"/>
      <c r="CE881" s="28"/>
      <c r="CF881" s="28"/>
      <c r="CG881" s="28"/>
      <c r="CH881" s="28"/>
      <c r="CI881" s="28"/>
      <c r="CJ881" s="28"/>
      <c r="CK881" s="28"/>
      <c r="CL881" s="28"/>
      <c r="CM881" s="28"/>
      <c r="CN881" s="28"/>
      <c r="CO881" s="28"/>
      <c r="CP881" s="28"/>
      <c r="CQ881" s="28"/>
      <c r="CR881" s="28"/>
      <c r="CS881" s="28"/>
      <c r="CT881" s="28"/>
      <c r="CU881" s="28"/>
      <c r="CV881" s="28"/>
      <c r="CW881" s="28"/>
    </row>
    <row r="882" spans="1:101" ht="14.25" customHeight="1" x14ac:dyDescent="0.2">
      <c r="A882" s="328"/>
      <c r="B882" s="52">
        <v>0.18497039235725188</v>
      </c>
      <c r="C882" s="330">
        <v>8.769098557918012E-2</v>
      </c>
      <c r="D882" s="330">
        <v>1.3654899925760586E-2</v>
      </c>
      <c r="E882" s="330">
        <v>1.0107652809270938E-2</v>
      </c>
      <c r="F882" s="331">
        <v>0.78529365673208962</v>
      </c>
      <c r="G882" s="94">
        <v>0.36053708869491868</v>
      </c>
      <c r="H882" s="330">
        <v>0.60175329618249251</v>
      </c>
      <c r="I882" s="330">
        <v>2.1153279667718183E-2</v>
      </c>
      <c r="J882" s="330">
        <v>0.99192906246407009</v>
      </c>
      <c r="K882" s="330">
        <v>0.78940654151151568</v>
      </c>
      <c r="L882" s="332">
        <v>11615.468230942484</v>
      </c>
      <c r="M882" s="330">
        <v>0</v>
      </c>
      <c r="N882" s="330">
        <v>14519.223664199537</v>
      </c>
      <c r="O882" s="330">
        <v>637.82856595151861</v>
      </c>
      <c r="P882" s="330">
        <v>53070.292799206953</v>
      </c>
      <c r="Q882" s="333">
        <v>64700.586791028887</v>
      </c>
      <c r="R882" s="330">
        <v>24136.681235394393</v>
      </c>
      <c r="S882" s="330">
        <v>8280.8555173358745</v>
      </c>
      <c r="T882" s="332">
        <v>0.94730148889596055</v>
      </c>
      <c r="U882" s="330">
        <v>0.93461505967489267</v>
      </c>
      <c r="V882" s="330">
        <v>0.99999986223152404</v>
      </c>
      <c r="W882" s="330">
        <v>0.90574268934704971</v>
      </c>
      <c r="X882" s="330">
        <v>0.51854068326290592</v>
      </c>
      <c r="Y882" s="330">
        <v>0</v>
      </c>
      <c r="Z882" s="331">
        <v>0</v>
      </c>
      <c r="AA882" s="235"/>
      <c r="AB882" s="335">
        <v>82074.252836100903</v>
      </c>
      <c r="AC882" s="336">
        <v>2.9626271719118202</v>
      </c>
      <c r="AD882" s="337">
        <v>76526.292805867561</v>
      </c>
      <c r="AE882" s="336">
        <v>2.4756569734697078</v>
      </c>
      <c r="AF882" s="337">
        <v>5547.960030233342</v>
      </c>
      <c r="AG882" s="338">
        <v>0.48697019844211242</v>
      </c>
      <c r="AH882" s="235"/>
      <c r="AI882" s="208">
        <f t="shared" si="96"/>
        <v>2732421.5604801285</v>
      </c>
      <c r="AJ882" s="208">
        <f t="shared" si="97"/>
        <v>2275347.8319903547</v>
      </c>
      <c r="AK882" s="208">
        <f t="shared" si="98"/>
        <v>457073.72848977346</v>
      </c>
      <c r="AL882" s="235"/>
      <c r="AM882" s="52">
        <f t="shared" si="86"/>
        <v>1</v>
      </c>
      <c r="AN882" s="52">
        <f t="shared" si="87"/>
        <v>0</v>
      </c>
      <c r="AO882" s="52">
        <f t="shared" si="88"/>
        <v>1</v>
      </c>
      <c r="AP882" s="235"/>
      <c r="AQ882" s="28"/>
      <c r="AR882" s="28"/>
      <c r="AS882" s="28"/>
      <c r="AT882" s="28"/>
      <c r="AU882" s="235"/>
      <c r="AV882" s="360">
        <f t="shared" si="99"/>
        <v>2732421.5604801285</v>
      </c>
      <c r="AW882" s="235"/>
      <c r="AX882" s="355"/>
      <c r="AY882" s="344"/>
      <c r="AZ882" s="14">
        <f t="shared" si="101"/>
        <v>5547.960030233342</v>
      </c>
      <c r="BA882" s="14">
        <f t="shared" si="100"/>
        <v>0.48697019844211242</v>
      </c>
      <c r="BB882" s="14">
        <f t="shared" si="89"/>
        <v>11392.812225434047</v>
      </c>
      <c r="BC882" s="344"/>
      <c r="BD882" s="344"/>
      <c r="BE882" s="344"/>
      <c r="BF882" s="344"/>
      <c r="BG882" s="344"/>
      <c r="BH882" s="344"/>
      <c r="BI882" s="344"/>
      <c r="BJ882" s="344"/>
      <c r="BK882" s="344"/>
      <c r="BL882" s="344"/>
      <c r="BM882" s="344"/>
      <c r="BN882" s="344"/>
      <c r="BO882" s="344"/>
      <c r="BP882" s="344"/>
      <c r="BQ882" s="344"/>
      <c r="BR882" s="344"/>
      <c r="BS882" s="344"/>
      <c r="BT882" s="344"/>
      <c r="BU882" s="344"/>
      <c r="BV882" s="344"/>
      <c r="BW882" s="344"/>
      <c r="BX882" s="344"/>
      <c r="BY882" s="344"/>
      <c r="BZ882" s="344"/>
      <c r="CA882" s="344"/>
      <c r="CB882" s="28"/>
      <c r="CC882" s="28"/>
      <c r="CD882" s="28"/>
      <c r="CE882" s="28"/>
      <c r="CF882" s="28"/>
      <c r="CG882" s="28"/>
      <c r="CH882" s="28"/>
      <c r="CI882" s="28"/>
      <c r="CJ882" s="28"/>
      <c r="CK882" s="28"/>
      <c r="CL882" s="28"/>
      <c r="CM882" s="28"/>
      <c r="CN882" s="28"/>
      <c r="CO882" s="28"/>
      <c r="CP882" s="28"/>
      <c r="CQ882" s="28"/>
      <c r="CR882" s="28"/>
      <c r="CS882" s="28"/>
      <c r="CT882" s="28"/>
      <c r="CU882" s="28"/>
      <c r="CV882" s="28"/>
      <c r="CW882" s="28"/>
    </row>
    <row r="883" spans="1:101" ht="14.25" customHeight="1" x14ac:dyDescent="0.2">
      <c r="A883" s="328"/>
      <c r="B883" s="52">
        <v>0.18622034284134703</v>
      </c>
      <c r="C883" s="330">
        <v>0.1033397214369679</v>
      </c>
      <c r="D883" s="330">
        <v>1.0649217453642159E-2</v>
      </c>
      <c r="E883" s="330">
        <v>1.8271750450380542E-2</v>
      </c>
      <c r="F883" s="331">
        <v>0.73179721864809433</v>
      </c>
      <c r="G883" s="94">
        <v>0.44876749234179492</v>
      </c>
      <c r="H883" s="330">
        <v>0.97279649249606726</v>
      </c>
      <c r="I883" s="330">
        <v>9.8186537694571994E-3</v>
      </c>
      <c r="J883" s="330">
        <v>0.99999949492503171</v>
      </c>
      <c r="K883" s="330">
        <v>0.7613008564988315</v>
      </c>
      <c r="L883" s="332">
        <v>12145.637270566405</v>
      </c>
      <c r="M883" s="330">
        <v>0</v>
      </c>
      <c r="N883" s="330">
        <v>13901.926827021005</v>
      </c>
      <c r="O883" s="330">
        <v>1120.1807752363827</v>
      </c>
      <c r="P883" s="330">
        <v>44789.323638196453</v>
      </c>
      <c r="Q883" s="333">
        <v>109288.88150523568</v>
      </c>
      <c r="R883" s="330">
        <v>19652.927147110753</v>
      </c>
      <c r="S883" s="330">
        <v>8550.0416260864022</v>
      </c>
      <c r="T883" s="332">
        <v>0.98619619851162499</v>
      </c>
      <c r="U883" s="330">
        <v>0.93332235482215498</v>
      </c>
      <c r="V883" s="330">
        <v>0.86796031870330792</v>
      </c>
      <c r="W883" s="330">
        <v>0.99185993442571374</v>
      </c>
      <c r="X883" s="330">
        <v>0.97756008618059187</v>
      </c>
      <c r="Y883" s="330">
        <v>0</v>
      </c>
      <c r="Z883" s="331">
        <v>0</v>
      </c>
      <c r="AA883" s="235"/>
      <c r="AB883" s="335">
        <v>80095.500713428235</v>
      </c>
      <c r="AC883" s="336">
        <v>4.4032140789417298</v>
      </c>
      <c r="AD883" s="337">
        <v>79598.486275347721</v>
      </c>
      <c r="AE883" s="336">
        <v>4.5390819633087602</v>
      </c>
      <c r="AF883" s="337">
        <v>497.01443808051408</v>
      </c>
      <c r="AG883" s="338">
        <v>-0.13586788436703046</v>
      </c>
      <c r="AH883" s="235"/>
      <c r="AI883" s="208">
        <f t="shared" si="96"/>
        <v>4102957.8742812155</v>
      </c>
      <c r="AJ883" s="208">
        <f t="shared" si="97"/>
        <v>4232529.3788679745</v>
      </c>
      <c r="AK883" s="208">
        <f t="shared" si="98"/>
        <v>-129571.50458675945</v>
      </c>
      <c r="AL883" s="235"/>
      <c r="AM883" s="52">
        <f t="shared" si="86"/>
        <v>0</v>
      </c>
      <c r="AN883" s="52">
        <f t="shared" si="87"/>
        <v>1</v>
      </c>
      <c r="AO883" s="52">
        <f t="shared" si="88"/>
        <v>0</v>
      </c>
      <c r="AP883" s="235"/>
      <c r="AQ883" s="28"/>
      <c r="AR883" s="28"/>
      <c r="AS883" s="28"/>
      <c r="AT883" s="28"/>
      <c r="AU883" s="235"/>
      <c r="AV883" s="360">
        <f t="shared" si="99"/>
        <v>4232529.3788679745</v>
      </c>
      <c r="AW883" s="235"/>
      <c r="AX883" s="355"/>
      <c r="AY883" s="344"/>
      <c r="AZ883" s="14">
        <f t="shared" si="101"/>
        <v>497.01443808051408</v>
      </c>
      <c r="BA883" s="14">
        <f t="shared" si="100"/>
        <v>-0.13586788436703046</v>
      </c>
      <c r="BB883" s="14">
        <f t="shared" si="89"/>
        <v>-3658.0715184899063</v>
      </c>
      <c r="BC883" s="344"/>
      <c r="BD883" s="344"/>
      <c r="BE883" s="344"/>
      <c r="BF883" s="344"/>
      <c r="BG883" s="344"/>
      <c r="BH883" s="344"/>
      <c r="BI883" s="344"/>
      <c r="BJ883" s="344"/>
      <c r="BK883" s="344"/>
      <c r="BL883" s="344"/>
      <c r="BM883" s="344"/>
      <c r="BN883" s="344"/>
      <c r="BO883" s="344"/>
      <c r="BP883" s="344"/>
      <c r="BQ883" s="344"/>
      <c r="BR883" s="344"/>
      <c r="BS883" s="344"/>
      <c r="BT883" s="344"/>
      <c r="BU883" s="344"/>
      <c r="BV883" s="344"/>
      <c r="BW883" s="344"/>
      <c r="BX883" s="344"/>
      <c r="BY883" s="344"/>
      <c r="BZ883" s="344"/>
      <c r="CA883" s="344"/>
      <c r="CB883" s="28"/>
      <c r="CC883" s="28"/>
      <c r="CD883" s="28"/>
      <c r="CE883" s="28"/>
      <c r="CF883" s="28"/>
      <c r="CG883" s="28"/>
      <c r="CH883" s="28"/>
      <c r="CI883" s="28"/>
      <c r="CJ883" s="28"/>
      <c r="CK883" s="28"/>
      <c r="CL883" s="28"/>
      <c r="CM883" s="28"/>
      <c r="CN883" s="28"/>
      <c r="CO883" s="28"/>
      <c r="CP883" s="28"/>
      <c r="CQ883" s="28"/>
      <c r="CR883" s="28"/>
      <c r="CS883" s="28"/>
      <c r="CT883" s="28"/>
      <c r="CU883" s="28"/>
      <c r="CV883" s="28"/>
      <c r="CW883" s="28"/>
    </row>
    <row r="884" spans="1:101" ht="14.25" customHeight="1" x14ac:dyDescent="0.2">
      <c r="A884" s="328"/>
      <c r="B884" s="52">
        <v>0.15540535693946272</v>
      </c>
      <c r="C884" s="330">
        <v>0.95730052368868424</v>
      </c>
      <c r="D884" s="330">
        <v>1.3561822606243099E-2</v>
      </c>
      <c r="E884" s="330">
        <v>1.283731641841759E-2</v>
      </c>
      <c r="F884" s="331">
        <v>0.79366251230220586</v>
      </c>
      <c r="G884" s="94">
        <v>0.40814301556615118</v>
      </c>
      <c r="H884" s="330">
        <v>0.94899492790771145</v>
      </c>
      <c r="I884" s="330">
        <v>1.5007400977701479E-2</v>
      </c>
      <c r="J884" s="330">
        <v>0.99999867018815025</v>
      </c>
      <c r="K884" s="330">
        <v>0.68201188859012574</v>
      </c>
      <c r="L884" s="332">
        <v>12682.599014079175</v>
      </c>
      <c r="M884" s="330">
        <v>0</v>
      </c>
      <c r="N884" s="330">
        <v>22397.389653027076</v>
      </c>
      <c r="O884" s="330">
        <v>1768.3352650750453</v>
      </c>
      <c r="P884" s="330">
        <v>58473.844137413194</v>
      </c>
      <c r="Q884" s="333">
        <v>115334.13586387497</v>
      </c>
      <c r="R884" s="330">
        <v>25259.139440447172</v>
      </c>
      <c r="S884" s="330">
        <v>6073.3765241786305</v>
      </c>
      <c r="T884" s="332">
        <v>0.2634169456259588</v>
      </c>
      <c r="U884" s="330">
        <v>1.4948377604962709E-2</v>
      </c>
      <c r="V884" s="330">
        <v>0.51552215011988267</v>
      </c>
      <c r="W884" s="330">
        <v>0.99948105443889435</v>
      </c>
      <c r="X884" s="330">
        <v>0.85957168293392139</v>
      </c>
      <c r="Y884" s="330">
        <v>0</v>
      </c>
      <c r="Z884" s="331">
        <v>0</v>
      </c>
      <c r="AA884" s="235"/>
      <c r="AB884" s="335">
        <v>68687.266463203414</v>
      </c>
      <c r="AC884" s="336">
        <v>4.2064198910930788</v>
      </c>
      <c r="AD884" s="337">
        <v>56158.315076573221</v>
      </c>
      <c r="AE884" s="336">
        <v>3.5467656912279693</v>
      </c>
      <c r="AF884" s="337">
        <v>12528.951386630193</v>
      </c>
      <c r="AG884" s="338">
        <v>0.65965419986510954</v>
      </c>
      <c r="AH884" s="235"/>
      <c r="AI884" s="208">
        <f t="shared" si="96"/>
        <v>3927411.6300752214</v>
      </c>
      <c r="AJ884" s="208">
        <f t="shared" si="97"/>
        <v>3313269.0915899975</v>
      </c>
      <c r="AK884" s="208">
        <f t="shared" si="98"/>
        <v>614142.53848522389</v>
      </c>
      <c r="AL884" s="235"/>
      <c r="AM884" s="52">
        <f t="shared" si="86"/>
        <v>1</v>
      </c>
      <c r="AN884" s="52">
        <f t="shared" si="87"/>
        <v>0</v>
      </c>
      <c r="AO884" s="52">
        <f t="shared" si="88"/>
        <v>1</v>
      </c>
      <c r="AP884" s="235"/>
      <c r="AQ884" s="28"/>
      <c r="AR884" s="28"/>
      <c r="AS884" s="28"/>
      <c r="AT884" s="28"/>
      <c r="AU884" s="235"/>
      <c r="AV884" s="360">
        <f t="shared" si="99"/>
        <v>3927411.6300752214</v>
      </c>
      <c r="AW884" s="235"/>
      <c r="AX884" s="355"/>
      <c r="AY884" s="344"/>
      <c r="AZ884" s="14">
        <f t="shared" si="101"/>
        <v>12528.951386630193</v>
      </c>
      <c r="BA884" s="14">
        <f t="shared" si="100"/>
        <v>0.65965419986510954</v>
      </c>
      <c r="BB884" s="14">
        <f t="shared" si="89"/>
        <v>18993.210972039891</v>
      </c>
      <c r="BC884" s="344"/>
      <c r="BD884" s="344"/>
      <c r="BE884" s="344"/>
      <c r="BF884" s="344"/>
      <c r="BG884" s="344"/>
      <c r="BH884" s="344"/>
      <c r="BI884" s="344"/>
      <c r="BJ884" s="344"/>
      <c r="BK884" s="344"/>
      <c r="BL884" s="344"/>
      <c r="BM884" s="344"/>
      <c r="BN884" s="344"/>
      <c r="BO884" s="344"/>
      <c r="BP884" s="344"/>
      <c r="BQ884" s="344"/>
      <c r="BR884" s="344"/>
      <c r="BS884" s="344"/>
      <c r="BT884" s="344"/>
      <c r="BU884" s="344"/>
      <c r="BV884" s="344"/>
      <c r="BW884" s="344"/>
      <c r="BX884" s="344"/>
      <c r="BY884" s="344"/>
      <c r="BZ884" s="344"/>
      <c r="CA884" s="344"/>
      <c r="CB884" s="28"/>
      <c r="CC884" s="28"/>
      <c r="CD884" s="28"/>
      <c r="CE884" s="28"/>
      <c r="CF884" s="28"/>
      <c r="CG884" s="28"/>
      <c r="CH884" s="28"/>
      <c r="CI884" s="28"/>
      <c r="CJ884" s="28"/>
      <c r="CK884" s="28"/>
      <c r="CL884" s="28"/>
      <c r="CM884" s="28"/>
      <c r="CN884" s="28"/>
      <c r="CO884" s="28"/>
      <c r="CP884" s="28"/>
      <c r="CQ884" s="28"/>
      <c r="CR884" s="28"/>
      <c r="CS884" s="28"/>
      <c r="CT884" s="28"/>
      <c r="CU884" s="28"/>
      <c r="CV884" s="28"/>
      <c r="CW884" s="28"/>
    </row>
    <row r="885" spans="1:101" ht="14.25" customHeight="1" x14ac:dyDescent="0.2">
      <c r="A885" s="328"/>
      <c r="B885" s="52">
        <v>0.1433700843252651</v>
      </c>
      <c r="C885" s="330">
        <v>5.6585052134281083E-2</v>
      </c>
      <c r="D885" s="330">
        <v>1.4102391549491781E-2</v>
      </c>
      <c r="E885" s="330">
        <v>6.4632042030373718E-3</v>
      </c>
      <c r="F885" s="331">
        <v>0.82105160444408842</v>
      </c>
      <c r="G885" s="94">
        <v>0.43353280513281411</v>
      </c>
      <c r="H885" s="330">
        <v>4.9158664381498289E-2</v>
      </c>
      <c r="I885" s="330">
        <v>1.1359479645911436E-2</v>
      </c>
      <c r="J885" s="330">
        <v>0.9824668096766892</v>
      </c>
      <c r="K885" s="330">
        <v>0.75908957710223979</v>
      </c>
      <c r="L885" s="332">
        <v>9766.6964572860179</v>
      </c>
      <c r="M885" s="330">
        <v>0</v>
      </c>
      <c r="N885" s="330">
        <v>21353.620331597387</v>
      </c>
      <c r="O885" s="330">
        <v>1325.8685015915194</v>
      </c>
      <c r="P885" s="330">
        <v>42127.383695095312</v>
      </c>
      <c r="Q885" s="333">
        <v>96460.364067756367</v>
      </c>
      <c r="R885" s="330">
        <v>27528.219824065243</v>
      </c>
      <c r="S885" s="330">
        <v>7852.2970612986155</v>
      </c>
      <c r="T885" s="332">
        <v>0.98750918015127243</v>
      </c>
      <c r="U885" s="330">
        <v>0.19969052015170405</v>
      </c>
      <c r="V885" s="330">
        <v>0.99974444654812467</v>
      </c>
      <c r="W885" s="330">
        <v>0.93614347373688533</v>
      </c>
      <c r="X885" s="330">
        <v>0.40570564920489954</v>
      </c>
      <c r="Y885" s="330">
        <v>0</v>
      </c>
      <c r="Z885" s="331">
        <v>0</v>
      </c>
      <c r="AA885" s="235"/>
      <c r="AB885" s="335">
        <v>79561.733082855266</v>
      </c>
      <c r="AC885" s="336">
        <v>2.4049070860352586</v>
      </c>
      <c r="AD885" s="337">
        <v>65909.219219012928</v>
      </c>
      <c r="AE885" s="336">
        <v>1.8831455925507805</v>
      </c>
      <c r="AF885" s="337">
        <v>13652.513863842338</v>
      </c>
      <c r="AG885" s="338">
        <v>0.52176149348447809</v>
      </c>
      <c r="AH885" s="235"/>
      <c r="AI885" s="208">
        <f t="shared" si="96"/>
        <v>2205099.9986506407</v>
      </c>
      <c r="AJ885" s="208">
        <f t="shared" si="97"/>
        <v>1723079.0937042285</v>
      </c>
      <c r="AK885" s="208">
        <f t="shared" si="98"/>
        <v>482020.90494641184</v>
      </c>
      <c r="AL885" s="235"/>
      <c r="AM885" s="52">
        <f t="shared" si="86"/>
        <v>1</v>
      </c>
      <c r="AN885" s="52">
        <f t="shared" si="87"/>
        <v>0</v>
      </c>
      <c r="AO885" s="52">
        <f t="shared" si="88"/>
        <v>1</v>
      </c>
      <c r="AP885" s="235"/>
      <c r="AQ885" s="28"/>
      <c r="AR885" s="28"/>
      <c r="AS885" s="28"/>
      <c r="AT885" s="28"/>
      <c r="AU885" s="235"/>
      <c r="AV885" s="360">
        <f t="shared" si="99"/>
        <v>2205099.9986506407</v>
      </c>
      <c r="AW885" s="235"/>
      <c r="AX885" s="355"/>
      <c r="AY885" s="344"/>
      <c r="AZ885" s="14">
        <f t="shared" si="101"/>
        <v>13652.513863842338</v>
      </c>
      <c r="BA885" s="14">
        <f t="shared" si="100"/>
        <v>0.52176149348447809</v>
      </c>
      <c r="BB885" s="14">
        <f t="shared" si="89"/>
        <v>26166.196690113713</v>
      </c>
      <c r="BC885" s="344"/>
      <c r="BD885" s="344"/>
      <c r="BE885" s="344"/>
      <c r="BF885" s="344"/>
      <c r="BG885" s="344"/>
      <c r="BH885" s="344"/>
      <c r="BI885" s="344"/>
      <c r="BJ885" s="344"/>
      <c r="BK885" s="344"/>
      <c r="BL885" s="344"/>
      <c r="BM885" s="344"/>
      <c r="BN885" s="344"/>
      <c r="BO885" s="344"/>
      <c r="BP885" s="344"/>
      <c r="BQ885" s="344"/>
      <c r="BR885" s="344"/>
      <c r="BS885" s="344"/>
      <c r="BT885" s="344"/>
      <c r="BU885" s="344"/>
      <c r="BV885" s="344"/>
      <c r="BW885" s="344"/>
      <c r="BX885" s="344"/>
      <c r="BY885" s="344"/>
      <c r="BZ885" s="344"/>
      <c r="CA885" s="344"/>
      <c r="CB885" s="28"/>
      <c r="CC885" s="28"/>
      <c r="CD885" s="28"/>
      <c r="CE885" s="28"/>
      <c r="CF885" s="28"/>
      <c r="CG885" s="28"/>
      <c r="CH885" s="28"/>
      <c r="CI885" s="28"/>
      <c r="CJ885" s="28"/>
      <c r="CK885" s="28"/>
      <c r="CL885" s="28"/>
      <c r="CM885" s="28"/>
      <c r="CN885" s="28"/>
      <c r="CO885" s="28"/>
      <c r="CP885" s="28"/>
      <c r="CQ885" s="28"/>
      <c r="CR885" s="28"/>
      <c r="CS885" s="28"/>
      <c r="CT885" s="28"/>
      <c r="CU885" s="28"/>
      <c r="CV885" s="28"/>
      <c r="CW885" s="28"/>
    </row>
    <row r="886" spans="1:101" ht="14.25" customHeight="1" x14ac:dyDescent="0.2">
      <c r="A886" s="328"/>
      <c r="B886" s="52">
        <v>0.17605669664946555</v>
      </c>
      <c r="C886" s="330">
        <v>0.3856495024136215</v>
      </c>
      <c r="D886" s="330">
        <v>1.6441597269378883E-2</v>
      </c>
      <c r="E886" s="330">
        <v>1.0741283413614038E-2</v>
      </c>
      <c r="F886" s="331">
        <v>0.76403195520772638</v>
      </c>
      <c r="G886" s="94">
        <v>0.4059087063075737</v>
      </c>
      <c r="H886" s="330">
        <v>0.66551243746337629</v>
      </c>
      <c r="I886" s="330">
        <v>1.7220388846260426E-2</v>
      </c>
      <c r="J886" s="330">
        <v>0.13962298724308717</v>
      </c>
      <c r="K886" s="330">
        <v>0.72493782049570499</v>
      </c>
      <c r="L886" s="332">
        <v>14461.034313377535</v>
      </c>
      <c r="M886" s="330">
        <v>0</v>
      </c>
      <c r="N886" s="330">
        <v>19596.804118519682</v>
      </c>
      <c r="O886" s="330">
        <v>1382.2344666036151</v>
      </c>
      <c r="P886" s="330">
        <v>45607.00505511427</v>
      </c>
      <c r="Q886" s="333">
        <v>121933.51069246321</v>
      </c>
      <c r="R886" s="330">
        <v>16807.440556796297</v>
      </c>
      <c r="S886" s="330">
        <v>10722.415401256436</v>
      </c>
      <c r="T886" s="332">
        <v>0.94769983002096647</v>
      </c>
      <c r="U886" s="330">
        <v>0.99899107866295034</v>
      </c>
      <c r="V886" s="330">
        <v>0.13278617193338443</v>
      </c>
      <c r="W886" s="330">
        <v>5.2845511283883479E-3</v>
      </c>
      <c r="X886" s="330">
        <v>0.98158225162338786</v>
      </c>
      <c r="Y886" s="330">
        <v>0</v>
      </c>
      <c r="Z886" s="331">
        <v>0</v>
      </c>
      <c r="AA886" s="235"/>
      <c r="AB886" s="335">
        <v>104113.65208845424</v>
      </c>
      <c r="AC886" s="336">
        <v>4.5476520091601307</v>
      </c>
      <c r="AD886" s="337">
        <v>89399.204974374356</v>
      </c>
      <c r="AE886" s="336">
        <v>4.3757198769186614</v>
      </c>
      <c r="AF886" s="337">
        <v>14714.447114079885</v>
      </c>
      <c r="AG886" s="338">
        <v>0.1719321322414693</v>
      </c>
      <c r="AH886" s="235"/>
      <c r="AI886" s="208">
        <f t="shared" si="96"/>
        <v>4216155.7566136699</v>
      </c>
      <c r="AJ886" s="208">
        <f t="shared" si="97"/>
        <v>4067534.678098354</v>
      </c>
      <c r="AK886" s="208">
        <f t="shared" si="98"/>
        <v>148621.07851531595</v>
      </c>
      <c r="AL886" s="235"/>
      <c r="AM886" s="52">
        <f t="shared" si="86"/>
        <v>1</v>
      </c>
      <c r="AN886" s="52">
        <f t="shared" si="87"/>
        <v>0</v>
      </c>
      <c r="AO886" s="52">
        <f t="shared" si="88"/>
        <v>1</v>
      </c>
      <c r="AP886" s="235"/>
      <c r="AQ886" s="28"/>
      <c r="AR886" s="28"/>
      <c r="AS886" s="28"/>
      <c r="AT886" s="28"/>
      <c r="AU886" s="235"/>
      <c r="AV886" s="360">
        <f t="shared" si="99"/>
        <v>4216155.7566136699</v>
      </c>
      <c r="AW886" s="235"/>
      <c r="AX886" s="355"/>
      <c r="AY886" s="344"/>
      <c r="AZ886" s="14">
        <f t="shared" si="101"/>
        <v>14714.447114079885</v>
      </c>
      <c r="BA886" s="14">
        <f t="shared" si="100"/>
        <v>0.1719321322414693</v>
      </c>
      <c r="BB886" s="14">
        <f t="shared" si="89"/>
        <v>85582.880420596688</v>
      </c>
      <c r="BC886" s="344"/>
      <c r="BD886" s="344"/>
      <c r="BE886" s="344"/>
      <c r="BF886" s="344"/>
      <c r="BG886" s="344"/>
      <c r="BH886" s="344"/>
      <c r="BI886" s="344"/>
      <c r="BJ886" s="344"/>
      <c r="BK886" s="344"/>
      <c r="BL886" s="344"/>
      <c r="BM886" s="344"/>
      <c r="BN886" s="344"/>
      <c r="BO886" s="344"/>
      <c r="BP886" s="344"/>
      <c r="BQ886" s="344"/>
      <c r="BR886" s="344"/>
      <c r="BS886" s="344"/>
      <c r="BT886" s="344"/>
      <c r="BU886" s="344"/>
      <c r="BV886" s="344"/>
      <c r="BW886" s="344"/>
      <c r="BX886" s="344"/>
      <c r="BY886" s="344"/>
      <c r="BZ886" s="344"/>
      <c r="CA886" s="344"/>
      <c r="CB886" s="28"/>
      <c r="CC886" s="28"/>
      <c r="CD886" s="28"/>
      <c r="CE886" s="28"/>
      <c r="CF886" s="28"/>
      <c r="CG886" s="28"/>
      <c r="CH886" s="28"/>
      <c r="CI886" s="28"/>
      <c r="CJ886" s="28"/>
      <c r="CK886" s="28"/>
      <c r="CL886" s="28"/>
      <c r="CM886" s="28"/>
      <c r="CN886" s="28"/>
      <c r="CO886" s="28"/>
      <c r="CP886" s="28"/>
      <c r="CQ886" s="28"/>
      <c r="CR886" s="28"/>
      <c r="CS886" s="28"/>
      <c r="CT886" s="28"/>
      <c r="CU886" s="28"/>
      <c r="CV886" s="28"/>
      <c r="CW886" s="28"/>
    </row>
    <row r="887" spans="1:101" ht="14.25" customHeight="1" x14ac:dyDescent="0.2">
      <c r="A887" s="328"/>
      <c r="B887" s="52">
        <v>0.13940551905088083</v>
      </c>
      <c r="C887" s="330">
        <v>0.26061369476221707</v>
      </c>
      <c r="D887" s="330">
        <v>1.231752999131513E-2</v>
      </c>
      <c r="E887" s="330">
        <v>2.0918470565613911E-2</v>
      </c>
      <c r="F887" s="331">
        <v>0.77248859374807588</v>
      </c>
      <c r="G887" s="94">
        <v>0.41550974859350587</v>
      </c>
      <c r="H887" s="330">
        <v>0.46507484475268768</v>
      </c>
      <c r="I887" s="330">
        <v>2.2118790269760269E-2</v>
      </c>
      <c r="J887" s="330">
        <v>0.99996728541069557</v>
      </c>
      <c r="K887" s="330">
        <v>0.72285908159914358</v>
      </c>
      <c r="L887" s="332">
        <v>10710.60862349319</v>
      </c>
      <c r="M887" s="330">
        <v>0</v>
      </c>
      <c r="N887" s="330">
        <v>23740.679379891637</v>
      </c>
      <c r="O887" s="330">
        <v>1291.5815722352725</v>
      </c>
      <c r="P887" s="330">
        <v>35771.728902348274</v>
      </c>
      <c r="Q887" s="333">
        <v>107242.33720047949</v>
      </c>
      <c r="R887" s="330">
        <v>14173.795115518118</v>
      </c>
      <c r="S887" s="330">
        <v>6671.6187908430556</v>
      </c>
      <c r="T887" s="332">
        <v>0.15430257993894853</v>
      </c>
      <c r="U887" s="330">
        <v>0.99941866112013655</v>
      </c>
      <c r="V887" s="330">
        <v>0.99996942102374087</v>
      </c>
      <c r="W887" s="330">
        <v>0.99279222568546976</v>
      </c>
      <c r="X887" s="330">
        <v>0.49390429896684535</v>
      </c>
      <c r="Y887" s="330">
        <v>0</v>
      </c>
      <c r="Z887" s="331">
        <v>0</v>
      </c>
      <c r="AA887" s="235"/>
      <c r="AB887" s="335">
        <v>66897.97400564712</v>
      </c>
      <c r="AC887" s="336">
        <v>2.3426619132720976</v>
      </c>
      <c r="AD887" s="337">
        <v>56534.440541595017</v>
      </c>
      <c r="AE887" s="336">
        <v>2.3344300502954889</v>
      </c>
      <c r="AF887" s="337">
        <v>10363.533464052103</v>
      </c>
      <c r="AG887" s="338">
        <v>8.231862976608717E-3</v>
      </c>
      <c r="AH887" s="235"/>
      <c r="AI887" s="208">
        <f t="shared" si="96"/>
        <v>2158630.8436028459</v>
      </c>
      <c r="AJ887" s="208">
        <f t="shared" si="97"/>
        <v>2161174.1072391192</v>
      </c>
      <c r="AK887" s="208">
        <f t="shared" si="98"/>
        <v>-2543.2636362738222</v>
      </c>
      <c r="AL887" s="235"/>
      <c r="AM887" s="52">
        <f t="shared" si="86"/>
        <v>0</v>
      </c>
      <c r="AN887" s="52">
        <f t="shared" si="87"/>
        <v>1</v>
      </c>
      <c r="AO887" s="52">
        <f t="shared" si="88"/>
        <v>0</v>
      </c>
      <c r="AP887" s="235"/>
      <c r="AQ887" s="28"/>
      <c r="AR887" s="28"/>
      <c r="AS887" s="28"/>
      <c r="AT887" s="28"/>
      <c r="AU887" s="235"/>
      <c r="AV887" s="360">
        <f t="shared" si="99"/>
        <v>2161174.1072391192</v>
      </c>
      <c r="AW887" s="235"/>
      <c r="AX887" s="355"/>
      <c r="AY887" s="344"/>
      <c r="AZ887" s="14">
        <f t="shared" si="101"/>
        <v>10363.533464052103</v>
      </c>
      <c r="BA887" s="14">
        <f t="shared" si="100"/>
        <v>8.231862976608717E-3</v>
      </c>
      <c r="BB887" s="14">
        <f t="shared" si="89"/>
        <v>1258953.5920970312</v>
      </c>
      <c r="BC887" s="344"/>
      <c r="BD887" s="344"/>
      <c r="BE887" s="344"/>
      <c r="BF887" s="344"/>
      <c r="BG887" s="344"/>
      <c r="BH887" s="344"/>
      <c r="BI887" s="344"/>
      <c r="BJ887" s="344"/>
      <c r="BK887" s="344"/>
      <c r="BL887" s="344"/>
      <c r="BM887" s="344"/>
      <c r="BN887" s="344"/>
      <c r="BO887" s="344"/>
      <c r="BP887" s="344"/>
      <c r="BQ887" s="344"/>
      <c r="BR887" s="344"/>
      <c r="BS887" s="344"/>
      <c r="BT887" s="344"/>
      <c r="BU887" s="344"/>
      <c r="BV887" s="344"/>
      <c r="BW887" s="344"/>
      <c r="BX887" s="344"/>
      <c r="BY887" s="344"/>
      <c r="BZ887" s="344"/>
      <c r="CA887" s="344"/>
      <c r="CB887" s="28"/>
      <c r="CC887" s="28"/>
      <c r="CD887" s="28"/>
      <c r="CE887" s="28"/>
      <c r="CF887" s="28"/>
      <c r="CG887" s="28"/>
      <c r="CH887" s="28"/>
      <c r="CI887" s="28"/>
      <c r="CJ887" s="28"/>
      <c r="CK887" s="28"/>
      <c r="CL887" s="28"/>
      <c r="CM887" s="28"/>
      <c r="CN887" s="28"/>
      <c r="CO887" s="28"/>
      <c r="CP887" s="28"/>
      <c r="CQ887" s="28"/>
      <c r="CR887" s="28"/>
      <c r="CS887" s="28"/>
      <c r="CT887" s="28"/>
      <c r="CU887" s="28"/>
      <c r="CV887" s="28"/>
      <c r="CW887" s="28"/>
    </row>
    <row r="888" spans="1:101" ht="14.25" customHeight="1" x14ac:dyDescent="0.2">
      <c r="A888" s="328"/>
      <c r="B888" s="52">
        <v>0.17547718700366077</v>
      </c>
      <c r="C888" s="330">
        <v>3.3277119101166243E-2</v>
      </c>
      <c r="D888" s="330">
        <v>2.4192081415816857E-2</v>
      </c>
      <c r="E888" s="330">
        <v>1.172487761130696E-2</v>
      </c>
      <c r="F888" s="331">
        <v>0.78524692461543599</v>
      </c>
      <c r="G888" s="94">
        <v>0.39274914172217884</v>
      </c>
      <c r="H888" s="330">
        <v>0.9846271772809011</v>
      </c>
      <c r="I888" s="330">
        <v>3.710667710771709E-2</v>
      </c>
      <c r="J888" s="330">
        <v>1</v>
      </c>
      <c r="K888" s="330">
        <v>0.75850723273991816</v>
      </c>
      <c r="L888" s="332">
        <v>13934.84582886011</v>
      </c>
      <c r="M888" s="330">
        <v>0</v>
      </c>
      <c r="N888" s="330">
        <v>23371.153576544395</v>
      </c>
      <c r="O888" s="330">
        <v>1109.2594993471055</v>
      </c>
      <c r="P888" s="330">
        <v>47808.959572737687</v>
      </c>
      <c r="Q888" s="333">
        <v>71520.456503814159</v>
      </c>
      <c r="R888" s="330">
        <v>21286.58567959235</v>
      </c>
      <c r="S888" s="330">
        <v>8445.6280026720942</v>
      </c>
      <c r="T888" s="332">
        <v>0.98841140432281649</v>
      </c>
      <c r="U888" s="330">
        <v>0.58286202329335945</v>
      </c>
      <c r="V888" s="330">
        <v>0.65053333951231584</v>
      </c>
      <c r="W888" s="330">
        <v>0.99998197565468672</v>
      </c>
      <c r="X888" s="330">
        <v>0.99879617899111928</v>
      </c>
      <c r="Y888" s="330">
        <v>0</v>
      </c>
      <c r="Z888" s="331">
        <v>0</v>
      </c>
      <c r="AA888" s="235"/>
      <c r="AB888" s="335">
        <v>85729.443843845147</v>
      </c>
      <c r="AC888" s="336">
        <v>4.9247864882047176</v>
      </c>
      <c r="AD888" s="337">
        <v>79196.97869806063</v>
      </c>
      <c r="AE888" s="336">
        <v>4.6671701831283858</v>
      </c>
      <c r="AF888" s="337">
        <v>6532.4651457845175</v>
      </c>
      <c r="AG888" s="338">
        <v>0.25761630507633182</v>
      </c>
      <c r="AH888" s="235"/>
      <c r="AI888" s="208">
        <f t="shared" si="96"/>
        <v>4592817.7199506368</v>
      </c>
      <c r="AJ888" s="208">
        <f t="shared" si="97"/>
        <v>4354614.695273906</v>
      </c>
      <c r="AK888" s="208">
        <f t="shared" si="98"/>
        <v>238203.02467673071</v>
      </c>
      <c r="AL888" s="235"/>
      <c r="AM888" s="52">
        <f t="shared" si="86"/>
        <v>1</v>
      </c>
      <c r="AN888" s="52">
        <f t="shared" si="87"/>
        <v>0</v>
      </c>
      <c r="AO888" s="52">
        <f t="shared" si="88"/>
        <v>1</v>
      </c>
      <c r="AP888" s="235"/>
      <c r="AQ888" s="28"/>
      <c r="AR888" s="28"/>
      <c r="AS888" s="28"/>
      <c r="AT888" s="28"/>
      <c r="AU888" s="235"/>
      <c r="AV888" s="360">
        <f t="shared" si="99"/>
        <v>4592817.7199506368</v>
      </c>
      <c r="AW888" s="235"/>
      <c r="AX888" s="355"/>
      <c r="AY888" s="344"/>
      <c r="AZ888" s="14">
        <f t="shared" si="101"/>
        <v>6532.4651457845175</v>
      </c>
      <c r="BA888" s="14">
        <f t="shared" si="100"/>
        <v>0.25761630507633182</v>
      </c>
      <c r="BB888" s="14">
        <f t="shared" si="89"/>
        <v>25357.343526252909</v>
      </c>
      <c r="BC888" s="344"/>
      <c r="BD888" s="344"/>
      <c r="BE888" s="344"/>
      <c r="BF888" s="344"/>
      <c r="BG888" s="344"/>
      <c r="BH888" s="344"/>
      <c r="BI888" s="344"/>
      <c r="BJ888" s="344"/>
      <c r="BK888" s="344"/>
      <c r="BL888" s="344"/>
      <c r="BM888" s="344"/>
      <c r="BN888" s="344"/>
      <c r="BO888" s="344"/>
      <c r="BP888" s="344"/>
      <c r="BQ888" s="344"/>
      <c r="BR888" s="344"/>
      <c r="BS888" s="344"/>
      <c r="BT888" s="344"/>
      <c r="BU888" s="344"/>
      <c r="BV888" s="344"/>
      <c r="BW888" s="344"/>
      <c r="BX888" s="344"/>
      <c r="BY888" s="344"/>
      <c r="BZ888" s="344"/>
      <c r="CA888" s="344"/>
      <c r="CB888" s="28"/>
      <c r="CC888" s="28"/>
      <c r="CD888" s="28"/>
      <c r="CE888" s="28"/>
      <c r="CF888" s="28"/>
      <c r="CG888" s="28"/>
      <c r="CH888" s="28"/>
      <c r="CI888" s="28"/>
      <c r="CJ888" s="28"/>
      <c r="CK888" s="28"/>
      <c r="CL888" s="28"/>
      <c r="CM888" s="28"/>
      <c r="CN888" s="28"/>
      <c r="CO888" s="28"/>
      <c r="CP888" s="28"/>
      <c r="CQ888" s="28"/>
      <c r="CR888" s="28"/>
      <c r="CS888" s="28"/>
      <c r="CT888" s="28"/>
      <c r="CU888" s="28"/>
      <c r="CV888" s="28"/>
      <c r="CW888" s="28"/>
    </row>
    <row r="889" spans="1:101" ht="14.25" customHeight="1" x14ac:dyDescent="0.2">
      <c r="A889" s="328"/>
      <c r="B889" s="52">
        <v>0.12852782085835238</v>
      </c>
      <c r="C889" s="330">
        <v>0.11540329217467588</v>
      </c>
      <c r="D889" s="330">
        <v>2.1567512681950562E-2</v>
      </c>
      <c r="E889" s="330">
        <v>7.0923142152514275E-3</v>
      </c>
      <c r="F889" s="331">
        <v>0.79239211585728442</v>
      </c>
      <c r="G889" s="94">
        <v>0.39051981526102914</v>
      </c>
      <c r="H889" s="330">
        <v>0.91919388242371425</v>
      </c>
      <c r="I889" s="330">
        <v>7.4582732863458633E-3</v>
      </c>
      <c r="J889" s="330">
        <v>1</v>
      </c>
      <c r="K889" s="330">
        <v>0.74091302840711504</v>
      </c>
      <c r="L889" s="332">
        <v>14955.858697546928</v>
      </c>
      <c r="M889" s="330">
        <v>0</v>
      </c>
      <c r="N889" s="330">
        <v>20281.22871810646</v>
      </c>
      <c r="O889" s="330">
        <v>1136.5160115566698</v>
      </c>
      <c r="P889" s="330">
        <v>44447.380310726665</v>
      </c>
      <c r="Q889" s="333">
        <v>92489.611987999218</v>
      </c>
      <c r="R889" s="330">
        <v>32171.737607775904</v>
      </c>
      <c r="S889" s="330">
        <v>6709.2248748468219</v>
      </c>
      <c r="T889" s="332">
        <v>4.339741039047345E-2</v>
      </c>
      <c r="U889" s="330">
        <v>0.84977282374555752</v>
      </c>
      <c r="V889" s="330">
        <v>0.98516622034194934</v>
      </c>
      <c r="W889" s="330">
        <v>0.9043996104099844</v>
      </c>
      <c r="X889" s="330">
        <v>0.12395719570888304</v>
      </c>
      <c r="Y889" s="330">
        <v>0</v>
      </c>
      <c r="Z889" s="331">
        <v>0</v>
      </c>
      <c r="AA889" s="235"/>
      <c r="AB889" s="335">
        <v>72887.61786831115</v>
      </c>
      <c r="AC889" s="336">
        <v>0.59862377361789021</v>
      </c>
      <c r="AD889" s="337">
        <v>65719.342336327536</v>
      </c>
      <c r="AE889" s="336">
        <v>0.84882795888118945</v>
      </c>
      <c r="AF889" s="337">
        <v>7168.2755319836142</v>
      </c>
      <c r="AG889" s="338">
        <v>-0.25020418526329924</v>
      </c>
      <c r="AH889" s="235"/>
      <c r="AI889" s="208">
        <f t="shared" si="96"/>
        <v>495804.96706868452</v>
      </c>
      <c r="AJ889" s="208">
        <f t="shared" si="97"/>
        <v>740667.21860080247</v>
      </c>
      <c r="AK889" s="208">
        <f t="shared" si="98"/>
        <v>-244862.25153211789</v>
      </c>
      <c r="AL889" s="235"/>
      <c r="AM889" s="52">
        <f t="shared" si="86"/>
        <v>0</v>
      </c>
      <c r="AN889" s="52">
        <f t="shared" si="87"/>
        <v>1</v>
      </c>
      <c r="AO889" s="52">
        <f t="shared" si="88"/>
        <v>0</v>
      </c>
      <c r="AP889" s="235"/>
      <c r="AQ889" s="28"/>
      <c r="AR889" s="28"/>
      <c r="AS889" s="28"/>
      <c r="AT889" s="28"/>
      <c r="AU889" s="235"/>
      <c r="AV889" s="360">
        <f t="shared" si="99"/>
        <v>740667.21860080247</v>
      </c>
      <c r="AW889" s="235"/>
      <c r="AX889" s="355"/>
      <c r="AY889" s="344"/>
      <c r="AZ889" s="14">
        <f t="shared" si="101"/>
        <v>7168.2755319836142</v>
      </c>
      <c r="BA889" s="14">
        <f t="shared" si="100"/>
        <v>-0.25020418526329924</v>
      </c>
      <c r="BB889" s="14">
        <f t="shared" si="89"/>
        <v>-28649.702739545181</v>
      </c>
      <c r="BC889" s="344"/>
      <c r="BD889" s="344"/>
      <c r="BE889" s="344"/>
      <c r="BF889" s="344"/>
      <c r="BG889" s="344"/>
      <c r="BH889" s="344"/>
      <c r="BI889" s="344"/>
      <c r="BJ889" s="344"/>
      <c r="BK889" s="344"/>
      <c r="BL889" s="344"/>
      <c r="BM889" s="344"/>
      <c r="BN889" s="344"/>
      <c r="BO889" s="344"/>
      <c r="BP889" s="344"/>
      <c r="BQ889" s="344"/>
      <c r="BR889" s="344"/>
      <c r="BS889" s="344"/>
      <c r="BT889" s="344"/>
      <c r="BU889" s="344"/>
      <c r="BV889" s="344"/>
      <c r="BW889" s="344"/>
      <c r="BX889" s="344"/>
      <c r="BY889" s="344"/>
      <c r="BZ889" s="344"/>
      <c r="CA889" s="344"/>
      <c r="CB889" s="28"/>
      <c r="CC889" s="28"/>
      <c r="CD889" s="28"/>
      <c r="CE889" s="28"/>
      <c r="CF889" s="28"/>
      <c r="CG889" s="28"/>
      <c r="CH889" s="28"/>
      <c r="CI889" s="28"/>
      <c r="CJ889" s="28"/>
      <c r="CK889" s="28"/>
      <c r="CL889" s="28"/>
      <c r="CM889" s="28"/>
      <c r="CN889" s="28"/>
      <c r="CO889" s="28"/>
      <c r="CP889" s="28"/>
      <c r="CQ889" s="28"/>
      <c r="CR889" s="28"/>
      <c r="CS889" s="28"/>
      <c r="CT889" s="28"/>
      <c r="CU889" s="28"/>
      <c r="CV889" s="28"/>
      <c r="CW889" s="28"/>
    </row>
    <row r="890" spans="1:101" ht="14.25" customHeight="1" x14ac:dyDescent="0.2">
      <c r="A890" s="328"/>
      <c r="B890" s="52">
        <v>0.1476961004353344</v>
      </c>
      <c r="C890" s="330">
        <v>0.11341528878866874</v>
      </c>
      <c r="D890" s="330">
        <v>9.0709093670296118E-3</v>
      </c>
      <c r="E890" s="330">
        <v>1.1397926111025282E-2</v>
      </c>
      <c r="F890" s="331">
        <v>0.77069267891434878</v>
      </c>
      <c r="G890" s="94">
        <v>0.41906914317328725</v>
      </c>
      <c r="H890" s="330">
        <v>0.62804388705787129</v>
      </c>
      <c r="I890" s="330">
        <v>3.403115673751167E-2</v>
      </c>
      <c r="J890" s="330">
        <v>0.99670330227664417</v>
      </c>
      <c r="K890" s="330">
        <v>0.75766527570976705</v>
      </c>
      <c r="L890" s="332">
        <v>17943.359280731042</v>
      </c>
      <c r="M890" s="330">
        <v>0</v>
      </c>
      <c r="N890" s="330">
        <v>24313.632687081765</v>
      </c>
      <c r="O890" s="330">
        <v>1173.0599983688719</v>
      </c>
      <c r="P890" s="330">
        <v>37627.131599387321</v>
      </c>
      <c r="Q890" s="333">
        <v>113818.54501398979</v>
      </c>
      <c r="R890" s="330">
        <v>28426.818782489954</v>
      </c>
      <c r="S890" s="330">
        <v>8769.0570131799395</v>
      </c>
      <c r="T890" s="332">
        <v>0.99158268769996072</v>
      </c>
      <c r="U890" s="330">
        <v>0.96411776737148969</v>
      </c>
      <c r="V890" s="330">
        <v>0.94083382805958138</v>
      </c>
      <c r="W890" s="330">
        <v>0.98254912757980706</v>
      </c>
      <c r="X890" s="330">
        <v>0.81654857205815201</v>
      </c>
      <c r="Y890" s="330">
        <v>0</v>
      </c>
      <c r="Z890" s="331">
        <v>0</v>
      </c>
      <c r="AA890" s="235"/>
      <c r="AB890" s="335">
        <v>91270.548796090588</v>
      </c>
      <c r="AC890" s="336">
        <v>4.355504798430748</v>
      </c>
      <c r="AD890" s="337">
        <v>81566.793213498604</v>
      </c>
      <c r="AE890" s="336">
        <v>4.1340321656300398</v>
      </c>
      <c r="AF890" s="337">
        <v>9703.7555825919844</v>
      </c>
      <c r="AG890" s="338">
        <v>0.22147263280070817</v>
      </c>
      <c r="AH890" s="235"/>
      <c r="AI890" s="208">
        <f t="shared" si="96"/>
        <v>4046459.0097131198</v>
      </c>
      <c r="AJ890" s="208">
        <f t="shared" si="97"/>
        <v>3845763.7641350389</v>
      </c>
      <c r="AK890" s="208">
        <f t="shared" si="98"/>
        <v>200695.24557808076</v>
      </c>
      <c r="AL890" s="235"/>
      <c r="AM890" s="52">
        <f t="shared" si="86"/>
        <v>1</v>
      </c>
      <c r="AN890" s="52">
        <f t="shared" si="87"/>
        <v>0</v>
      </c>
      <c r="AO890" s="52">
        <f t="shared" si="88"/>
        <v>1</v>
      </c>
      <c r="AP890" s="235"/>
      <c r="AQ890" s="28"/>
      <c r="AR890" s="28"/>
      <c r="AS890" s="28"/>
      <c r="AT890" s="28"/>
      <c r="AU890" s="235"/>
      <c r="AV890" s="360">
        <f t="shared" si="99"/>
        <v>4046459.0097131198</v>
      </c>
      <c r="AW890" s="235"/>
      <c r="AX890" s="355"/>
      <c r="AY890" s="344"/>
      <c r="AZ890" s="14">
        <f t="shared" si="101"/>
        <v>9703.7555825919844</v>
      </c>
      <c r="BA890" s="14">
        <f t="shared" si="100"/>
        <v>0.22147263280070817</v>
      </c>
      <c r="BB890" s="14">
        <f t="shared" si="89"/>
        <v>43814.693760939277</v>
      </c>
      <c r="BC890" s="344"/>
      <c r="BD890" s="344"/>
      <c r="BE890" s="344"/>
      <c r="BF890" s="344"/>
      <c r="BG890" s="344"/>
      <c r="BH890" s="344"/>
      <c r="BI890" s="344"/>
      <c r="BJ890" s="344"/>
      <c r="BK890" s="344"/>
      <c r="BL890" s="344"/>
      <c r="BM890" s="344"/>
      <c r="BN890" s="344"/>
      <c r="BO890" s="344"/>
      <c r="BP890" s="344"/>
      <c r="BQ890" s="344"/>
      <c r="BR890" s="344"/>
      <c r="BS890" s="344"/>
      <c r="BT890" s="344"/>
      <c r="BU890" s="344"/>
      <c r="BV890" s="344"/>
      <c r="BW890" s="344"/>
      <c r="BX890" s="344"/>
      <c r="BY890" s="344"/>
      <c r="BZ890" s="344"/>
      <c r="CA890" s="344"/>
      <c r="CB890" s="28"/>
      <c r="CC890" s="28"/>
      <c r="CD890" s="28"/>
      <c r="CE890" s="28"/>
      <c r="CF890" s="28"/>
      <c r="CG890" s="28"/>
      <c r="CH890" s="28"/>
      <c r="CI890" s="28"/>
      <c r="CJ890" s="28"/>
      <c r="CK890" s="28"/>
      <c r="CL890" s="28"/>
      <c r="CM890" s="28"/>
      <c r="CN890" s="28"/>
      <c r="CO890" s="28"/>
      <c r="CP890" s="28"/>
      <c r="CQ890" s="28"/>
      <c r="CR890" s="28"/>
      <c r="CS890" s="28"/>
      <c r="CT890" s="28"/>
      <c r="CU890" s="28"/>
      <c r="CV890" s="28"/>
      <c r="CW890" s="28"/>
    </row>
    <row r="891" spans="1:101" ht="14.25" customHeight="1" x14ac:dyDescent="0.2">
      <c r="A891" s="328"/>
      <c r="B891" s="52">
        <v>0.16381446788546994</v>
      </c>
      <c r="C891" s="330">
        <v>0.55697286313198013</v>
      </c>
      <c r="D891" s="330">
        <v>1.0744315445417766E-2</v>
      </c>
      <c r="E891" s="330">
        <v>2.7959369270144051E-3</v>
      </c>
      <c r="F891" s="331">
        <v>0.79990706161079328</v>
      </c>
      <c r="G891" s="94">
        <v>0.45489534641122853</v>
      </c>
      <c r="H891" s="330">
        <v>0.713745025893047</v>
      </c>
      <c r="I891" s="330">
        <v>1.4127877028062941E-2</v>
      </c>
      <c r="J891" s="330">
        <v>0.99999999999987266</v>
      </c>
      <c r="K891" s="330">
        <v>0.73192349901712106</v>
      </c>
      <c r="L891" s="332">
        <v>11179.086424413847</v>
      </c>
      <c r="M891" s="330">
        <v>0</v>
      </c>
      <c r="N891" s="330">
        <v>24064.702451240613</v>
      </c>
      <c r="O891" s="330">
        <v>1031.0340300137366</v>
      </c>
      <c r="P891" s="330">
        <v>36849.166462078399</v>
      </c>
      <c r="Q891" s="333">
        <v>74795.106011191019</v>
      </c>
      <c r="R891" s="330">
        <v>19428.88078251027</v>
      </c>
      <c r="S891" s="330">
        <v>9378.4694910434173</v>
      </c>
      <c r="T891" s="332">
        <v>0.49555474332293559</v>
      </c>
      <c r="U891" s="330">
        <v>0.98648776128225157</v>
      </c>
      <c r="V891" s="330">
        <v>0.57638849534342573</v>
      </c>
      <c r="W891" s="330">
        <v>6.6140359941750479E-2</v>
      </c>
      <c r="X891" s="330">
        <v>0.63052383603774409</v>
      </c>
      <c r="Y891" s="330">
        <v>0</v>
      </c>
      <c r="Z891" s="331">
        <v>0</v>
      </c>
      <c r="AA891" s="235"/>
      <c r="AB891" s="335">
        <v>93757.291169990698</v>
      </c>
      <c r="AC891" s="336">
        <v>3.1208022852357846</v>
      </c>
      <c r="AD891" s="337">
        <v>81292.383401192492</v>
      </c>
      <c r="AE891" s="336">
        <v>2.9807924196082856</v>
      </c>
      <c r="AF891" s="337">
        <v>12464.907768798206</v>
      </c>
      <c r="AG891" s="338">
        <v>0.14000986562749906</v>
      </c>
      <c r="AH891" s="235"/>
      <c r="AI891" s="208">
        <f t="shared" si="96"/>
        <v>2871004.8798040044</v>
      </c>
      <c r="AJ891" s="208">
        <f t="shared" si="97"/>
        <v>2750460.4152266784</v>
      </c>
      <c r="AK891" s="208">
        <f t="shared" si="98"/>
        <v>120544.46457732591</v>
      </c>
      <c r="AL891" s="235"/>
      <c r="AM891" s="52">
        <f t="shared" si="86"/>
        <v>1</v>
      </c>
      <c r="AN891" s="52">
        <f t="shared" si="87"/>
        <v>0</v>
      </c>
      <c r="AO891" s="52">
        <f t="shared" si="88"/>
        <v>1</v>
      </c>
      <c r="AP891" s="235"/>
      <c r="AQ891" s="28"/>
      <c r="AR891" s="28"/>
      <c r="AS891" s="28"/>
      <c r="AT891" s="28"/>
      <c r="AU891" s="235"/>
      <c r="AV891" s="360">
        <f t="shared" si="99"/>
        <v>2871004.8798040044</v>
      </c>
      <c r="AW891" s="235"/>
      <c r="AX891" s="355"/>
      <c r="AY891" s="344"/>
      <c r="AZ891" s="14">
        <f t="shared" si="101"/>
        <v>12464.907768798206</v>
      </c>
      <c r="BA891" s="14">
        <f t="shared" si="100"/>
        <v>0.14000986562749906</v>
      </c>
      <c r="BB891" s="14">
        <f t="shared" si="89"/>
        <v>89028.78174286311</v>
      </c>
      <c r="BC891" s="344"/>
      <c r="BD891" s="344"/>
      <c r="BE891" s="344"/>
      <c r="BF891" s="344"/>
      <c r="BG891" s="344"/>
      <c r="BH891" s="344"/>
      <c r="BI891" s="344"/>
      <c r="BJ891" s="344"/>
      <c r="BK891" s="344"/>
      <c r="BL891" s="344"/>
      <c r="BM891" s="344"/>
      <c r="BN891" s="344"/>
      <c r="BO891" s="344"/>
      <c r="BP891" s="344"/>
      <c r="BQ891" s="344"/>
      <c r="BR891" s="344"/>
      <c r="BS891" s="344"/>
      <c r="BT891" s="344"/>
      <c r="BU891" s="344"/>
      <c r="BV891" s="344"/>
      <c r="BW891" s="344"/>
      <c r="BX891" s="344"/>
      <c r="BY891" s="344"/>
      <c r="BZ891" s="344"/>
      <c r="CA891" s="344"/>
      <c r="CB891" s="28"/>
      <c r="CC891" s="28"/>
      <c r="CD891" s="28"/>
      <c r="CE891" s="28"/>
      <c r="CF891" s="28"/>
      <c r="CG891" s="28"/>
      <c r="CH891" s="28"/>
      <c r="CI891" s="28"/>
      <c r="CJ891" s="28"/>
      <c r="CK891" s="28"/>
      <c r="CL891" s="28"/>
      <c r="CM891" s="28"/>
      <c r="CN891" s="28"/>
      <c r="CO891" s="28"/>
      <c r="CP891" s="28"/>
      <c r="CQ891" s="28"/>
      <c r="CR891" s="28"/>
      <c r="CS891" s="28"/>
      <c r="CT891" s="28"/>
      <c r="CU891" s="28"/>
      <c r="CV891" s="28"/>
      <c r="CW891" s="28"/>
    </row>
    <row r="892" spans="1:101" ht="14.25" customHeight="1" x14ac:dyDescent="0.2">
      <c r="A892" s="328"/>
      <c r="B892" s="52">
        <v>0.15584042021373432</v>
      </c>
      <c r="C892" s="330">
        <v>0.14792713726689416</v>
      </c>
      <c r="D892" s="330">
        <v>1.5744533478508238E-2</v>
      </c>
      <c r="E892" s="330">
        <v>1.3541455339945276E-2</v>
      </c>
      <c r="F892" s="331">
        <v>0.77415756930766633</v>
      </c>
      <c r="G892" s="94">
        <v>0.34356095162479777</v>
      </c>
      <c r="H892" s="330">
        <v>0.95464200089858497</v>
      </c>
      <c r="I892" s="330">
        <v>1.6254801502393557E-2</v>
      </c>
      <c r="J892" s="330">
        <v>0.99999999350646673</v>
      </c>
      <c r="K892" s="330">
        <v>0.68229969390996181</v>
      </c>
      <c r="L892" s="332">
        <v>9861.1453648614697</v>
      </c>
      <c r="M892" s="330">
        <v>0</v>
      </c>
      <c r="N892" s="330">
        <v>15974.707672291315</v>
      </c>
      <c r="O892" s="330">
        <v>947.42581890959639</v>
      </c>
      <c r="P892" s="330">
        <v>52695.458935516042</v>
      </c>
      <c r="Q892" s="333">
        <v>83671.364702078077</v>
      </c>
      <c r="R892" s="330">
        <v>19992.996461194103</v>
      </c>
      <c r="S892" s="330">
        <v>9499.3999301980384</v>
      </c>
      <c r="T892" s="332">
        <v>0.87106504814035424</v>
      </c>
      <c r="U892" s="330">
        <v>0.99966536749169688</v>
      </c>
      <c r="V892" s="330">
        <v>0.95423840682179994</v>
      </c>
      <c r="W892" s="330">
        <v>0.36658470530422677</v>
      </c>
      <c r="X892" s="330">
        <v>0.9233139305807978</v>
      </c>
      <c r="Y892" s="330">
        <v>0</v>
      </c>
      <c r="Z892" s="331">
        <v>0</v>
      </c>
      <c r="AA892" s="235"/>
      <c r="AB892" s="335">
        <v>89595.094324183709</v>
      </c>
      <c r="AC892" s="336">
        <v>4.3818858850677875</v>
      </c>
      <c r="AD892" s="337">
        <v>77197.245260980999</v>
      </c>
      <c r="AE892" s="336">
        <v>4.0457553658209848</v>
      </c>
      <c r="AF892" s="337">
        <v>12397.84906320271</v>
      </c>
      <c r="AG892" s="338">
        <v>0.33613051924680271</v>
      </c>
      <c r="AH892" s="235"/>
      <c r="AI892" s="208">
        <f t="shared" si="96"/>
        <v>4073196.4964902145</v>
      </c>
      <c r="AJ892" s="208">
        <f t="shared" si="97"/>
        <v>3766270.3522689547</v>
      </c>
      <c r="AK892" s="208">
        <f t="shared" si="98"/>
        <v>306926.14422125986</v>
      </c>
      <c r="AL892" s="235"/>
      <c r="AM892" s="52">
        <f t="shared" si="86"/>
        <v>1</v>
      </c>
      <c r="AN892" s="52">
        <f t="shared" si="87"/>
        <v>0</v>
      </c>
      <c r="AO892" s="52">
        <f t="shared" si="88"/>
        <v>1</v>
      </c>
      <c r="AP892" s="235"/>
      <c r="AQ892" s="28"/>
      <c r="AR892" s="28"/>
      <c r="AS892" s="28"/>
      <c r="AT892" s="28"/>
      <c r="AU892" s="235"/>
      <c r="AV892" s="360">
        <f t="shared" si="99"/>
        <v>4073196.4964902145</v>
      </c>
      <c r="AW892" s="235"/>
      <c r="AX892" s="355"/>
      <c r="AY892" s="344"/>
      <c r="AZ892" s="14">
        <f t="shared" si="101"/>
        <v>12397.84906320271</v>
      </c>
      <c r="BA892" s="14">
        <f t="shared" si="100"/>
        <v>0.33613051924680271</v>
      </c>
      <c r="BB892" s="14">
        <f t="shared" si="89"/>
        <v>36884.032699511081</v>
      </c>
      <c r="BC892" s="344"/>
      <c r="BD892" s="344"/>
      <c r="BE892" s="344"/>
      <c r="BF892" s="344"/>
      <c r="BG892" s="344"/>
      <c r="BH892" s="344"/>
      <c r="BI892" s="344"/>
      <c r="BJ892" s="344"/>
      <c r="BK892" s="344"/>
      <c r="BL892" s="344"/>
      <c r="BM892" s="344"/>
      <c r="BN892" s="344"/>
      <c r="BO892" s="344"/>
      <c r="BP892" s="344"/>
      <c r="BQ892" s="344"/>
      <c r="BR892" s="344"/>
      <c r="BS892" s="344"/>
      <c r="BT892" s="344"/>
      <c r="BU892" s="344"/>
      <c r="BV892" s="344"/>
      <c r="BW892" s="344"/>
      <c r="BX892" s="344"/>
      <c r="BY892" s="344"/>
      <c r="BZ892" s="344"/>
      <c r="CA892" s="344"/>
      <c r="CB892" s="28"/>
      <c r="CC892" s="28"/>
      <c r="CD892" s="28"/>
      <c r="CE892" s="28"/>
      <c r="CF892" s="28"/>
      <c r="CG892" s="28"/>
      <c r="CH892" s="28"/>
      <c r="CI892" s="28"/>
      <c r="CJ892" s="28"/>
      <c r="CK892" s="28"/>
      <c r="CL892" s="28"/>
      <c r="CM892" s="28"/>
      <c r="CN892" s="28"/>
      <c r="CO892" s="28"/>
      <c r="CP892" s="28"/>
      <c r="CQ892" s="28"/>
      <c r="CR892" s="28"/>
      <c r="CS892" s="28"/>
      <c r="CT892" s="28"/>
      <c r="CU892" s="28"/>
      <c r="CV892" s="28"/>
      <c r="CW892" s="28"/>
    </row>
    <row r="893" spans="1:101" ht="14.25" customHeight="1" x14ac:dyDescent="0.2">
      <c r="A893" s="328"/>
      <c r="B893" s="52">
        <v>0.14091671281095383</v>
      </c>
      <c r="C893" s="330">
        <v>0.46918640076416562</v>
      </c>
      <c r="D893" s="330">
        <v>1.3386437148990789E-2</v>
      </c>
      <c r="E893" s="330">
        <v>1.1374655706956839E-2</v>
      </c>
      <c r="F893" s="331">
        <v>0.7820856034905932</v>
      </c>
      <c r="G893" s="94">
        <v>0.39183393136937661</v>
      </c>
      <c r="H893" s="330">
        <v>0.75919987622464125</v>
      </c>
      <c r="I893" s="330">
        <v>1.4444282650222596E-2</v>
      </c>
      <c r="J893" s="330">
        <v>0.99999999999906652</v>
      </c>
      <c r="K893" s="330">
        <v>0.75821370369143504</v>
      </c>
      <c r="L893" s="332">
        <v>12582.915240268103</v>
      </c>
      <c r="M893" s="330">
        <v>0</v>
      </c>
      <c r="N893" s="330">
        <v>13286.049731367668</v>
      </c>
      <c r="O893" s="330">
        <v>1624.5895108531577</v>
      </c>
      <c r="P893" s="330">
        <v>26744.062888753288</v>
      </c>
      <c r="Q893" s="333">
        <v>85240.515901224382</v>
      </c>
      <c r="R893" s="330">
        <v>29694.445033962638</v>
      </c>
      <c r="S893" s="330">
        <v>9355.192065494175</v>
      </c>
      <c r="T893" s="332">
        <v>0.84551995314906991</v>
      </c>
      <c r="U893" s="330">
        <v>0.95432514409102409</v>
      </c>
      <c r="V893" s="330">
        <v>0.84486083881526253</v>
      </c>
      <c r="W893" s="330">
        <v>0.99999495795708659</v>
      </c>
      <c r="X893" s="330">
        <v>0.98232686980730732</v>
      </c>
      <c r="Y893" s="330">
        <v>0</v>
      </c>
      <c r="Z893" s="331">
        <v>0</v>
      </c>
      <c r="AA893" s="235"/>
      <c r="AB893" s="335">
        <v>93452.493943900408</v>
      </c>
      <c r="AC893" s="336">
        <v>5.0088928034080835</v>
      </c>
      <c r="AD893" s="337">
        <v>86249.485305021459</v>
      </c>
      <c r="AE893" s="336">
        <v>4.5744096511031902</v>
      </c>
      <c r="AF893" s="337">
        <v>7203.0086388789496</v>
      </c>
      <c r="AG893" s="338">
        <v>0.43448315230489332</v>
      </c>
      <c r="AH893" s="235"/>
      <c r="AI893" s="208">
        <f t="shared" si="96"/>
        <v>4664995.6692937789</v>
      </c>
      <c r="AJ893" s="208">
        <f t="shared" si="97"/>
        <v>4259439.6832430093</v>
      </c>
      <c r="AK893" s="208">
        <f t="shared" si="98"/>
        <v>405555.98605076969</v>
      </c>
      <c r="AL893" s="235"/>
      <c r="AM893" s="52">
        <f t="shared" si="86"/>
        <v>1</v>
      </c>
      <c r="AN893" s="52">
        <f t="shared" si="87"/>
        <v>0</v>
      </c>
      <c r="AO893" s="52">
        <f t="shared" si="88"/>
        <v>1</v>
      </c>
      <c r="AP893" s="235"/>
      <c r="AQ893" s="28"/>
      <c r="AR893" s="28"/>
      <c r="AS893" s="28"/>
      <c r="AT893" s="28"/>
      <c r="AU893" s="235"/>
      <c r="AV893" s="360">
        <f t="shared" si="99"/>
        <v>4664995.6692937789</v>
      </c>
      <c r="AW893" s="235"/>
      <c r="AX893" s="355"/>
      <c r="AY893" s="344"/>
      <c r="AZ893" s="14">
        <f t="shared" si="101"/>
        <v>7203.0086388789496</v>
      </c>
      <c r="BA893" s="14">
        <f t="shared" si="100"/>
        <v>0.43448315230489332</v>
      </c>
      <c r="BB893" s="14">
        <f t="shared" si="89"/>
        <v>16578.338194858992</v>
      </c>
      <c r="BC893" s="344"/>
      <c r="BD893" s="344"/>
      <c r="BE893" s="344"/>
      <c r="BF893" s="344"/>
      <c r="BG893" s="344"/>
      <c r="BH893" s="344"/>
      <c r="BI893" s="344"/>
      <c r="BJ893" s="344"/>
      <c r="BK893" s="344"/>
      <c r="BL893" s="344"/>
      <c r="BM893" s="344"/>
      <c r="BN893" s="344"/>
      <c r="BO893" s="344"/>
      <c r="BP893" s="344"/>
      <c r="BQ893" s="344"/>
      <c r="BR893" s="344"/>
      <c r="BS893" s="344"/>
      <c r="BT893" s="344"/>
      <c r="BU893" s="344"/>
      <c r="BV893" s="344"/>
      <c r="BW893" s="344"/>
      <c r="BX893" s="344"/>
      <c r="BY893" s="344"/>
      <c r="BZ893" s="344"/>
      <c r="CA893" s="344"/>
      <c r="CB893" s="28"/>
      <c r="CC893" s="28"/>
      <c r="CD893" s="28"/>
      <c r="CE893" s="28"/>
      <c r="CF893" s="28"/>
      <c r="CG893" s="28"/>
      <c r="CH893" s="28"/>
      <c r="CI893" s="28"/>
      <c r="CJ893" s="28"/>
      <c r="CK893" s="28"/>
      <c r="CL893" s="28"/>
      <c r="CM893" s="28"/>
      <c r="CN893" s="28"/>
      <c r="CO893" s="28"/>
      <c r="CP893" s="28"/>
      <c r="CQ893" s="28"/>
      <c r="CR893" s="28"/>
      <c r="CS893" s="28"/>
      <c r="CT893" s="28"/>
      <c r="CU893" s="28"/>
      <c r="CV893" s="28"/>
      <c r="CW893" s="28"/>
    </row>
    <row r="894" spans="1:101" ht="14.25" customHeight="1" x14ac:dyDescent="0.2">
      <c r="A894" s="328"/>
      <c r="B894" s="52">
        <v>0.18977534549429809</v>
      </c>
      <c r="C894" s="330">
        <v>0.13706838206941843</v>
      </c>
      <c r="D894" s="330">
        <v>2.1186496215629513E-2</v>
      </c>
      <c r="E894" s="330">
        <v>8.4597887350385953E-3</v>
      </c>
      <c r="F894" s="331">
        <v>0.77095877848815253</v>
      </c>
      <c r="G894" s="94">
        <v>0.42860300743884638</v>
      </c>
      <c r="H894" s="330">
        <v>0.13569605298924142</v>
      </c>
      <c r="I894" s="330">
        <v>4.8890188096642872E-3</v>
      </c>
      <c r="J894" s="330">
        <v>0.32944941648830828</v>
      </c>
      <c r="K894" s="330">
        <v>0.74739003267547222</v>
      </c>
      <c r="L894" s="332">
        <v>13012.397288851305</v>
      </c>
      <c r="M894" s="330">
        <v>0</v>
      </c>
      <c r="N894" s="330">
        <v>16160.717057871276</v>
      </c>
      <c r="O894" s="330">
        <v>1050.8159471984766</v>
      </c>
      <c r="P894" s="330">
        <v>29052.73522466412</v>
      </c>
      <c r="Q894" s="333">
        <v>66155.354348737732</v>
      </c>
      <c r="R894" s="330">
        <v>26930.780043283594</v>
      </c>
      <c r="S894" s="330">
        <v>10690.269542736305</v>
      </c>
      <c r="T894" s="332">
        <v>0.63080460927283954</v>
      </c>
      <c r="U894" s="330">
        <v>0.15482313591950608</v>
      </c>
      <c r="V894" s="330">
        <v>0.88393900175054396</v>
      </c>
      <c r="W894" s="330">
        <v>0.53592303622573956</v>
      </c>
      <c r="X894" s="330">
        <v>0.99854603037415446</v>
      </c>
      <c r="Y894" s="330">
        <v>0</v>
      </c>
      <c r="Z894" s="331">
        <v>0</v>
      </c>
      <c r="AA894" s="235"/>
      <c r="AB894" s="335">
        <v>102624.07417896538</v>
      </c>
      <c r="AC894" s="336">
        <v>4.7134728137891626</v>
      </c>
      <c r="AD894" s="337">
        <v>87926.986662397685</v>
      </c>
      <c r="AE894" s="336">
        <v>4.5251175692931804</v>
      </c>
      <c r="AF894" s="337">
        <v>14697.087516567699</v>
      </c>
      <c r="AG894" s="338">
        <v>0.18835524449598218</v>
      </c>
      <c r="AH894" s="235"/>
      <c r="AI894" s="208">
        <f t="shared" si="96"/>
        <v>4375175.0989207383</v>
      </c>
      <c r="AJ894" s="208">
        <f t="shared" si="97"/>
        <v>4210934.7041661236</v>
      </c>
      <c r="AK894" s="208">
        <f t="shared" si="98"/>
        <v>164240.39475461538</v>
      </c>
      <c r="AL894" s="235"/>
      <c r="AM894" s="52">
        <f t="shared" si="86"/>
        <v>1</v>
      </c>
      <c r="AN894" s="52">
        <f t="shared" si="87"/>
        <v>0</v>
      </c>
      <c r="AO894" s="52">
        <f t="shared" si="88"/>
        <v>1</v>
      </c>
      <c r="AP894" s="235"/>
      <c r="AQ894" s="28"/>
      <c r="AR894" s="28"/>
      <c r="AS894" s="28"/>
      <c r="AT894" s="28"/>
      <c r="AU894" s="235"/>
      <c r="AV894" s="360">
        <f t="shared" si="99"/>
        <v>4375175.0989207383</v>
      </c>
      <c r="AW894" s="235"/>
      <c r="AX894" s="355"/>
      <c r="AY894" s="344"/>
      <c r="AZ894" s="14">
        <f t="shared" si="101"/>
        <v>14697.087516567699</v>
      </c>
      <c r="BA894" s="14">
        <f t="shared" si="100"/>
        <v>0.18835524449598218</v>
      </c>
      <c r="BB894" s="14">
        <f t="shared" si="89"/>
        <v>78028.554797587305</v>
      </c>
      <c r="BC894" s="344"/>
      <c r="BD894" s="344"/>
      <c r="BE894" s="344"/>
      <c r="BF894" s="344"/>
      <c r="BG894" s="344"/>
      <c r="BH894" s="344"/>
      <c r="BI894" s="344"/>
      <c r="BJ894" s="344"/>
      <c r="BK894" s="344"/>
      <c r="BL894" s="344"/>
      <c r="BM894" s="344"/>
      <c r="BN894" s="344"/>
      <c r="BO894" s="344"/>
      <c r="BP894" s="344"/>
      <c r="BQ894" s="344"/>
      <c r="BR894" s="344"/>
      <c r="BS894" s="344"/>
      <c r="BT894" s="344"/>
      <c r="BU894" s="344"/>
      <c r="BV894" s="344"/>
      <c r="BW894" s="344"/>
      <c r="BX894" s="344"/>
      <c r="BY894" s="344"/>
      <c r="BZ894" s="344"/>
      <c r="CA894" s="344"/>
      <c r="CB894" s="28"/>
      <c r="CC894" s="28"/>
      <c r="CD894" s="28"/>
      <c r="CE894" s="28"/>
      <c r="CF894" s="28"/>
      <c r="CG894" s="28"/>
      <c r="CH894" s="28"/>
      <c r="CI894" s="28"/>
      <c r="CJ894" s="28"/>
      <c r="CK894" s="28"/>
      <c r="CL894" s="28"/>
      <c r="CM894" s="28"/>
      <c r="CN894" s="28"/>
      <c r="CO894" s="28"/>
      <c r="CP894" s="28"/>
      <c r="CQ894" s="28"/>
      <c r="CR894" s="28"/>
      <c r="CS894" s="28"/>
      <c r="CT894" s="28"/>
      <c r="CU894" s="28"/>
      <c r="CV894" s="28"/>
      <c r="CW894" s="28"/>
    </row>
    <row r="895" spans="1:101" ht="14.25" customHeight="1" x14ac:dyDescent="0.2">
      <c r="A895" s="328"/>
      <c r="B895" s="52">
        <v>0.14350495892961573</v>
      </c>
      <c r="C895" s="330">
        <v>0.1583401757076133</v>
      </c>
      <c r="D895" s="330">
        <v>1.9847762190899565E-2</v>
      </c>
      <c r="E895" s="330">
        <v>1.1345159494086317E-2</v>
      </c>
      <c r="F895" s="331">
        <v>0.76447449093502018</v>
      </c>
      <c r="G895" s="94">
        <v>0.4296094146209446</v>
      </c>
      <c r="H895" s="330">
        <v>3.0306458753875747E-4</v>
      </c>
      <c r="I895" s="330">
        <v>3.8129499515778154E-2</v>
      </c>
      <c r="J895" s="330">
        <v>0.99999999999933098</v>
      </c>
      <c r="K895" s="330">
        <v>0.72053817526612152</v>
      </c>
      <c r="L895" s="332">
        <v>15398.384313232013</v>
      </c>
      <c r="M895" s="330">
        <v>0</v>
      </c>
      <c r="N895" s="330">
        <v>16797.870299580278</v>
      </c>
      <c r="O895" s="330">
        <v>1573.959079573026</v>
      </c>
      <c r="P895" s="330">
        <v>40517.824463958554</v>
      </c>
      <c r="Q895" s="333">
        <v>76143.86876087838</v>
      </c>
      <c r="R895" s="330">
        <v>14555.969885715653</v>
      </c>
      <c r="S895" s="330">
        <v>5956.519163525154</v>
      </c>
      <c r="T895" s="332">
        <v>0.93188384531149293</v>
      </c>
      <c r="U895" s="330">
        <v>0.79345541593349767</v>
      </c>
      <c r="V895" s="330">
        <v>0.99998512110423321</v>
      </c>
      <c r="W895" s="330">
        <v>0.97023568748494204</v>
      </c>
      <c r="X895" s="330">
        <v>0.99983307488338291</v>
      </c>
      <c r="Y895" s="330">
        <v>0</v>
      </c>
      <c r="Z895" s="331">
        <v>0</v>
      </c>
      <c r="AA895" s="235"/>
      <c r="AB895" s="335">
        <v>65039.543139762682</v>
      </c>
      <c r="AC895" s="336">
        <v>4.7905481014438687</v>
      </c>
      <c r="AD895" s="337">
        <v>48959.303854925325</v>
      </c>
      <c r="AE895" s="336">
        <v>4.5768508944646706</v>
      </c>
      <c r="AF895" s="337">
        <v>16080.239284837357</v>
      </c>
      <c r="AG895" s="338">
        <v>0.21369720697919803</v>
      </c>
      <c r="AH895" s="235"/>
      <c r="AI895" s="208">
        <f t="shared" si="96"/>
        <v>4485981.1532319132</v>
      </c>
      <c r="AJ895" s="208">
        <f t="shared" si="97"/>
        <v>4299049.0458865119</v>
      </c>
      <c r="AK895" s="208">
        <f t="shared" si="98"/>
        <v>186932.10734540076</v>
      </c>
      <c r="AL895" s="235"/>
      <c r="AM895" s="52">
        <f t="shared" si="86"/>
        <v>1</v>
      </c>
      <c r="AN895" s="52">
        <f t="shared" si="87"/>
        <v>0</v>
      </c>
      <c r="AO895" s="52">
        <f t="shared" si="88"/>
        <v>1</v>
      </c>
      <c r="AP895" s="235"/>
      <c r="AQ895" s="28"/>
      <c r="AR895" s="28"/>
      <c r="AS895" s="28"/>
      <c r="AT895" s="28"/>
      <c r="AU895" s="235"/>
      <c r="AV895" s="360">
        <f t="shared" si="99"/>
        <v>4485981.1532319132</v>
      </c>
      <c r="AW895" s="235"/>
      <c r="AX895" s="355"/>
      <c r="AY895" s="344"/>
      <c r="AZ895" s="14">
        <f t="shared" si="101"/>
        <v>16080.239284837357</v>
      </c>
      <c r="BA895" s="14">
        <f t="shared" si="100"/>
        <v>0.21369720697919803</v>
      </c>
      <c r="BB895" s="14">
        <f t="shared" si="89"/>
        <v>75247.774700221795</v>
      </c>
      <c r="BC895" s="344"/>
      <c r="BD895" s="344"/>
      <c r="BE895" s="344"/>
      <c r="BF895" s="344"/>
      <c r="BG895" s="344"/>
      <c r="BH895" s="344"/>
      <c r="BI895" s="344"/>
      <c r="BJ895" s="344"/>
      <c r="BK895" s="344"/>
      <c r="BL895" s="344"/>
      <c r="BM895" s="344"/>
      <c r="BN895" s="344"/>
      <c r="BO895" s="344"/>
      <c r="BP895" s="344"/>
      <c r="BQ895" s="344"/>
      <c r="BR895" s="344"/>
      <c r="BS895" s="344"/>
      <c r="BT895" s="344"/>
      <c r="BU895" s="344"/>
      <c r="BV895" s="344"/>
      <c r="BW895" s="344"/>
      <c r="BX895" s="344"/>
      <c r="BY895" s="344"/>
      <c r="BZ895" s="344"/>
      <c r="CA895" s="344"/>
      <c r="CB895" s="28"/>
      <c r="CC895" s="28"/>
      <c r="CD895" s="28"/>
      <c r="CE895" s="28"/>
      <c r="CF895" s="28"/>
      <c r="CG895" s="28"/>
      <c r="CH895" s="28"/>
      <c r="CI895" s="28"/>
      <c r="CJ895" s="28"/>
      <c r="CK895" s="28"/>
      <c r="CL895" s="28"/>
      <c r="CM895" s="28"/>
      <c r="CN895" s="28"/>
      <c r="CO895" s="28"/>
      <c r="CP895" s="28"/>
      <c r="CQ895" s="28"/>
      <c r="CR895" s="28"/>
      <c r="CS895" s="28"/>
      <c r="CT895" s="28"/>
      <c r="CU895" s="28"/>
      <c r="CV895" s="28"/>
      <c r="CW895" s="28"/>
    </row>
    <row r="896" spans="1:101" ht="14.25" customHeight="1" x14ac:dyDescent="0.2">
      <c r="A896" s="328"/>
      <c r="B896" s="52">
        <v>0.1661691630323987</v>
      </c>
      <c r="C896" s="330">
        <v>0.50363296337035846</v>
      </c>
      <c r="D896" s="330">
        <v>1.0651725712484846E-2</v>
      </c>
      <c r="E896" s="330">
        <v>2.0226993483504208E-2</v>
      </c>
      <c r="F896" s="331">
        <v>0.806418060851532</v>
      </c>
      <c r="G896" s="94">
        <v>0.38648135432517361</v>
      </c>
      <c r="H896" s="330">
        <v>0.48110519545476238</v>
      </c>
      <c r="I896" s="330">
        <v>1.4675326319881169E-2</v>
      </c>
      <c r="J896" s="330">
        <v>1</v>
      </c>
      <c r="K896" s="330">
        <v>0.70984918034560773</v>
      </c>
      <c r="L896" s="332">
        <v>11854.483645284183</v>
      </c>
      <c r="M896" s="330">
        <v>0</v>
      </c>
      <c r="N896" s="330">
        <v>13176.099903885142</v>
      </c>
      <c r="O896" s="330">
        <v>1346.6001409142582</v>
      </c>
      <c r="P896" s="330">
        <v>51840.086066421907</v>
      </c>
      <c r="Q896" s="333">
        <v>95686.525544515753</v>
      </c>
      <c r="R896" s="330">
        <v>22850.863239996183</v>
      </c>
      <c r="S896" s="330">
        <v>7533.4943426860118</v>
      </c>
      <c r="T896" s="332">
        <v>0.98889959797637383</v>
      </c>
      <c r="U896" s="330">
        <v>0.9747193476091951</v>
      </c>
      <c r="V896" s="330">
        <v>0.97892956797979536</v>
      </c>
      <c r="W896" s="330">
        <v>0.97833852735326698</v>
      </c>
      <c r="X896" s="330">
        <v>0.74123834970683333</v>
      </c>
      <c r="Y896" s="330">
        <v>0</v>
      </c>
      <c r="Z896" s="331">
        <v>0</v>
      </c>
      <c r="AA896" s="235"/>
      <c r="AB896" s="335">
        <v>79356.083609211681</v>
      </c>
      <c r="AC896" s="336">
        <v>4.240109129828836</v>
      </c>
      <c r="AD896" s="337">
        <v>63070.480575592432</v>
      </c>
      <c r="AE896" s="336">
        <v>3.2951834227082828</v>
      </c>
      <c r="AF896" s="337">
        <v>16285.603033619249</v>
      </c>
      <c r="AG896" s="338">
        <v>0.94492570712055324</v>
      </c>
      <c r="AH896" s="235"/>
      <c r="AI896" s="208">
        <f t="shared" si="96"/>
        <v>3948747.5897281826</v>
      </c>
      <c r="AJ896" s="208">
        <f t="shared" si="97"/>
        <v>3067353.7709972765</v>
      </c>
      <c r="AK896" s="208">
        <f t="shared" si="98"/>
        <v>881393.81873090635</v>
      </c>
      <c r="AL896" s="235"/>
      <c r="AM896" s="52">
        <f t="shared" si="86"/>
        <v>1</v>
      </c>
      <c r="AN896" s="52">
        <f t="shared" si="87"/>
        <v>0</v>
      </c>
      <c r="AO896" s="52">
        <f t="shared" si="88"/>
        <v>1</v>
      </c>
      <c r="AP896" s="235"/>
      <c r="AQ896" s="28"/>
      <c r="AR896" s="28"/>
      <c r="AS896" s="28"/>
      <c r="AT896" s="28"/>
      <c r="AU896" s="235"/>
      <c r="AV896" s="360">
        <f t="shared" si="99"/>
        <v>3948747.5897281826</v>
      </c>
      <c r="AW896" s="235"/>
      <c r="AX896" s="355"/>
      <c r="AY896" s="344"/>
      <c r="AZ896" s="14">
        <f t="shared" si="101"/>
        <v>16285.603033619249</v>
      </c>
      <c r="BA896" s="14">
        <f t="shared" si="100"/>
        <v>0.94492570712055324</v>
      </c>
      <c r="BB896" s="14">
        <f t="shared" si="89"/>
        <v>17234.797308294143</v>
      </c>
      <c r="BC896" s="344"/>
      <c r="BD896" s="344"/>
      <c r="BE896" s="344"/>
      <c r="BF896" s="344"/>
      <c r="BG896" s="344"/>
      <c r="BH896" s="344"/>
      <c r="BI896" s="344"/>
      <c r="BJ896" s="344"/>
      <c r="BK896" s="344"/>
      <c r="BL896" s="344"/>
      <c r="BM896" s="344"/>
      <c r="BN896" s="344"/>
      <c r="BO896" s="344"/>
      <c r="BP896" s="344"/>
      <c r="BQ896" s="344"/>
      <c r="BR896" s="344"/>
      <c r="BS896" s="344"/>
      <c r="BT896" s="344"/>
      <c r="BU896" s="344"/>
      <c r="BV896" s="344"/>
      <c r="BW896" s="344"/>
      <c r="BX896" s="344"/>
      <c r="BY896" s="344"/>
      <c r="BZ896" s="344"/>
      <c r="CA896" s="344"/>
      <c r="CB896" s="28"/>
      <c r="CC896" s="28"/>
      <c r="CD896" s="28"/>
      <c r="CE896" s="28"/>
      <c r="CF896" s="28"/>
      <c r="CG896" s="28"/>
      <c r="CH896" s="28"/>
      <c r="CI896" s="28"/>
      <c r="CJ896" s="28"/>
      <c r="CK896" s="28"/>
      <c r="CL896" s="28"/>
      <c r="CM896" s="28"/>
      <c r="CN896" s="28"/>
      <c r="CO896" s="28"/>
      <c r="CP896" s="28"/>
      <c r="CQ896" s="28"/>
      <c r="CR896" s="28"/>
      <c r="CS896" s="28"/>
      <c r="CT896" s="28"/>
      <c r="CU896" s="28"/>
      <c r="CV896" s="28"/>
      <c r="CW896" s="28"/>
    </row>
    <row r="897" spans="1:101" ht="14.25" customHeight="1" x14ac:dyDescent="0.2">
      <c r="A897" s="328"/>
      <c r="B897" s="52">
        <v>0.19052544033007468</v>
      </c>
      <c r="C897" s="330">
        <v>0.55717359978033998</v>
      </c>
      <c r="D897" s="330">
        <v>2.4600321484373078E-2</v>
      </c>
      <c r="E897" s="330">
        <v>1.329668292701288E-2</v>
      </c>
      <c r="F897" s="331">
        <v>0.79011192695809407</v>
      </c>
      <c r="G897" s="94">
        <v>0.40720592594447225</v>
      </c>
      <c r="H897" s="330">
        <v>0.89730154256716743</v>
      </c>
      <c r="I897" s="330">
        <v>1.1698972535747223E-2</v>
      </c>
      <c r="J897" s="330">
        <v>0.99999250884853996</v>
      </c>
      <c r="K897" s="330">
        <v>0.7634201473121367</v>
      </c>
      <c r="L897" s="332">
        <v>12966.195796203569</v>
      </c>
      <c r="M897" s="330">
        <v>0</v>
      </c>
      <c r="N897" s="330">
        <v>16154.414007807898</v>
      </c>
      <c r="O897" s="330">
        <v>1228.6296219774024</v>
      </c>
      <c r="P897" s="330">
        <v>43578.647234731987</v>
      </c>
      <c r="Q897" s="333">
        <v>90735.118645653449</v>
      </c>
      <c r="R897" s="330">
        <v>21250.795138067118</v>
      </c>
      <c r="S897" s="330">
        <v>11744.737796564077</v>
      </c>
      <c r="T897" s="332">
        <v>0.98682231000535481</v>
      </c>
      <c r="U897" s="330">
        <v>0.66712444116650271</v>
      </c>
      <c r="V897" s="330">
        <v>0.93474311308933744</v>
      </c>
      <c r="W897" s="330">
        <v>0.84266896791287382</v>
      </c>
      <c r="X897" s="330">
        <v>0.89149127231036174</v>
      </c>
      <c r="Y897" s="330">
        <v>0</v>
      </c>
      <c r="Z897" s="331">
        <v>0</v>
      </c>
      <c r="AA897" s="235"/>
      <c r="AB897" s="335">
        <v>115467.32179643065</v>
      </c>
      <c r="AC897" s="336">
        <v>4.744266418754715</v>
      </c>
      <c r="AD897" s="337">
        <v>105165.4756503145</v>
      </c>
      <c r="AE897" s="336">
        <v>4.2205497490332293</v>
      </c>
      <c r="AF897" s="337">
        <v>10301.84614611615</v>
      </c>
      <c r="AG897" s="338">
        <v>0.52371666972148567</v>
      </c>
      <c r="AH897" s="235"/>
      <c r="AI897" s="208">
        <f t="shared" si="96"/>
        <v>4391585.7760205492</v>
      </c>
      <c r="AJ897" s="208">
        <f t="shared" si="97"/>
        <v>3904356.7859312533</v>
      </c>
      <c r="AK897" s="208">
        <f t="shared" si="98"/>
        <v>487228.99008929526</v>
      </c>
      <c r="AL897" s="235"/>
      <c r="AM897" s="52">
        <f t="shared" si="86"/>
        <v>1</v>
      </c>
      <c r="AN897" s="52">
        <f t="shared" si="87"/>
        <v>0</v>
      </c>
      <c r="AO897" s="52">
        <f t="shared" si="88"/>
        <v>1</v>
      </c>
      <c r="AP897" s="235"/>
      <c r="AQ897" s="28"/>
      <c r="AR897" s="28"/>
      <c r="AS897" s="28"/>
      <c r="AT897" s="28"/>
      <c r="AU897" s="235"/>
      <c r="AV897" s="360">
        <f t="shared" si="99"/>
        <v>4391585.7760205492</v>
      </c>
      <c r="AW897" s="235"/>
      <c r="AX897" s="355"/>
      <c r="AY897" s="344"/>
      <c r="AZ897" s="14">
        <f t="shared" si="101"/>
        <v>10301.84614611615</v>
      </c>
      <c r="BA897" s="14">
        <f t="shared" si="100"/>
        <v>0.52371666972148567</v>
      </c>
      <c r="BB897" s="14">
        <f t="shared" si="89"/>
        <v>19670.647779064788</v>
      </c>
      <c r="BC897" s="344"/>
      <c r="BD897" s="344"/>
      <c r="BE897" s="344"/>
      <c r="BF897" s="344"/>
      <c r="BG897" s="344"/>
      <c r="BH897" s="344"/>
      <c r="BI897" s="344"/>
      <c r="BJ897" s="344"/>
      <c r="BK897" s="344"/>
      <c r="BL897" s="344"/>
      <c r="BM897" s="344"/>
      <c r="BN897" s="344"/>
      <c r="BO897" s="344"/>
      <c r="BP897" s="344"/>
      <c r="BQ897" s="344"/>
      <c r="BR897" s="344"/>
      <c r="BS897" s="344"/>
      <c r="BT897" s="344"/>
      <c r="BU897" s="344"/>
      <c r="BV897" s="344"/>
      <c r="BW897" s="344"/>
      <c r="BX897" s="344"/>
      <c r="BY897" s="344"/>
      <c r="BZ897" s="344"/>
      <c r="CA897" s="344"/>
      <c r="CB897" s="28"/>
      <c r="CC897" s="28"/>
      <c r="CD897" s="28"/>
      <c r="CE897" s="28"/>
      <c r="CF897" s="28"/>
      <c r="CG897" s="28"/>
      <c r="CH897" s="28"/>
      <c r="CI897" s="28"/>
      <c r="CJ897" s="28"/>
      <c r="CK897" s="28"/>
      <c r="CL897" s="28"/>
      <c r="CM897" s="28"/>
      <c r="CN897" s="28"/>
      <c r="CO897" s="28"/>
      <c r="CP897" s="28"/>
      <c r="CQ897" s="28"/>
      <c r="CR897" s="28"/>
      <c r="CS897" s="28"/>
      <c r="CT897" s="28"/>
      <c r="CU897" s="28"/>
      <c r="CV897" s="28"/>
      <c r="CW897" s="28"/>
    </row>
    <row r="898" spans="1:101" ht="14.25" customHeight="1" x14ac:dyDescent="0.2">
      <c r="A898" s="328"/>
      <c r="B898" s="52">
        <v>0.15908162936213466</v>
      </c>
      <c r="C898" s="330">
        <v>0.30771254770372047</v>
      </c>
      <c r="D898" s="330">
        <v>1.8377112168452614E-2</v>
      </c>
      <c r="E898" s="330">
        <v>1.5196970822999312E-2</v>
      </c>
      <c r="F898" s="331">
        <v>0.77979731140331554</v>
      </c>
      <c r="G898" s="94">
        <v>0.40419011747756828</v>
      </c>
      <c r="H898" s="330">
        <v>0.15191707041060631</v>
      </c>
      <c r="I898" s="330">
        <v>3.0528092836236143E-2</v>
      </c>
      <c r="J898" s="330">
        <v>0.99855300702889482</v>
      </c>
      <c r="K898" s="330">
        <v>0.73236607383574137</v>
      </c>
      <c r="L898" s="332">
        <v>10035.500916727957</v>
      </c>
      <c r="M898" s="330">
        <v>0</v>
      </c>
      <c r="N898" s="330">
        <v>17971.921328914596</v>
      </c>
      <c r="O898" s="330">
        <v>1228.0249474482023</v>
      </c>
      <c r="P898" s="330">
        <v>34161.469068394472</v>
      </c>
      <c r="Q898" s="333">
        <v>71182.420927953164</v>
      </c>
      <c r="R898" s="330">
        <v>30571.919499482985</v>
      </c>
      <c r="S898" s="330">
        <v>7113.9337323432101</v>
      </c>
      <c r="T898" s="332">
        <v>0.62050694429242759</v>
      </c>
      <c r="U898" s="330">
        <v>0.97819039144052256</v>
      </c>
      <c r="V898" s="330">
        <v>0.9774494885668854</v>
      </c>
      <c r="W898" s="330">
        <v>0.91572314738845639</v>
      </c>
      <c r="X898" s="330">
        <v>0.99755854407070221</v>
      </c>
      <c r="Y898" s="330">
        <v>0</v>
      </c>
      <c r="Z898" s="331">
        <v>0</v>
      </c>
      <c r="AA898" s="235"/>
      <c r="AB898" s="335">
        <v>71468.526643193341</v>
      </c>
      <c r="AC898" s="336">
        <v>4.8207256175930295</v>
      </c>
      <c r="AD898" s="337">
        <v>59862.7823858638</v>
      </c>
      <c r="AE898" s="336">
        <v>4.6806191563028392</v>
      </c>
      <c r="AF898" s="337">
        <v>11605.744257329541</v>
      </c>
      <c r="AG898" s="338">
        <v>0.14010646129019033</v>
      </c>
      <c r="AH898" s="235"/>
      <c r="AI898" s="208">
        <f t="shared" si="96"/>
        <v>4508220.810070185</v>
      </c>
      <c r="AJ898" s="208">
        <f t="shared" si="97"/>
        <v>4386725.4161018338</v>
      </c>
      <c r="AK898" s="208">
        <f t="shared" si="98"/>
        <v>121495.39396835129</v>
      </c>
      <c r="AL898" s="235"/>
      <c r="AM898" s="52">
        <f t="shared" si="86"/>
        <v>1</v>
      </c>
      <c r="AN898" s="52">
        <f t="shared" si="87"/>
        <v>0</v>
      </c>
      <c r="AO898" s="52">
        <f t="shared" si="88"/>
        <v>1</v>
      </c>
      <c r="AP898" s="235"/>
      <c r="AQ898" s="28"/>
      <c r="AR898" s="28"/>
      <c r="AS898" s="28"/>
      <c r="AT898" s="28"/>
      <c r="AU898" s="235"/>
      <c r="AV898" s="360">
        <f t="shared" si="99"/>
        <v>4508220.810070185</v>
      </c>
      <c r="AW898" s="235"/>
      <c r="AX898" s="355"/>
      <c r="AY898" s="344"/>
      <c r="AZ898" s="14">
        <f t="shared" si="101"/>
        <v>11605.744257329541</v>
      </c>
      <c r="BA898" s="14">
        <f t="shared" si="100"/>
        <v>0.14010646129019033</v>
      </c>
      <c r="BB898" s="14">
        <f t="shared" si="89"/>
        <v>82835.182263946932</v>
      </c>
      <c r="BC898" s="344"/>
      <c r="BD898" s="344"/>
      <c r="BE898" s="344"/>
      <c r="BF898" s="344"/>
      <c r="BG898" s="344"/>
      <c r="BH898" s="344"/>
      <c r="BI898" s="344"/>
      <c r="BJ898" s="344"/>
      <c r="BK898" s="344"/>
      <c r="BL898" s="344"/>
      <c r="BM898" s="344"/>
      <c r="BN898" s="344"/>
      <c r="BO898" s="344"/>
      <c r="BP898" s="344"/>
      <c r="BQ898" s="344"/>
      <c r="BR898" s="344"/>
      <c r="BS898" s="344"/>
      <c r="BT898" s="344"/>
      <c r="BU898" s="344"/>
      <c r="BV898" s="344"/>
      <c r="BW898" s="344"/>
      <c r="BX898" s="344"/>
      <c r="BY898" s="344"/>
      <c r="BZ898" s="344"/>
      <c r="CA898" s="344"/>
      <c r="CB898" s="28"/>
      <c r="CC898" s="28"/>
      <c r="CD898" s="28"/>
      <c r="CE898" s="28"/>
      <c r="CF898" s="28"/>
      <c r="CG898" s="28"/>
      <c r="CH898" s="28"/>
      <c r="CI898" s="28"/>
      <c r="CJ898" s="28"/>
      <c r="CK898" s="28"/>
      <c r="CL898" s="28"/>
      <c r="CM898" s="28"/>
      <c r="CN898" s="28"/>
      <c r="CO898" s="28"/>
      <c r="CP898" s="28"/>
      <c r="CQ898" s="28"/>
      <c r="CR898" s="28"/>
      <c r="CS898" s="28"/>
      <c r="CT898" s="28"/>
      <c r="CU898" s="28"/>
      <c r="CV898" s="28"/>
      <c r="CW898" s="28"/>
    </row>
    <row r="899" spans="1:101" ht="14.25" customHeight="1" x14ac:dyDescent="0.2">
      <c r="A899" s="328"/>
      <c r="B899" s="52">
        <v>0.14694980242258801</v>
      </c>
      <c r="C899" s="330">
        <v>0.65520869911898239</v>
      </c>
      <c r="D899" s="330">
        <v>1.7531939447957834E-2</v>
      </c>
      <c r="E899" s="330">
        <v>2.8188494910668882E-2</v>
      </c>
      <c r="F899" s="331">
        <v>0.76973334239138447</v>
      </c>
      <c r="G899" s="94">
        <v>0.34750943798329825</v>
      </c>
      <c r="H899" s="330">
        <v>1.3426123960809434E-2</v>
      </c>
      <c r="I899" s="330">
        <v>1.8122663038561138E-2</v>
      </c>
      <c r="J899" s="330">
        <v>0.39418794023903819</v>
      </c>
      <c r="K899" s="330">
        <v>0.79207388791447741</v>
      </c>
      <c r="L899" s="332">
        <v>10298.616547934264</v>
      </c>
      <c r="M899" s="330">
        <v>0</v>
      </c>
      <c r="N899" s="330">
        <v>17784.207177464014</v>
      </c>
      <c r="O899" s="330">
        <v>1533.7782476047</v>
      </c>
      <c r="P899" s="330">
        <v>27599.504911981145</v>
      </c>
      <c r="Q899" s="333">
        <v>89802.047199445486</v>
      </c>
      <c r="R899" s="330">
        <v>26307.046222479206</v>
      </c>
      <c r="S899" s="330">
        <v>7339.7442372183596</v>
      </c>
      <c r="T899" s="332">
        <v>0.9739261695164565</v>
      </c>
      <c r="U899" s="330">
        <v>0.94389729658603627</v>
      </c>
      <c r="V899" s="330">
        <v>0.90351469247000327</v>
      </c>
      <c r="W899" s="330">
        <v>0.96902896509644676</v>
      </c>
      <c r="X899" s="330">
        <v>0.97758764723821501</v>
      </c>
      <c r="Y899" s="330">
        <v>0</v>
      </c>
      <c r="Z899" s="331">
        <v>0</v>
      </c>
      <c r="AA899" s="235"/>
      <c r="AB899" s="335">
        <v>73919.231355370313</v>
      </c>
      <c r="AC899" s="336">
        <v>4.8829013887171362</v>
      </c>
      <c r="AD899" s="337">
        <v>63827.590465682137</v>
      </c>
      <c r="AE899" s="336">
        <v>4.9529860621337063</v>
      </c>
      <c r="AF899" s="337">
        <v>10091.640889688177</v>
      </c>
      <c r="AG899" s="338">
        <v>-7.0084673416570098E-2</v>
      </c>
      <c r="AH899" s="235"/>
      <c r="AI899" s="208">
        <f t="shared" si="96"/>
        <v>4564837.0879259091</v>
      </c>
      <c r="AJ899" s="208">
        <f t="shared" si="97"/>
        <v>4641509.1685613384</v>
      </c>
      <c r="AK899" s="208">
        <f t="shared" si="98"/>
        <v>-76672.080635429767</v>
      </c>
      <c r="AL899" s="235"/>
      <c r="AM899" s="52">
        <f t="shared" si="86"/>
        <v>0</v>
      </c>
      <c r="AN899" s="52">
        <f t="shared" si="87"/>
        <v>1</v>
      </c>
      <c r="AO899" s="52">
        <f t="shared" si="88"/>
        <v>0</v>
      </c>
      <c r="AP899" s="235"/>
      <c r="AQ899" s="28"/>
      <c r="AR899" s="28"/>
      <c r="AS899" s="28"/>
      <c r="AT899" s="28"/>
      <c r="AU899" s="235"/>
      <c r="AV899" s="360">
        <f t="shared" si="99"/>
        <v>4641509.1685613384</v>
      </c>
      <c r="AW899" s="235"/>
      <c r="AX899" s="355"/>
      <c r="AY899" s="344"/>
      <c r="AZ899" s="14">
        <f t="shared" si="101"/>
        <v>10091.640889688177</v>
      </c>
      <c r="BA899" s="14">
        <f t="shared" si="100"/>
        <v>-7.0084673416570098E-2</v>
      </c>
      <c r="BB899" s="14">
        <f t="shared" si="89"/>
        <v>-143992.12263864547</v>
      </c>
      <c r="BC899" s="344"/>
      <c r="BD899" s="344"/>
      <c r="BE899" s="344"/>
      <c r="BF899" s="344"/>
      <c r="BG899" s="344"/>
      <c r="BH899" s="344"/>
      <c r="BI899" s="344"/>
      <c r="BJ899" s="344"/>
      <c r="BK899" s="344"/>
      <c r="BL899" s="344"/>
      <c r="BM899" s="344"/>
      <c r="BN899" s="344"/>
      <c r="BO899" s="344"/>
      <c r="BP899" s="344"/>
      <c r="BQ899" s="344"/>
      <c r="BR899" s="344"/>
      <c r="BS899" s="344"/>
      <c r="BT899" s="344"/>
      <c r="BU899" s="344"/>
      <c r="BV899" s="344"/>
      <c r="BW899" s="344"/>
      <c r="BX899" s="344"/>
      <c r="BY899" s="344"/>
      <c r="BZ899" s="344"/>
      <c r="CA899" s="344"/>
      <c r="CB899" s="28"/>
      <c r="CC899" s="28"/>
      <c r="CD899" s="28"/>
      <c r="CE899" s="28"/>
      <c r="CF899" s="28"/>
      <c r="CG899" s="28"/>
      <c r="CH899" s="28"/>
      <c r="CI899" s="28"/>
      <c r="CJ899" s="28"/>
      <c r="CK899" s="28"/>
      <c r="CL899" s="28"/>
      <c r="CM899" s="28"/>
      <c r="CN899" s="28"/>
      <c r="CO899" s="28"/>
      <c r="CP899" s="28"/>
      <c r="CQ899" s="28"/>
      <c r="CR899" s="28"/>
      <c r="CS899" s="28"/>
      <c r="CT899" s="28"/>
      <c r="CU899" s="28"/>
      <c r="CV899" s="28"/>
      <c r="CW899" s="28"/>
    </row>
    <row r="900" spans="1:101" ht="14.25" customHeight="1" x14ac:dyDescent="0.2">
      <c r="A900" s="328"/>
      <c r="B900" s="52">
        <v>0.17695700897695488</v>
      </c>
      <c r="C900" s="330">
        <v>4.3959007441915863E-3</v>
      </c>
      <c r="D900" s="330">
        <v>1.4577622797495304E-2</v>
      </c>
      <c r="E900" s="330">
        <v>9.8671117889734383E-3</v>
      </c>
      <c r="F900" s="331">
        <v>0.80930947377711027</v>
      </c>
      <c r="G900" s="94">
        <v>0.40062846949553665</v>
      </c>
      <c r="H900" s="330">
        <v>0.58975104820042756</v>
      </c>
      <c r="I900" s="330">
        <v>2.1723234421225479E-2</v>
      </c>
      <c r="J900" s="330">
        <v>0.99999999999998102</v>
      </c>
      <c r="K900" s="330">
        <v>0.79067592194578418</v>
      </c>
      <c r="L900" s="332">
        <v>11519.161123354083</v>
      </c>
      <c r="M900" s="330">
        <v>0</v>
      </c>
      <c r="N900" s="330">
        <v>17521.975441846302</v>
      </c>
      <c r="O900" s="330">
        <v>934.40337858898135</v>
      </c>
      <c r="P900" s="330">
        <v>31058.751420499691</v>
      </c>
      <c r="Q900" s="333">
        <v>97707.473366393504</v>
      </c>
      <c r="R900" s="330">
        <v>20004.160550219134</v>
      </c>
      <c r="S900" s="330">
        <v>10097.393017859802</v>
      </c>
      <c r="T900" s="332">
        <v>0.97348035508981279</v>
      </c>
      <c r="U900" s="330">
        <v>0.99696488756057366</v>
      </c>
      <c r="V900" s="330">
        <v>0.87403971039229089</v>
      </c>
      <c r="W900" s="330">
        <v>0.98173286049438113</v>
      </c>
      <c r="X900" s="330">
        <v>0.99587399063684212</v>
      </c>
      <c r="Y900" s="330">
        <v>0</v>
      </c>
      <c r="Z900" s="331">
        <v>0</v>
      </c>
      <c r="AA900" s="235"/>
      <c r="AB900" s="335">
        <v>99648.073974528641</v>
      </c>
      <c r="AC900" s="336">
        <v>5.3623376290317095</v>
      </c>
      <c r="AD900" s="337">
        <v>91947.618031074075</v>
      </c>
      <c r="AE900" s="336">
        <v>4.76633051824835</v>
      </c>
      <c r="AF900" s="337">
        <v>7700.4559434545663</v>
      </c>
      <c r="AG900" s="338">
        <v>0.59600711078335955</v>
      </c>
      <c r="AH900" s="235"/>
      <c r="AI900" s="208">
        <f t="shared" si="96"/>
        <v>4994572.6736055957</v>
      </c>
      <c r="AJ900" s="208">
        <f t="shared" si="97"/>
        <v>4436066.374304858</v>
      </c>
      <c r="AK900" s="208">
        <f t="shared" si="98"/>
        <v>558506.2993007371</v>
      </c>
      <c r="AL900" s="235"/>
      <c r="AM900" s="52">
        <f t="shared" si="86"/>
        <v>1</v>
      </c>
      <c r="AN900" s="52">
        <f t="shared" si="87"/>
        <v>0</v>
      </c>
      <c r="AO900" s="52">
        <f t="shared" si="88"/>
        <v>1</v>
      </c>
      <c r="AP900" s="235"/>
      <c r="AQ900" s="28"/>
      <c r="AR900" s="28"/>
      <c r="AS900" s="28"/>
      <c r="AT900" s="28"/>
      <c r="AU900" s="235"/>
      <c r="AV900" s="360">
        <f t="shared" si="99"/>
        <v>4994572.6736055957</v>
      </c>
      <c r="AW900" s="235"/>
      <c r="AX900" s="355"/>
      <c r="AY900" s="344"/>
      <c r="AZ900" s="14">
        <f t="shared" si="101"/>
        <v>7700.4559434545663</v>
      </c>
      <c r="BA900" s="14">
        <f t="shared" si="100"/>
        <v>0.59600711078335955</v>
      </c>
      <c r="BB900" s="14">
        <f t="shared" si="89"/>
        <v>12920.073945650587</v>
      </c>
      <c r="BC900" s="344"/>
      <c r="BD900" s="344"/>
      <c r="BE900" s="344"/>
      <c r="BF900" s="344"/>
      <c r="BG900" s="344"/>
      <c r="BH900" s="344"/>
      <c r="BI900" s="344"/>
      <c r="BJ900" s="344"/>
      <c r="BK900" s="344"/>
      <c r="BL900" s="344"/>
      <c r="BM900" s="344"/>
      <c r="BN900" s="344"/>
      <c r="BO900" s="344"/>
      <c r="BP900" s="344"/>
      <c r="BQ900" s="344"/>
      <c r="BR900" s="344"/>
      <c r="BS900" s="344"/>
      <c r="BT900" s="344"/>
      <c r="BU900" s="344"/>
      <c r="BV900" s="344"/>
      <c r="BW900" s="344"/>
      <c r="BX900" s="344"/>
      <c r="BY900" s="344"/>
      <c r="BZ900" s="344"/>
      <c r="CA900" s="344"/>
      <c r="CB900" s="28"/>
      <c r="CC900" s="28"/>
      <c r="CD900" s="28"/>
      <c r="CE900" s="28"/>
      <c r="CF900" s="28"/>
      <c r="CG900" s="28"/>
      <c r="CH900" s="28"/>
      <c r="CI900" s="28"/>
      <c r="CJ900" s="28"/>
      <c r="CK900" s="28"/>
      <c r="CL900" s="28"/>
      <c r="CM900" s="28"/>
      <c r="CN900" s="28"/>
      <c r="CO900" s="28"/>
      <c r="CP900" s="28"/>
      <c r="CQ900" s="28"/>
      <c r="CR900" s="28"/>
      <c r="CS900" s="28"/>
      <c r="CT900" s="28"/>
      <c r="CU900" s="28"/>
      <c r="CV900" s="28"/>
      <c r="CW900" s="28"/>
    </row>
    <row r="901" spans="1:101" ht="14.25" customHeight="1" x14ac:dyDescent="0.2">
      <c r="A901" s="328"/>
      <c r="B901" s="52">
        <v>0.16420662443185075</v>
      </c>
      <c r="C901" s="330">
        <v>0.5795884861964411</v>
      </c>
      <c r="D901" s="330">
        <v>1.1190394410048085E-2</v>
      </c>
      <c r="E901" s="330">
        <v>2.0764131096959515E-2</v>
      </c>
      <c r="F901" s="331">
        <v>0.78762100648144817</v>
      </c>
      <c r="G901" s="94">
        <v>0.35426920148550278</v>
      </c>
      <c r="H901" s="330">
        <v>0.34004318907329062</v>
      </c>
      <c r="I901" s="330">
        <v>1.6949756239990621E-2</v>
      </c>
      <c r="J901" s="330">
        <v>0.99999965524417067</v>
      </c>
      <c r="K901" s="330">
        <v>0.75139702067373804</v>
      </c>
      <c r="L901" s="332">
        <v>12668.029665746135</v>
      </c>
      <c r="M901" s="330">
        <v>0</v>
      </c>
      <c r="N901" s="330">
        <v>16525.541774036847</v>
      </c>
      <c r="O901" s="330">
        <v>1418.7877689483119</v>
      </c>
      <c r="P901" s="330">
        <v>59491.697898043662</v>
      </c>
      <c r="Q901" s="333">
        <v>91140.25647071701</v>
      </c>
      <c r="R901" s="330">
        <v>23863.840263617971</v>
      </c>
      <c r="S901" s="330">
        <v>7824.1831126088628</v>
      </c>
      <c r="T901" s="332">
        <v>0.75898860181690331</v>
      </c>
      <c r="U901" s="330">
        <v>0.87659984138361724</v>
      </c>
      <c r="V901" s="330">
        <v>0.98376917998531033</v>
      </c>
      <c r="W901" s="330">
        <v>0.99782871190636857</v>
      </c>
      <c r="X901" s="330">
        <v>0.42189208265566347</v>
      </c>
      <c r="Y901" s="330">
        <v>0</v>
      </c>
      <c r="Z901" s="331">
        <v>0</v>
      </c>
      <c r="AA901" s="235"/>
      <c r="AB901" s="335">
        <v>81473.669753479</v>
      </c>
      <c r="AC901" s="336">
        <v>2.1508090226781462</v>
      </c>
      <c r="AD901" s="337">
        <v>67505.140462537427</v>
      </c>
      <c r="AE901" s="336">
        <v>2.1835823725376762</v>
      </c>
      <c r="AF901" s="337">
        <v>13968.529290941573</v>
      </c>
      <c r="AG901" s="338">
        <v>-3.2773349859529954E-2</v>
      </c>
      <c r="AH901" s="235"/>
      <c r="AI901" s="208">
        <f t="shared" si="96"/>
        <v>1961794.9017907598</v>
      </c>
      <c r="AJ901" s="208">
        <f t="shared" si="97"/>
        <v>2006898.1134482548</v>
      </c>
      <c r="AK901" s="208">
        <f t="shared" si="98"/>
        <v>-45103.211657495034</v>
      </c>
      <c r="AL901" s="235"/>
      <c r="AM901" s="52">
        <f t="shared" si="86"/>
        <v>0</v>
      </c>
      <c r="AN901" s="52">
        <f t="shared" si="87"/>
        <v>1</v>
      </c>
      <c r="AO901" s="52">
        <f t="shared" si="88"/>
        <v>0</v>
      </c>
      <c r="AP901" s="235"/>
      <c r="AQ901" s="28"/>
      <c r="AR901" s="28"/>
      <c r="AS901" s="28"/>
      <c r="AT901" s="28"/>
      <c r="AU901" s="235"/>
      <c r="AV901" s="360">
        <f t="shared" si="99"/>
        <v>2006898.1134482548</v>
      </c>
      <c r="AW901" s="235"/>
      <c r="AX901" s="355"/>
      <c r="AY901" s="344"/>
      <c r="AZ901" s="14">
        <f t="shared" si="101"/>
        <v>13968.529290941573</v>
      </c>
      <c r="BA901" s="14">
        <f t="shared" si="100"/>
        <v>-3.2773349859529954E-2</v>
      </c>
      <c r="BB901" s="14">
        <f t="shared" si="89"/>
        <v>-426216.0978603703</v>
      </c>
      <c r="BC901" s="344"/>
      <c r="BD901" s="344"/>
      <c r="BE901" s="344"/>
      <c r="BF901" s="344"/>
      <c r="BG901" s="344"/>
      <c r="BH901" s="344"/>
      <c r="BI901" s="344"/>
      <c r="BJ901" s="344"/>
      <c r="BK901" s="344"/>
      <c r="BL901" s="344"/>
      <c r="BM901" s="344"/>
      <c r="BN901" s="344"/>
      <c r="BO901" s="344"/>
      <c r="BP901" s="344"/>
      <c r="BQ901" s="344"/>
      <c r="BR901" s="344"/>
      <c r="BS901" s="344"/>
      <c r="BT901" s="344"/>
      <c r="BU901" s="344"/>
      <c r="BV901" s="344"/>
      <c r="BW901" s="344"/>
      <c r="BX901" s="344"/>
      <c r="BY901" s="344"/>
      <c r="BZ901" s="344"/>
      <c r="CA901" s="344"/>
      <c r="CB901" s="28"/>
      <c r="CC901" s="28"/>
      <c r="CD901" s="28"/>
      <c r="CE901" s="28"/>
      <c r="CF901" s="28"/>
      <c r="CG901" s="28"/>
      <c r="CH901" s="28"/>
      <c r="CI901" s="28"/>
      <c r="CJ901" s="28"/>
      <c r="CK901" s="28"/>
      <c r="CL901" s="28"/>
      <c r="CM901" s="28"/>
      <c r="CN901" s="28"/>
      <c r="CO901" s="28"/>
      <c r="CP901" s="28"/>
      <c r="CQ901" s="28"/>
      <c r="CR901" s="28"/>
      <c r="CS901" s="28"/>
      <c r="CT901" s="28"/>
      <c r="CU901" s="28"/>
      <c r="CV901" s="28"/>
      <c r="CW901" s="28"/>
    </row>
    <row r="902" spans="1:101" ht="14.25" customHeight="1" x14ac:dyDescent="0.2">
      <c r="A902" s="328"/>
      <c r="B902" s="52">
        <v>0.18007530251670834</v>
      </c>
      <c r="C902" s="330">
        <v>0.41230370095279145</v>
      </c>
      <c r="D902" s="330">
        <v>2.6178969892878712E-2</v>
      </c>
      <c r="E902" s="330">
        <v>1.3670458617602944E-2</v>
      </c>
      <c r="F902" s="331">
        <v>0.76331692934724238</v>
      </c>
      <c r="G902" s="94">
        <v>0.3681028172841882</v>
      </c>
      <c r="H902" s="330">
        <v>0.40118962940480818</v>
      </c>
      <c r="I902" s="330">
        <v>2.0969233472702409E-2</v>
      </c>
      <c r="J902" s="330">
        <v>0.99999965730207974</v>
      </c>
      <c r="K902" s="330">
        <v>0.7255466676371265</v>
      </c>
      <c r="L902" s="332">
        <v>8746.3015205063894</v>
      </c>
      <c r="M902" s="330">
        <v>0</v>
      </c>
      <c r="N902" s="330">
        <v>20200.877697886397</v>
      </c>
      <c r="O902" s="330">
        <v>1151.3995719054467</v>
      </c>
      <c r="P902" s="330">
        <v>36269.430506851066</v>
      </c>
      <c r="Q902" s="333">
        <v>118708.8526332785</v>
      </c>
      <c r="R902" s="330">
        <v>21908.889626912292</v>
      </c>
      <c r="S902" s="330">
        <v>5666.5668651168025</v>
      </c>
      <c r="T902" s="332">
        <v>0.23897226840173275</v>
      </c>
      <c r="U902" s="330">
        <v>0.99995714885966525</v>
      </c>
      <c r="V902" s="330">
        <v>0.99805468273214726</v>
      </c>
      <c r="W902" s="330">
        <v>0.74984188934590612</v>
      </c>
      <c r="X902" s="330">
        <v>0.41599961719713646</v>
      </c>
      <c r="Y902" s="330">
        <v>0</v>
      </c>
      <c r="Z902" s="331">
        <v>0</v>
      </c>
      <c r="AA902" s="235"/>
      <c r="AB902" s="335">
        <v>57560.258141791091</v>
      </c>
      <c r="AC902" s="336">
        <v>1.9666243572073572</v>
      </c>
      <c r="AD902" s="337">
        <v>49133.316389416381</v>
      </c>
      <c r="AE902" s="336">
        <v>1.9333016461265276</v>
      </c>
      <c r="AF902" s="337">
        <v>8426.9417523747106</v>
      </c>
      <c r="AG902" s="338">
        <v>3.3322711080829626E-2</v>
      </c>
      <c r="AH902" s="235"/>
      <c r="AI902" s="208">
        <f t="shared" si="96"/>
        <v>1810732.8812051984</v>
      </c>
      <c r="AJ902" s="208">
        <f t="shared" si="97"/>
        <v>1787503.2474307849</v>
      </c>
      <c r="AK902" s="208">
        <f t="shared" si="98"/>
        <v>23229.633774413433</v>
      </c>
      <c r="AL902" s="235"/>
      <c r="AM902" s="52">
        <f t="shared" si="86"/>
        <v>1</v>
      </c>
      <c r="AN902" s="52">
        <f t="shared" si="87"/>
        <v>0</v>
      </c>
      <c r="AO902" s="52">
        <f t="shared" si="88"/>
        <v>1</v>
      </c>
      <c r="AP902" s="235"/>
      <c r="AQ902" s="28"/>
      <c r="AR902" s="28"/>
      <c r="AS902" s="28"/>
      <c r="AT902" s="28"/>
      <c r="AU902" s="235"/>
      <c r="AV902" s="360">
        <f t="shared" si="99"/>
        <v>1810732.8812051984</v>
      </c>
      <c r="AW902" s="235"/>
      <c r="AX902" s="355"/>
      <c r="AY902" s="344"/>
      <c r="AZ902" s="14">
        <f t="shared" si="101"/>
        <v>8426.9417523747106</v>
      </c>
      <c r="BA902" s="14">
        <f t="shared" si="100"/>
        <v>3.3322711080829626E-2</v>
      </c>
      <c r="BB902" s="14">
        <f t="shared" si="89"/>
        <v>252888.84004467106</v>
      </c>
      <c r="BC902" s="344"/>
      <c r="BD902" s="344"/>
      <c r="BE902" s="344"/>
      <c r="BF902" s="344"/>
      <c r="BG902" s="344"/>
      <c r="BH902" s="344"/>
      <c r="BI902" s="344"/>
      <c r="BJ902" s="344"/>
      <c r="BK902" s="344"/>
      <c r="BL902" s="344"/>
      <c r="BM902" s="344"/>
      <c r="BN902" s="344"/>
      <c r="BO902" s="344"/>
      <c r="BP902" s="344"/>
      <c r="BQ902" s="344"/>
      <c r="BR902" s="344"/>
      <c r="BS902" s="344"/>
      <c r="BT902" s="344"/>
      <c r="BU902" s="344"/>
      <c r="BV902" s="344"/>
      <c r="BW902" s="344"/>
      <c r="BX902" s="344"/>
      <c r="BY902" s="344"/>
      <c r="BZ902" s="344"/>
      <c r="CA902" s="344"/>
      <c r="CB902" s="28"/>
      <c r="CC902" s="28"/>
      <c r="CD902" s="28"/>
      <c r="CE902" s="28"/>
      <c r="CF902" s="28"/>
      <c r="CG902" s="28"/>
      <c r="CH902" s="28"/>
      <c r="CI902" s="28"/>
      <c r="CJ902" s="28"/>
      <c r="CK902" s="28"/>
      <c r="CL902" s="28"/>
      <c r="CM902" s="28"/>
      <c r="CN902" s="28"/>
      <c r="CO902" s="28"/>
      <c r="CP902" s="28"/>
      <c r="CQ902" s="28"/>
      <c r="CR902" s="28"/>
      <c r="CS902" s="28"/>
      <c r="CT902" s="28"/>
      <c r="CU902" s="28"/>
      <c r="CV902" s="28"/>
      <c r="CW902" s="28"/>
    </row>
    <row r="903" spans="1:101" ht="14.25" customHeight="1" x14ac:dyDescent="0.2">
      <c r="A903" s="328"/>
      <c r="B903" s="52">
        <v>0.18897428065271904</v>
      </c>
      <c r="C903" s="330">
        <v>0.26247865287647099</v>
      </c>
      <c r="D903" s="330">
        <v>1.7483550262240799E-2</v>
      </c>
      <c r="E903" s="330">
        <v>4.2018667257224486E-3</v>
      </c>
      <c r="F903" s="331">
        <v>0.81107369918070304</v>
      </c>
      <c r="G903" s="94">
        <v>0.41932767168026819</v>
      </c>
      <c r="H903" s="330">
        <v>0.18601946405601286</v>
      </c>
      <c r="I903" s="330">
        <v>1.2114864830088902E-2</v>
      </c>
      <c r="J903" s="330">
        <v>0.99999955883551739</v>
      </c>
      <c r="K903" s="330">
        <v>0.78897387601422919</v>
      </c>
      <c r="L903" s="332">
        <v>12562.106472782369</v>
      </c>
      <c r="M903" s="330">
        <v>0</v>
      </c>
      <c r="N903" s="330">
        <v>22604.7124294514</v>
      </c>
      <c r="O903" s="330">
        <v>1142.3667823033988</v>
      </c>
      <c r="P903" s="330">
        <v>34783.902558129637</v>
      </c>
      <c r="Q903" s="333">
        <v>91581.194959160901</v>
      </c>
      <c r="R903" s="330">
        <v>43401.04271414812</v>
      </c>
      <c r="S903" s="330">
        <v>7146.3908056779046</v>
      </c>
      <c r="T903" s="332">
        <v>0.99999999909958592</v>
      </c>
      <c r="U903" s="330">
        <v>0.57521265471994887</v>
      </c>
      <c r="V903" s="330">
        <v>0.93227706892432305</v>
      </c>
      <c r="W903" s="330">
        <v>0.99580181363517839</v>
      </c>
      <c r="X903" s="330">
        <v>8.5210888412260155E-2</v>
      </c>
      <c r="Y903" s="330">
        <v>0</v>
      </c>
      <c r="Z903" s="331">
        <v>0</v>
      </c>
      <c r="AA903" s="235"/>
      <c r="AB903" s="335">
        <v>77435.021414072209</v>
      </c>
      <c r="AC903" s="336">
        <v>0.60635076558439316</v>
      </c>
      <c r="AD903" s="337">
        <v>65144.150481630495</v>
      </c>
      <c r="AE903" s="336">
        <v>0.66452892001656494</v>
      </c>
      <c r="AF903" s="337">
        <v>12290.870932441714</v>
      </c>
      <c r="AG903" s="338">
        <v>-5.817815443217178E-2</v>
      </c>
      <c r="AH903" s="235"/>
      <c r="AI903" s="208">
        <f t="shared" si="96"/>
        <v>498598.20589110133</v>
      </c>
      <c r="AJ903" s="208">
        <f t="shared" si="97"/>
        <v>566158.32353410625</v>
      </c>
      <c r="AK903" s="208">
        <f t="shared" si="98"/>
        <v>-67560.117643004894</v>
      </c>
      <c r="AL903" s="235"/>
      <c r="AM903" s="52">
        <f t="shared" si="86"/>
        <v>0</v>
      </c>
      <c r="AN903" s="52">
        <f t="shared" si="87"/>
        <v>1</v>
      </c>
      <c r="AO903" s="52">
        <f t="shared" si="88"/>
        <v>0</v>
      </c>
      <c r="AP903" s="235"/>
      <c r="AQ903" s="28"/>
      <c r="AR903" s="28"/>
      <c r="AS903" s="28"/>
      <c r="AT903" s="28"/>
      <c r="AU903" s="235"/>
      <c r="AV903" s="360">
        <f t="shared" si="99"/>
        <v>566158.32353410625</v>
      </c>
      <c r="AW903" s="235"/>
      <c r="AX903" s="355"/>
      <c r="AY903" s="344"/>
      <c r="AZ903" s="14">
        <f t="shared" si="101"/>
        <v>12290.870932441714</v>
      </c>
      <c r="BA903" s="14">
        <f t="shared" si="100"/>
        <v>-5.817815443217178E-2</v>
      </c>
      <c r="BB903" s="14">
        <f t="shared" si="89"/>
        <v>-211262.64750751562</v>
      </c>
      <c r="BC903" s="344"/>
      <c r="BD903" s="344"/>
      <c r="BE903" s="344"/>
      <c r="BF903" s="344"/>
      <c r="BG903" s="344"/>
      <c r="BH903" s="344"/>
      <c r="BI903" s="344"/>
      <c r="BJ903" s="344"/>
      <c r="BK903" s="344"/>
      <c r="BL903" s="344"/>
      <c r="BM903" s="344"/>
      <c r="BN903" s="344"/>
      <c r="BO903" s="344"/>
      <c r="BP903" s="344"/>
      <c r="BQ903" s="344"/>
      <c r="BR903" s="344"/>
      <c r="BS903" s="344"/>
      <c r="BT903" s="344"/>
      <c r="BU903" s="344"/>
      <c r="BV903" s="344"/>
      <c r="BW903" s="344"/>
      <c r="BX903" s="344"/>
      <c r="BY903" s="344"/>
      <c r="BZ903" s="344"/>
      <c r="CA903" s="344"/>
      <c r="CB903" s="28"/>
      <c r="CC903" s="28"/>
      <c r="CD903" s="28"/>
      <c r="CE903" s="28"/>
      <c r="CF903" s="28"/>
      <c r="CG903" s="28"/>
      <c r="CH903" s="28"/>
      <c r="CI903" s="28"/>
      <c r="CJ903" s="28"/>
      <c r="CK903" s="28"/>
      <c r="CL903" s="28"/>
      <c r="CM903" s="28"/>
      <c r="CN903" s="28"/>
      <c r="CO903" s="28"/>
      <c r="CP903" s="28"/>
      <c r="CQ903" s="28"/>
      <c r="CR903" s="28"/>
      <c r="CS903" s="28"/>
      <c r="CT903" s="28"/>
      <c r="CU903" s="28"/>
      <c r="CV903" s="28"/>
      <c r="CW903" s="28"/>
    </row>
    <row r="904" spans="1:101" ht="14.25" customHeight="1" x14ac:dyDescent="0.2">
      <c r="A904" s="328"/>
      <c r="B904" s="52">
        <v>0.16332047412759199</v>
      </c>
      <c r="C904" s="330">
        <v>0.2431409960382907</v>
      </c>
      <c r="D904" s="330">
        <v>1.5112406099804243E-2</v>
      </c>
      <c r="E904" s="330">
        <v>1.1963055235404555E-2</v>
      </c>
      <c r="F904" s="331">
        <v>0.81141127934753143</v>
      </c>
      <c r="G904" s="94">
        <v>0.38079995872553335</v>
      </c>
      <c r="H904" s="330">
        <v>0.13421409797323683</v>
      </c>
      <c r="I904" s="330">
        <v>6.7266686813824634E-3</v>
      </c>
      <c r="J904" s="330">
        <v>0.99978497949736622</v>
      </c>
      <c r="K904" s="330">
        <v>0.7236154356871578</v>
      </c>
      <c r="L904" s="332">
        <v>11219.722598906792</v>
      </c>
      <c r="M904" s="330">
        <v>0</v>
      </c>
      <c r="N904" s="330">
        <v>19163.05585248514</v>
      </c>
      <c r="O904" s="330">
        <v>912.03682668256067</v>
      </c>
      <c r="P904" s="330">
        <v>34819.388719802693</v>
      </c>
      <c r="Q904" s="333">
        <v>98485.399023714985</v>
      </c>
      <c r="R904" s="330">
        <v>25046.128110540169</v>
      </c>
      <c r="S904" s="330">
        <v>6998.8102304577524</v>
      </c>
      <c r="T904" s="332">
        <v>0.86391629764587263</v>
      </c>
      <c r="U904" s="330">
        <v>0.8322892982461304</v>
      </c>
      <c r="V904" s="330">
        <v>0.63791398214567296</v>
      </c>
      <c r="W904" s="330">
        <v>0.96290704745069744</v>
      </c>
      <c r="X904" s="330">
        <v>0.96897921482876204</v>
      </c>
      <c r="Y904" s="330">
        <v>0</v>
      </c>
      <c r="Z904" s="331">
        <v>0</v>
      </c>
      <c r="AA904" s="235"/>
      <c r="AB904" s="335">
        <v>73549.66319904897</v>
      </c>
      <c r="AC904" s="336">
        <v>5.0717248291613863</v>
      </c>
      <c r="AD904" s="337">
        <v>56372.639740677478</v>
      </c>
      <c r="AE904" s="336">
        <v>4.2888843309058888</v>
      </c>
      <c r="AF904" s="337">
        <v>17177.023458371492</v>
      </c>
      <c r="AG904" s="338">
        <v>0.78284049825549751</v>
      </c>
      <c r="AH904" s="235"/>
      <c r="AI904" s="208">
        <f t="shared" si="96"/>
        <v>4744588.924504268</v>
      </c>
      <c r="AJ904" s="208">
        <f t="shared" si="97"/>
        <v>4018067.4746199166</v>
      </c>
      <c r="AK904" s="208">
        <f t="shared" si="98"/>
        <v>726521.44988435111</v>
      </c>
      <c r="AL904" s="235"/>
      <c r="AM904" s="52">
        <f t="shared" si="86"/>
        <v>1</v>
      </c>
      <c r="AN904" s="52">
        <f t="shared" si="87"/>
        <v>0</v>
      </c>
      <c r="AO904" s="52">
        <f t="shared" si="88"/>
        <v>1</v>
      </c>
      <c r="AP904" s="235"/>
      <c r="AQ904" s="28"/>
      <c r="AR904" s="28"/>
      <c r="AS904" s="28"/>
      <c r="AT904" s="28"/>
      <c r="AU904" s="235"/>
      <c r="AV904" s="360">
        <f t="shared" si="99"/>
        <v>4744588.924504268</v>
      </c>
      <c r="AW904" s="235"/>
      <c r="AX904" s="355"/>
      <c r="AY904" s="344"/>
      <c r="AZ904" s="14">
        <f t="shared" si="101"/>
        <v>17177.023458371492</v>
      </c>
      <c r="BA904" s="14">
        <f t="shared" si="100"/>
        <v>0.78284049825549751</v>
      </c>
      <c r="BB904" s="14">
        <f t="shared" si="89"/>
        <v>21941.919837628771</v>
      </c>
      <c r="BC904" s="344"/>
      <c r="BD904" s="344"/>
      <c r="BE904" s="344"/>
      <c r="BF904" s="344"/>
      <c r="BG904" s="344"/>
      <c r="BH904" s="344"/>
      <c r="BI904" s="344"/>
      <c r="BJ904" s="344"/>
      <c r="BK904" s="344"/>
      <c r="BL904" s="344"/>
      <c r="BM904" s="344"/>
      <c r="BN904" s="344"/>
      <c r="BO904" s="344"/>
      <c r="BP904" s="344"/>
      <c r="BQ904" s="344"/>
      <c r="BR904" s="344"/>
      <c r="BS904" s="344"/>
      <c r="BT904" s="344"/>
      <c r="BU904" s="344"/>
      <c r="BV904" s="344"/>
      <c r="BW904" s="344"/>
      <c r="BX904" s="344"/>
      <c r="BY904" s="344"/>
      <c r="BZ904" s="344"/>
      <c r="CA904" s="344"/>
      <c r="CB904" s="28"/>
      <c r="CC904" s="28"/>
      <c r="CD904" s="28"/>
      <c r="CE904" s="28"/>
      <c r="CF904" s="28"/>
      <c r="CG904" s="28"/>
      <c r="CH904" s="28"/>
      <c r="CI904" s="28"/>
      <c r="CJ904" s="28"/>
      <c r="CK904" s="28"/>
      <c r="CL904" s="28"/>
      <c r="CM904" s="28"/>
      <c r="CN904" s="28"/>
      <c r="CO904" s="28"/>
      <c r="CP904" s="28"/>
      <c r="CQ904" s="28"/>
      <c r="CR904" s="28"/>
      <c r="CS904" s="28"/>
      <c r="CT904" s="28"/>
      <c r="CU904" s="28"/>
      <c r="CV904" s="28"/>
      <c r="CW904" s="28"/>
    </row>
    <row r="905" spans="1:101" ht="14.25" customHeight="1" x14ac:dyDescent="0.2">
      <c r="A905" s="328"/>
      <c r="B905" s="52">
        <v>0.20101345870594067</v>
      </c>
      <c r="C905" s="330">
        <v>0.64461405621597012</v>
      </c>
      <c r="D905" s="330">
        <v>1.2985472484803633E-2</v>
      </c>
      <c r="E905" s="330">
        <v>1.1291087605686199E-2</v>
      </c>
      <c r="F905" s="331">
        <v>0.78147678514426389</v>
      </c>
      <c r="G905" s="94">
        <v>0.37670899912379185</v>
      </c>
      <c r="H905" s="330">
        <v>0.91800775626450437</v>
      </c>
      <c r="I905" s="330">
        <v>9.8421818607433969E-3</v>
      </c>
      <c r="J905" s="330">
        <v>0.99999320716805751</v>
      </c>
      <c r="K905" s="330">
        <v>0.76247796895441644</v>
      </c>
      <c r="L905" s="332">
        <v>10614.63224571797</v>
      </c>
      <c r="M905" s="330">
        <v>0</v>
      </c>
      <c r="N905" s="330">
        <v>15845.192814522779</v>
      </c>
      <c r="O905" s="330">
        <v>700.20190409565885</v>
      </c>
      <c r="P905" s="330">
        <v>46987.480603951197</v>
      </c>
      <c r="Q905" s="333">
        <v>83816.562389009094</v>
      </c>
      <c r="R905" s="330">
        <v>23424.631330219025</v>
      </c>
      <c r="S905" s="330">
        <v>8027.1822203196334</v>
      </c>
      <c r="T905" s="332">
        <v>0.99996248969523038</v>
      </c>
      <c r="U905" s="330">
        <v>0.9881488083998482</v>
      </c>
      <c r="V905" s="330">
        <v>0.98560802593290564</v>
      </c>
      <c r="W905" s="330">
        <v>0.83412934185516019</v>
      </c>
      <c r="X905" s="330">
        <v>0.98154778883420146</v>
      </c>
      <c r="Y905" s="330">
        <v>0</v>
      </c>
      <c r="Z905" s="331">
        <v>0</v>
      </c>
      <c r="AA905" s="235"/>
      <c r="AB905" s="335">
        <v>81328.909754136635</v>
      </c>
      <c r="AC905" s="336">
        <v>5.0196200687171642</v>
      </c>
      <c r="AD905" s="337">
        <v>74565.529870671264</v>
      </c>
      <c r="AE905" s="336">
        <v>4.8899380352777806</v>
      </c>
      <c r="AF905" s="337">
        <v>6763.3798834653717</v>
      </c>
      <c r="AG905" s="338">
        <v>0.12968203343938356</v>
      </c>
      <c r="AH905" s="235"/>
      <c r="AI905" s="208">
        <f t="shared" si="96"/>
        <v>4687310.1555271698</v>
      </c>
      <c r="AJ905" s="208">
        <f t="shared" si="97"/>
        <v>4570875.6036432199</v>
      </c>
      <c r="AK905" s="208">
        <f t="shared" si="98"/>
        <v>116434.55188394901</v>
      </c>
      <c r="AL905" s="235"/>
      <c r="AM905" s="52">
        <f t="shared" si="86"/>
        <v>1</v>
      </c>
      <c r="AN905" s="52">
        <f t="shared" si="87"/>
        <v>0</v>
      </c>
      <c r="AO905" s="52">
        <f t="shared" si="88"/>
        <v>1</v>
      </c>
      <c r="AP905" s="235"/>
      <c r="AQ905" s="28"/>
      <c r="AR905" s="28"/>
      <c r="AS905" s="28"/>
      <c r="AT905" s="28"/>
      <c r="AU905" s="235"/>
      <c r="AV905" s="360">
        <f t="shared" si="99"/>
        <v>4687310.1555271698</v>
      </c>
      <c r="AW905" s="235"/>
      <c r="AX905" s="355"/>
      <c r="AY905" s="344"/>
      <c r="AZ905" s="14">
        <f t="shared" si="101"/>
        <v>6763.3798834653717</v>
      </c>
      <c r="BA905" s="14">
        <f t="shared" si="100"/>
        <v>0.12968203343938356</v>
      </c>
      <c r="BB905" s="14">
        <f t="shared" si="89"/>
        <v>52153.561322947135</v>
      </c>
      <c r="BC905" s="344"/>
      <c r="BD905" s="344"/>
      <c r="BE905" s="344"/>
      <c r="BF905" s="344"/>
      <c r="BG905" s="344"/>
      <c r="BH905" s="344"/>
      <c r="BI905" s="344"/>
      <c r="BJ905" s="344"/>
      <c r="BK905" s="344"/>
      <c r="BL905" s="344"/>
      <c r="BM905" s="344"/>
      <c r="BN905" s="344"/>
      <c r="BO905" s="344"/>
      <c r="BP905" s="344"/>
      <c r="BQ905" s="344"/>
      <c r="BR905" s="344"/>
      <c r="BS905" s="344"/>
      <c r="BT905" s="344"/>
      <c r="BU905" s="344"/>
      <c r="BV905" s="344"/>
      <c r="BW905" s="344"/>
      <c r="BX905" s="344"/>
      <c r="BY905" s="344"/>
      <c r="BZ905" s="344"/>
      <c r="CA905" s="344"/>
      <c r="CB905" s="28"/>
      <c r="CC905" s="28"/>
      <c r="CD905" s="28"/>
      <c r="CE905" s="28"/>
      <c r="CF905" s="28"/>
      <c r="CG905" s="28"/>
      <c r="CH905" s="28"/>
      <c r="CI905" s="28"/>
      <c r="CJ905" s="28"/>
      <c r="CK905" s="28"/>
      <c r="CL905" s="28"/>
      <c r="CM905" s="28"/>
      <c r="CN905" s="28"/>
      <c r="CO905" s="28"/>
      <c r="CP905" s="28"/>
      <c r="CQ905" s="28"/>
      <c r="CR905" s="28"/>
      <c r="CS905" s="28"/>
      <c r="CT905" s="28"/>
      <c r="CU905" s="28"/>
      <c r="CV905" s="28"/>
      <c r="CW905" s="28"/>
    </row>
    <row r="906" spans="1:101" ht="14.25" customHeight="1" x14ac:dyDescent="0.2">
      <c r="A906" s="328"/>
      <c r="B906" s="52">
        <v>0.15611501919691612</v>
      </c>
      <c r="C906" s="330">
        <v>0.16254938089145565</v>
      </c>
      <c r="D906" s="330">
        <v>1.0802538654522213E-2</v>
      </c>
      <c r="E906" s="330">
        <v>9.8122566248147816E-3</v>
      </c>
      <c r="F906" s="331">
        <v>0.7455097586984224</v>
      </c>
      <c r="G906" s="94">
        <v>0.37241819271708121</v>
      </c>
      <c r="H906" s="330">
        <v>0.42250744064137213</v>
      </c>
      <c r="I906" s="330">
        <v>3.7030943546394135E-2</v>
      </c>
      <c r="J906" s="330">
        <v>0.99999868240861256</v>
      </c>
      <c r="K906" s="330">
        <v>0.79201018277979529</v>
      </c>
      <c r="L906" s="332">
        <v>8213.7170042717389</v>
      </c>
      <c r="M906" s="330">
        <v>0</v>
      </c>
      <c r="N906" s="330">
        <v>27102.007724566112</v>
      </c>
      <c r="O906" s="330">
        <v>1584.1025950579369</v>
      </c>
      <c r="P906" s="330">
        <v>44314.144328277791</v>
      </c>
      <c r="Q906" s="333">
        <v>91030.454318527511</v>
      </c>
      <c r="R906" s="330">
        <v>16428.620504639999</v>
      </c>
      <c r="S906" s="330">
        <v>7936.2308103539444</v>
      </c>
      <c r="T906" s="332">
        <v>0.7850384560505328</v>
      </c>
      <c r="U906" s="330">
        <v>0.99984518708554582</v>
      </c>
      <c r="V906" s="330">
        <v>0.99997504865997522</v>
      </c>
      <c r="W906" s="330">
        <v>0.258389714071107</v>
      </c>
      <c r="X906" s="330">
        <v>0.79822035702272198</v>
      </c>
      <c r="Y906" s="330">
        <v>0</v>
      </c>
      <c r="Z906" s="331">
        <v>0</v>
      </c>
      <c r="AA906" s="235"/>
      <c r="AB906" s="335">
        <v>72524.349920926645</v>
      </c>
      <c r="AC906" s="336">
        <v>3.7028578397637446</v>
      </c>
      <c r="AD906" s="337">
        <v>72808.350197717911</v>
      </c>
      <c r="AE906" s="336">
        <v>4.1793804710881144</v>
      </c>
      <c r="AF906" s="337">
        <v>-284.00027679126651</v>
      </c>
      <c r="AG906" s="338">
        <v>-0.47652263132436978</v>
      </c>
      <c r="AH906" s="235"/>
      <c r="AI906" s="208">
        <f t="shared" si="96"/>
        <v>3445190.5978546306</v>
      </c>
      <c r="AJ906" s="208">
        <f t="shared" si="97"/>
        <v>3897603.0973359905</v>
      </c>
      <c r="AK906" s="208">
        <f t="shared" si="98"/>
        <v>-452412.49948136002</v>
      </c>
      <c r="AL906" s="235"/>
      <c r="AM906" s="52">
        <f t="shared" si="86"/>
        <v>0</v>
      </c>
      <c r="AN906" s="52">
        <f t="shared" si="87"/>
        <v>1</v>
      </c>
      <c r="AO906" s="52">
        <f t="shared" si="88"/>
        <v>0</v>
      </c>
      <c r="AP906" s="235"/>
      <c r="AQ906" s="28"/>
      <c r="AR906" s="28"/>
      <c r="AS906" s="28"/>
      <c r="AT906" s="28"/>
      <c r="AU906" s="235"/>
      <c r="AV906" s="360">
        <f t="shared" si="99"/>
        <v>3897603.0973359905</v>
      </c>
      <c r="AW906" s="235"/>
      <c r="AX906" s="355"/>
      <c r="AY906" s="344"/>
      <c r="AZ906" s="14">
        <f t="shared" si="101"/>
        <v>-284.00027679126651</v>
      </c>
      <c r="BA906" s="14">
        <f t="shared" si="100"/>
        <v>-0.47652263132436978</v>
      </c>
      <c r="BB906" s="14">
        <f t="shared" si="89"/>
        <v>595.98486645211824</v>
      </c>
      <c r="BC906" s="344"/>
      <c r="BD906" s="344"/>
      <c r="BE906" s="344"/>
      <c r="BF906" s="344"/>
      <c r="BG906" s="344"/>
      <c r="BH906" s="344"/>
      <c r="BI906" s="344"/>
      <c r="BJ906" s="344"/>
      <c r="BK906" s="344"/>
      <c r="BL906" s="344"/>
      <c r="BM906" s="344"/>
      <c r="BN906" s="344"/>
      <c r="BO906" s="344"/>
      <c r="BP906" s="344"/>
      <c r="BQ906" s="344"/>
      <c r="BR906" s="344"/>
      <c r="BS906" s="344"/>
      <c r="BT906" s="344"/>
      <c r="BU906" s="344"/>
      <c r="BV906" s="344"/>
      <c r="BW906" s="344"/>
      <c r="BX906" s="344"/>
      <c r="BY906" s="344"/>
      <c r="BZ906" s="344"/>
      <c r="CA906" s="344"/>
      <c r="CB906" s="28"/>
      <c r="CC906" s="28"/>
      <c r="CD906" s="28"/>
      <c r="CE906" s="28"/>
      <c r="CF906" s="28"/>
      <c r="CG906" s="28"/>
      <c r="CH906" s="28"/>
      <c r="CI906" s="28"/>
      <c r="CJ906" s="28"/>
      <c r="CK906" s="28"/>
      <c r="CL906" s="28"/>
      <c r="CM906" s="28"/>
      <c r="CN906" s="28"/>
      <c r="CO906" s="28"/>
      <c r="CP906" s="28"/>
      <c r="CQ906" s="28"/>
      <c r="CR906" s="28"/>
      <c r="CS906" s="28"/>
      <c r="CT906" s="28"/>
      <c r="CU906" s="28"/>
      <c r="CV906" s="28"/>
      <c r="CW906" s="28"/>
    </row>
    <row r="907" spans="1:101" ht="14.25" customHeight="1" x14ac:dyDescent="0.2">
      <c r="A907" s="328"/>
      <c r="B907" s="52">
        <v>0.15800411481696572</v>
      </c>
      <c r="C907" s="330">
        <v>0.79308083781026439</v>
      </c>
      <c r="D907" s="330">
        <v>1.6431627422898942E-2</v>
      </c>
      <c r="E907" s="330">
        <v>3.2757413518244571E-2</v>
      </c>
      <c r="F907" s="331">
        <v>0.76109389016777818</v>
      </c>
      <c r="G907" s="94">
        <v>0.38210392057370163</v>
      </c>
      <c r="H907" s="330">
        <v>0.87662147747278585</v>
      </c>
      <c r="I907" s="330">
        <v>8.4338116114749551E-3</v>
      </c>
      <c r="J907" s="330">
        <v>0.99999999958760744</v>
      </c>
      <c r="K907" s="330">
        <v>0.71832970184618006</v>
      </c>
      <c r="L907" s="332">
        <v>13223.626808791621</v>
      </c>
      <c r="M907" s="330">
        <v>0</v>
      </c>
      <c r="N907" s="330">
        <v>17620.920676701058</v>
      </c>
      <c r="O907" s="330">
        <v>1199.5808809900154</v>
      </c>
      <c r="P907" s="330">
        <v>46872.2950611946</v>
      </c>
      <c r="Q907" s="333">
        <v>77046.711171859526</v>
      </c>
      <c r="R907" s="330">
        <v>16924.088402564765</v>
      </c>
      <c r="S907" s="330">
        <v>8782.4047723324693</v>
      </c>
      <c r="T907" s="332">
        <v>0.99921538236608831</v>
      </c>
      <c r="U907" s="330">
        <v>0.99972735043989924</v>
      </c>
      <c r="V907" s="330">
        <v>0.89906928150693965</v>
      </c>
      <c r="W907" s="330">
        <v>0.97216262506614437</v>
      </c>
      <c r="X907" s="330">
        <v>0.16739242224092751</v>
      </c>
      <c r="Y907" s="330">
        <v>0</v>
      </c>
      <c r="Z907" s="331">
        <v>0</v>
      </c>
      <c r="AA907" s="235"/>
      <c r="AB907" s="335">
        <v>87469.509775196871</v>
      </c>
      <c r="AC907" s="336">
        <v>0.87478296768842545</v>
      </c>
      <c r="AD907" s="337">
        <v>74278.548083497823</v>
      </c>
      <c r="AE907" s="336">
        <v>0.77496203002338959</v>
      </c>
      <c r="AF907" s="337">
        <v>13190.961691699049</v>
      </c>
      <c r="AG907" s="338">
        <v>9.9820937665035858E-2</v>
      </c>
      <c r="AH907" s="235"/>
      <c r="AI907" s="208">
        <f t="shared" si="96"/>
        <v>743574.30952880729</v>
      </c>
      <c r="AJ907" s="208">
        <f t="shared" si="97"/>
        <v>661935.38043872232</v>
      </c>
      <c r="AK907" s="208">
        <f t="shared" si="98"/>
        <v>81638.929090085017</v>
      </c>
      <c r="AL907" s="235"/>
      <c r="AM907" s="52">
        <f t="shared" si="86"/>
        <v>1</v>
      </c>
      <c r="AN907" s="52">
        <f t="shared" si="87"/>
        <v>0</v>
      </c>
      <c r="AO907" s="52">
        <f t="shared" si="88"/>
        <v>1</v>
      </c>
      <c r="AP907" s="235"/>
      <c r="AQ907" s="28"/>
      <c r="AR907" s="28"/>
      <c r="AS907" s="28"/>
      <c r="AT907" s="28"/>
      <c r="AU907" s="235"/>
      <c r="AV907" s="360">
        <f t="shared" si="99"/>
        <v>743574.30952880729</v>
      </c>
      <c r="AW907" s="235"/>
      <c r="AX907" s="355"/>
      <c r="AY907" s="344"/>
      <c r="AZ907" s="14">
        <f t="shared" si="101"/>
        <v>13190.961691699049</v>
      </c>
      <c r="BA907" s="14">
        <f t="shared" si="100"/>
        <v>9.9820937665035858E-2</v>
      </c>
      <c r="BB907" s="14">
        <f t="shared" si="89"/>
        <v>132146.2410618031</v>
      </c>
      <c r="BC907" s="344"/>
      <c r="BD907" s="344"/>
      <c r="BE907" s="344"/>
      <c r="BF907" s="344"/>
      <c r="BG907" s="344"/>
      <c r="BH907" s="344"/>
      <c r="BI907" s="344"/>
      <c r="BJ907" s="344"/>
      <c r="BK907" s="344"/>
      <c r="BL907" s="344"/>
      <c r="BM907" s="344"/>
      <c r="BN907" s="344"/>
      <c r="BO907" s="344"/>
      <c r="BP907" s="344"/>
      <c r="BQ907" s="344"/>
      <c r="BR907" s="344"/>
      <c r="BS907" s="344"/>
      <c r="BT907" s="344"/>
      <c r="BU907" s="344"/>
      <c r="BV907" s="344"/>
      <c r="BW907" s="344"/>
      <c r="BX907" s="344"/>
      <c r="BY907" s="344"/>
      <c r="BZ907" s="344"/>
      <c r="CA907" s="344"/>
      <c r="CB907" s="28"/>
      <c r="CC907" s="28"/>
      <c r="CD907" s="28"/>
      <c r="CE907" s="28"/>
      <c r="CF907" s="28"/>
      <c r="CG907" s="28"/>
      <c r="CH907" s="28"/>
      <c r="CI907" s="28"/>
      <c r="CJ907" s="28"/>
      <c r="CK907" s="28"/>
      <c r="CL907" s="28"/>
      <c r="CM907" s="28"/>
      <c r="CN907" s="28"/>
      <c r="CO907" s="28"/>
      <c r="CP907" s="28"/>
      <c r="CQ907" s="28"/>
      <c r="CR907" s="28"/>
      <c r="CS907" s="28"/>
      <c r="CT907" s="28"/>
      <c r="CU907" s="28"/>
      <c r="CV907" s="28"/>
      <c r="CW907" s="28"/>
    </row>
    <row r="908" spans="1:101" ht="14.25" customHeight="1" x14ac:dyDescent="0.2">
      <c r="A908" s="328"/>
      <c r="B908" s="52">
        <v>0.17301629246995387</v>
      </c>
      <c r="C908" s="330">
        <v>0.8559609280633157</v>
      </c>
      <c r="D908" s="330">
        <v>1.6886970427886783E-2</v>
      </c>
      <c r="E908" s="330">
        <v>1.5955081003190208E-2</v>
      </c>
      <c r="F908" s="331">
        <v>0.76148760140783689</v>
      </c>
      <c r="G908" s="94">
        <v>0.4564423496955089</v>
      </c>
      <c r="H908" s="330">
        <v>0.37622986513156476</v>
      </c>
      <c r="I908" s="330">
        <v>2.1990153211136731E-2</v>
      </c>
      <c r="J908" s="330">
        <v>0.9999999983413832</v>
      </c>
      <c r="K908" s="330">
        <v>0.67717582175905977</v>
      </c>
      <c r="L908" s="332">
        <v>9365.0142698265063</v>
      </c>
      <c r="M908" s="330">
        <v>0</v>
      </c>
      <c r="N908" s="330">
        <v>20592.046162943847</v>
      </c>
      <c r="O908" s="330">
        <v>1141.0432518946718</v>
      </c>
      <c r="P908" s="330">
        <v>40551.131135055599</v>
      </c>
      <c r="Q908" s="333">
        <v>133695.40014131879</v>
      </c>
      <c r="R908" s="330">
        <v>26023.849678411916</v>
      </c>
      <c r="S908" s="330">
        <v>11130.640853265219</v>
      </c>
      <c r="T908" s="332">
        <v>0.90263739415807076</v>
      </c>
      <c r="U908" s="330">
        <v>0.99424606813867733</v>
      </c>
      <c r="V908" s="330">
        <v>0.9671758788873237</v>
      </c>
      <c r="W908" s="330">
        <v>0.85326938559509757</v>
      </c>
      <c r="X908" s="330">
        <v>0.80821668777232625</v>
      </c>
      <c r="Y908" s="330">
        <v>0</v>
      </c>
      <c r="Z908" s="331">
        <v>0</v>
      </c>
      <c r="AA908" s="235"/>
      <c r="AB908" s="335">
        <v>104766.16412724528</v>
      </c>
      <c r="AC908" s="336">
        <v>4.2063842391838575</v>
      </c>
      <c r="AD908" s="337">
        <v>87956.366729189846</v>
      </c>
      <c r="AE908" s="336">
        <v>3.4909189205277036</v>
      </c>
      <c r="AF908" s="337">
        <v>16809.797398055438</v>
      </c>
      <c r="AG908" s="338">
        <v>0.71546531865615393</v>
      </c>
      <c r="AH908" s="235"/>
      <c r="AI908" s="208">
        <f t="shared" si="96"/>
        <v>3891298.8630974195</v>
      </c>
      <c r="AJ908" s="208">
        <f t="shared" si="97"/>
        <v>3228416.6077721287</v>
      </c>
      <c r="AK908" s="208">
        <f t="shared" si="98"/>
        <v>662882.25532529084</v>
      </c>
      <c r="AL908" s="235"/>
      <c r="AM908" s="52">
        <f t="shared" si="86"/>
        <v>1</v>
      </c>
      <c r="AN908" s="52">
        <f t="shared" si="87"/>
        <v>0</v>
      </c>
      <c r="AO908" s="52">
        <f t="shared" si="88"/>
        <v>1</v>
      </c>
      <c r="AP908" s="235"/>
      <c r="AQ908" s="28"/>
      <c r="AR908" s="28"/>
      <c r="AS908" s="28"/>
      <c r="AT908" s="28"/>
      <c r="AU908" s="235"/>
      <c r="AV908" s="360">
        <f t="shared" si="99"/>
        <v>3891298.8630974195</v>
      </c>
      <c r="AW908" s="235"/>
      <c r="AX908" s="355"/>
      <c r="AY908" s="344"/>
      <c r="AZ908" s="14">
        <f t="shared" si="101"/>
        <v>16809.797398055438</v>
      </c>
      <c r="BA908" s="14">
        <f t="shared" si="100"/>
        <v>0.71546531865615393</v>
      </c>
      <c r="BB908" s="14">
        <f t="shared" si="89"/>
        <v>23494.915769822343</v>
      </c>
      <c r="BC908" s="344"/>
      <c r="BD908" s="344"/>
      <c r="BE908" s="344"/>
      <c r="BF908" s="344"/>
      <c r="BG908" s="344"/>
      <c r="BH908" s="344"/>
      <c r="BI908" s="344"/>
      <c r="BJ908" s="344"/>
      <c r="BK908" s="344"/>
      <c r="BL908" s="344"/>
      <c r="BM908" s="344"/>
      <c r="BN908" s="344"/>
      <c r="BO908" s="344"/>
      <c r="BP908" s="344"/>
      <c r="BQ908" s="344"/>
      <c r="BR908" s="344"/>
      <c r="BS908" s="344"/>
      <c r="BT908" s="344"/>
      <c r="BU908" s="344"/>
      <c r="BV908" s="344"/>
      <c r="BW908" s="344"/>
      <c r="BX908" s="344"/>
      <c r="BY908" s="344"/>
      <c r="BZ908" s="344"/>
      <c r="CA908" s="344"/>
      <c r="CB908" s="28"/>
      <c r="CC908" s="28"/>
      <c r="CD908" s="28"/>
      <c r="CE908" s="28"/>
      <c r="CF908" s="28"/>
      <c r="CG908" s="28"/>
      <c r="CH908" s="28"/>
      <c r="CI908" s="28"/>
      <c r="CJ908" s="28"/>
      <c r="CK908" s="28"/>
      <c r="CL908" s="28"/>
      <c r="CM908" s="28"/>
      <c r="CN908" s="28"/>
      <c r="CO908" s="28"/>
      <c r="CP908" s="28"/>
      <c r="CQ908" s="28"/>
      <c r="CR908" s="28"/>
      <c r="CS908" s="28"/>
      <c r="CT908" s="28"/>
      <c r="CU908" s="28"/>
      <c r="CV908" s="28"/>
      <c r="CW908" s="28"/>
    </row>
    <row r="909" spans="1:101" ht="14.25" customHeight="1" x14ac:dyDescent="0.2">
      <c r="A909" s="328"/>
      <c r="B909" s="52">
        <v>0.15376408269496705</v>
      </c>
      <c r="C909" s="330">
        <v>0.13662554844767463</v>
      </c>
      <c r="D909" s="330">
        <v>4.0732560351835922E-2</v>
      </c>
      <c r="E909" s="330">
        <v>2.324615371629446E-2</v>
      </c>
      <c r="F909" s="331">
        <v>0.81342351755109821</v>
      </c>
      <c r="G909" s="94">
        <v>0.34039914849823205</v>
      </c>
      <c r="H909" s="330">
        <v>0.98735223481199341</v>
      </c>
      <c r="I909" s="330">
        <v>6.9547564890962889E-3</v>
      </c>
      <c r="J909" s="330">
        <v>0.99997503747032512</v>
      </c>
      <c r="K909" s="330">
        <v>0.75634712120907399</v>
      </c>
      <c r="L909" s="332">
        <v>15352.24430967067</v>
      </c>
      <c r="M909" s="330">
        <v>0</v>
      </c>
      <c r="N909" s="330">
        <v>28001.580095092973</v>
      </c>
      <c r="O909" s="330">
        <v>1130.1556867774514</v>
      </c>
      <c r="P909" s="330">
        <v>38244.390837976127</v>
      </c>
      <c r="Q909" s="333">
        <v>142405.47986109843</v>
      </c>
      <c r="R909" s="330">
        <v>20392.362074622135</v>
      </c>
      <c r="S909" s="330">
        <v>8896.981225188325</v>
      </c>
      <c r="T909" s="332">
        <v>0.99999982736732806</v>
      </c>
      <c r="U909" s="330">
        <v>0.76999914917123324</v>
      </c>
      <c r="V909" s="330">
        <v>0.26275043824927546</v>
      </c>
      <c r="W909" s="330">
        <v>0.99995013465934046</v>
      </c>
      <c r="X909" s="330">
        <v>0.45881390057631338</v>
      </c>
      <c r="Y909" s="330">
        <v>0</v>
      </c>
      <c r="Z909" s="331">
        <v>0</v>
      </c>
      <c r="AA909" s="235"/>
      <c r="AB909" s="335">
        <v>94518.054706159237</v>
      </c>
      <c r="AC909" s="336">
        <v>2.4058569809752735</v>
      </c>
      <c r="AD909" s="337">
        <v>79904.00485846278</v>
      </c>
      <c r="AE909" s="336">
        <v>2.3571180733128152</v>
      </c>
      <c r="AF909" s="337">
        <v>14614.049847696457</v>
      </c>
      <c r="AG909" s="338">
        <v>4.8738907662458253E-2</v>
      </c>
      <c r="AH909" s="235"/>
      <c r="AI909" s="208">
        <f t="shared" si="96"/>
        <v>2191046.0772203505</v>
      </c>
      <c r="AJ909" s="208">
        <f t="shared" si="97"/>
        <v>2159358.1647887118</v>
      </c>
      <c r="AK909" s="208">
        <f t="shared" si="98"/>
        <v>31687.912431638884</v>
      </c>
      <c r="AL909" s="235"/>
      <c r="AM909" s="52">
        <f t="shared" si="86"/>
        <v>1</v>
      </c>
      <c r="AN909" s="52">
        <f t="shared" si="87"/>
        <v>0</v>
      </c>
      <c r="AO909" s="52">
        <f t="shared" si="88"/>
        <v>1</v>
      </c>
      <c r="AP909" s="235"/>
      <c r="AQ909" s="28"/>
      <c r="AR909" s="28"/>
      <c r="AS909" s="28"/>
      <c r="AT909" s="28"/>
      <c r="AU909" s="235"/>
      <c r="AV909" s="360">
        <f t="shared" si="99"/>
        <v>2191046.0772203505</v>
      </c>
      <c r="AW909" s="235"/>
      <c r="AX909" s="355"/>
      <c r="AY909" s="344"/>
      <c r="AZ909" s="14">
        <f t="shared" si="101"/>
        <v>14614.049847696457</v>
      </c>
      <c r="BA909" s="14">
        <f t="shared" si="100"/>
        <v>4.8738907662458253E-2</v>
      </c>
      <c r="BB909" s="14">
        <f t="shared" si="89"/>
        <v>299843.60644490004</v>
      </c>
      <c r="BC909" s="344"/>
      <c r="BD909" s="344"/>
      <c r="BE909" s="344"/>
      <c r="BF909" s="344"/>
      <c r="BG909" s="344"/>
      <c r="BH909" s="344"/>
      <c r="BI909" s="344"/>
      <c r="BJ909" s="344"/>
      <c r="BK909" s="344"/>
      <c r="BL909" s="344"/>
      <c r="BM909" s="344"/>
      <c r="BN909" s="344"/>
      <c r="BO909" s="344"/>
      <c r="BP909" s="344"/>
      <c r="BQ909" s="344"/>
      <c r="BR909" s="344"/>
      <c r="BS909" s="344"/>
      <c r="BT909" s="344"/>
      <c r="BU909" s="344"/>
      <c r="BV909" s="344"/>
      <c r="BW909" s="344"/>
      <c r="BX909" s="344"/>
      <c r="BY909" s="344"/>
      <c r="BZ909" s="344"/>
      <c r="CA909" s="344"/>
      <c r="CB909" s="28"/>
      <c r="CC909" s="28"/>
      <c r="CD909" s="28"/>
      <c r="CE909" s="28"/>
      <c r="CF909" s="28"/>
      <c r="CG909" s="28"/>
      <c r="CH909" s="28"/>
      <c r="CI909" s="28"/>
      <c r="CJ909" s="28"/>
      <c r="CK909" s="28"/>
      <c r="CL909" s="28"/>
      <c r="CM909" s="28"/>
      <c r="CN909" s="28"/>
      <c r="CO909" s="28"/>
      <c r="CP909" s="28"/>
      <c r="CQ909" s="28"/>
      <c r="CR909" s="28"/>
      <c r="CS909" s="28"/>
      <c r="CT909" s="28"/>
      <c r="CU909" s="28"/>
      <c r="CV909" s="28"/>
      <c r="CW909" s="28"/>
    </row>
    <row r="910" spans="1:101" ht="14.25" customHeight="1" x14ac:dyDescent="0.2">
      <c r="A910" s="328"/>
      <c r="B910" s="52">
        <v>0.1391466707927462</v>
      </c>
      <c r="C910" s="330">
        <v>1.2580200874531312E-2</v>
      </c>
      <c r="D910" s="330">
        <v>2.0122002773898306E-2</v>
      </c>
      <c r="E910" s="330">
        <v>1.4535283142837474E-2</v>
      </c>
      <c r="F910" s="331">
        <v>0.78618302490700309</v>
      </c>
      <c r="G910" s="94">
        <v>0.43268451077915171</v>
      </c>
      <c r="H910" s="330">
        <v>0.10890079882476125</v>
      </c>
      <c r="I910" s="330">
        <v>2.6436711627865872E-2</v>
      </c>
      <c r="J910" s="330">
        <v>0.99999999998739897</v>
      </c>
      <c r="K910" s="330">
        <v>0.76613206930515476</v>
      </c>
      <c r="L910" s="332">
        <v>11768.52925352286</v>
      </c>
      <c r="M910" s="330">
        <v>0</v>
      </c>
      <c r="N910" s="330">
        <v>17673.951543189112</v>
      </c>
      <c r="O910" s="330">
        <v>1214.9518425948743</v>
      </c>
      <c r="P910" s="330">
        <v>35308.450797714308</v>
      </c>
      <c r="Q910" s="333">
        <v>81258.190036470114</v>
      </c>
      <c r="R910" s="330">
        <v>30777.743242672361</v>
      </c>
      <c r="S910" s="330">
        <v>7800.3025814178336</v>
      </c>
      <c r="T910" s="332">
        <v>0.99667547946273083</v>
      </c>
      <c r="U910" s="330">
        <v>0.89378904261001768</v>
      </c>
      <c r="V910" s="330">
        <v>0.29881181135584178</v>
      </c>
      <c r="W910" s="330">
        <v>0.99926059132378198</v>
      </c>
      <c r="X910" s="330">
        <v>0.99876129256019386</v>
      </c>
      <c r="Y910" s="330">
        <v>0</v>
      </c>
      <c r="Z910" s="331">
        <v>0</v>
      </c>
      <c r="AA910" s="235"/>
      <c r="AB910" s="335">
        <v>78030.039154949467</v>
      </c>
      <c r="AC910" s="336">
        <v>4.7612760142070218</v>
      </c>
      <c r="AD910" s="337">
        <v>67608.066294131626</v>
      </c>
      <c r="AE910" s="336">
        <v>4.9128945460219287</v>
      </c>
      <c r="AF910" s="337">
        <v>10421.972860817841</v>
      </c>
      <c r="AG910" s="338">
        <v>-0.15161853181490681</v>
      </c>
      <c r="AH910" s="235"/>
      <c r="AI910" s="208">
        <f t="shared" ref="AI910:AI973" si="102">AC910*cRatio-AB910</f>
        <v>4445182.1743417215</v>
      </c>
      <c r="AJ910" s="208">
        <f t="shared" ref="AJ910:AJ973" si="103">AE910*cRatio-AD910</f>
        <v>4599641.7524267007</v>
      </c>
      <c r="AK910" s="208">
        <f t="shared" ref="AK910:AK973" si="104">AG910*cRatio-AF910</f>
        <v>-154459.57808497932</v>
      </c>
      <c r="AL910" s="235"/>
      <c r="AM910" s="52">
        <f t="shared" si="86"/>
        <v>0</v>
      </c>
      <c r="AN910" s="52">
        <f t="shared" si="87"/>
        <v>1</v>
      </c>
      <c r="AO910" s="52">
        <f t="shared" si="88"/>
        <v>0</v>
      </c>
      <c r="AP910" s="235"/>
      <c r="AQ910" s="28"/>
      <c r="AR910" s="28"/>
      <c r="AS910" s="28"/>
      <c r="AT910" s="28"/>
      <c r="AU910" s="235"/>
      <c r="AV910" s="360">
        <f t="shared" si="99"/>
        <v>4599641.7524267007</v>
      </c>
      <c r="AW910" s="235"/>
      <c r="AX910" s="355"/>
      <c r="AY910" s="344"/>
      <c r="AZ910" s="14">
        <f t="shared" si="101"/>
        <v>10421.972860817841</v>
      </c>
      <c r="BA910" s="14">
        <f t="shared" si="100"/>
        <v>-0.15161853181490681</v>
      </c>
      <c r="BB910" s="14">
        <f t="shared" si="89"/>
        <v>-68738.120176106167</v>
      </c>
      <c r="BC910" s="344"/>
      <c r="BD910" s="344"/>
      <c r="BE910" s="344"/>
      <c r="BF910" s="344"/>
      <c r="BG910" s="344"/>
      <c r="BH910" s="344"/>
      <c r="BI910" s="344"/>
      <c r="BJ910" s="344"/>
      <c r="BK910" s="344"/>
      <c r="BL910" s="344"/>
      <c r="BM910" s="344"/>
      <c r="BN910" s="344"/>
      <c r="BO910" s="344"/>
      <c r="BP910" s="344"/>
      <c r="BQ910" s="344"/>
      <c r="BR910" s="344"/>
      <c r="BS910" s="344"/>
      <c r="BT910" s="344"/>
      <c r="BU910" s="344"/>
      <c r="BV910" s="344"/>
      <c r="BW910" s="344"/>
      <c r="BX910" s="344"/>
      <c r="BY910" s="344"/>
      <c r="BZ910" s="344"/>
      <c r="CA910" s="344"/>
      <c r="CB910" s="28"/>
      <c r="CC910" s="28"/>
      <c r="CD910" s="28"/>
      <c r="CE910" s="28"/>
      <c r="CF910" s="28"/>
      <c r="CG910" s="28"/>
      <c r="CH910" s="28"/>
      <c r="CI910" s="28"/>
      <c r="CJ910" s="28"/>
      <c r="CK910" s="28"/>
      <c r="CL910" s="28"/>
      <c r="CM910" s="28"/>
      <c r="CN910" s="28"/>
      <c r="CO910" s="28"/>
      <c r="CP910" s="28"/>
      <c r="CQ910" s="28"/>
      <c r="CR910" s="28"/>
      <c r="CS910" s="28"/>
      <c r="CT910" s="28"/>
      <c r="CU910" s="28"/>
      <c r="CV910" s="28"/>
      <c r="CW910" s="28"/>
    </row>
    <row r="911" spans="1:101" ht="14.25" customHeight="1" x14ac:dyDescent="0.2">
      <c r="A911" s="328"/>
      <c r="B911" s="52">
        <v>0.17111657336453923</v>
      </c>
      <c r="C911" s="330">
        <v>0.89860490579731422</v>
      </c>
      <c r="D911" s="330">
        <v>2.5889326790766276E-2</v>
      </c>
      <c r="E911" s="330">
        <v>9.5626253503551511E-3</v>
      </c>
      <c r="F911" s="331">
        <v>0.82364100115024097</v>
      </c>
      <c r="G911" s="94">
        <v>0.33688897585074212</v>
      </c>
      <c r="H911" s="330">
        <v>0.75039735327749646</v>
      </c>
      <c r="I911" s="330">
        <v>8.5574764188586835E-3</v>
      </c>
      <c r="J911" s="330">
        <v>5.8323536619330055E-2</v>
      </c>
      <c r="K911" s="330">
        <v>0.7732489304070862</v>
      </c>
      <c r="L911" s="332">
        <v>9571.249069254909</v>
      </c>
      <c r="M911" s="330">
        <v>0</v>
      </c>
      <c r="N911" s="330">
        <v>24306.696964533774</v>
      </c>
      <c r="O911" s="330">
        <v>1617.44082392737</v>
      </c>
      <c r="P911" s="330">
        <v>44807.890327273533</v>
      </c>
      <c r="Q911" s="333">
        <v>111773.34168221211</v>
      </c>
      <c r="R911" s="330">
        <v>24617.667987446897</v>
      </c>
      <c r="S911" s="330">
        <v>7779.7138254683168</v>
      </c>
      <c r="T911" s="332">
        <v>0.99999967101354648</v>
      </c>
      <c r="U911" s="330">
        <v>0.67394610473149275</v>
      </c>
      <c r="V911" s="330">
        <v>0.54593102631318191</v>
      </c>
      <c r="W911" s="330">
        <v>0.98999375612065721</v>
      </c>
      <c r="X911" s="330">
        <v>0.68865348714023944</v>
      </c>
      <c r="Y911" s="330">
        <v>0</v>
      </c>
      <c r="Z911" s="331">
        <v>0</v>
      </c>
      <c r="AA911" s="235"/>
      <c r="AB911" s="335">
        <v>82893.896374272648</v>
      </c>
      <c r="AC911" s="336">
        <v>3.4291611794757832</v>
      </c>
      <c r="AD911" s="337">
        <v>71668.021428916734</v>
      </c>
      <c r="AE911" s="336">
        <v>3.3333244028698337</v>
      </c>
      <c r="AF911" s="337">
        <v>11225.874945355914</v>
      </c>
      <c r="AG911" s="338">
        <v>9.5836776605949581E-2</v>
      </c>
      <c r="AH911" s="235"/>
      <c r="AI911" s="208">
        <f t="shared" si="102"/>
        <v>3174809.2241277215</v>
      </c>
      <c r="AJ911" s="208">
        <f t="shared" si="103"/>
        <v>3094990.1612974252</v>
      </c>
      <c r="AK911" s="208">
        <f t="shared" si="104"/>
        <v>79819.062830296185</v>
      </c>
      <c r="AL911" s="235"/>
      <c r="AM911" s="52">
        <f t="shared" si="86"/>
        <v>1</v>
      </c>
      <c r="AN911" s="52">
        <f t="shared" si="87"/>
        <v>0</v>
      </c>
      <c r="AO911" s="52">
        <f t="shared" si="88"/>
        <v>1</v>
      </c>
      <c r="AP911" s="235"/>
      <c r="AQ911" s="28"/>
      <c r="AR911" s="28"/>
      <c r="AS911" s="28"/>
      <c r="AT911" s="28"/>
      <c r="AU911" s="235"/>
      <c r="AV911" s="360">
        <f t="shared" ref="AV911:AV974" si="105">MAX(AI911:AJ911)</f>
        <v>3174809.2241277215</v>
      </c>
      <c r="AW911" s="235"/>
      <c r="AX911" s="355"/>
      <c r="AY911" s="344"/>
      <c r="AZ911" s="14">
        <f t="shared" si="101"/>
        <v>11225.874945355914</v>
      </c>
      <c r="BA911" s="14">
        <f t="shared" ref="BA911:BA974" si="106">AG911</f>
        <v>9.5836776605949581E-2</v>
      </c>
      <c r="BB911" s="14">
        <f t="shared" si="89"/>
        <v>117135.35599713615</v>
      </c>
      <c r="BC911" s="344"/>
      <c r="BD911" s="344"/>
      <c r="BE911" s="344"/>
      <c r="BF911" s="344"/>
      <c r="BG911" s="344"/>
      <c r="BH911" s="344"/>
      <c r="BI911" s="344"/>
      <c r="BJ911" s="344"/>
      <c r="BK911" s="344"/>
      <c r="BL911" s="344"/>
      <c r="BM911" s="344"/>
      <c r="BN911" s="344"/>
      <c r="BO911" s="344"/>
      <c r="BP911" s="344"/>
      <c r="BQ911" s="344"/>
      <c r="BR911" s="344"/>
      <c r="BS911" s="344"/>
      <c r="BT911" s="344"/>
      <c r="BU911" s="344"/>
      <c r="BV911" s="344"/>
      <c r="BW911" s="344"/>
      <c r="BX911" s="344"/>
      <c r="BY911" s="344"/>
      <c r="BZ911" s="344"/>
      <c r="CA911" s="344"/>
      <c r="CB911" s="28"/>
      <c r="CC911" s="28"/>
      <c r="CD911" s="28"/>
      <c r="CE911" s="28"/>
      <c r="CF911" s="28"/>
      <c r="CG911" s="28"/>
      <c r="CH911" s="28"/>
      <c r="CI911" s="28"/>
      <c r="CJ911" s="28"/>
      <c r="CK911" s="28"/>
      <c r="CL911" s="28"/>
      <c r="CM911" s="28"/>
      <c r="CN911" s="28"/>
      <c r="CO911" s="28"/>
      <c r="CP911" s="28"/>
      <c r="CQ911" s="28"/>
      <c r="CR911" s="28"/>
      <c r="CS911" s="28"/>
      <c r="CT911" s="28"/>
      <c r="CU911" s="28"/>
      <c r="CV911" s="28"/>
      <c r="CW911" s="28"/>
    </row>
    <row r="912" spans="1:101" ht="14.25" customHeight="1" x14ac:dyDescent="0.2">
      <c r="A912" s="328"/>
      <c r="B912" s="52">
        <v>0.13053552084087724</v>
      </c>
      <c r="C912" s="330">
        <v>0.50120351803220209</v>
      </c>
      <c r="D912" s="330">
        <v>7.6580819126710773E-3</v>
      </c>
      <c r="E912" s="330">
        <v>5.3943741101644647E-3</v>
      </c>
      <c r="F912" s="331">
        <v>0.82886966114341631</v>
      </c>
      <c r="G912" s="94">
        <v>0.44544768036793625</v>
      </c>
      <c r="H912" s="330">
        <v>0.38889383323532889</v>
      </c>
      <c r="I912" s="330">
        <v>9.7240237764658274E-3</v>
      </c>
      <c r="J912" s="330">
        <v>1</v>
      </c>
      <c r="K912" s="330">
        <v>0.77977954527050153</v>
      </c>
      <c r="L912" s="332">
        <v>10534.937528863205</v>
      </c>
      <c r="M912" s="330">
        <v>0</v>
      </c>
      <c r="N912" s="330">
        <v>19797.707044844781</v>
      </c>
      <c r="O912" s="330">
        <v>1356.2338947610388</v>
      </c>
      <c r="P912" s="330">
        <v>51883.963451224721</v>
      </c>
      <c r="Q912" s="333">
        <v>83682.040019041422</v>
      </c>
      <c r="R912" s="330">
        <v>29245.767929828118</v>
      </c>
      <c r="S912" s="330">
        <v>10848.409082557633</v>
      </c>
      <c r="T912" s="332">
        <v>9.5299940907324771E-2</v>
      </c>
      <c r="U912" s="330">
        <v>0.46169144320635724</v>
      </c>
      <c r="V912" s="330">
        <v>0.79066650141013828</v>
      </c>
      <c r="W912" s="330">
        <v>0.99463812624443015</v>
      </c>
      <c r="X912" s="330">
        <v>0.99966318202455851</v>
      </c>
      <c r="Y912" s="330">
        <v>0</v>
      </c>
      <c r="Z912" s="331">
        <v>0</v>
      </c>
      <c r="AA912" s="235"/>
      <c r="AB912" s="335">
        <v>109203.75663937096</v>
      </c>
      <c r="AC912" s="336">
        <v>5.0404800736934785</v>
      </c>
      <c r="AD912" s="337">
        <v>97137.051018551647</v>
      </c>
      <c r="AE912" s="336">
        <v>4.7518783831069973</v>
      </c>
      <c r="AF912" s="337">
        <v>12066.70562081931</v>
      </c>
      <c r="AG912" s="338">
        <v>0.28860169058648122</v>
      </c>
      <c r="AH912" s="235"/>
      <c r="AI912" s="208">
        <f t="shared" si="102"/>
        <v>4679252.3133694343</v>
      </c>
      <c r="AJ912" s="208">
        <f t="shared" si="103"/>
        <v>4417147.4129330954</v>
      </c>
      <c r="AK912" s="208">
        <f t="shared" si="104"/>
        <v>262104.90043633786</v>
      </c>
      <c r="AL912" s="235"/>
      <c r="AM912" s="52">
        <f t="shared" si="86"/>
        <v>1</v>
      </c>
      <c r="AN912" s="52">
        <f t="shared" si="87"/>
        <v>0</v>
      </c>
      <c r="AO912" s="52">
        <f t="shared" si="88"/>
        <v>1</v>
      </c>
      <c r="AP912" s="235"/>
      <c r="AQ912" s="28"/>
      <c r="AR912" s="28"/>
      <c r="AS912" s="28"/>
      <c r="AT912" s="28"/>
      <c r="AU912" s="235"/>
      <c r="AV912" s="360">
        <f t="shared" si="105"/>
        <v>4679252.3133694343</v>
      </c>
      <c r="AW912" s="235"/>
      <c r="AX912" s="355"/>
      <c r="AY912" s="344"/>
      <c r="AZ912" s="14">
        <f t="shared" ref="AZ912:AZ975" si="107">AF912</f>
        <v>12066.70562081931</v>
      </c>
      <c r="BA912" s="14">
        <f t="shared" si="106"/>
        <v>0.28860169058648122</v>
      </c>
      <c r="BB912" s="14">
        <f t="shared" si="89"/>
        <v>41810.931863559024</v>
      </c>
      <c r="BC912" s="344"/>
      <c r="BD912" s="344"/>
      <c r="BE912" s="344"/>
      <c r="BF912" s="344"/>
      <c r="BG912" s="344"/>
      <c r="BH912" s="344"/>
      <c r="BI912" s="344"/>
      <c r="BJ912" s="344"/>
      <c r="BK912" s="344"/>
      <c r="BL912" s="344"/>
      <c r="BM912" s="344"/>
      <c r="BN912" s="344"/>
      <c r="BO912" s="344"/>
      <c r="BP912" s="344"/>
      <c r="BQ912" s="344"/>
      <c r="BR912" s="344"/>
      <c r="BS912" s="344"/>
      <c r="BT912" s="344"/>
      <c r="BU912" s="344"/>
      <c r="BV912" s="344"/>
      <c r="BW912" s="344"/>
      <c r="BX912" s="344"/>
      <c r="BY912" s="344"/>
      <c r="BZ912" s="344"/>
      <c r="CA912" s="344"/>
      <c r="CB912" s="28"/>
      <c r="CC912" s="28"/>
      <c r="CD912" s="28"/>
      <c r="CE912" s="28"/>
      <c r="CF912" s="28"/>
      <c r="CG912" s="28"/>
      <c r="CH912" s="28"/>
      <c r="CI912" s="28"/>
      <c r="CJ912" s="28"/>
      <c r="CK912" s="28"/>
      <c r="CL912" s="28"/>
      <c r="CM912" s="28"/>
      <c r="CN912" s="28"/>
      <c r="CO912" s="28"/>
      <c r="CP912" s="28"/>
      <c r="CQ912" s="28"/>
      <c r="CR912" s="28"/>
      <c r="CS912" s="28"/>
      <c r="CT912" s="28"/>
      <c r="CU912" s="28"/>
      <c r="CV912" s="28"/>
      <c r="CW912" s="28"/>
    </row>
    <row r="913" spans="1:101" ht="14.25" customHeight="1" x14ac:dyDescent="0.2">
      <c r="A913" s="328"/>
      <c r="B913" s="52">
        <v>0.17750636018437627</v>
      </c>
      <c r="C913" s="330">
        <v>0.15709034475363737</v>
      </c>
      <c r="D913" s="330">
        <v>1.1635120654418152E-2</v>
      </c>
      <c r="E913" s="330">
        <v>2.1726641285293335E-2</v>
      </c>
      <c r="F913" s="331">
        <v>0.78139112381429332</v>
      </c>
      <c r="G913" s="94">
        <v>0.43676828878425933</v>
      </c>
      <c r="H913" s="330">
        <v>0.8064656868181479</v>
      </c>
      <c r="I913" s="330">
        <v>4.7384274096081036E-2</v>
      </c>
      <c r="J913" s="330">
        <v>0.99999996964045323</v>
      </c>
      <c r="K913" s="330">
        <v>0.78513857149239741</v>
      </c>
      <c r="L913" s="332">
        <v>9616.4869269452374</v>
      </c>
      <c r="M913" s="330">
        <v>0</v>
      </c>
      <c r="N913" s="330">
        <v>17577.486227104455</v>
      </c>
      <c r="O913" s="330">
        <v>1354.6846228503771</v>
      </c>
      <c r="P913" s="330">
        <v>55319.18626503909</v>
      </c>
      <c r="Q913" s="333">
        <v>114701.02382770632</v>
      </c>
      <c r="R913" s="330">
        <v>23355.12465958581</v>
      </c>
      <c r="S913" s="330">
        <v>8467.1311751314352</v>
      </c>
      <c r="T913" s="332">
        <v>0.99168969218469716</v>
      </c>
      <c r="U913" s="330">
        <v>0.6646494124059682</v>
      </c>
      <c r="V913" s="330">
        <v>0.9790241247173519</v>
      </c>
      <c r="W913" s="330">
        <v>0.9990051138306224</v>
      </c>
      <c r="X913" s="330">
        <v>0.37475398225144779</v>
      </c>
      <c r="Y913" s="330">
        <v>0</v>
      </c>
      <c r="Z913" s="331">
        <v>0</v>
      </c>
      <c r="AA913" s="235"/>
      <c r="AB913" s="335">
        <v>81747.703586346266</v>
      </c>
      <c r="AC913" s="336">
        <v>2.2306717162514218</v>
      </c>
      <c r="AD913" s="337">
        <v>83726.737135816147</v>
      </c>
      <c r="AE913" s="336">
        <v>1.85709103582462</v>
      </c>
      <c r="AF913" s="337">
        <v>-1979.0335494698811</v>
      </c>
      <c r="AG913" s="338">
        <v>0.37358068042680181</v>
      </c>
      <c r="AH913" s="235"/>
      <c r="AI913" s="208">
        <f t="shared" si="102"/>
        <v>2037390.4268525045</v>
      </c>
      <c r="AJ913" s="208">
        <f t="shared" si="103"/>
        <v>1680509.7468975729</v>
      </c>
      <c r="AK913" s="208">
        <f t="shared" si="104"/>
        <v>356880.67995493161</v>
      </c>
      <c r="AL913" s="235"/>
      <c r="AM913" s="52">
        <f t="shared" si="86"/>
        <v>1</v>
      </c>
      <c r="AN913" s="52">
        <f t="shared" si="87"/>
        <v>0</v>
      </c>
      <c r="AO913" s="52">
        <f t="shared" si="88"/>
        <v>1</v>
      </c>
      <c r="AP913" s="235"/>
      <c r="AQ913" s="28"/>
      <c r="AR913" s="28"/>
      <c r="AS913" s="28"/>
      <c r="AT913" s="28"/>
      <c r="AU913" s="235"/>
      <c r="AV913" s="360">
        <f t="shared" si="105"/>
        <v>2037390.4268525045</v>
      </c>
      <c r="AW913" s="235"/>
      <c r="AX913" s="355"/>
      <c r="AY913" s="344"/>
      <c r="AZ913" s="14">
        <f t="shared" si="107"/>
        <v>-1979.0335494698811</v>
      </c>
      <c r="BA913" s="14">
        <f t="shared" si="106"/>
        <v>0.37358068042680181</v>
      </c>
      <c r="BB913" s="14">
        <f t="shared" si="89"/>
        <v>-5297.4729507128422</v>
      </c>
      <c r="BC913" s="344"/>
      <c r="BD913" s="344"/>
      <c r="BE913" s="344"/>
      <c r="BF913" s="344"/>
      <c r="BG913" s="344"/>
      <c r="BH913" s="344"/>
      <c r="BI913" s="344"/>
      <c r="BJ913" s="344"/>
      <c r="BK913" s="344"/>
      <c r="BL913" s="344"/>
      <c r="BM913" s="344"/>
      <c r="BN913" s="344"/>
      <c r="BO913" s="344"/>
      <c r="BP913" s="344"/>
      <c r="BQ913" s="344"/>
      <c r="BR913" s="344"/>
      <c r="BS913" s="344"/>
      <c r="BT913" s="344"/>
      <c r="BU913" s="344"/>
      <c r="BV913" s="344"/>
      <c r="BW913" s="344"/>
      <c r="BX913" s="344"/>
      <c r="BY913" s="344"/>
      <c r="BZ913" s="344"/>
      <c r="CA913" s="344"/>
      <c r="CB913" s="28"/>
      <c r="CC913" s="28"/>
      <c r="CD913" s="28"/>
      <c r="CE913" s="28"/>
      <c r="CF913" s="28"/>
      <c r="CG913" s="28"/>
      <c r="CH913" s="28"/>
      <c r="CI913" s="28"/>
      <c r="CJ913" s="28"/>
      <c r="CK913" s="28"/>
      <c r="CL913" s="28"/>
      <c r="CM913" s="28"/>
      <c r="CN913" s="28"/>
      <c r="CO913" s="28"/>
      <c r="CP913" s="28"/>
      <c r="CQ913" s="28"/>
      <c r="CR913" s="28"/>
      <c r="CS913" s="28"/>
      <c r="CT913" s="28"/>
      <c r="CU913" s="28"/>
      <c r="CV913" s="28"/>
      <c r="CW913" s="28"/>
    </row>
    <row r="914" spans="1:101" ht="14.25" customHeight="1" x14ac:dyDescent="0.2">
      <c r="A914" s="328"/>
      <c r="B914" s="52">
        <v>0.12676873873143185</v>
      </c>
      <c r="C914" s="330">
        <v>0.51125050327920118</v>
      </c>
      <c r="D914" s="330">
        <v>1.9342465843525058E-2</v>
      </c>
      <c r="E914" s="330">
        <v>8.0289248790729149E-3</v>
      </c>
      <c r="F914" s="331">
        <v>0.77389634023532272</v>
      </c>
      <c r="G914" s="94">
        <v>0.45712674248934959</v>
      </c>
      <c r="H914" s="330">
        <v>0.17578847681199852</v>
      </c>
      <c r="I914" s="330">
        <v>1.0831029202948102E-2</v>
      </c>
      <c r="J914" s="330">
        <v>0.77030210444196678</v>
      </c>
      <c r="K914" s="330">
        <v>0.75314223892030119</v>
      </c>
      <c r="L914" s="332">
        <v>14047.65907674277</v>
      </c>
      <c r="M914" s="330">
        <v>0</v>
      </c>
      <c r="N914" s="330">
        <v>20415.046365666698</v>
      </c>
      <c r="O914" s="330">
        <v>1324.6651738603302</v>
      </c>
      <c r="P914" s="330">
        <v>60056.102458067689</v>
      </c>
      <c r="Q914" s="333">
        <v>87284.403390797117</v>
      </c>
      <c r="R914" s="330">
        <v>20751.793323085931</v>
      </c>
      <c r="S914" s="330">
        <v>9375.5916430155048</v>
      </c>
      <c r="T914" s="332">
        <v>0.71867943343674245</v>
      </c>
      <c r="U914" s="330">
        <v>0.97813528835005603</v>
      </c>
      <c r="V914" s="330">
        <v>0.30902620526403735</v>
      </c>
      <c r="W914" s="330">
        <v>0.99952763633873132</v>
      </c>
      <c r="X914" s="330">
        <v>0.99925535248430719</v>
      </c>
      <c r="Y914" s="330">
        <v>0</v>
      </c>
      <c r="Z914" s="331">
        <v>0</v>
      </c>
      <c r="AA914" s="235"/>
      <c r="AB914" s="335">
        <v>93639.110065428191</v>
      </c>
      <c r="AC914" s="336">
        <v>4.6968345920761889</v>
      </c>
      <c r="AD914" s="337">
        <v>78821.515162038035</v>
      </c>
      <c r="AE914" s="336">
        <v>4.5646710425389267</v>
      </c>
      <c r="AF914" s="337">
        <v>14817.594903390156</v>
      </c>
      <c r="AG914" s="338">
        <v>0.13216354953726217</v>
      </c>
      <c r="AH914" s="235"/>
      <c r="AI914" s="208">
        <f t="shared" si="102"/>
        <v>4368353.752406951</v>
      </c>
      <c r="AJ914" s="208">
        <f t="shared" si="103"/>
        <v>4257615.9752499424</v>
      </c>
      <c r="AK914" s="208">
        <f t="shared" si="104"/>
        <v>110737.77715700891</v>
      </c>
      <c r="AL914" s="235"/>
      <c r="AM914" s="52">
        <f t="shared" si="86"/>
        <v>1</v>
      </c>
      <c r="AN914" s="52">
        <f t="shared" si="87"/>
        <v>0</v>
      </c>
      <c r="AO914" s="52">
        <f t="shared" si="88"/>
        <v>1</v>
      </c>
      <c r="AP914" s="235"/>
      <c r="AQ914" s="28"/>
      <c r="AR914" s="28"/>
      <c r="AS914" s="28"/>
      <c r="AT914" s="28"/>
      <c r="AU914" s="235"/>
      <c r="AV914" s="360">
        <f t="shared" si="105"/>
        <v>4368353.752406951</v>
      </c>
      <c r="AW914" s="235"/>
      <c r="AX914" s="355"/>
      <c r="AY914" s="344"/>
      <c r="AZ914" s="14">
        <f t="shared" si="107"/>
        <v>14817.594903390156</v>
      </c>
      <c r="BA914" s="14">
        <f t="shared" si="106"/>
        <v>0.13216354953726217</v>
      </c>
      <c r="BB914" s="14">
        <f t="shared" si="89"/>
        <v>112115.59431681642</v>
      </c>
      <c r="BC914" s="344"/>
      <c r="BD914" s="344"/>
      <c r="BE914" s="344"/>
      <c r="BF914" s="344"/>
      <c r="BG914" s="344"/>
      <c r="BH914" s="344"/>
      <c r="BI914" s="344"/>
      <c r="BJ914" s="344"/>
      <c r="BK914" s="344"/>
      <c r="BL914" s="344"/>
      <c r="BM914" s="344"/>
      <c r="BN914" s="344"/>
      <c r="BO914" s="344"/>
      <c r="BP914" s="344"/>
      <c r="BQ914" s="344"/>
      <c r="BR914" s="344"/>
      <c r="BS914" s="344"/>
      <c r="BT914" s="344"/>
      <c r="BU914" s="344"/>
      <c r="BV914" s="344"/>
      <c r="BW914" s="344"/>
      <c r="BX914" s="344"/>
      <c r="BY914" s="344"/>
      <c r="BZ914" s="344"/>
      <c r="CA914" s="344"/>
      <c r="CB914" s="28"/>
      <c r="CC914" s="28"/>
      <c r="CD914" s="28"/>
      <c r="CE914" s="28"/>
      <c r="CF914" s="28"/>
      <c r="CG914" s="28"/>
      <c r="CH914" s="28"/>
      <c r="CI914" s="28"/>
      <c r="CJ914" s="28"/>
      <c r="CK914" s="28"/>
      <c r="CL914" s="28"/>
      <c r="CM914" s="28"/>
      <c r="CN914" s="28"/>
      <c r="CO914" s="28"/>
      <c r="CP914" s="28"/>
      <c r="CQ914" s="28"/>
      <c r="CR914" s="28"/>
      <c r="CS914" s="28"/>
      <c r="CT914" s="28"/>
      <c r="CU914" s="28"/>
      <c r="CV914" s="28"/>
      <c r="CW914" s="28"/>
    </row>
    <row r="915" spans="1:101" ht="14.25" customHeight="1" x14ac:dyDescent="0.2">
      <c r="A915" s="328"/>
      <c r="B915" s="52">
        <v>0.11667215393529416</v>
      </c>
      <c r="C915" s="330">
        <v>0.70278812172101068</v>
      </c>
      <c r="D915" s="330">
        <v>8.0941475979389218E-3</v>
      </c>
      <c r="E915" s="330">
        <v>1.683852820385956E-2</v>
      </c>
      <c r="F915" s="331">
        <v>0.79103610513922429</v>
      </c>
      <c r="G915" s="94">
        <v>0.36517130011238724</v>
      </c>
      <c r="H915" s="330">
        <v>0.95060844019160529</v>
      </c>
      <c r="I915" s="330">
        <v>1.1834061821534772E-2</v>
      </c>
      <c r="J915" s="330">
        <v>0.9862707625493512</v>
      </c>
      <c r="K915" s="330">
        <v>0.72392090503316575</v>
      </c>
      <c r="L915" s="332">
        <v>15062.059997698629</v>
      </c>
      <c r="M915" s="330">
        <v>0</v>
      </c>
      <c r="N915" s="330">
        <v>16042.972298716209</v>
      </c>
      <c r="O915" s="330">
        <v>1492.6468469577103</v>
      </c>
      <c r="P915" s="330">
        <v>48471.740227287199</v>
      </c>
      <c r="Q915" s="333">
        <v>91658.330416536584</v>
      </c>
      <c r="R915" s="330">
        <v>18309.880775775568</v>
      </c>
      <c r="S915" s="330">
        <v>13452.904804734917</v>
      </c>
      <c r="T915" s="332">
        <v>0.61114209806421871</v>
      </c>
      <c r="U915" s="330">
        <v>0.65228330008824087</v>
      </c>
      <c r="V915" s="330">
        <v>0.38965824317589381</v>
      </c>
      <c r="W915" s="330">
        <v>0.90721865016011682</v>
      </c>
      <c r="X915" s="330">
        <v>0.25327778665196415</v>
      </c>
      <c r="Y915" s="330">
        <v>0</v>
      </c>
      <c r="Z915" s="331">
        <v>0</v>
      </c>
      <c r="AA915" s="235"/>
      <c r="AB915" s="335">
        <v>131024.0306896673</v>
      </c>
      <c r="AC915" s="336">
        <v>1.3539863073690868</v>
      </c>
      <c r="AD915" s="337">
        <v>112062.26361410438</v>
      </c>
      <c r="AE915" s="336">
        <v>1.1627543312717965</v>
      </c>
      <c r="AF915" s="337">
        <v>18961.767075562922</v>
      </c>
      <c r="AG915" s="338">
        <v>0.19123197609729026</v>
      </c>
      <c r="AH915" s="235"/>
      <c r="AI915" s="208">
        <f t="shared" si="102"/>
        <v>1155262.9613109652</v>
      </c>
      <c r="AJ915" s="208">
        <f t="shared" si="103"/>
        <v>992554.35109410225</v>
      </c>
      <c r="AK915" s="208">
        <f t="shared" si="104"/>
        <v>162708.61021686281</v>
      </c>
      <c r="AL915" s="235"/>
      <c r="AM915" s="52">
        <f t="shared" si="86"/>
        <v>1</v>
      </c>
      <c r="AN915" s="52">
        <f t="shared" si="87"/>
        <v>0</v>
      </c>
      <c r="AO915" s="52">
        <f t="shared" si="88"/>
        <v>1</v>
      </c>
      <c r="AP915" s="235"/>
      <c r="AQ915" s="28"/>
      <c r="AR915" s="28"/>
      <c r="AS915" s="28"/>
      <c r="AT915" s="28"/>
      <c r="AU915" s="235"/>
      <c r="AV915" s="360">
        <f t="shared" si="105"/>
        <v>1155262.9613109652</v>
      </c>
      <c r="AW915" s="235"/>
      <c r="AX915" s="355"/>
      <c r="AY915" s="344"/>
      <c r="AZ915" s="14">
        <f t="shared" si="107"/>
        <v>18961.767075562922</v>
      </c>
      <c r="BA915" s="14">
        <f t="shared" si="106"/>
        <v>0.19123197609729026</v>
      </c>
      <c r="BB915" s="14">
        <f t="shared" si="89"/>
        <v>99155.839219671223</v>
      </c>
      <c r="BC915" s="344"/>
      <c r="BD915" s="344"/>
      <c r="BE915" s="344"/>
      <c r="BF915" s="344"/>
      <c r="BG915" s="344"/>
      <c r="BH915" s="344"/>
      <c r="BI915" s="344"/>
      <c r="BJ915" s="344"/>
      <c r="BK915" s="344"/>
      <c r="BL915" s="344"/>
      <c r="BM915" s="344"/>
      <c r="BN915" s="344"/>
      <c r="BO915" s="344"/>
      <c r="BP915" s="344"/>
      <c r="BQ915" s="344"/>
      <c r="BR915" s="344"/>
      <c r="BS915" s="344"/>
      <c r="BT915" s="344"/>
      <c r="BU915" s="344"/>
      <c r="BV915" s="344"/>
      <c r="BW915" s="344"/>
      <c r="BX915" s="344"/>
      <c r="BY915" s="344"/>
      <c r="BZ915" s="344"/>
      <c r="CA915" s="344"/>
      <c r="CB915" s="28"/>
      <c r="CC915" s="28"/>
      <c r="CD915" s="28"/>
      <c r="CE915" s="28"/>
      <c r="CF915" s="28"/>
      <c r="CG915" s="28"/>
      <c r="CH915" s="28"/>
      <c r="CI915" s="28"/>
      <c r="CJ915" s="28"/>
      <c r="CK915" s="28"/>
      <c r="CL915" s="28"/>
      <c r="CM915" s="28"/>
      <c r="CN915" s="28"/>
      <c r="CO915" s="28"/>
      <c r="CP915" s="28"/>
      <c r="CQ915" s="28"/>
      <c r="CR915" s="28"/>
      <c r="CS915" s="28"/>
      <c r="CT915" s="28"/>
      <c r="CU915" s="28"/>
      <c r="CV915" s="28"/>
      <c r="CW915" s="28"/>
    </row>
    <row r="916" spans="1:101" ht="14.25" customHeight="1" x14ac:dyDescent="0.2">
      <c r="A916" s="328"/>
      <c r="B916" s="52">
        <v>0.18795398714142697</v>
      </c>
      <c r="C916" s="330">
        <v>7.4487951731446359E-2</v>
      </c>
      <c r="D916" s="330">
        <v>7.2289796088852928E-3</v>
      </c>
      <c r="E916" s="330">
        <v>5.5617946169229035E-3</v>
      </c>
      <c r="F916" s="331">
        <v>0.78914962212253392</v>
      </c>
      <c r="G916" s="94">
        <v>0.43431388301985197</v>
      </c>
      <c r="H916" s="330">
        <v>0.8213052628429649</v>
      </c>
      <c r="I916" s="330">
        <v>5.6285091278446579E-3</v>
      </c>
      <c r="J916" s="330">
        <v>2.703504491324903E-2</v>
      </c>
      <c r="K916" s="330">
        <v>0.77874985565272214</v>
      </c>
      <c r="L916" s="332">
        <v>12890.406813186915</v>
      </c>
      <c r="M916" s="330">
        <v>0</v>
      </c>
      <c r="N916" s="330">
        <v>20123.618519902564</v>
      </c>
      <c r="O916" s="330">
        <v>1539.097921514212</v>
      </c>
      <c r="P916" s="330">
        <v>41391.782437198664</v>
      </c>
      <c r="Q916" s="333">
        <v>106040.25895695716</v>
      </c>
      <c r="R916" s="330">
        <v>16589.71601068211</v>
      </c>
      <c r="S916" s="330">
        <v>9868.9646151524448</v>
      </c>
      <c r="T916" s="332">
        <v>0.8628837799545177</v>
      </c>
      <c r="U916" s="330">
        <v>0.69253402869880765</v>
      </c>
      <c r="V916" s="330">
        <v>0.75352300926530758</v>
      </c>
      <c r="W916" s="330">
        <v>0.7434613638296057</v>
      </c>
      <c r="X916" s="330">
        <v>0.98709730954574404</v>
      </c>
      <c r="Y916" s="330">
        <v>0</v>
      </c>
      <c r="Z916" s="331">
        <v>0</v>
      </c>
      <c r="AA916" s="235"/>
      <c r="AB916" s="335">
        <v>97132.282656460782</v>
      </c>
      <c r="AC916" s="336">
        <v>5.0132006592679952</v>
      </c>
      <c r="AD916" s="337">
        <v>89293.465305667545</v>
      </c>
      <c r="AE916" s="336">
        <v>4.6636906864869507</v>
      </c>
      <c r="AF916" s="337">
        <v>7838.817350793237</v>
      </c>
      <c r="AG916" s="338">
        <v>0.34950997278104445</v>
      </c>
      <c r="AH916" s="235"/>
      <c r="AI916" s="208">
        <f t="shared" si="102"/>
        <v>4665408.3436481347</v>
      </c>
      <c r="AJ916" s="208">
        <f t="shared" si="103"/>
        <v>4341212.6868569357</v>
      </c>
      <c r="AK916" s="208">
        <f t="shared" si="104"/>
        <v>324195.656791199</v>
      </c>
      <c r="AL916" s="235"/>
      <c r="AM916" s="52">
        <f t="shared" si="86"/>
        <v>1</v>
      </c>
      <c r="AN916" s="52">
        <f t="shared" si="87"/>
        <v>0</v>
      </c>
      <c r="AO916" s="52">
        <f t="shared" si="88"/>
        <v>1</v>
      </c>
      <c r="AP916" s="235"/>
      <c r="AQ916" s="28"/>
      <c r="AR916" s="28"/>
      <c r="AS916" s="28"/>
      <c r="AT916" s="28"/>
      <c r="AU916" s="235"/>
      <c r="AV916" s="360">
        <f t="shared" si="105"/>
        <v>4665408.3436481347</v>
      </c>
      <c r="AW916" s="235"/>
      <c r="AX916" s="355"/>
      <c r="AY916" s="344"/>
      <c r="AZ916" s="14">
        <f t="shared" si="107"/>
        <v>7838.817350793237</v>
      </c>
      <c r="BA916" s="14">
        <f t="shared" si="106"/>
        <v>0.34950997278104445</v>
      </c>
      <c r="BB916" s="14">
        <f t="shared" si="89"/>
        <v>22428.02197722689</v>
      </c>
      <c r="BC916" s="344"/>
      <c r="BD916" s="344"/>
      <c r="BE916" s="344"/>
      <c r="BF916" s="344"/>
      <c r="BG916" s="344"/>
      <c r="BH916" s="344"/>
      <c r="BI916" s="344"/>
      <c r="BJ916" s="344"/>
      <c r="BK916" s="344"/>
      <c r="BL916" s="344"/>
      <c r="BM916" s="344"/>
      <c r="BN916" s="344"/>
      <c r="BO916" s="344"/>
      <c r="BP916" s="344"/>
      <c r="BQ916" s="344"/>
      <c r="BR916" s="344"/>
      <c r="BS916" s="344"/>
      <c r="BT916" s="344"/>
      <c r="BU916" s="344"/>
      <c r="BV916" s="344"/>
      <c r="BW916" s="344"/>
      <c r="BX916" s="344"/>
      <c r="BY916" s="344"/>
      <c r="BZ916" s="344"/>
      <c r="CA916" s="344"/>
      <c r="CB916" s="28"/>
      <c r="CC916" s="28"/>
      <c r="CD916" s="28"/>
      <c r="CE916" s="28"/>
      <c r="CF916" s="28"/>
      <c r="CG916" s="28"/>
      <c r="CH916" s="28"/>
      <c r="CI916" s="28"/>
      <c r="CJ916" s="28"/>
      <c r="CK916" s="28"/>
      <c r="CL916" s="28"/>
      <c r="CM916" s="28"/>
      <c r="CN916" s="28"/>
      <c r="CO916" s="28"/>
      <c r="CP916" s="28"/>
      <c r="CQ916" s="28"/>
      <c r="CR916" s="28"/>
      <c r="CS916" s="28"/>
      <c r="CT916" s="28"/>
      <c r="CU916" s="28"/>
      <c r="CV916" s="28"/>
      <c r="CW916" s="28"/>
    </row>
    <row r="917" spans="1:101" ht="14.25" customHeight="1" x14ac:dyDescent="0.2">
      <c r="A917" s="328"/>
      <c r="B917" s="52">
        <v>0.16377042045725443</v>
      </c>
      <c r="C917" s="330">
        <v>0.22094586471177197</v>
      </c>
      <c r="D917" s="330">
        <v>3.3224904649716701E-3</v>
      </c>
      <c r="E917" s="330">
        <v>8.6349100967516978E-3</v>
      </c>
      <c r="F917" s="331">
        <v>0.80467107803740112</v>
      </c>
      <c r="G917" s="94">
        <v>0.37990571953513042</v>
      </c>
      <c r="H917" s="330">
        <v>0.65741751552895278</v>
      </c>
      <c r="I917" s="330">
        <v>1.0140714492021056E-2</v>
      </c>
      <c r="J917" s="330">
        <v>1</v>
      </c>
      <c r="K917" s="330">
        <v>0.66737614298730719</v>
      </c>
      <c r="L917" s="332">
        <v>21105.402648380095</v>
      </c>
      <c r="M917" s="330">
        <v>0</v>
      </c>
      <c r="N917" s="330">
        <v>21738.328445100207</v>
      </c>
      <c r="O917" s="330">
        <v>1601.8080954464431</v>
      </c>
      <c r="P917" s="330">
        <v>41868.959033900443</v>
      </c>
      <c r="Q917" s="333">
        <v>83852.111018017429</v>
      </c>
      <c r="R917" s="330">
        <v>22794.743230827087</v>
      </c>
      <c r="S917" s="330">
        <v>7978.3752221760142</v>
      </c>
      <c r="T917" s="332">
        <v>0.99863736431316874</v>
      </c>
      <c r="U917" s="330">
        <v>0.60882888308761718</v>
      </c>
      <c r="V917" s="330">
        <v>0.65865874707286487</v>
      </c>
      <c r="W917" s="330">
        <v>0.37860410718076809</v>
      </c>
      <c r="X917" s="330">
        <v>0.99997300076242523</v>
      </c>
      <c r="Y917" s="330">
        <v>0</v>
      </c>
      <c r="Z917" s="331">
        <v>0</v>
      </c>
      <c r="AA917" s="235"/>
      <c r="AB917" s="335">
        <v>91132.62955085242</v>
      </c>
      <c r="AC917" s="336">
        <v>5.050145124168667</v>
      </c>
      <c r="AD917" s="337">
        <v>63970.705508576706</v>
      </c>
      <c r="AE917" s="336">
        <v>4.0984425128516335</v>
      </c>
      <c r="AF917" s="337">
        <v>27161.924042275714</v>
      </c>
      <c r="AG917" s="338">
        <v>0.95170261131703349</v>
      </c>
      <c r="AH917" s="235"/>
      <c r="AI917" s="208">
        <f t="shared" si="102"/>
        <v>4706505.2384093804</v>
      </c>
      <c r="AJ917" s="208">
        <f t="shared" si="103"/>
        <v>3829549.681700475</v>
      </c>
      <c r="AK917" s="208">
        <f t="shared" si="104"/>
        <v>876955.55670890608</v>
      </c>
      <c r="AL917" s="235"/>
      <c r="AM917" s="52">
        <f t="shared" si="86"/>
        <v>1</v>
      </c>
      <c r="AN917" s="52">
        <f t="shared" si="87"/>
        <v>0</v>
      </c>
      <c r="AO917" s="52">
        <f t="shared" si="88"/>
        <v>1</v>
      </c>
      <c r="AP917" s="235"/>
      <c r="AQ917" s="28"/>
      <c r="AR917" s="28"/>
      <c r="AS917" s="28"/>
      <c r="AT917" s="28"/>
      <c r="AU917" s="235"/>
      <c r="AV917" s="360">
        <f t="shared" si="105"/>
        <v>4706505.2384093804</v>
      </c>
      <c r="AW917" s="235"/>
      <c r="AX917" s="355"/>
      <c r="AY917" s="344"/>
      <c r="AZ917" s="14">
        <f t="shared" si="107"/>
        <v>27161.924042275714</v>
      </c>
      <c r="BA917" s="14">
        <f t="shared" si="106"/>
        <v>0.95170261131703349</v>
      </c>
      <c r="BB917" s="14">
        <f t="shared" si="89"/>
        <v>28540.348339159351</v>
      </c>
      <c r="BC917" s="344"/>
      <c r="BD917" s="344"/>
      <c r="BE917" s="344"/>
      <c r="BF917" s="344"/>
      <c r="BG917" s="344"/>
      <c r="BH917" s="344"/>
      <c r="BI917" s="344"/>
      <c r="BJ917" s="344"/>
      <c r="BK917" s="344"/>
      <c r="BL917" s="344"/>
      <c r="BM917" s="344"/>
      <c r="BN917" s="344"/>
      <c r="BO917" s="344"/>
      <c r="BP917" s="344"/>
      <c r="BQ917" s="344"/>
      <c r="BR917" s="344"/>
      <c r="BS917" s="344"/>
      <c r="BT917" s="344"/>
      <c r="BU917" s="344"/>
      <c r="BV917" s="344"/>
      <c r="BW917" s="344"/>
      <c r="BX917" s="344"/>
      <c r="BY917" s="344"/>
      <c r="BZ917" s="344"/>
      <c r="CA917" s="344"/>
      <c r="CB917" s="28"/>
      <c r="CC917" s="28"/>
      <c r="CD917" s="28"/>
      <c r="CE917" s="28"/>
      <c r="CF917" s="28"/>
      <c r="CG917" s="28"/>
      <c r="CH917" s="28"/>
      <c r="CI917" s="28"/>
      <c r="CJ917" s="28"/>
      <c r="CK917" s="28"/>
      <c r="CL917" s="28"/>
      <c r="CM917" s="28"/>
      <c r="CN917" s="28"/>
      <c r="CO917" s="28"/>
      <c r="CP917" s="28"/>
      <c r="CQ917" s="28"/>
      <c r="CR917" s="28"/>
      <c r="CS917" s="28"/>
      <c r="CT917" s="28"/>
      <c r="CU917" s="28"/>
      <c r="CV917" s="28"/>
      <c r="CW917" s="28"/>
    </row>
    <row r="918" spans="1:101" ht="14.25" customHeight="1" x14ac:dyDescent="0.2">
      <c r="A918" s="328"/>
      <c r="B918" s="52">
        <v>0.13500699912401509</v>
      </c>
      <c r="C918" s="330">
        <v>0.11210260688182554</v>
      </c>
      <c r="D918" s="330">
        <v>1.6953388529924229E-2</v>
      </c>
      <c r="E918" s="330">
        <v>1.8819078487978036E-2</v>
      </c>
      <c r="F918" s="331">
        <v>0.82040362162155445</v>
      </c>
      <c r="G918" s="94">
        <v>0.36850559244798897</v>
      </c>
      <c r="H918" s="330">
        <v>0.68055451375626042</v>
      </c>
      <c r="I918" s="330">
        <v>1.3439687472034273E-2</v>
      </c>
      <c r="J918" s="330">
        <v>0.99961332709179163</v>
      </c>
      <c r="K918" s="330">
        <v>0.79363252556104102</v>
      </c>
      <c r="L918" s="332">
        <v>12367.984487436004</v>
      </c>
      <c r="M918" s="330">
        <v>0</v>
      </c>
      <c r="N918" s="330">
        <v>14312.910497437133</v>
      </c>
      <c r="O918" s="330">
        <v>1249.268675817186</v>
      </c>
      <c r="P918" s="330">
        <v>49721.707113171273</v>
      </c>
      <c r="Q918" s="333">
        <v>111908.57794551628</v>
      </c>
      <c r="R918" s="330">
        <v>26652.111286541302</v>
      </c>
      <c r="S918" s="330">
        <v>6529.1986581501869</v>
      </c>
      <c r="T918" s="332">
        <v>0.61338942497940663</v>
      </c>
      <c r="U918" s="330">
        <v>0.41897204085811779</v>
      </c>
      <c r="V918" s="330">
        <v>0.42287493079029442</v>
      </c>
      <c r="W918" s="330">
        <v>0.35502973292156909</v>
      </c>
      <c r="X918" s="330">
        <v>5.5720159960370899E-2</v>
      </c>
      <c r="Y918" s="330">
        <v>0</v>
      </c>
      <c r="Z918" s="331">
        <v>0</v>
      </c>
      <c r="AA918" s="235"/>
      <c r="AB918" s="335">
        <v>70681.591767082646</v>
      </c>
      <c r="AC918" s="336">
        <v>0.44911175433825623</v>
      </c>
      <c r="AD918" s="337">
        <v>63547.542608210621</v>
      </c>
      <c r="AE918" s="336">
        <v>0.29541027752418364</v>
      </c>
      <c r="AF918" s="337">
        <v>7134.0491588720251</v>
      </c>
      <c r="AG918" s="338">
        <v>0.15370147681407259</v>
      </c>
      <c r="AH918" s="235"/>
      <c r="AI918" s="208">
        <f t="shared" si="102"/>
        <v>355974.57485426078</v>
      </c>
      <c r="AJ918" s="208">
        <f t="shared" si="103"/>
        <v>217092.22103976386</v>
      </c>
      <c r="AK918" s="208">
        <f t="shared" si="104"/>
        <v>138882.35381449695</v>
      </c>
      <c r="AL918" s="235"/>
      <c r="AM918" s="52">
        <f t="shared" si="86"/>
        <v>1</v>
      </c>
      <c r="AN918" s="52">
        <f t="shared" si="87"/>
        <v>0</v>
      </c>
      <c r="AO918" s="52">
        <f t="shared" si="88"/>
        <v>1</v>
      </c>
      <c r="AP918" s="235"/>
      <c r="AQ918" s="28"/>
      <c r="AR918" s="28"/>
      <c r="AS918" s="28"/>
      <c r="AT918" s="28"/>
      <c r="AU918" s="235"/>
      <c r="AV918" s="360">
        <f t="shared" si="105"/>
        <v>355974.57485426078</v>
      </c>
      <c r="AW918" s="235"/>
      <c r="AX918" s="355"/>
      <c r="AY918" s="344"/>
      <c r="AZ918" s="14">
        <f t="shared" si="107"/>
        <v>7134.0491588720251</v>
      </c>
      <c r="BA918" s="14">
        <f t="shared" si="106"/>
        <v>0.15370147681407259</v>
      </c>
      <c r="BB918" s="14">
        <f t="shared" si="89"/>
        <v>46414.968201651311</v>
      </c>
      <c r="BC918" s="344"/>
      <c r="BD918" s="344"/>
      <c r="BE918" s="344"/>
      <c r="BF918" s="344"/>
      <c r="BG918" s="344"/>
      <c r="BH918" s="344"/>
      <c r="BI918" s="344"/>
      <c r="BJ918" s="344"/>
      <c r="BK918" s="344"/>
      <c r="BL918" s="344"/>
      <c r="BM918" s="344"/>
      <c r="BN918" s="344"/>
      <c r="BO918" s="344"/>
      <c r="BP918" s="344"/>
      <c r="BQ918" s="344"/>
      <c r="BR918" s="344"/>
      <c r="BS918" s="344"/>
      <c r="BT918" s="344"/>
      <c r="BU918" s="344"/>
      <c r="BV918" s="344"/>
      <c r="BW918" s="344"/>
      <c r="BX918" s="344"/>
      <c r="BY918" s="344"/>
      <c r="BZ918" s="344"/>
      <c r="CA918" s="344"/>
      <c r="CB918" s="28"/>
      <c r="CC918" s="28"/>
      <c r="CD918" s="28"/>
      <c r="CE918" s="28"/>
      <c r="CF918" s="28"/>
      <c r="CG918" s="28"/>
      <c r="CH918" s="28"/>
      <c r="CI918" s="28"/>
      <c r="CJ918" s="28"/>
      <c r="CK918" s="28"/>
      <c r="CL918" s="28"/>
      <c r="CM918" s="28"/>
      <c r="CN918" s="28"/>
      <c r="CO918" s="28"/>
      <c r="CP918" s="28"/>
      <c r="CQ918" s="28"/>
      <c r="CR918" s="28"/>
      <c r="CS918" s="28"/>
      <c r="CT918" s="28"/>
      <c r="CU918" s="28"/>
      <c r="CV918" s="28"/>
      <c r="CW918" s="28"/>
    </row>
    <row r="919" spans="1:101" ht="14.25" customHeight="1" x14ac:dyDescent="0.2">
      <c r="A919" s="328"/>
      <c r="B919" s="52">
        <v>0.14216733944087961</v>
      </c>
      <c r="C919" s="330">
        <v>0.43081075787429002</v>
      </c>
      <c r="D919" s="330">
        <v>9.0222359830214698E-3</v>
      </c>
      <c r="E919" s="330">
        <v>9.6988059505232812E-3</v>
      </c>
      <c r="F919" s="331">
        <v>0.81605631231910047</v>
      </c>
      <c r="G919" s="94">
        <v>0.43988130149138638</v>
      </c>
      <c r="H919" s="330">
        <v>0.97228785297129661</v>
      </c>
      <c r="I919" s="330">
        <v>1.6517146765112511E-2</v>
      </c>
      <c r="J919" s="330">
        <v>7.5088871170788323E-5</v>
      </c>
      <c r="K919" s="330">
        <v>0.78807248892145476</v>
      </c>
      <c r="L919" s="332">
        <v>12902.697504359992</v>
      </c>
      <c r="M919" s="330">
        <v>0</v>
      </c>
      <c r="N919" s="330">
        <v>22449.614162700229</v>
      </c>
      <c r="O919" s="330">
        <v>829.9419172009766</v>
      </c>
      <c r="P919" s="330">
        <v>55648.488120904105</v>
      </c>
      <c r="Q919" s="333">
        <v>108114.66051499307</v>
      </c>
      <c r="R919" s="330">
        <v>23903.322184940458</v>
      </c>
      <c r="S919" s="330">
        <v>8986.8812869924859</v>
      </c>
      <c r="T919" s="332">
        <v>0.73565092435886525</v>
      </c>
      <c r="U919" s="330">
        <v>0.95582924803748015</v>
      </c>
      <c r="V919" s="330">
        <v>0.99606645986103703</v>
      </c>
      <c r="W919" s="330">
        <v>0.89910382806006106</v>
      </c>
      <c r="X919" s="330">
        <v>0.90935351539072951</v>
      </c>
      <c r="Y919" s="330">
        <v>0</v>
      </c>
      <c r="Z919" s="331">
        <v>0</v>
      </c>
      <c r="AA919" s="235"/>
      <c r="AB919" s="335">
        <v>93325.06367260775</v>
      </c>
      <c r="AC919" s="336">
        <v>4.484867106655293</v>
      </c>
      <c r="AD919" s="337">
        <v>87281.785597974173</v>
      </c>
      <c r="AE919" s="336">
        <v>4.6599461337424692</v>
      </c>
      <c r="AF919" s="337">
        <v>6043.2780746335775</v>
      </c>
      <c r="AG919" s="338">
        <v>-0.17507902708717626</v>
      </c>
      <c r="AH919" s="235"/>
      <c r="AI919" s="208">
        <f t="shared" si="102"/>
        <v>4167298.6876499206</v>
      </c>
      <c r="AJ919" s="208">
        <f t="shared" si="103"/>
        <v>4339667.0414573718</v>
      </c>
      <c r="AK919" s="208">
        <f t="shared" si="104"/>
        <v>-172368.35380745103</v>
      </c>
      <c r="AL919" s="235"/>
      <c r="AM919" s="52">
        <f t="shared" si="86"/>
        <v>0</v>
      </c>
      <c r="AN919" s="52">
        <f t="shared" si="87"/>
        <v>1</v>
      </c>
      <c r="AO919" s="52">
        <f t="shared" si="88"/>
        <v>0</v>
      </c>
      <c r="AP919" s="235"/>
      <c r="AQ919" s="28"/>
      <c r="AR919" s="28"/>
      <c r="AS919" s="28"/>
      <c r="AT919" s="28"/>
      <c r="AU919" s="235"/>
      <c r="AV919" s="360">
        <f t="shared" si="105"/>
        <v>4339667.0414573718</v>
      </c>
      <c r="AW919" s="235"/>
      <c r="AX919" s="355"/>
      <c r="AY919" s="344"/>
      <c r="AZ919" s="14">
        <f t="shared" si="107"/>
        <v>6043.2780746335775</v>
      </c>
      <c r="BA919" s="14">
        <f t="shared" si="106"/>
        <v>-0.17507902708717626</v>
      </c>
      <c r="BB919" s="14">
        <f t="shared" si="89"/>
        <v>-34517.430072446521</v>
      </c>
      <c r="BC919" s="344"/>
      <c r="BD919" s="344"/>
      <c r="BE919" s="344"/>
      <c r="BF919" s="344"/>
      <c r="BG919" s="344"/>
      <c r="BH919" s="344"/>
      <c r="BI919" s="344"/>
      <c r="BJ919" s="344"/>
      <c r="BK919" s="344"/>
      <c r="BL919" s="344"/>
      <c r="BM919" s="344"/>
      <c r="BN919" s="344"/>
      <c r="BO919" s="344"/>
      <c r="BP919" s="344"/>
      <c r="BQ919" s="344"/>
      <c r="BR919" s="344"/>
      <c r="BS919" s="344"/>
      <c r="BT919" s="344"/>
      <c r="BU919" s="344"/>
      <c r="BV919" s="344"/>
      <c r="BW919" s="344"/>
      <c r="BX919" s="344"/>
      <c r="BY919" s="344"/>
      <c r="BZ919" s="344"/>
      <c r="CA919" s="344"/>
      <c r="CB919" s="28"/>
      <c r="CC919" s="28"/>
      <c r="CD919" s="28"/>
      <c r="CE919" s="28"/>
      <c r="CF919" s="28"/>
      <c r="CG919" s="28"/>
      <c r="CH919" s="28"/>
      <c r="CI919" s="28"/>
      <c r="CJ919" s="28"/>
      <c r="CK919" s="28"/>
      <c r="CL919" s="28"/>
      <c r="CM919" s="28"/>
      <c r="CN919" s="28"/>
      <c r="CO919" s="28"/>
      <c r="CP919" s="28"/>
      <c r="CQ919" s="28"/>
      <c r="CR919" s="28"/>
      <c r="CS919" s="28"/>
      <c r="CT919" s="28"/>
      <c r="CU919" s="28"/>
      <c r="CV919" s="28"/>
      <c r="CW919" s="28"/>
    </row>
    <row r="920" spans="1:101" ht="14.25" customHeight="1" x14ac:dyDescent="0.2">
      <c r="A920" s="328"/>
      <c r="B920" s="52">
        <v>0.17525556824022104</v>
      </c>
      <c r="C920" s="330">
        <v>5.1597674213166918E-4</v>
      </c>
      <c r="D920" s="330">
        <v>1.4682267624238299E-2</v>
      </c>
      <c r="E920" s="330">
        <v>1.6777415072364188E-2</v>
      </c>
      <c r="F920" s="331">
        <v>0.79625258006109156</v>
      </c>
      <c r="G920" s="94">
        <v>0.45495919354673042</v>
      </c>
      <c r="H920" s="330">
        <v>0.63573624138292273</v>
      </c>
      <c r="I920" s="330">
        <v>2.3453472318120894E-2</v>
      </c>
      <c r="J920" s="330">
        <v>0.99391718520499828</v>
      </c>
      <c r="K920" s="330">
        <v>0.730015250215863</v>
      </c>
      <c r="L920" s="332">
        <v>10830.705748209562</v>
      </c>
      <c r="M920" s="330">
        <v>0</v>
      </c>
      <c r="N920" s="330">
        <v>12339.735489468485</v>
      </c>
      <c r="O920" s="330">
        <v>1614.4804373347101</v>
      </c>
      <c r="P920" s="330">
        <v>58377.219012664238</v>
      </c>
      <c r="Q920" s="333">
        <v>95490.196943070187</v>
      </c>
      <c r="R920" s="330">
        <v>19924.53121583676</v>
      </c>
      <c r="S920" s="330">
        <v>8451.0484436186835</v>
      </c>
      <c r="T920" s="332">
        <v>0.85037529097351183</v>
      </c>
      <c r="U920" s="330">
        <v>0.74073676279594103</v>
      </c>
      <c r="V920" s="330">
        <v>0.18387145793223958</v>
      </c>
      <c r="W920" s="330">
        <v>0.67352751041347636</v>
      </c>
      <c r="X920" s="330">
        <v>0.9885895705242711</v>
      </c>
      <c r="Y920" s="330">
        <v>0</v>
      </c>
      <c r="Z920" s="331">
        <v>0</v>
      </c>
      <c r="AA920" s="235"/>
      <c r="AB920" s="335">
        <v>83576.48777627408</v>
      </c>
      <c r="AC920" s="336">
        <v>4.8294345720630432</v>
      </c>
      <c r="AD920" s="337">
        <v>74336.425097310712</v>
      </c>
      <c r="AE920" s="336">
        <v>4.5553335562502264</v>
      </c>
      <c r="AF920" s="337">
        <v>9240.0626789633679</v>
      </c>
      <c r="AG920" s="338">
        <v>0.27410101581281676</v>
      </c>
      <c r="AH920" s="235"/>
      <c r="AI920" s="208">
        <f t="shared" si="102"/>
        <v>4504386.3556836173</v>
      </c>
      <c r="AJ920" s="208">
        <f t="shared" si="103"/>
        <v>4253230.4533404037</v>
      </c>
      <c r="AK920" s="208">
        <f t="shared" si="104"/>
        <v>251155.90234321257</v>
      </c>
      <c r="AL920" s="235"/>
      <c r="AM920" s="52">
        <f t="shared" si="86"/>
        <v>1</v>
      </c>
      <c r="AN920" s="52">
        <f t="shared" si="87"/>
        <v>0</v>
      </c>
      <c r="AO920" s="52">
        <f t="shared" si="88"/>
        <v>1</v>
      </c>
      <c r="AP920" s="235"/>
      <c r="AQ920" s="28"/>
      <c r="AR920" s="28"/>
      <c r="AS920" s="28"/>
      <c r="AT920" s="28"/>
      <c r="AU920" s="235"/>
      <c r="AV920" s="360">
        <f t="shared" si="105"/>
        <v>4504386.3556836173</v>
      </c>
      <c r="AW920" s="235"/>
      <c r="AX920" s="355"/>
      <c r="AY920" s="344"/>
      <c r="AZ920" s="14">
        <f t="shared" si="107"/>
        <v>9240.0626789633679</v>
      </c>
      <c r="BA920" s="14">
        <f t="shared" si="106"/>
        <v>0.27410101581281676</v>
      </c>
      <c r="BB920" s="14">
        <f t="shared" si="89"/>
        <v>33710.428440270342</v>
      </c>
      <c r="BC920" s="344"/>
      <c r="BD920" s="344"/>
      <c r="BE920" s="344"/>
      <c r="BF920" s="344"/>
      <c r="BG920" s="344"/>
      <c r="BH920" s="344"/>
      <c r="BI920" s="344"/>
      <c r="BJ920" s="344"/>
      <c r="BK920" s="344"/>
      <c r="BL920" s="344"/>
      <c r="BM920" s="344"/>
      <c r="BN920" s="344"/>
      <c r="BO920" s="344"/>
      <c r="BP920" s="344"/>
      <c r="BQ920" s="344"/>
      <c r="BR920" s="344"/>
      <c r="BS920" s="344"/>
      <c r="BT920" s="344"/>
      <c r="BU920" s="344"/>
      <c r="BV920" s="344"/>
      <c r="BW920" s="344"/>
      <c r="BX920" s="344"/>
      <c r="BY920" s="344"/>
      <c r="BZ920" s="344"/>
      <c r="CA920" s="344"/>
      <c r="CB920" s="28"/>
      <c r="CC920" s="28"/>
      <c r="CD920" s="28"/>
      <c r="CE920" s="28"/>
      <c r="CF920" s="28"/>
      <c r="CG920" s="28"/>
      <c r="CH920" s="28"/>
      <c r="CI920" s="28"/>
      <c r="CJ920" s="28"/>
      <c r="CK920" s="28"/>
      <c r="CL920" s="28"/>
      <c r="CM920" s="28"/>
      <c r="CN920" s="28"/>
      <c r="CO920" s="28"/>
      <c r="CP920" s="28"/>
      <c r="CQ920" s="28"/>
      <c r="CR920" s="28"/>
      <c r="CS920" s="28"/>
      <c r="CT920" s="28"/>
      <c r="CU920" s="28"/>
      <c r="CV920" s="28"/>
      <c r="CW920" s="28"/>
    </row>
    <row r="921" spans="1:101" ht="14.25" customHeight="1" x14ac:dyDescent="0.2">
      <c r="A921" s="328"/>
      <c r="B921" s="52">
        <v>0.17997057966699859</v>
      </c>
      <c r="C921" s="330">
        <v>4.3564936997490214E-2</v>
      </c>
      <c r="D921" s="330">
        <v>4.8328005099323845E-3</v>
      </c>
      <c r="E921" s="330">
        <v>1.8797004625965341E-2</v>
      </c>
      <c r="F921" s="331">
        <v>0.79886418584647356</v>
      </c>
      <c r="G921" s="94">
        <v>0.3998955971676883</v>
      </c>
      <c r="H921" s="330">
        <v>0.98798735645145808</v>
      </c>
      <c r="I921" s="330">
        <v>2.168597726939725E-2</v>
      </c>
      <c r="J921" s="330">
        <v>1</v>
      </c>
      <c r="K921" s="330">
        <v>0.78784659266836476</v>
      </c>
      <c r="L921" s="332">
        <v>14402.739158784725</v>
      </c>
      <c r="M921" s="330">
        <v>0</v>
      </c>
      <c r="N921" s="330">
        <v>17516.383678250895</v>
      </c>
      <c r="O921" s="330">
        <v>972.55039647194405</v>
      </c>
      <c r="P921" s="330">
        <v>43151.64979227911</v>
      </c>
      <c r="Q921" s="333">
        <v>90303.846444029521</v>
      </c>
      <c r="R921" s="330">
        <v>27222.465219289221</v>
      </c>
      <c r="S921" s="330">
        <v>8492.3030011104875</v>
      </c>
      <c r="T921" s="332">
        <v>0.99998202119258173</v>
      </c>
      <c r="U921" s="330">
        <v>0.93336249423834172</v>
      </c>
      <c r="V921" s="330">
        <v>0.99104981104365686</v>
      </c>
      <c r="W921" s="330">
        <v>0.78865106966816101</v>
      </c>
      <c r="X921" s="330">
        <v>0.32847290313886335</v>
      </c>
      <c r="Y921" s="330">
        <v>0</v>
      </c>
      <c r="Z921" s="331">
        <v>0</v>
      </c>
      <c r="AA921" s="235"/>
      <c r="AB921" s="335">
        <v>87673.523563171097</v>
      </c>
      <c r="AC921" s="336">
        <v>1.6201445307885232</v>
      </c>
      <c r="AD921" s="337">
        <v>84029.301606569497</v>
      </c>
      <c r="AE921" s="336">
        <v>1.9252309836864212</v>
      </c>
      <c r="AF921" s="337">
        <v>3644.2219566015992</v>
      </c>
      <c r="AG921" s="338">
        <v>-0.30508645289789804</v>
      </c>
      <c r="AH921" s="235"/>
      <c r="AI921" s="208">
        <f t="shared" si="102"/>
        <v>1451463.7806859259</v>
      </c>
      <c r="AJ921" s="208">
        <f t="shared" si="103"/>
        <v>1744940.1328955307</v>
      </c>
      <c r="AK921" s="208">
        <f t="shared" si="104"/>
        <v>-293476.35220960475</v>
      </c>
      <c r="AL921" s="235"/>
      <c r="AM921" s="52">
        <f t="shared" si="86"/>
        <v>0</v>
      </c>
      <c r="AN921" s="52">
        <f t="shared" si="87"/>
        <v>1</v>
      </c>
      <c r="AO921" s="52">
        <f t="shared" si="88"/>
        <v>0</v>
      </c>
      <c r="AP921" s="235"/>
      <c r="AQ921" s="28"/>
      <c r="AR921" s="28"/>
      <c r="AS921" s="28"/>
      <c r="AT921" s="28"/>
      <c r="AU921" s="235"/>
      <c r="AV921" s="360">
        <f t="shared" si="105"/>
        <v>1744940.1328955307</v>
      </c>
      <c r="AW921" s="235"/>
      <c r="AX921" s="355"/>
      <c r="AY921" s="344"/>
      <c r="AZ921" s="14">
        <f t="shared" si="107"/>
        <v>3644.2219566015992</v>
      </c>
      <c r="BA921" s="14">
        <f t="shared" si="106"/>
        <v>-0.30508645289789804</v>
      </c>
      <c r="BB921" s="14">
        <f t="shared" si="89"/>
        <v>-11944.882907734993</v>
      </c>
      <c r="BC921" s="344"/>
      <c r="BD921" s="344"/>
      <c r="BE921" s="344"/>
      <c r="BF921" s="344"/>
      <c r="BG921" s="344"/>
      <c r="BH921" s="344"/>
      <c r="BI921" s="344"/>
      <c r="BJ921" s="344"/>
      <c r="BK921" s="344"/>
      <c r="BL921" s="344"/>
      <c r="BM921" s="344"/>
      <c r="BN921" s="344"/>
      <c r="BO921" s="344"/>
      <c r="BP921" s="344"/>
      <c r="BQ921" s="344"/>
      <c r="BR921" s="344"/>
      <c r="BS921" s="344"/>
      <c r="BT921" s="344"/>
      <c r="BU921" s="344"/>
      <c r="BV921" s="344"/>
      <c r="BW921" s="344"/>
      <c r="BX921" s="344"/>
      <c r="BY921" s="344"/>
      <c r="BZ921" s="344"/>
      <c r="CA921" s="344"/>
      <c r="CB921" s="28"/>
      <c r="CC921" s="28"/>
      <c r="CD921" s="28"/>
      <c r="CE921" s="28"/>
      <c r="CF921" s="28"/>
      <c r="CG921" s="28"/>
      <c r="CH921" s="28"/>
      <c r="CI921" s="28"/>
      <c r="CJ921" s="28"/>
      <c r="CK921" s="28"/>
      <c r="CL921" s="28"/>
      <c r="CM921" s="28"/>
      <c r="CN921" s="28"/>
      <c r="CO921" s="28"/>
      <c r="CP921" s="28"/>
      <c r="CQ921" s="28"/>
      <c r="CR921" s="28"/>
      <c r="CS921" s="28"/>
      <c r="CT921" s="28"/>
      <c r="CU921" s="28"/>
      <c r="CV921" s="28"/>
      <c r="CW921" s="28"/>
    </row>
    <row r="922" spans="1:101" ht="14.25" customHeight="1" x14ac:dyDescent="0.2">
      <c r="A922" s="328"/>
      <c r="B922" s="52">
        <v>0.17816556091772218</v>
      </c>
      <c r="C922" s="330">
        <v>0.66607945733096208</v>
      </c>
      <c r="D922" s="330">
        <v>7.3439972380555637E-3</v>
      </c>
      <c r="E922" s="330">
        <v>1.0507527584901085E-2</v>
      </c>
      <c r="F922" s="331">
        <v>0.78341591131148924</v>
      </c>
      <c r="G922" s="94">
        <v>0.36242603551462521</v>
      </c>
      <c r="H922" s="330">
        <v>0.99427107341527288</v>
      </c>
      <c r="I922" s="330">
        <v>1.051174614680828E-2</v>
      </c>
      <c r="J922" s="330">
        <v>0.59574634165715801</v>
      </c>
      <c r="K922" s="330">
        <v>0.71831595388627512</v>
      </c>
      <c r="L922" s="332">
        <v>9449.5594424292794</v>
      </c>
      <c r="M922" s="330">
        <v>0</v>
      </c>
      <c r="N922" s="330">
        <v>19909.299569865489</v>
      </c>
      <c r="O922" s="330">
        <v>825.58426304551972</v>
      </c>
      <c r="P922" s="330">
        <v>36483.985586591356</v>
      </c>
      <c r="Q922" s="333">
        <v>106793.83255315562</v>
      </c>
      <c r="R922" s="330">
        <v>23594.583173172548</v>
      </c>
      <c r="S922" s="330">
        <v>8793.6288776703695</v>
      </c>
      <c r="T922" s="332">
        <v>0.99182994469227048</v>
      </c>
      <c r="U922" s="330">
        <v>0.57175868387634288</v>
      </c>
      <c r="V922" s="330">
        <v>0.65099297244265253</v>
      </c>
      <c r="W922" s="330">
        <v>0.99954609340661471</v>
      </c>
      <c r="X922" s="330">
        <v>0.99845406237699919</v>
      </c>
      <c r="Y922" s="330">
        <v>0</v>
      </c>
      <c r="Z922" s="331">
        <v>0</v>
      </c>
      <c r="AA922" s="235"/>
      <c r="AB922" s="335">
        <v>86465.376195457691</v>
      </c>
      <c r="AC922" s="336">
        <v>4.8510387060974454</v>
      </c>
      <c r="AD922" s="337">
        <v>77091.799191381899</v>
      </c>
      <c r="AE922" s="336">
        <v>4.3513190938945749</v>
      </c>
      <c r="AF922" s="337">
        <v>9373.5770040757925</v>
      </c>
      <c r="AG922" s="338">
        <v>0.49971961220287042</v>
      </c>
      <c r="AH922" s="235"/>
      <c r="AI922" s="208">
        <f t="shared" si="102"/>
        <v>4522021.394597115</v>
      </c>
      <c r="AJ922" s="208">
        <f t="shared" si="103"/>
        <v>4056661.3400084646</v>
      </c>
      <c r="AK922" s="208">
        <f t="shared" si="104"/>
        <v>465360.05458865111</v>
      </c>
      <c r="AL922" s="235"/>
      <c r="AM922" s="52">
        <f t="shared" si="86"/>
        <v>1</v>
      </c>
      <c r="AN922" s="52">
        <f t="shared" si="87"/>
        <v>0</v>
      </c>
      <c r="AO922" s="52">
        <f t="shared" si="88"/>
        <v>1</v>
      </c>
      <c r="AP922" s="235"/>
      <c r="AQ922" s="28"/>
      <c r="AR922" s="28"/>
      <c r="AS922" s="28"/>
      <c r="AT922" s="28"/>
      <c r="AU922" s="235"/>
      <c r="AV922" s="360">
        <f t="shared" si="105"/>
        <v>4522021.394597115</v>
      </c>
      <c r="AW922" s="235"/>
      <c r="AX922" s="355"/>
      <c r="AY922" s="344"/>
      <c r="AZ922" s="14">
        <f t="shared" si="107"/>
        <v>9373.5770040757925</v>
      </c>
      <c r="BA922" s="14">
        <f t="shared" si="106"/>
        <v>0.49971961220287042</v>
      </c>
      <c r="BB922" s="14">
        <f t="shared" si="89"/>
        <v>18757.67285329281</v>
      </c>
      <c r="BC922" s="344"/>
      <c r="BD922" s="344"/>
      <c r="BE922" s="344"/>
      <c r="BF922" s="344"/>
      <c r="BG922" s="344"/>
      <c r="BH922" s="344"/>
      <c r="BI922" s="344"/>
      <c r="BJ922" s="344"/>
      <c r="BK922" s="344"/>
      <c r="BL922" s="344"/>
      <c r="BM922" s="344"/>
      <c r="BN922" s="344"/>
      <c r="BO922" s="344"/>
      <c r="BP922" s="344"/>
      <c r="BQ922" s="344"/>
      <c r="BR922" s="344"/>
      <c r="BS922" s="344"/>
      <c r="BT922" s="344"/>
      <c r="BU922" s="344"/>
      <c r="BV922" s="344"/>
      <c r="BW922" s="344"/>
      <c r="BX922" s="344"/>
      <c r="BY922" s="344"/>
      <c r="BZ922" s="344"/>
      <c r="CA922" s="344"/>
      <c r="CB922" s="28"/>
      <c r="CC922" s="28"/>
      <c r="CD922" s="28"/>
      <c r="CE922" s="28"/>
      <c r="CF922" s="28"/>
      <c r="CG922" s="28"/>
      <c r="CH922" s="28"/>
      <c r="CI922" s="28"/>
      <c r="CJ922" s="28"/>
      <c r="CK922" s="28"/>
      <c r="CL922" s="28"/>
      <c r="CM922" s="28"/>
      <c r="CN922" s="28"/>
      <c r="CO922" s="28"/>
      <c r="CP922" s="28"/>
      <c r="CQ922" s="28"/>
      <c r="CR922" s="28"/>
      <c r="CS922" s="28"/>
      <c r="CT922" s="28"/>
      <c r="CU922" s="28"/>
      <c r="CV922" s="28"/>
      <c r="CW922" s="28"/>
    </row>
    <row r="923" spans="1:101" ht="14.25" customHeight="1" x14ac:dyDescent="0.2">
      <c r="A923" s="328"/>
      <c r="B923" s="52">
        <v>0.14474425305824351</v>
      </c>
      <c r="C923" s="330">
        <v>1.5380601628049546E-4</v>
      </c>
      <c r="D923" s="330">
        <v>1.7222174351911423E-2</v>
      </c>
      <c r="E923" s="330">
        <v>2.0339948754121817E-2</v>
      </c>
      <c r="F923" s="331">
        <v>0.7741508290182646</v>
      </c>
      <c r="G923" s="94">
        <v>0.4213000236950073</v>
      </c>
      <c r="H923" s="330">
        <v>0.72844356498528828</v>
      </c>
      <c r="I923" s="330">
        <v>4.6847935338167446E-2</v>
      </c>
      <c r="J923" s="330">
        <v>1</v>
      </c>
      <c r="K923" s="330">
        <v>0.73335586321554791</v>
      </c>
      <c r="L923" s="332">
        <v>16763.759381650187</v>
      </c>
      <c r="M923" s="330">
        <v>0</v>
      </c>
      <c r="N923" s="330">
        <v>26120.200705802577</v>
      </c>
      <c r="O923" s="330">
        <v>993.88826192934721</v>
      </c>
      <c r="P923" s="330">
        <v>45389.252387625565</v>
      </c>
      <c r="Q923" s="333">
        <v>113433.69579299062</v>
      </c>
      <c r="R923" s="330">
        <v>28622.386086132959</v>
      </c>
      <c r="S923" s="330">
        <v>10931.386737640674</v>
      </c>
      <c r="T923" s="332">
        <v>0.99998255089709431</v>
      </c>
      <c r="U923" s="330">
        <v>0.69893570821654039</v>
      </c>
      <c r="V923" s="330">
        <v>0.83907529325990726</v>
      </c>
      <c r="W923" s="330">
        <v>0.99646969042760292</v>
      </c>
      <c r="X923" s="330">
        <v>0.99987927161512125</v>
      </c>
      <c r="Y923" s="330">
        <v>0</v>
      </c>
      <c r="Z923" s="331">
        <v>0</v>
      </c>
      <c r="AA923" s="235"/>
      <c r="AB923" s="335">
        <v>108008.14722152415</v>
      </c>
      <c r="AC923" s="336">
        <v>5.1649057185614486</v>
      </c>
      <c r="AD923" s="337">
        <v>98469.498500479531</v>
      </c>
      <c r="AE923" s="336">
        <v>4.5610731922130174</v>
      </c>
      <c r="AF923" s="337">
        <v>9538.6487210446212</v>
      </c>
      <c r="AG923" s="338">
        <v>0.60383252634843121</v>
      </c>
      <c r="AH923" s="235"/>
      <c r="AI923" s="208">
        <f t="shared" si="102"/>
        <v>4798652.2854118515</v>
      </c>
      <c r="AJ923" s="208">
        <f t="shared" si="103"/>
        <v>4234550.0341018876</v>
      </c>
      <c r="AK923" s="208">
        <f t="shared" si="104"/>
        <v>564102.25130996504</v>
      </c>
      <c r="AL923" s="235"/>
      <c r="AM923" s="52">
        <f t="shared" si="86"/>
        <v>1</v>
      </c>
      <c r="AN923" s="52">
        <f t="shared" si="87"/>
        <v>0</v>
      </c>
      <c r="AO923" s="52">
        <f t="shared" si="88"/>
        <v>1</v>
      </c>
      <c r="AP923" s="235"/>
      <c r="AQ923" s="28"/>
      <c r="AR923" s="28"/>
      <c r="AS923" s="28"/>
      <c r="AT923" s="28"/>
      <c r="AU923" s="235"/>
      <c r="AV923" s="360">
        <f t="shared" si="105"/>
        <v>4798652.2854118515</v>
      </c>
      <c r="AW923" s="235"/>
      <c r="AX923" s="355"/>
      <c r="AY923" s="344"/>
      <c r="AZ923" s="14">
        <f t="shared" si="107"/>
        <v>9538.6487210446212</v>
      </c>
      <c r="BA923" s="14">
        <f t="shared" si="106"/>
        <v>0.60383252634843121</v>
      </c>
      <c r="BB923" s="14">
        <f t="shared" si="89"/>
        <v>15796.844828363068</v>
      </c>
      <c r="BC923" s="344"/>
      <c r="BD923" s="344"/>
      <c r="BE923" s="344"/>
      <c r="BF923" s="344"/>
      <c r="BG923" s="344"/>
      <c r="BH923" s="344"/>
      <c r="BI923" s="344"/>
      <c r="BJ923" s="344"/>
      <c r="BK923" s="344"/>
      <c r="BL923" s="344"/>
      <c r="BM923" s="344"/>
      <c r="BN923" s="344"/>
      <c r="BO923" s="344"/>
      <c r="BP923" s="344"/>
      <c r="BQ923" s="344"/>
      <c r="BR923" s="344"/>
      <c r="BS923" s="344"/>
      <c r="BT923" s="344"/>
      <c r="BU923" s="344"/>
      <c r="BV923" s="344"/>
      <c r="BW923" s="344"/>
      <c r="BX923" s="344"/>
      <c r="BY923" s="344"/>
      <c r="BZ923" s="344"/>
      <c r="CA923" s="344"/>
      <c r="CB923" s="28"/>
      <c r="CC923" s="28"/>
      <c r="CD923" s="28"/>
      <c r="CE923" s="28"/>
      <c r="CF923" s="28"/>
      <c r="CG923" s="28"/>
      <c r="CH923" s="28"/>
      <c r="CI923" s="28"/>
      <c r="CJ923" s="28"/>
      <c r="CK923" s="28"/>
      <c r="CL923" s="28"/>
      <c r="CM923" s="28"/>
      <c r="CN923" s="28"/>
      <c r="CO923" s="28"/>
      <c r="CP923" s="28"/>
      <c r="CQ923" s="28"/>
      <c r="CR923" s="28"/>
      <c r="CS923" s="28"/>
      <c r="CT923" s="28"/>
      <c r="CU923" s="28"/>
      <c r="CV923" s="28"/>
      <c r="CW923" s="28"/>
    </row>
    <row r="924" spans="1:101" ht="14.25" customHeight="1" x14ac:dyDescent="0.2">
      <c r="A924" s="328"/>
      <c r="B924" s="52">
        <v>0.15957344520450922</v>
      </c>
      <c r="C924" s="330">
        <v>0.35839650014635616</v>
      </c>
      <c r="D924" s="330">
        <v>5.3725363977154637E-3</v>
      </c>
      <c r="E924" s="330">
        <v>1.5555042794790142E-2</v>
      </c>
      <c r="F924" s="331">
        <v>0.82393491317139178</v>
      </c>
      <c r="G924" s="94">
        <v>0.34702144041699395</v>
      </c>
      <c r="H924" s="330">
        <v>0.13249811150612512</v>
      </c>
      <c r="I924" s="330">
        <v>1.8261986645100703E-2</v>
      </c>
      <c r="J924" s="330">
        <v>1</v>
      </c>
      <c r="K924" s="330">
        <v>0.74517605725959657</v>
      </c>
      <c r="L924" s="332">
        <v>10360.074190989022</v>
      </c>
      <c r="M924" s="330">
        <v>0</v>
      </c>
      <c r="N924" s="330">
        <v>21032.3745615548</v>
      </c>
      <c r="O924" s="330">
        <v>1030.7471958740039</v>
      </c>
      <c r="P924" s="330">
        <v>59227.481488227611</v>
      </c>
      <c r="Q924" s="333">
        <v>60611.786716347524</v>
      </c>
      <c r="R924" s="330">
        <v>23733.330508714589</v>
      </c>
      <c r="S924" s="330">
        <v>10616.693141032401</v>
      </c>
      <c r="T924" s="332">
        <v>0.6494831809397319</v>
      </c>
      <c r="U924" s="330">
        <v>0.9968945398226442</v>
      </c>
      <c r="V924" s="330">
        <v>0.99055668560791732</v>
      </c>
      <c r="W924" s="330">
        <v>0.42237674607393966</v>
      </c>
      <c r="X924" s="330">
        <v>0.87811295828507541</v>
      </c>
      <c r="Y924" s="330">
        <v>0</v>
      </c>
      <c r="Z924" s="331">
        <v>0</v>
      </c>
      <c r="AA924" s="235"/>
      <c r="AB924" s="335">
        <v>105805.97104323414</v>
      </c>
      <c r="AC924" s="336">
        <v>4.8008427942294256</v>
      </c>
      <c r="AD924" s="337">
        <v>87273.714124583377</v>
      </c>
      <c r="AE924" s="336">
        <v>4.0952530807245795</v>
      </c>
      <c r="AF924" s="337">
        <v>18532.256918650761</v>
      </c>
      <c r="AG924" s="338">
        <v>0.70558971350484612</v>
      </c>
      <c r="AH924" s="235"/>
      <c r="AI924" s="208">
        <f t="shared" si="102"/>
        <v>4454994.6834747205</v>
      </c>
      <c r="AJ924" s="208">
        <f t="shared" si="103"/>
        <v>3803216.7125637676</v>
      </c>
      <c r="AK924" s="208">
        <f t="shared" si="104"/>
        <v>651777.97091095312</v>
      </c>
      <c r="AL924" s="235"/>
      <c r="AM924" s="52">
        <f t="shared" si="86"/>
        <v>1</v>
      </c>
      <c r="AN924" s="52">
        <f t="shared" si="87"/>
        <v>0</v>
      </c>
      <c r="AO924" s="52">
        <f t="shared" si="88"/>
        <v>1</v>
      </c>
      <c r="AP924" s="235"/>
      <c r="AQ924" s="28"/>
      <c r="AR924" s="28"/>
      <c r="AS924" s="28"/>
      <c r="AT924" s="28"/>
      <c r="AU924" s="235"/>
      <c r="AV924" s="360">
        <f t="shared" si="105"/>
        <v>4454994.6834747205</v>
      </c>
      <c r="AW924" s="235"/>
      <c r="AX924" s="355"/>
      <c r="AY924" s="344"/>
      <c r="AZ924" s="14">
        <f t="shared" si="107"/>
        <v>18532.256918650761</v>
      </c>
      <c r="BA924" s="14">
        <f t="shared" si="106"/>
        <v>0.70558971350484612</v>
      </c>
      <c r="BB924" s="14">
        <f t="shared" si="89"/>
        <v>26264.919348946089</v>
      </c>
      <c r="BC924" s="344"/>
      <c r="BD924" s="344"/>
      <c r="BE924" s="344"/>
      <c r="BF924" s="344"/>
      <c r="BG924" s="344"/>
      <c r="BH924" s="344"/>
      <c r="BI924" s="344"/>
      <c r="BJ924" s="344"/>
      <c r="BK924" s="344"/>
      <c r="BL924" s="344"/>
      <c r="BM924" s="344"/>
      <c r="BN924" s="344"/>
      <c r="BO924" s="344"/>
      <c r="BP924" s="344"/>
      <c r="BQ924" s="344"/>
      <c r="BR924" s="344"/>
      <c r="BS924" s="344"/>
      <c r="BT924" s="344"/>
      <c r="BU924" s="344"/>
      <c r="BV924" s="344"/>
      <c r="BW924" s="344"/>
      <c r="BX924" s="344"/>
      <c r="BY924" s="344"/>
      <c r="BZ924" s="344"/>
      <c r="CA924" s="344"/>
      <c r="CB924" s="28"/>
      <c r="CC924" s="28"/>
      <c r="CD924" s="28"/>
      <c r="CE924" s="28"/>
      <c r="CF924" s="28"/>
      <c r="CG924" s="28"/>
      <c r="CH924" s="28"/>
      <c r="CI924" s="28"/>
      <c r="CJ924" s="28"/>
      <c r="CK924" s="28"/>
      <c r="CL924" s="28"/>
      <c r="CM924" s="28"/>
      <c r="CN924" s="28"/>
      <c r="CO924" s="28"/>
      <c r="CP924" s="28"/>
      <c r="CQ924" s="28"/>
      <c r="CR924" s="28"/>
      <c r="CS924" s="28"/>
      <c r="CT924" s="28"/>
      <c r="CU924" s="28"/>
      <c r="CV924" s="28"/>
      <c r="CW924" s="28"/>
    </row>
    <row r="925" spans="1:101" ht="14.25" customHeight="1" x14ac:dyDescent="0.2">
      <c r="A925" s="328"/>
      <c r="B925" s="52">
        <v>0.14559810175913521</v>
      </c>
      <c r="C925" s="330">
        <v>2.7860786561534536E-2</v>
      </c>
      <c r="D925" s="330">
        <v>1.1101902632838011E-2</v>
      </c>
      <c r="E925" s="330">
        <v>6.6362252644800706E-3</v>
      </c>
      <c r="F925" s="331">
        <v>0.8179342876357647</v>
      </c>
      <c r="G925" s="94">
        <v>0.39107610411095473</v>
      </c>
      <c r="H925" s="330">
        <v>0.3826432059842601</v>
      </c>
      <c r="I925" s="330">
        <v>5.7033163001299738E-3</v>
      </c>
      <c r="J925" s="330">
        <v>0.9999093378374283</v>
      </c>
      <c r="K925" s="330">
        <v>0.72410874240381906</v>
      </c>
      <c r="L925" s="332">
        <v>9375.9950616934912</v>
      </c>
      <c r="M925" s="330">
        <v>0</v>
      </c>
      <c r="N925" s="330">
        <v>19221.347786015904</v>
      </c>
      <c r="O925" s="330">
        <v>1362.6206771618308</v>
      </c>
      <c r="P925" s="330">
        <v>39744.496773332619</v>
      </c>
      <c r="Q925" s="333">
        <v>90303.590739044987</v>
      </c>
      <c r="R925" s="330">
        <v>22639.66076257571</v>
      </c>
      <c r="S925" s="330">
        <v>6622.0151041355375</v>
      </c>
      <c r="T925" s="332">
        <v>0.21137238063257666</v>
      </c>
      <c r="U925" s="330">
        <v>0.99813813215730685</v>
      </c>
      <c r="V925" s="330">
        <v>0.89294457232959235</v>
      </c>
      <c r="W925" s="330">
        <v>0.99231665267268232</v>
      </c>
      <c r="X925" s="330">
        <v>0.99953140956294795</v>
      </c>
      <c r="Y925" s="330">
        <v>0</v>
      </c>
      <c r="Z925" s="331">
        <v>0</v>
      </c>
      <c r="AA925" s="235"/>
      <c r="AB925" s="335">
        <v>67937.181554103794</v>
      </c>
      <c r="AC925" s="336">
        <v>4.9644568101334485</v>
      </c>
      <c r="AD925" s="337">
        <v>55692.641867907521</v>
      </c>
      <c r="AE925" s="336">
        <v>4.7255903756607367</v>
      </c>
      <c r="AF925" s="337">
        <v>12244.539686196273</v>
      </c>
      <c r="AG925" s="338">
        <v>0.23886643447271183</v>
      </c>
      <c r="AH925" s="235"/>
      <c r="AI925" s="208">
        <f t="shared" si="102"/>
        <v>4648296.7880726717</v>
      </c>
      <c r="AJ925" s="208">
        <f t="shared" si="103"/>
        <v>4433618.2150097918</v>
      </c>
      <c r="AK925" s="208">
        <f t="shared" si="104"/>
        <v>214678.57306287996</v>
      </c>
      <c r="AL925" s="235"/>
      <c r="AM925" s="52">
        <f t="shared" si="86"/>
        <v>1</v>
      </c>
      <c r="AN925" s="52">
        <f t="shared" si="87"/>
        <v>0</v>
      </c>
      <c r="AO925" s="52">
        <f t="shared" si="88"/>
        <v>1</v>
      </c>
      <c r="AP925" s="235"/>
      <c r="AQ925" s="28"/>
      <c r="AR925" s="28"/>
      <c r="AS925" s="28"/>
      <c r="AT925" s="28"/>
      <c r="AU925" s="235"/>
      <c r="AV925" s="360">
        <f t="shared" si="105"/>
        <v>4648296.7880726717</v>
      </c>
      <c r="AW925" s="235"/>
      <c r="AX925" s="355"/>
      <c r="AY925" s="344"/>
      <c r="AZ925" s="14">
        <f t="shared" si="107"/>
        <v>12244.539686196273</v>
      </c>
      <c r="BA925" s="14">
        <f t="shared" si="106"/>
        <v>0.23886643447271183</v>
      </c>
      <c r="BB925" s="14">
        <f t="shared" si="89"/>
        <v>51261.030932309965</v>
      </c>
      <c r="BC925" s="344"/>
      <c r="BD925" s="344"/>
      <c r="BE925" s="344"/>
      <c r="BF925" s="344"/>
      <c r="BG925" s="344"/>
      <c r="BH925" s="344"/>
      <c r="BI925" s="344"/>
      <c r="BJ925" s="344"/>
      <c r="BK925" s="344"/>
      <c r="BL925" s="344"/>
      <c r="BM925" s="344"/>
      <c r="BN925" s="344"/>
      <c r="BO925" s="344"/>
      <c r="BP925" s="344"/>
      <c r="BQ925" s="344"/>
      <c r="BR925" s="344"/>
      <c r="BS925" s="344"/>
      <c r="BT925" s="344"/>
      <c r="BU925" s="344"/>
      <c r="BV925" s="344"/>
      <c r="BW925" s="344"/>
      <c r="BX925" s="344"/>
      <c r="BY925" s="344"/>
      <c r="BZ925" s="344"/>
      <c r="CA925" s="344"/>
      <c r="CB925" s="28"/>
      <c r="CC925" s="28"/>
      <c r="CD925" s="28"/>
      <c r="CE925" s="28"/>
      <c r="CF925" s="28"/>
      <c r="CG925" s="28"/>
      <c r="CH925" s="28"/>
      <c r="CI925" s="28"/>
      <c r="CJ925" s="28"/>
      <c r="CK925" s="28"/>
      <c r="CL925" s="28"/>
      <c r="CM925" s="28"/>
      <c r="CN925" s="28"/>
      <c r="CO925" s="28"/>
      <c r="CP925" s="28"/>
      <c r="CQ925" s="28"/>
      <c r="CR925" s="28"/>
      <c r="CS925" s="28"/>
      <c r="CT925" s="28"/>
      <c r="CU925" s="28"/>
      <c r="CV925" s="28"/>
      <c r="CW925" s="28"/>
    </row>
    <row r="926" spans="1:101" ht="14.25" customHeight="1" x14ac:dyDescent="0.2">
      <c r="A926" s="328"/>
      <c r="B926" s="52">
        <v>0.15295899275001229</v>
      </c>
      <c r="C926" s="330">
        <v>0.55706181684010603</v>
      </c>
      <c r="D926" s="330">
        <v>7.983609733966222E-3</v>
      </c>
      <c r="E926" s="330">
        <v>1.1312510344240813E-2</v>
      </c>
      <c r="F926" s="331">
        <v>0.72372395753666241</v>
      </c>
      <c r="G926" s="94">
        <v>0.36526925265463922</v>
      </c>
      <c r="H926" s="330">
        <v>0.7762493564963816</v>
      </c>
      <c r="I926" s="330">
        <v>1.7093743869744826E-2</v>
      </c>
      <c r="J926" s="330">
        <v>0.92344561499711098</v>
      </c>
      <c r="K926" s="330">
        <v>0.75998789439641212</v>
      </c>
      <c r="L926" s="332">
        <v>15606.551162523258</v>
      </c>
      <c r="M926" s="330">
        <v>0</v>
      </c>
      <c r="N926" s="330">
        <v>18293.653609193509</v>
      </c>
      <c r="O926" s="330">
        <v>1870.0133581450095</v>
      </c>
      <c r="P926" s="330">
        <v>40018.616150639158</v>
      </c>
      <c r="Q926" s="333">
        <v>102550.29334985361</v>
      </c>
      <c r="R926" s="330">
        <v>21833.469522290568</v>
      </c>
      <c r="S926" s="330">
        <v>9523.3622778987647</v>
      </c>
      <c r="T926" s="332">
        <v>0.9999989531948883</v>
      </c>
      <c r="U926" s="330">
        <v>0.99999991043959047</v>
      </c>
      <c r="V926" s="330">
        <v>0.89983518381156213</v>
      </c>
      <c r="W926" s="330">
        <v>0.65973979154037754</v>
      </c>
      <c r="X926" s="330">
        <v>0.85306804565359429</v>
      </c>
      <c r="Y926" s="330">
        <v>0</v>
      </c>
      <c r="Z926" s="331">
        <v>0</v>
      </c>
      <c r="AA926" s="235"/>
      <c r="AB926" s="335">
        <v>91841.709768660585</v>
      </c>
      <c r="AC926" s="336">
        <v>3.8706161279518012</v>
      </c>
      <c r="AD926" s="337">
        <v>85489.15339465352</v>
      </c>
      <c r="AE926" s="336">
        <v>4.2704351836982823</v>
      </c>
      <c r="AF926" s="337">
        <v>6352.5563740070647</v>
      </c>
      <c r="AG926" s="338">
        <v>-0.39981905574648113</v>
      </c>
      <c r="AH926" s="235"/>
      <c r="AI926" s="208">
        <f t="shared" si="102"/>
        <v>3585243.6117855506</v>
      </c>
      <c r="AJ926" s="208">
        <f t="shared" si="103"/>
        <v>3971424.2711187149</v>
      </c>
      <c r="AK926" s="208">
        <f t="shared" si="104"/>
        <v>-386180.65933316416</v>
      </c>
      <c r="AL926" s="235"/>
      <c r="AM926" s="52">
        <f t="shared" si="86"/>
        <v>0</v>
      </c>
      <c r="AN926" s="52">
        <f t="shared" si="87"/>
        <v>1</v>
      </c>
      <c r="AO926" s="52">
        <f t="shared" si="88"/>
        <v>0</v>
      </c>
      <c r="AP926" s="235"/>
      <c r="AQ926" s="28"/>
      <c r="AR926" s="28"/>
      <c r="AS926" s="28"/>
      <c r="AT926" s="28"/>
      <c r="AU926" s="235"/>
      <c r="AV926" s="360">
        <f t="shared" si="105"/>
        <v>3971424.2711187149</v>
      </c>
      <c r="AW926" s="235"/>
      <c r="AX926" s="355"/>
      <c r="AY926" s="344"/>
      <c r="AZ926" s="14">
        <f t="shared" si="107"/>
        <v>6352.5563740070647</v>
      </c>
      <c r="BA926" s="14">
        <f t="shared" si="106"/>
        <v>-0.39981905574648113</v>
      </c>
      <c r="BB926" s="14">
        <f t="shared" si="89"/>
        <v>-15888.578302368658</v>
      </c>
      <c r="BC926" s="344"/>
      <c r="BD926" s="344"/>
      <c r="BE926" s="344"/>
      <c r="BF926" s="344"/>
      <c r="BG926" s="344"/>
      <c r="BH926" s="344"/>
      <c r="BI926" s="344"/>
      <c r="BJ926" s="344"/>
      <c r="BK926" s="344"/>
      <c r="BL926" s="344"/>
      <c r="BM926" s="344"/>
      <c r="BN926" s="344"/>
      <c r="BO926" s="344"/>
      <c r="BP926" s="344"/>
      <c r="BQ926" s="344"/>
      <c r="BR926" s="344"/>
      <c r="BS926" s="344"/>
      <c r="BT926" s="344"/>
      <c r="BU926" s="344"/>
      <c r="BV926" s="344"/>
      <c r="BW926" s="344"/>
      <c r="BX926" s="344"/>
      <c r="BY926" s="344"/>
      <c r="BZ926" s="344"/>
      <c r="CA926" s="344"/>
      <c r="CB926" s="28"/>
      <c r="CC926" s="28"/>
      <c r="CD926" s="28"/>
      <c r="CE926" s="28"/>
      <c r="CF926" s="28"/>
      <c r="CG926" s="28"/>
      <c r="CH926" s="28"/>
      <c r="CI926" s="28"/>
      <c r="CJ926" s="28"/>
      <c r="CK926" s="28"/>
      <c r="CL926" s="28"/>
      <c r="CM926" s="28"/>
      <c r="CN926" s="28"/>
      <c r="CO926" s="28"/>
      <c r="CP926" s="28"/>
      <c r="CQ926" s="28"/>
      <c r="CR926" s="28"/>
      <c r="CS926" s="28"/>
      <c r="CT926" s="28"/>
      <c r="CU926" s="28"/>
      <c r="CV926" s="28"/>
      <c r="CW926" s="28"/>
    </row>
    <row r="927" spans="1:101" ht="14.25" customHeight="1" x14ac:dyDescent="0.2">
      <c r="A927" s="328"/>
      <c r="B927" s="52">
        <v>0.17842172325457595</v>
      </c>
      <c r="C927" s="330">
        <v>0.49140134636948685</v>
      </c>
      <c r="D927" s="330">
        <v>1.3187806798036432E-2</v>
      </c>
      <c r="E927" s="330">
        <v>3.941484296377451E-2</v>
      </c>
      <c r="F927" s="331">
        <v>0.77913745649014587</v>
      </c>
      <c r="G927" s="94">
        <v>0.37235562368725911</v>
      </c>
      <c r="H927" s="330">
        <v>0.65925610292808456</v>
      </c>
      <c r="I927" s="330">
        <v>3.6962883006712466E-2</v>
      </c>
      <c r="J927" s="330">
        <v>1</v>
      </c>
      <c r="K927" s="330">
        <v>0.7455281224343272</v>
      </c>
      <c r="L927" s="332">
        <v>9489.57412034966</v>
      </c>
      <c r="M927" s="330">
        <v>0</v>
      </c>
      <c r="N927" s="330">
        <v>19264.54785651165</v>
      </c>
      <c r="O927" s="330">
        <v>1371.7493767940391</v>
      </c>
      <c r="P927" s="330">
        <v>62510.29200350977</v>
      </c>
      <c r="Q927" s="333">
        <v>84816.757617739684</v>
      </c>
      <c r="R927" s="330">
        <v>18585.517342355142</v>
      </c>
      <c r="S927" s="330">
        <v>9738.1886896393626</v>
      </c>
      <c r="T927" s="332">
        <v>0.99964749426898436</v>
      </c>
      <c r="U927" s="330">
        <v>0.21182739891255228</v>
      </c>
      <c r="V927" s="330">
        <v>0.92847648240668457</v>
      </c>
      <c r="W927" s="330">
        <v>0.98441982312593623</v>
      </c>
      <c r="X927" s="330">
        <v>0.99999865874318317</v>
      </c>
      <c r="Y927" s="330">
        <v>0</v>
      </c>
      <c r="Z927" s="331">
        <v>0</v>
      </c>
      <c r="AA927" s="235"/>
      <c r="AB927" s="335">
        <v>92993.008219428215</v>
      </c>
      <c r="AC927" s="336">
        <v>5.1353018329373192</v>
      </c>
      <c r="AD927" s="337">
        <v>85232.771021465509</v>
      </c>
      <c r="AE927" s="336">
        <v>4.5706918814239987</v>
      </c>
      <c r="AF927" s="337">
        <v>7760.237197962706</v>
      </c>
      <c r="AG927" s="338">
        <v>0.5646099515133205</v>
      </c>
      <c r="AH927" s="235"/>
      <c r="AI927" s="208">
        <f t="shared" si="102"/>
        <v>4785543.7330710245</v>
      </c>
      <c r="AJ927" s="208">
        <f t="shared" si="103"/>
        <v>4256924.5163313327</v>
      </c>
      <c r="AK927" s="208">
        <f t="shared" si="104"/>
        <v>528619.21673969179</v>
      </c>
      <c r="AL927" s="235"/>
      <c r="AM927" s="52">
        <f t="shared" si="86"/>
        <v>1</v>
      </c>
      <c r="AN927" s="52">
        <f t="shared" si="87"/>
        <v>0</v>
      </c>
      <c r="AO927" s="52">
        <f t="shared" si="88"/>
        <v>1</v>
      </c>
      <c r="AP927" s="235"/>
      <c r="AQ927" s="28"/>
      <c r="AR927" s="28"/>
      <c r="AS927" s="28"/>
      <c r="AT927" s="28"/>
      <c r="AU927" s="235"/>
      <c r="AV927" s="360">
        <f t="shared" si="105"/>
        <v>4785543.7330710245</v>
      </c>
      <c r="AW927" s="235"/>
      <c r="AX927" s="355"/>
      <c r="AY927" s="344"/>
      <c r="AZ927" s="14">
        <f t="shared" si="107"/>
        <v>7760.237197962706</v>
      </c>
      <c r="BA927" s="14">
        <f t="shared" si="106"/>
        <v>0.5646099515133205</v>
      </c>
      <c r="BB927" s="14">
        <f t="shared" si="89"/>
        <v>13744.421573093055</v>
      </c>
      <c r="BC927" s="344"/>
      <c r="BD927" s="344"/>
      <c r="BE927" s="344"/>
      <c r="BF927" s="344"/>
      <c r="BG927" s="344"/>
      <c r="BH927" s="344"/>
      <c r="BI927" s="344"/>
      <c r="BJ927" s="344"/>
      <c r="BK927" s="344"/>
      <c r="BL927" s="344"/>
      <c r="BM927" s="344"/>
      <c r="BN927" s="344"/>
      <c r="BO927" s="344"/>
      <c r="BP927" s="344"/>
      <c r="BQ927" s="344"/>
      <c r="BR927" s="344"/>
      <c r="BS927" s="344"/>
      <c r="BT927" s="344"/>
      <c r="BU927" s="344"/>
      <c r="BV927" s="344"/>
      <c r="BW927" s="344"/>
      <c r="BX927" s="344"/>
      <c r="BY927" s="344"/>
      <c r="BZ927" s="344"/>
      <c r="CA927" s="344"/>
      <c r="CB927" s="28"/>
      <c r="CC927" s="28"/>
      <c r="CD927" s="28"/>
      <c r="CE927" s="28"/>
      <c r="CF927" s="28"/>
      <c r="CG927" s="28"/>
      <c r="CH927" s="28"/>
      <c r="CI927" s="28"/>
      <c r="CJ927" s="28"/>
      <c r="CK927" s="28"/>
      <c r="CL927" s="28"/>
      <c r="CM927" s="28"/>
      <c r="CN927" s="28"/>
      <c r="CO927" s="28"/>
      <c r="CP927" s="28"/>
      <c r="CQ927" s="28"/>
      <c r="CR927" s="28"/>
      <c r="CS927" s="28"/>
      <c r="CT927" s="28"/>
      <c r="CU927" s="28"/>
      <c r="CV927" s="28"/>
      <c r="CW927" s="28"/>
    </row>
    <row r="928" spans="1:101" ht="14.25" customHeight="1" x14ac:dyDescent="0.2">
      <c r="A928" s="328"/>
      <c r="B928" s="52">
        <v>0.17831009286511079</v>
      </c>
      <c r="C928" s="330">
        <v>0.75164473777332486</v>
      </c>
      <c r="D928" s="330">
        <v>4.8566379965317681E-3</v>
      </c>
      <c r="E928" s="330">
        <v>1.87156132238393E-2</v>
      </c>
      <c r="F928" s="331">
        <v>0.79372114611922662</v>
      </c>
      <c r="G928" s="94">
        <v>0.33187035856183167</v>
      </c>
      <c r="H928" s="330">
        <v>0.28579560439256352</v>
      </c>
      <c r="I928" s="330">
        <v>1.453812331071342E-2</v>
      </c>
      <c r="J928" s="330">
        <v>0.98340752766273065</v>
      </c>
      <c r="K928" s="330">
        <v>0.7911348920334349</v>
      </c>
      <c r="L928" s="332">
        <v>11830.970127888326</v>
      </c>
      <c r="M928" s="330">
        <v>0</v>
      </c>
      <c r="N928" s="330">
        <v>17417.661585867812</v>
      </c>
      <c r="O928" s="330">
        <v>948.5792760215038</v>
      </c>
      <c r="P928" s="330">
        <v>53842.534694063383</v>
      </c>
      <c r="Q928" s="333">
        <v>131582.07421408789</v>
      </c>
      <c r="R928" s="330">
        <v>22723.740624446149</v>
      </c>
      <c r="S928" s="330">
        <v>8234.3824465763282</v>
      </c>
      <c r="T928" s="332">
        <v>0.46439706952782112</v>
      </c>
      <c r="U928" s="330">
        <v>0.88603906282564737</v>
      </c>
      <c r="V928" s="330">
        <v>0.63583363582753705</v>
      </c>
      <c r="W928" s="330">
        <v>0.98678631308999454</v>
      </c>
      <c r="X928" s="330">
        <v>0.87902466199119633</v>
      </c>
      <c r="Y928" s="330">
        <v>0</v>
      </c>
      <c r="Z928" s="331">
        <v>0</v>
      </c>
      <c r="AA928" s="235"/>
      <c r="AB928" s="335">
        <v>85298.001895898706</v>
      </c>
      <c r="AC928" s="336">
        <v>4.3879587489567724</v>
      </c>
      <c r="AD928" s="337">
        <v>73402.807393203315</v>
      </c>
      <c r="AE928" s="336">
        <v>4.431009993290604</v>
      </c>
      <c r="AF928" s="337">
        <v>11895.194502695391</v>
      </c>
      <c r="AG928" s="338">
        <v>-4.3051244333831562E-2</v>
      </c>
      <c r="AH928" s="235"/>
      <c r="AI928" s="208">
        <f t="shared" si="102"/>
        <v>4083262.8096130355</v>
      </c>
      <c r="AJ928" s="208">
        <f t="shared" si="103"/>
        <v>4136056.6862328704</v>
      </c>
      <c r="AK928" s="208">
        <f t="shared" si="104"/>
        <v>-52793.876619835377</v>
      </c>
      <c r="AL928" s="235"/>
      <c r="AM928" s="52">
        <f t="shared" si="86"/>
        <v>0</v>
      </c>
      <c r="AN928" s="52">
        <f t="shared" si="87"/>
        <v>1</v>
      </c>
      <c r="AO928" s="52">
        <f t="shared" si="88"/>
        <v>0</v>
      </c>
      <c r="AP928" s="235"/>
      <c r="AQ928" s="28"/>
      <c r="AR928" s="28"/>
      <c r="AS928" s="28"/>
      <c r="AT928" s="28"/>
      <c r="AU928" s="235"/>
      <c r="AV928" s="360">
        <f t="shared" si="105"/>
        <v>4136056.6862328704</v>
      </c>
      <c r="AW928" s="235"/>
      <c r="AX928" s="355"/>
      <c r="AY928" s="344"/>
      <c r="AZ928" s="14">
        <f t="shared" si="107"/>
        <v>11895.194502695391</v>
      </c>
      <c r="BA928" s="14">
        <f t="shared" si="106"/>
        <v>-4.3051244333831562E-2</v>
      </c>
      <c r="BB928" s="14">
        <f t="shared" si="89"/>
        <v>-276303.1519009457</v>
      </c>
      <c r="BC928" s="344"/>
      <c r="BD928" s="344"/>
      <c r="BE928" s="344"/>
      <c r="BF928" s="344"/>
      <c r="BG928" s="344"/>
      <c r="BH928" s="344"/>
      <c r="BI928" s="344"/>
      <c r="BJ928" s="344"/>
      <c r="BK928" s="344"/>
      <c r="BL928" s="344"/>
      <c r="BM928" s="344"/>
      <c r="BN928" s="344"/>
      <c r="BO928" s="344"/>
      <c r="BP928" s="344"/>
      <c r="BQ928" s="344"/>
      <c r="BR928" s="344"/>
      <c r="BS928" s="344"/>
      <c r="BT928" s="344"/>
      <c r="BU928" s="344"/>
      <c r="BV928" s="344"/>
      <c r="BW928" s="344"/>
      <c r="BX928" s="344"/>
      <c r="BY928" s="344"/>
      <c r="BZ928" s="344"/>
      <c r="CA928" s="344"/>
      <c r="CB928" s="28"/>
      <c r="CC928" s="28"/>
      <c r="CD928" s="28"/>
      <c r="CE928" s="28"/>
      <c r="CF928" s="28"/>
      <c r="CG928" s="28"/>
      <c r="CH928" s="28"/>
      <c r="CI928" s="28"/>
      <c r="CJ928" s="28"/>
      <c r="CK928" s="28"/>
      <c r="CL928" s="28"/>
      <c r="CM928" s="28"/>
      <c r="CN928" s="28"/>
      <c r="CO928" s="28"/>
      <c r="CP928" s="28"/>
      <c r="CQ928" s="28"/>
      <c r="CR928" s="28"/>
      <c r="CS928" s="28"/>
      <c r="CT928" s="28"/>
      <c r="CU928" s="28"/>
      <c r="CV928" s="28"/>
      <c r="CW928" s="28"/>
    </row>
    <row r="929" spans="1:101" ht="14.25" customHeight="1" x14ac:dyDescent="0.2">
      <c r="A929" s="328"/>
      <c r="B929" s="52">
        <v>0.19687682795266492</v>
      </c>
      <c r="C929" s="330">
        <v>0.11981697128366925</v>
      </c>
      <c r="D929" s="330">
        <v>1.1604143438934011E-2</v>
      </c>
      <c r="E929" s="330">
        <v>1.9562384299230295E-2</v>
      </c>
      <c r="F929" s="331">
        <v>0.78386390522737104</v>
      </c>
      <c r="G929" s="94">
        <v>0.40716976610641842</v>
      </c>
      <c r="H929" s="330">
        <v>0.97382253015090425</v>
      </c>
      <c r="I929" s="330">
        <v>2.1431983145910549E-2</v>
      </c>
      <c r="J929" s="330">
        <v>0.99999879503457045</v>
      </c>
      <c r="K929" s="330">
        <v>0.74696708255666977</v>
      </c>
      <c r="L929" s="332">
        <v>12114.72272392473</v>
      </c>
      <c r="M929" s="330">
        <v>0</v>
      </c>
      <c r="N929" s="330">
        <v>17808.579239060567</v>
      </c>
      <c r="O929" s="330">
        <v>1090.9443956340824</v>
      </c>
      <c r="P929" s="330">
        <v>52722.644023200759</v>
      </c>
      <c r="Q929" s="333">
        <v>93005.763598155812</v>
      </c>
      <c r="R929" s="330">
        <v>21256.417763881032</v>
      </c>
      <c r="S929" s="330">
        <v>9905.3492930478387</v>
      </c>
      <c r="T929" s="332">
        <v>0.26551486980239503</v>
      </c>
      <c r="U929" s="330">
        <v>0.97272547133761655</v>
      </c>
      <c r="V929" s="330">
        <v>0.91022249023153745</v>
      </c>
      <c r="W929" s="330">
        <v>1.2870270084047028E-2</v>
      </c>
      <c r="X929" s="330">
        <v>0.34384668845705896</v>
      </c>
      <c r="Y929" s="330">
        <v>0</v>
      </c>
      <c r="Z929" s="331">
        <v>0</v>
      </c>
      <c r="AA929" s="235"/>
      <c r="AB929" s="335">
        <v>96368.621273734097</v>
      </c>
      <c r="AC929" s="336">
        <v>1.6789370504370134</v>
      </c>
      <c r="AD929" s="337">
        <v>89541.34707177087</v>
      </c>
      <c r="AE929" s="336">
        <v>1.8473932906038208</v>
      </c>
      <c r="AF929" s="337">
        <v>6827.2742019632278</v>
      </c>
      <c r="AG929" s="338">
        <v>-0.16845624016680749</v>
      </c>
      <c r="AH929" s="235"/>
      <c r="AI929" s="208">
        <f t="shared" si="102"/>
        <v>1498621.5766414285</v>
      </c>
      <c r="AJ929" s="208">
        <f t="shared" si="103"/>
        <v>1665482.279001859</v>
      </c>
      <c r="AK929" s="208">
        <f t="shared" si="104"/>
        <v>-166860.70236043032</v>
      </c>
      <c r="AL929" s="235"/>
      <c r="AM929" s="52">
        <f t="shared" si="86"/>
        <v>0</v>
      </c>
      <c r="AN929" s="52">
        <f t="shared" si="87"/>
        <v>1</v>
      </c>
      <c r="AO929" s="52">
        <f t="shared" si="88"/>
        <v>0</v>
      </c>
      <c r="AP929" s="235"/>
      <c r="AQ929" s="28"/>
      <c r="AR929" s="28"/>
      <c r="AS929" s="28"/>
      <c r="AT929" s="28"/>
      <c r="AU929" s="235"/>
      <c r="AV929" s="360">
        <f t="shared" si="105"/>
        <v>1665482.279001859</v>
      </c>
      <c r="AW929" s="235"/>
      <c r="AX929" s="355"/>
      <c r="AY929" s="344"/>
      <c r="AZ929" s="14">
        <f t="shared" si="107"/>
        <v>6827.2742019632278</v>
      </c>
      <c r="BA929" s="14">
        <f t="shared" si="106"/>
        <v>-0.16845624016680749</v>
      </c>
      <c r="BB929" s="14">
        <f t="shared" si="89"/>
        <v>-40528.473122769305</v>
      </c>
      <c r="BC929" s="344"/>
      <c r="BD929" s="344"/>
      <c r="BE929" s="344"/>
      <c r="BF929" s="344"/>
      <c r="BG929" s="344"/>
      <c r="BH929" s="344"/>
      <c r="BI929" s="344"/>
      <c r="BJ929" s="344"/>
      <c r="BK929" s="344"/>
      <c r="BL929" s="344"/>
      <c r="BM929" s="344"/>
      <c r="BN929" s="344"/>
      <c r="BO929" s="344"/>
      <c r="BP929" s="344"/>
      <c r="BQ929" s="344"/>
      <c r="BR929" s="344"/>
      <c r="BS929" s="344"/>
      <c r="BT929" s="344"/>
      <c r="BU929" s="344"/>
      <c r="BV929" s="344"/>
      <c r="BW929" s="344"/>
      <c r="BX929" s="344"/>
      <c r="BY929" s="344"/>
      <c r="BZ929" s="344"/>
      <c r="CA929" s="344"/>
      <c r="CB929" s="28"/>
      <c r="CC929" s="28"/>
      <c r="CD929" s="28"/>
      <c r="CE929" s="28"/>
      <c r="CF929" s="28"/>
      <c r="CG929" s="28"/>
      <c r="CH929" s="28"/>
      <c r="CI929" s="28"/>
      <c r="CJ929" s="28"/>
      <c r="CK929" s="28"/>
      <c r="CL929" s="28"/>
      <c r="CM929" s="28"/>
      <c r="CN929" s="28"/>
      <c r="CO929" s="28"/>
      <c r="CP929" s="28"/>
      <c r="CQ929" s="28"/>
      <c r="CR929" s="28"/>
      <c r="CS929" s="28"/>
      <c r="CT929" s="28"/>
      <c r="CU929" s="28"/>
      <c r="CV929" s="28"/>
      <c r="CW929" s="28"/>
    </row>
    <row r="930" spans="1:101" ht="14.25" customHeight="1" x14ac:dyDescent="0.2">
      <c r="A930" s="328"/>
      <c r="B930" s="52">
        <v>0.15025841457484801</v>
      </c>
      <c r="C930" s="330">
        <v>5.1255491673178534E-2</v>
      </c>
      <c r="D930" s="330">
        <v>1.826074610476669E-2</v>
      </c>
      <c r="E930" s="330">
        <v>2.6185998808570532E-2</v>
      </c>
      <c r="F930" s="331">
        <v>0.79013082840111259</v>
      </c>
      <c r="G930" s="94">
        <v>0.39796447022708886</v>
      </c>
      <c r="H930" s="330">
        <v>0.13475629762395405</v>
      </c>
      <c r="I930" s="330">
        <v>2.4814465819125386E-2</v>
      </c>
      <c r="J930" s="330">
        <v>0.82788535849933798</v>
      </c>
      <c r="K930" s="330">
        <v>0.77937299513515534</v>
      </c>
      <c r="L930" s="332">
        <v>13313.77689842007</v>
      </c>
      <c r="M930" s="330">
        <v>0</v>
      </c>
      <c r="N930" s="330">
        <v>20523.989721590598</v>
      </c>
      <c r="O930" s="330">
        <v>1313.4775720705052</v>
      </c>
      <c r="P930" s="330">
        <v>57913.498836190432</v>
      </c>
      <c r="Q930" s="333">
        <v>95409.458527415118</v>
      </c>
      <c r="R930" s="330">
        <v>17081.136751742084</v>
      </c>
      <c r="S930" s="330">
        <v>8051.3970934343915</v>
      </c>
      <c r="T930" s="332">
        <v>0.99682686706425705</v>
      </c>
      <c r="U930" s="330">
        <v>0.83936772768410461</v>
      </c>
      <c r="V930" s="330">
        <v>0.77843552320995246</v>
      </c>
      <c r="W930" s="330">
        <v>0.99999092191317596</v>
      </c>
      <c r="X930" s="330">
        <v>0.36163426150220845</v>
      </c>
      <c r="Y930" s="330">
        <v>0</v>
      </c>
      <c r="Z930" s="331">
        <v>0</v>
      </c>
      <c r="AA930" s="235"/>
      <c r="AB930" s="335">
        <v>82178.525785171019</v>
      </c>
      <c r="AC930" s="336">
        <v>2.0906477528834198</v>
      </c>
      <c r="AD930" s="337">
        <v>70347.052532044225</v>
      </c>
      <c r="AE930" s="336">
        <v>1.7071259123150995</v>
      </c>
      <c r="AF930" s="337">
        <v>11831.473253126795</v>
      </c>
      <c r="AG930" s="338">
        <v>0.38352184056832028</v>
      </c>
      <c r="AH930" s="235"/>
      <c r="AI930" s="208">
        <f t="shared" si="102"/>
        <v>1903936.8394540779</v>
      </c>
      <c r="AJ930" s="208">
        <f t="shared" si="103"/>
        <v>1551422.5641673002</v>
      </c>
      <c r="AK930" s="208">
        <f t="shared" si="104"/>
        <v>352514.27528677747</v>
      </c>
      <c r="AL930" s="235"/>
      <c r="AM930" s="52">
        <f t="shared" si="86"/>
        <v>1</v>
      </c>
      <c r="AN930" s="52">
        <f t="shared" si="87"/>
        <v>0</v>
      </c>
      <c r="AO930" s="52">
        <f t="shared" si="88"/>
        <v>1</v>
      </c>
      <c r="AP930" s="235"/>
      <c r="AQ930" s="28"/>
      <c r="AR930" s="28"/>
      <c r="AS930" s="28"/>
      <c r="AT930" s="28"/>
      <c r="AU930" s="235"/>
      <c r="AV930" s="360">
        <f t="shared" si="105"/>
        <v>1903936.8394540779</v>
      </c>
      <c r="AW930" s="235"/>
      <c r="AX930" s="355"/>
      <c r="AY930" s="344"/>
      <c r="AZ930" s="14">
        <f t="shared" si="107"/>
        <v>11831.473253126795</v>
      </c>
      <c r="BA930" s="14">
        <f t="shared" si="106"/>
        <v>0.38352184056832028</v>
      </c>
      <c r="BB930" s="14">
        <f t="shared" si="89"/>
        <v>30849.542324876136</v>
      </c>
      <c r="BC930" s="344"/>
      <c r="BD930" s="344"/>
      <c r="BE930" s="344"/>
      <c r="BF930" s="344"/>
      <c r="BG930" s="344"/>
      <c r="BH930" s="344"/>
      <c r="BI930" s="344"/>
      <c r="BJ930" s="344"/>
      <c r="BK930" s="344"/>
      <c r="BL930" s="344"/>
      <c r="BM930" s="344"/>
      <c r="BN930" s="344"/>
      <c r="BO930" s="344"/>
      <c r="BP930" s="344"/>
      <c r="BQ930" s="344"/>
      <c r="BR930" s="344"/>
      <c r="BS930" s="344"/>
      <c r="BT930" s="344"/>
      <c r="BU930" s="344"/>
      <c r="BV930" s="344"/>
      <c r="BW930" s="344"/>
      <c r="BX930" s="344"/>
      <c r="BY930" s="344"/>
      <c r="BZ930" s="344"/>
      <c r="CA930" s="344"/>
      <c r="CB930" s="28"/>
      <c r="CC930" s="28"/>
      <c r="CD930" s="28"/>
      <c r="CE930" s="28"/>
      <c r="CF930" s="28"/>
      <c r="CG930" s="28"/>
      <c r="CH930" s="28"/>
      <c r="CI930" s="28"/>
      <c r="CJ930" s="28"/>
      <c r="CK930" s="28"/>
      <c r="CL930" s="28"/>
      <c r="CM930" s="28"/>
      <c r="CN930" s="28"/>
      <c r="CO930" s="28"/>
      <c r="CP930" s="28"/>
      <c r="CQ930" s="28"/>
      <c r="CR930" s="28"/>
      <c r="CS930" s="28"/>
      <c r="CT930" s="28"/>
      <c r="CU930" s="28"/>
      <c r="CV930" s="28"/>
      <c r="CW930" s="28"/>
    </row>
    <row r="931" spans="1:101" ht="14.25" customHeight="1" x14ac:dyDescent="0.2">
      <c r="A931" s="328"/>
      <c r="B931" s="52">
        <v>0.12933846790747983</v>
      </c>
      <c r="C931" s="330">
        <v>0.62828817496655454</v>
      </c>
      <c r="D931" s="330">
        <v>1.4861841880894788E-2</v>
      </c>
      <c r="E931" s="330">
        <v>1.1442983621012419E-2</v>
      </c>
      <c r="F931" s="331">
        <v>0.80031230679434207</v>
      </c>
      <c r="G931" s="94">
        <v>0.42701424802741728</v>
      </c>
      <c r="H931" s="330">
        <v>0.10720045384509873</v>
      </c>
      <c r="I931" s="330">
        <v>1.6957299131136416E-2</v>
      </c>
      <c r="J931" s="330">
        <v>6.4795295788853555E-2</v>
      </c>
      <c r="K931" s="330">
        <v>0.75771768730872457</v>
      </c>
      <c r="L931" s="332">
        <v>13233.971765914199</v>
      </c>
      <c r="M931" s="330">
        <v>0</v>
      </c>
      <c r="N931" s="330">
        <v>17667.699374573825</v>
      </c>
      <c r="O931" s="330">
        <v>1080.4979535941657</v>
      </c>
      <c r="P931" s="330">
        <v>35945.55876534804</v>
      </c>
      <c r="Q931" s="333">
        <v>93832.115085910831</v>
      </c>
      <c r="R931" s="330">
        <v>25528.431375556564</v>
      </c>
      <c r="S931" s="330">
        <v>11276.789474200541</v>
      </c>
      <c r="T931" s="332">
        <v>0.9999269954832809</v>
      </c>
      <c r="U931" s="330">
        <v>0.76877408117384871</v>
      </c>
      <c r="V931" s="330">
        <v>0.99391165993234232</v>
      </c>
      <c r="W931" s="330">
        <v>0.91818593924317227</v>
      </c>
      <c r="X931" s="330">
        <v>0.9984103923124501</v>
      </c>
      <c r="Y931" s="330">
        <v>0</v>
      </c>
      <c r="Z931" s="331">
        <v>0</v>
      </c>
      <c r="AA931" s="235"/>
      <c r="AB931" s="335">
        <v>112478.61499766538</v>
      </c>
      <c r="AC931" s="336">
        <v>5.2387640873809218</v>
      </c>
      <c r="AD931" s="337">
        <v>94125.221898089614</v>
      </c>
      <c r="AE931" s="336">
        <v>4.6432909623169873</v>
      </c>
      <c r="AF931" s="337">
        <v>18353.393099575769</v>
      </c>
      <c r="AG931" s="338">
        <v>0.59547312506393446</v>
      </c>
      <c r="AH931" s="235"/>
      <c r="AI931" s="208">
        <f t="shared" si="102"/>
        <v>4864347.2680142103</v>
      </c>
      <c r="AJ931" s="208">
        <f t="shared" si="103"/>
        <v>4317001.1923030484</v>
      </c>
      <c r="AK931" s="208">
        <f t="shared" si="104"/>
        <v>547346.07571116195</v>
      </c>
      <c r="AL931" s="235"/>
      <c r="AM931" s="52">
        <f t="shared" si="86"/>
        <v>1</v>
      </c>
      <c r="AN931" s="52">
        <f t="shared" si="87"/>
        <v>0</v>
      </c>
      <c r="AO931" s="52">
        <f t="shared" si="88"/>
        <v>1</v>
      </c>
      <c r="AP931" s="235"/>
      <c r="AQ931" s="28"/>
      <c r="AR931" s="28"/>
      <c r="AS931" s="28"/>
      <c r="AT931" s="28"/>
      <c r="AU931" s="235"/>
      <c r="AV931" s="360">
        <f t="shared" si="105"/>
        <v>4864347.2680142103</v>
      </c>
      <c r="AW931" s="235"/>
      <c r="AX931" s="355"/>
      <c r="AY931" s="344"/>
      <c r="AZ931" s="14">
        <f t="shared" si="107"/>
        <v>18353.393099575769</v>
      </c>
      <c r="BA931" s="14">
        <f t="shared" si="106"/>
        <v>0.59547312506393446</v>
      </c>
      <c r="BB931" s="14">
        <f t="shared" si="89"/>
        <v>30821.530522649886</v>
      </c>
      <c r="BC931" s="344"/>
      <c r="BD931" s="344"/>
      <c r="BE931" s="344"/>
      <c r="BF931" s="344"/>
      <c r="BG931" s="344"/>
      <c r="BH931" s="344"/>
      <c r="BI931" s="344"/>
      <c r="BJ931" s="344"/>
      <c r="BK931" s="344"/>
      <c r="BL931" s="344"/>
      <c r="BM931" s="344"/>
      <c r="BN931" s="344"/>
      <c r="BO931" s="344"/>
      <c r="BP931" s="344"/>
      <c r="BQ931" s="344"/>
      <c r="BR931" s="344"/>
      <c r="BS931" s="344"/>
      <c r="BT931" s="344"/>
      <c r="BU931" s="344"/>
      <c r="BV931" s="344"/>
      <c r="BW931" s="344"/>
      <c r="BX931" s="344"/>
      <c r="BY931" s="344"/>
      <c r="BZ931" s="344"/>
      <c r="CA931" s="344"/>
      <c r="CB931" s="28"/>
      <c r="CC931" s="28"/>
      <c r="CD931" s="28"/>
      <c r="CE931" s="28"/>
      <c r="CF931" s="28"/>
      <c r="CG931" s="28"/>
      <c r="CH931" s="28"/>
      <c r="CI931" s="28"/>
      <c r="CJ931" s="28"/>
      <c r="CK931" s="28"/>
      <c r="CL931" s="28"/>
      <c r="CM931" s="28"/>
      <c r="CN931" s="28"/>
      <c r="CO931" s="28"/>
      <c r="CP931" s="28"/>
      <c r="CQ931" s="28"/>
      <c r="CR931" s="28"/>
      <c r="CS931" s="28"/>
      <c r="CT931" s="28"/>
      <c r="CU931" s="28"/>
      <c r="CV931" s="28"/>
      <c r="CW931" s="28"/>
    </row>
    <row r="932" spans="1:101" ht="14.25" customHeight="1" x14ac:dyDescent="0.2">
      <c r="A932" s="328"/>
      <c r="B932" s="52">
        <v>0.15327937518909751</v>
      </c>
      <c r="C932" s="330">
        <v>5.8066820241916541E-2</v>
      </c>
      <c r="D932" s="330">
        <v>9.3189532622208332E-3</v>
      </c>
      <c r="E932" s="330">
        <v>2.8015220636795957E-2</v>
      </c>
      <c r="F932" s="331">
        <v>0.81462378988485962</v>
      </c>
      <c r="G932" s="94">
        <v>0.4125221149220164</v>
      </c>
      <c r="H932" s="330">
        <v>0.9463233000923903</v>
      </c>
      <c r="I932" s="330">
        <v>3.2779199104827628E-2</v>
      </c>
      <c r="J932" s="330">
        <v>0.88617194789571285</v>
      </c>
      <c r="K932" s="330">
        <v>0.77870494796046497</v>
      </c>
      <c r="L932" s="332">
        <v>14687.789822974204</v>
      </c>
      <c r="M932" s="330">
        <v>0</v>
      </c>
      <c r="N932" s="330">
        <v>13310.942105015663</v>
      </c>
      <c r="O932" s="330">
        <v>974.10715513546188</v>
      </c>
      <c r="P932" s="330">
        <v>56540.518265873026</v>
      </c>
      <c r="Q932" s="333">
        <v>100470.93037735189</v>
      </c>
      <c r="R932" s="330">
        <v>25869.999708853837</v>
      </c>
      <c r="S932" s="330">
        <v>8265.0180283484951</v>
      </c>
      <c r="T932" s="332">
        <v>0.99689696366875924</v>
      </c>
      <c r="U932" s="330">
        <v>0.98245800191935917</v>
      </c>
      <c r="V932" s="330">
        <v>0.99791638732671495</v>
      </c>
      <c r="W932" s="330">
        <v>0.85942391343751445</v>
      </c>
      <c r="X932" s="330">
        <v>0.36775999739024612</v>
      </c>
      <c r="Y932" s="330">
        <v>0</v>
      </c>
      <c r="Z932" s="331">
        <v>0</v>
      </c>
      <c r="AA932" s="235"/>
      <c r="AB932" s="335">
        <v>87465.758891588499</v>
      </c>
      <c r="AC932" s="336">
        <v>1.844410397189401</v>
      </c>
      <c r="AD932" s="337">
        <v>81452.149948872815</v>
      </c>
      <c r="AE932" s="336">
        <v>1.8865274815743296</v>
      </c>
      <c r="AF932" s="337">
        <v>6013.608942715684</v>
      </c>
      <c r="AG932" s="338">
        <v>-4.211708438492856E-2</v>
      </c>
      <c r="AH932" s="235"/>
      <c r="AI932" s="208">
        <f t="shared" si="102"/>
        <v>1664724.1184383424</v>
      </c>
      <c r="AJ932" s="208">
        <f t="shared" si="103"/>
        <v>1710748.9575467403</v>
      </c>
      <c r="AK932" s="208">
        <f t="shared" si="104"/>
        <v>-46024.839108397813</v>
      </c>
      <c r="AL932" s="235"/>
      <c r="AM932" s="52">
        <f t="shared" si="86"/>
        <v>0</v>
      </c>
      <c r="AN932" s="52">
        <f t="shared" si="87"/>
        <v>1</v>
      </c>
      <c r="AO932" s="52">
        <f t="shared" si="88"/>
        <v>0</v>
      </c>
      <c r="AP932" s="235"/>
      <c r="AQ932" s="28"/>
      <c r="AR932" s="28"/>
      <c r="AS932" s="28"/>
      <c r="AT932" s="28"/>
      <c r="AU932" s="235"/>
      <c r="AV932" s="360">
        <f t="shared" si="105"/>
        <v>1710748.9575467403</v>
      </c>
      <c r="AW932" s="235"/>
      <c r="AX932" s="355"/>
      <c r="AY932" s="344"/>
      <c r="AZ932" s="14">
        <f t="shared" si="107"/>
        <v>6013.608942715684</v>
      </c>
      <c r="BA932" s="14">
        <f t="shared" si="106"/>
        <v>-4.211708438492856E-2</v>
      </c>
      <c r="BB932" s="14">
        <f t="shared" si="89"/>
        <v>-142783.12543561612</v>
      </c>
      <c r="BC932" s="344"/>
      <c r="BD932" s="344"/>
      <c r="BE932" s="344"/>
      <c r="BF932" s="344"/>
      <c r="BG932" s="344"/>
      <c r="BH932" s="344"/>
      <c r="BI932" s="344"/>
      <c r="BJ932" s="344"/>
      <c r="BK932" s="344"/>
      <c r="BL932" s="344"/>
      <c r="BM932" s="344"/>
      <c r="BN932" s="344"/>
      <c r="BO932" s="344"/>
      <c r="BP932" s="344"/>
      <c r="BQ932" s="344"/>
      <c r="BR932" s="344"/>
      <c r="BS932" s="344"/>
      <c r="BT932" s="344"/>
      <c r="BU932" s="344"/>
      <c r="BV932" s="344"/>
      <c r="BW932" s="344"/>
      <c r="BX932" s="344"/>
      <c r="BY932" s="344"/>
      <c r="BZ932" s="344"/>
      <c r="CA932" s="344"/>
      <c r="CB932" s="28"/>
      <c r="CC932" s="28"/>
      <c r="CD932" s="28"/>
      <c r="CE932" s="28"/>
      <c r="CF932" s="28"/>
      <c r="CG932" s="28"/>
      <c r="CH932" s="28"/>
      <c r="CI932" s="28"/>
      <c r="CJ932" s="28"/>
      <c r="CK932" s="28"/>
      <c r="CL932" s="28"/>
      <c r="CM932" s="28"/>
      <c r="CN932" s="28"/>
      <c r="CO932" s="28"/>
      <c r="CP932" s="28"/>
      <c r="CQ932" s="28"/>
      <c r="CR932" s="28"/>
      <c r="CS932" s="28"/>
      <c r="CT932" s="28"/>
      <c r="CU932" s="28"/>
      <c r="CV932" s="28"/>
      <c r="CW932" s="28"/>
    </row>
    <row r="933" spans="1:101" ht="14.25" customHeight="1" x14ac:dyDescent="0.2">
      <c r="A933" s="328"/>
      <c r="B933" s="52">
        <v>0.16184105364995016</v>
      </c>
      <c r="C933" s="330">
        <v>0.63446067675257378</v>
      </c>
      <c r="D933" s="330">
        <v>2.0559788817644864E-2</v>
      </c>
      <c r="E933" s="330">
        <v>1.2694152298724875E-2</v>
      </c>
      <c r="F933" s="331">
        <v>0.81868574152195694</v>
      </c>
      <c r="G933" s="94">
        <v>0.34695662176960052</v>
      </c>
      <c r="H933" s="330">
        <v>0.49238957309277587</v>
      </c>
      <c r="I933" s="330">
        <v>2.5744169962037766E-2</v>
      </c>
      <c r="J933" s="330">
        <v>0.99999999997447642</v>
      </c>
      <c r="K933" s="330">
        <v>0.76411898904932152</v>
      </c>
      <c r="L933" s="332">
        <v>13790.484399743529</v>
      </c>
      <c r="M933" s="330">
        <v>0</v>
      </c>
      <c r="N933" s="330">
        <v>24472.474584007363</v>
      </c>
      <c r="O933" s="330">
        <v>1385.5742719630161</v>
      </c>
      <c r="P933" s="330">
        <v>47699.047732977444</v>
      </c>
      <c r="Q933" s="333">
        <v>83389.261564957604</v>
      </c>
      <c r="R933" s="330">
        <v>31068.325549379824</v>
      </c>
      <c r="S933" s="330">
        <v>7864.6153122078495</v>
      </c>
      <c r="T933" s="332">
        <v>0.61483769052288351</v>
      </c>
      <c r="U933" s="330">
        <v>0.90590547089688389</v>
      </c>
      <c r="V933" s="330">
        <v>0.98327866915082329</v>
      </c>
      <c r="W933" s="330">
        <v>0.81157010563553678</v>
      </c>
      <c r="X933" s="330">
        <v>0.91135641011156476</v>
      </c>
      <c r="Y933" s="330">
        <v>0</v>
      </c>
      <c r="Z933" s="331">
        <v>0</v>
      </c>
      <c r="AA933" s="235"/>
      <c r="AB933" s="335">
        <v>86580.022929427898</v>
      </c>
      <c r="AC933" s="336">
        <v>4.6619572102472295</v>
      </c>
      <c r="AD933" s="337">
        <v>71706.645622321797</v>
      </c>
      <c r="AE933" s="336">
        <v>4.3753800276425547</v>
      </c>
      <c r="AF933" s="337">
        <v>14873.3773071061</v>
      </c>
      <c r="AG933" s="338">
        <v>0.2865771826046748</v>
      </c>
      <c r="AH933" s="235"/>
      <c r="AI933" s="208">
        <f t="shared" si="102"/>
        <v>4342279.3268054398</v>
      </c>
      <c r="AJ933" s="208">
        <f t="shared" si="103"/>
        <v>4084904.3806381053</v>
      </c>
      <c r="AK933" s="208">
        <f t="shared" si="104"/>
        <v>257374.94616733497</v>
      </c>
      <c r="AL933" s="235"/>
      <c r="AM933" s="52">
        <f t="shared" si="86"/>
        <v>1</v>
      </c>
      <c r="AN933" s="52">
        <f t="shared" si="87"/>
        <v>0</v>
      </c>
      <c r="AO933" s="52">
        <f t="shared" si="88"/>
        <v>1</v>
      </c>
      <c r="AP933" s="235"/>
      <c r="AQ933" s="28"/>
      <c r="AR933" s="28"/>
      <c r="AS933" s="28"/>
      <c r="AT933" s="28"/>
      <c r="AU933" s="235"/>
      <c r="AV933" s="360">
        <f t="shared" si="105"/>
        <v>4342279.3268054398</v>
      </c>
      <c r="AW933" s="235"/>
      <c r="AX933" s="355"/>
      <c r="AY933" s="344"/>
      <c r="AZ933" s="14">
        <f t="shared" si="107"/>
        <v>14873.3773071061</v>
      </c>
      <c r="BA933" s="14">
        <f t="shared" si="106"/>
        <v>0.2865771826046748</v>
      </c>
      <c r="BB933" s="14">
        <f t="shared" si="89"/>
        <v>51900.075127835662</v>
      </c>
      <c r="BC933" s="344"/>
      <c r="BD933" s="344"/>
      <c r="BE933" s="344"/>
      <c r="BF933" s="344"/>
      <c r="BG933" s="344"/>
      <c r="BH933" s="344"/>
      <c r="BI933" s="344"/>
      <c r="BJ933" s="344"/>
      <c r="BK933" s="344"/>
      <c r="BL933" s="344"/>
      <c r="BM933" s="344"/>
      <c r="BN933" s="344"/>
      <c r="BO933" s="344"/>
      <c r="BP933" s="344"/>
      <c r="BQ933" s="344"/>
      <c r="BR933" s="344"/>
      <c r="BS933" s="344"/>
      <c r="BT933" s="344"/>
      <c r="BU933" s="344"/>
      <c r="BV933" s="344"/>
      <c r="BW933" s="344"/>
      <c r="BX933" s="344"/>
      <c r="BY933" s="344"/>
      <c r="BZ933" s="344"/>
      <c r="CA933" s="344"/>
      <c r="CB933" s="28"/>
      <c r="CC933" s="28"/>
      <c r="CD933" s="28"/>
      <c r="CE933" s="28"/>
      <c r="CF933" s="28"/>
      <c r="CG933" s="28"/>
      <c r="CH933" s="28"/>
      <c r="CI933" s="28"/>
      <c r="CJ933" s="28"/>
      <c r="CK933" s="28"/>
      <c r="CL933" s="28"/>
      <c r="CM933" s="28"/>
      <c r="CN933" s="28"/>
      <c r="CO933" s="28"/>
      <c r="CP933" s="28"/>
      <c r="CQ933" s="28"/>
      <c r="CR933" s="28"/>
      <c r="CS933" s="28"/>
      <c r="CT933" s="28"/>
      <c r="CU933" s="28"/>
      <c r="CV933" s="28"/>
      <c r="CW933" s="28"/>
    </row>
    <row r="934" spans="1:101" ht="14.25" customHeight="1" x14ac:dyDescent="0.2">
      <c r="A934" s="328"/>
      <c r="B934" s="52">
        <v>0.14110566757451959</v>
      </c>
      <c r="C934" s="330">
        <v>0.15573122719499224</v>
      </c>
      <c r="D934" s="330">
        <v>1.0576186797080766E-2</v>
      </c>
      <c r="E934" s="330">
        <v>2.088146919320677E-2</v>
      </c>
      <c r="F934" s="331">
        <v>0.77075040808388373</v>
      </c>
      <c r="G934" s="94">
        <v>0.36686954041246062</v>
      </c>
      <c r="H934" s="330">
        <v>3.0641704311657292E-2</v>
      </c>
      <c r="I934" s="330">
        <v>1.3241369424662907E-2</v>
      </c>
      <c r="J934" s="330">
        <v>0.94532315907536413</v>
      </c>
      <c r="K934" s="330">
        <v>0.79939485141462008</v>
      </c>
      <c r="L934" s="332">
        <v>13039.921518888259</v>
      </c>
      <c r="M934" s="330">
        <v>0</v>
      </c>
      <c r="N934" s="330">
        <v>18505.640420758085</v>
      </c>
      <c r="O934" s="330">
        <v>1137.791612860148</v>
      </c>
      <c r="P934" s="330">
        <v>49365.470266598248</v>
      </c>
      <c r="Q934" s="333">
        <v>82061.813326448944</v>
      </c>
      <c r="R934" s="330">
        <v>32334.691562950564</v>
      </c>
      <c r="S934" s="330">
        <v>6257.5340629782131</v>
      </c>
      <c r="T934" s="332">
        <v>0.96337392996810411</v>
      </c>
      <c r="U934" s="330">
        <v>0.80473994525827053</v>
      </c>
      <c r="V934" s="330">
        <v>0.97414210947848856</v>
      </c>
      <c r="W934" s="330">
        <v>0.85450245936293312</v>
      </c>
      <c r="X934" s="330">
        <v>0.59004184890988365</v>
      </c>
      <c r="Y934" s="330">
        <v>0</v>
      </c>
      <c r="Z934" s="331">
        <v>0</v>
      </c>
      <c r="AA934" s="235"/>
      <c r="AB934" s="335">
        <v>65792.287262864134</v>
      </c>
      <c r="AC934" s="336">
        <v>2.8318074083076188</v>
      </c>
      <c r="AD934" s="337">
        <v>55191.085350019763</v>
      </c>
      <c r="AE934" s="336">
        <v>3.2183961444108524</v>
      </c>
      <c r="AF934" s="337">
        <v>10601.201912844372</v>
      </c>
      <c r="AG934" s="338">
        <v>-0.38658873610323363</v>
      </c>
      <c r="AH934" s="235"/>
      <c r="AI934" s="208">
        <f t="shared" si="102"/>
        <v>2624424.7506293738</v>
      </c>
      <c r="AJ934" s="208">
        <f t="shared" si="103"/>
        <v>3002285.2518402901</v>
      </c>
      <c r="AK934" s="208">
        <f t="shared" si="104"/>
        <v>-377860.50121091632</v>
      </c>
      <c r="AL934" s="235"/>
      <c r="AM934" s="52">
        <f t="shared" si="86"/>
        <v>0</v>
      </c>
      <c r="AN934" s="52">
        <f t="shared" si="87"/>
        <v>1</v>
      </c>
      <c r="AO934" s="52">
        <f t="shared" si="88"/>
        <v>0</v>
      </c>
      <c r="AP934" s="235"/>
      <c r="AQ934" s="28"/>
      <c r="AR934" s="28"/>
      <c r="AS934" s="28"/>
      <c r="AT934" s="28"/>
      <c r="AU934" s="235"/>
      <c r="AV934" s="360">
        <f t="shared" si="105"/>
        <v>3002285.2518402901</v>
      </c>
      <c r="AW934" s="235"/>
      <c r="AX934" s="355"/>
      <c r="AY934" s="344"/>
      <c r="AZ934" s="14">
        <f t="shared" si="107"/>
        <v>10601.201912844372</v>
      </c>
      <c r="BA934" s="14">
        <f t="shared" si="106"/>
        <v>-0.38658873610323363</v>
      </c>
      <c r="BB934" s="14">
        <f t="shared" si="89"/>
        <v>-27422.428340005888</v>
      </c>
      <c r="BC934" s="344"/>
      <c r="BD934" s="344"/>
      <c r="BE934" s="344"/>
      <c r="BF934" s="344"/>
      <c r="BG934" s="344"/>
      <c r="BH934" s="344"/>
      <c r="BI934" s="344"/>
      <c r="BJ934" s="344"/>
      <c r="BK934" s="344"/>
      <c r="BL934" s="344"/>
      <c r="BM934" s="344"/>
      <c r="BN934" s="344"/>
      <c r="BO934" s="344"/>
      <c r="BP934" s="344"/>
      <c r="BQ934" s="344"/>
      <c r="BR934" s="344"/>
      <c r="BS934" s="344"/>
      <c r="BT934" s="344"/>
      <c r="BU934" s="344"/>
      <c r="BV934" s="344"/>
      <c r="BW934" s="344"/>
      <c r="BX934" s="344"/>
      <c r="BY934" s="344"/>
      <c r="BZ934" s="344"/>
      <c r="CA934" s="344"/>
      <c r="CB934" s="28"/>
      <c r="CC934" s="28"/>
      <c r="CD934" s="28"/>
      <c r="CE934" s="28"/>
      <c r="CF934" s="28"/>
      <c r="CG934" s="28"/>
      <c r="CH934" s="28"/>
      <c r="CI934" s="28"/>
      <c r="CJ934" s="28"/>
      <c r="CK934" s="28"/>
      <c r="CL934" s="28"/>
      <c r="CM934" s="28"/>
      <c r="CN934" s="28"/>
      <c r="CO934" s="28"/>
      <c r="CP934" s="28"/>
      <c r="CQ934" s="28"/>
      <c r="CR934" s="28"/>
      <c r="CS934" s="28"/>
      <c r="CT934" s="28"/>
      <c r="CU934" s="28"/>
      <c r="CV934" s="28"/>
      <c r="CW934" s="28"/>
    </row>
    <row r="935" spans="1:101" ht="14.25" customHeight="1" x14ac:dyDescent="0.2">
      <c r="A935" s="328"/>
      <c r="B935" s="52">
        <v>0.16536996414844907</v>
      </c>
      <c r="C935" s="330">
        <v>3.0603978082099356E-2</v>
      </c>
      <c r="D935" s="330">
        <v>1.3831584371346997E-2</v>
      </c>
      <c r="E935" s="330">
        <v>1.2917193447175955E-2</v>
      </c>
      <c r="F935" s="331">
        <v>0.81929392033742343</v>
      </c>
      <c r="G935" s="94">
        <v>0.42318870427685829</v>
      </c>
      <c r="H935" s="330">
        <v>0.25115518725968289</v>
      </c>
      <c r="I935" s="330">
        <v>1.611222912975474E-2</v>
      </c>
      <c r="J935" s="330">
        <v>0.99999999999999978</v>
      </c>
      <c r="K935" s="330">
        <v>0.74212173132331671</v>
      </c>
      <c r="L935" s="332">
        <v>16172.162324573092</v>
      </c>
      <c r="M935" s="330">
        <v>0</v>
      </c>
      <c r="N935" s="330">
        <v>12601.904561709633</v>
      </c>
      <c r="O935" s="330">
        <v>1552.7288681457705</v>
      </c>
      <c r="P935" s="330">
        <v>40707.515176036315</v>
      </c>
      <c r="Q935" s="333">
        <v>79525.035337022142</v>
      </c>
      <c r="R935" s="330">
        <v>19138.054765822621</v>
      </c>
      <c r="S935" s="330">
        <v>10215.934105689319</v>
      </c>
      <c r="T935" s="332">
        <v>0.57860277119554571</v>
      </c>
      <c r="U935" s="330">
        <v>0.92365581814295983</v>
      </c>
      <c r="V935" s="330">
        <v>0.99929728994548106</v>
      </c>
      <c r="W935" s="330">
        <v>0.80948048394792371</v>
      </c>
      <c r="X935" s="330">
        <v>0.73254562838615178</v>
      </c>
      <c r="Y935" s="330">
        <v>0</v>
      </c>
      <c r="Z935" s="331">
        <v>0</v>
      </c>
      <c r="AA935" s="235"/>
      <c r="AB935" s="335">
        <v>106528.09437504136</v>
      </c>
      <c r="AC935" s="336">
        <v>3.6985047273741172</v>
      </c>
      <c r="AD935" s="337">
        <v>84926.631048022362</v>
      </c>
      <c r="AE935" s="336">
        <v>3.6318072867116111</v>
      </c>
      <c r="AF935" s="337">
        <v>21601.463327018995</v>
      </c>
      <c r="AG935" s="338">
        <v>6.6697440662506047E-2</v>
      </c>
      <c r="AH935" s="235"/>
      <c r="AI935" s="208">
        <f t="shared" si="102"/>
        <v>3407051.3966303701</v>
      </c>
      <c r="AJ935" s="208">
        <f t="shared" si="103"/>
        <v>3365290.2913280083</v>
      </c>
      <c r="AK935" s="208">
        <f t="shared" si="104"/>
        <v>41761.10530236175</v>
      </c>
      <c r="AL935" s="235"/>
      <c r="AM935" s="52">
        <f t="shared" si="86"/>
        <v>1</v>
      </c>
      <c r="AN935" s="52">
        <f t="shared" si="87"/>
        <v>0</v>
      </c>
      <c r="AO935" s="52">
        <f t="shared" si="88"/>
        <v>1</v>
      </c>
      <c r="AP935" s="235"/>
      <c r="AQ935" s="28"/>
      <c r="AR935" s="28"/>
      <c r="AS935" s="28"/>
      <c r="AT935" s="28"/>
      <c r="AU935" s="235"/>
      <c r="AV935" s="360">
        <f t="shared" si="105"/>
        <v>3407051.3966303701</v>
      </c>
      <c r="AW935" s="235"/>
      <c r="AX935" s="355"/>
      <c r="AY935" s="344"/>
      <c r="AZ935" s="14">
        <f t="shared" si="107"/>
        <v>21601.463327018995</v>
      </c>
      <c r="BA935" s="14">
        <f t="shared" si="106"/>
        <v>6.6697440662506047E-2</v>
      </c>
      <c r="BB935" s="14">
        <f t="shared" si="89"/>
        <v>323872.44716516166</v>
      </c>
      <c r="BC935" s="344"/>
      <c r="BD935" s="344"/>
      <c r="BE935" s="344"/>
      <c r="BF935" s="344"/>
      <c r="BG935" s="344"/>
      <c r="BH935" s="344"/>
      <c r="BI935" s="344"/>
      <c r="BJ935" s="344"/>
      <c r="BK935" s="344"/>
      <c r="BL935" s="344"/>
      <c r="BM935" s="344"/>
      <c r="BN935" s="344"/>
      <c r="BO935" s="344"/>
      <c r="BP935" s="344"/>
      <c r="BQ935" s="344"/>
      <c r="BR935" s="344"/>
      <c r="BS935" s="344"/>
      <c r="BT935" s="344"/>
      <c r="BU935" s="344"/>
      <c r="BV935" s="344"/>
      <c r="BW935" s="344"/>
      <c r="BX935" s="344"/>
      <c r="BY935" s="344"/>
      <c r="BZ935" s="344"/>
      <c r="CA935" s="344"/>
      <c r="CB935" s="28"/>
      <c r="CC935" s="28"/>
      <c r="CD935" s="28"/>
      <c r="CE935" s="28"/>
      <c r="CF935" s="28"/>
      <c r="CG935" s="28"/>
      <c r="CH935" s="28"/>
      <c r="CI935" s="28"/>
      <c r="CJ935" s="28"/>
      <c r="CK935" s="28"/>
      <c r="CL935" s="28"/>
      <c r="CM935" s="28"/>
      <c r="CN935" s="28"/>
      <c r="CO935" s="28"/>
      <c r="CP935" s="28"/>
      <c r="CQ935" s="28"/>
      <c r="CR935" s="28"/>
      <c r="CS935" s="28"/>
      <c r="CT935" s="28"/>
      <c r="CU935" s="28"/>
      <c r="CV935" s="28"/>
      <c r="CW935" s="28"/>
    </row>
    <row r="936" spans="1:101" ht="14.25" customHeight="1" x14ac:dyDescent="0.2">
      <c r="A936" s="328"/>
      <c r="B936" s="52">
        <v>0.13796514618007052</v>
      </c>
      <c r="C936" s="330">
        <v>4.4875774699291861E-2</v>
      </c>
      <c r="D936" s="330">
        <v>1.2297153189957348E-2</v>
      </c>
      <c r="E936" s="330">
        <v>2.7353585933472258E-2</v>
      </c>
      <c r="F936" s="331">
        <v>0.78720544523072467</v>
      </c>
      <c r="G936" s="94">
        <v>0.39098114417811397</v>
      </c>
      <c r="H936" s="330">
        <v>0.69050945405784736</v>
      </c>
      <c r="I936" s="330">
        <v>1.7420200482781256E-2</v>
      </c>
      <c r="J936" s="330">
        <v>0.99999781284321188</v>
      </c>
      <c r="K936" s="330">
        <v>0.77566557100513267</v>
      </c>
      <c r="L936" s="332">
        <v>11870.12421852533</v>
      </c>
      <c r="M936" s="330">
        <v>0</v>
      </c>
      <c r="N936" s="330">
        <v>21381.984880019889</v>
      </c>
      <c r="O936" s="330">
        <v>1339.5314859368075</v>
      </c>
      <c r="P936" s="330">
        <v>41747.61030302001</v>
      </c>
      <c r="Q936" s="333">
        <v>88016.689373950241</v>
      </c>
      <c r="R936" s="330">
        <v>25379.232859543747</v>
      </c>
      <c r="S936" s="330">
        <v>8739.7464476433979</v>
      </c>
      <c r="T936" s="332">
        <v>0.86948573511171856</v>
      </c>
      <c r="U936" s="330">
        <v>0.55251847224953254</v>
      </c>
      <c r="V936" s="330">
        <v>0.98379964369874673</v>
      </c>
      <c r="W936" s="330">
        <v>0.84485455885628769</v>
      </c>
      <c r="X936" s="330">
        <v>0.5211591825520524</v>
      </c>
      <c r="Y936" s="330">
        <v>0</v>
      </c>
      <c r="Z936" s="331">
        <v>0</v>
      </c>
      <c r="AA936" s="235"/>
      <c r="AB936" s="335">
        <v>86194.933592124595</v>
      </c>
      <c r="AC936" s="336">
        <v>2.9605960306876735</v>
      </c>
      <c r="AD936" s="337">
        <v>81041.678275842496</v>
      </c>
      <c r="AE936" s="336">
        <v>2.4662953635691984</v>
      </c>
      <c r="AF936" s="337">
        <v>5153.2553162820986</v>
      </c>
      <c r="AG936" s="338">
        <v>0.49430066711847509</v>
      </c>
      <c r="AH936" s="235"/>
      <c r="AI936" s="208">
        <f t="shared" si="102"/>
        <v>2726371.2955611655</v>
      </c>
      <c r="AJ936" s="208">
        <f t="shared" si="103"/>
        <v>2261938.9171148958</v>
      </c>
      <c r="AK936" s="208">
        <f t="shared" si="104"/>
        <v>464432.37844626926</v>
      </c>
      <c r="AL936" s="235"/>
      <c r="AM936" s="52">
        <f t="shared" si="86"/>
        <v>1</v>
      </c>
      <c r="AN936" s="52">
        <f t="shared" si="87"/>
        <v>0</v>
      </c>
      <c r="AO936" s="52">
        <f t="shared" si="88"/>
        <v>1</v>
      </c>
      <c r="AP936" s="235"/>
      <c r="AQ936" s="28"/>
      <c r="AR936" s="28"/>
      <c r="AS936" s="28"/>
      <c r="AT936" s="28"/>
      <c r="AU936" s="235"/>
      <c r="AV936" s="360">
        <f t="shared" si="105"/>
        <v>2726371.2955611655</v>
      </c>
      <c r="AW936" s="235"/>
      <c r="AX936" s="355"/>
      <c r="AY936" s="344"/>
      <c r="AZ936" s="14">
        <f t="shared" si="107"/>
        <v>5153.2553162820986</v>
      </c>
      <c r="BA936" s="14">
        <f t="shared" si="106"/>
        <v>0.49430066711847509</v>
      </c>
      <c r="BB936" s="14">
        <f t="shared" si="89"/>
        <v>10425.345663243774</v>
      </c>
      <c r="BC936" s="344"/>
      <c r="BD936" s="344"/>
      <c r="BE936" s="344"/>
      <c r="BF936" s="344"/>
      <c r="BG936" s="344"/>
      <c r="BH936" s="344"/>
      <c r="BI936" s="344"/>
      <c r="BJ936" s="344"/>
      <c r="BK936" s="344"/>
      <c r="BL936" s="344"/>
      <c r="BM936" s="344"/>
      <c r="BN936" s="344"/>
      <c r="BO936" s="344"/>
      <c r="BP936" s="344"/>
      <c r="BQ936" s="344"/>
      <c r="BR936" s="344"/>
      <c r="BS936" s="344"/>
      <c r="BT936" s="344"/>
      <c r="BU936" s="344"/>
      <c r="BV936" s="344"/>
      <c r="BW936" s="344"/>
      <c r="BX936" s="344"/>
      <c r="BY936" s="344"/>
      <c r="BZ936" s="344"/>
      <c r="CA936" s="344"/>
      <c r="CB936" s="28"/>
      <c r="CC936" s="28"/>
      <c r="CD936" s="28"/>
      <c r="CE936" s="28"/>
      <c r="CF936" s="28"/>
      <c r="CG936" s="28"/>
      <c r="CH936" s="28"/>
      <c r="CI936" s="28"/>
      <c r="CJ936" s="28"/>
      <c r="CK936" s="28"/>
      <c r="CL936" s="28"/>
      <c r="CM936" s="28"/>
      <c r="CN936" s="28"/>
      <c r="CO936" s="28"/>
      <c r="CP936" s="28"/>
      <c r="CQ936" s="28"/>
      <c r="CR936" s="28"/>
      <c r="CS936" s="28"/>
      <c r="CT936" s="28"/>
      <c r="CU936" s="28"/>
      <c r="CV936" s="28"/>
      <c r="CW936" s="28"/>
    </row>
    <row r="937" spans="1:101" ht="14.25" customHeight="1" x14ac:dyDescent="0.2">
      <c r="A937" s="328"/>
      <c r="B937" s="52">
        <v>0.1952481697170283</v>
      </c>
      <c r="C937" s="330">
        <v>4.6327957540773096E-2</v>
      </c>
      <c r="D937" s="330">
        <v>1.7567013134303422E-2</v>
      </c>
      <c r="E937" s="330">
        <v>1.210504475291688E-2</v>
      </c>
      <c r="F937" s="331">
        <v>0.80329326685563118</v>
      </c>
      <c r="G937" s="94">
        <v>0.43562067878332411</v>
      </c>
      <c r="H937" s="330">
        <v>0.59982509899883096</v>
      </c>
      <c r="I937" s="330">
        <v>1.0131570721095594E-2</v>
      </c>
      <c r="J937" s="330">
        <v>0.93997638119758453</v>
      </c>
      <c r="K937" s="330">
        <v>0.71093091515204632</v>
      </c>
      <c r="L937" s="332">
        <v>13203.406353292914</v>
      </c>
      <c r="M937" s="330">
        <v>0</v>
      </c>
      <c r="N937" s="330">
        <v>19692.56918655405</v>
      </c>
      <c r="O937" s="330">
        <v>1413.0194925528469</v>
      </c>
      <c r="P937" s="330">
        <v>60252.715757135986</v>
      </c>
      <c r="Q937" s="333">
        <v>94824.369448830184</v>
      </c>
      <c r="R937" s="330">
        <v>29862.673429349928</v>
      </c>
      <c r="S937" s="330">
        <v>11302.927739500066</v>
      </c>
      <c r="T937" s="332">
        <v>0.99271455799522235</v>
      </c>
      <c r="U937" s="330">
        <v>0.99010572034666888</v>
      </c>
      <c r="V937" s="330">
        <v>0.91996038225395838</v>
      </c>
      <c r="W937" s="330">
        <v>0.57476337996860272</v>
      </c>
      <c r="X937" s="330">
        <v>0.82766478153352308</v>
      </c>
      <c r="Y937" s="330">
        <v>0</v>
      </c>
      <c r="Z937" s="331">
        <v>0</v>
      </c>
      <c r="AA937" s="235"/>
      <c r="AB937" s="335">
        <v>111512.89698462594</v>
      </c>
      <c r="AC937" s="336">
        <v>4.5280584868038458</v>
      </c>
      <c r="AD937" s="337">
        <v>95327.654531890817</v>
      </c>
      <c r="AE937" s="336">
        <v>3.9327328041750835</v>
      </c>
      <c r="AF937" s="337">
        <v>16185.242452735125</v>
      </c>
      <c r="AG937" s="338">
        <v>0.59532568262876229</v>
      </c>
      <c r="AH937" s="235"/>
      <c r="AI937" s="208">
        <f t="shared" si="102"/>
        <v>4190142.6654790272</v>
      </c>
      <c r="AJ937" s="208">
        <f t="shared" si="103"/>
        <v>3640768.5094344383</v>
      </c>
      <c r="AK937" s="208">
        <f t="shared" si="104"/>
        <v>549374.15604458912</v>
      </c>
      <c r="AL937" s="235"/>
      <c r="AM937" s="52">
        <f t="shared" si="86"/>
        <v>1</v>
      </c>
      <c r="AN937" s="52">
        <f t="shared" si="87"/>
        <v>0</v>
      </c>
      <c r="AO937" s="52">
        <f t="shared" si="88"/>
        <v>1</v>
      </c>
      <c r="AP937" s="235"/>
      <c r="AQ937" s="28"/>
      <c r="AR937" s="28"/>
      <c r="AS937" s="28"/>
      <c r="AT937" s="28"/>
      <c r="AU937" s="235"/>
      <c r="AV937" s="360">
        <f t="shared" si="105"/>
        <v>4190142.6654790272</v>
      </c>
      <c r="AW937" s="235"/>
      <c r="AX937" s="355"/>
      <c r="AY937" s="344"/>
      <c r="AZ937" s="14">
        <f t="shared" si="107"/>
        <v>16185.242452735125</v>
      </c>
      <c r="BA937" s="14">
        <f t="shared" si="106"/>
        <v>0.59532568262876229</v>
      </c>
      <c r="BB937" s="14">
        <f t="shared" si="89"/>
        <v>27187.206809668318</v>
      </c>
      <c r="BC937" s="344"/>
      <c r="BD937" s="344"/>
      <c r="BE937" s="344"/>
      <c r="BF937" s="344"/>
      <c r="BG937" s="344"/>
      <c r="BH937" s="344"/>
      <c r="BI937" s="344"/>
      <c r="BJ937" s="344"/>
      <c r="BK937" s="344"/>
      <c r="BL937" s="344"/>
      <c r="BM937" s="344"/>
      <c r="BN937" s="344"/>
      <c r="BO937" s="344"/>
      <c r="BP937" s="344"/>
      <c r="BQ937" s="344"/>
      <c r="BR937" s="344"/>
      <c r="BS937" s="344"/>
      <c r="BT937" s="344"/>
      <c r="BU937" s="344"/>
      <c r="BV937" s="344"/>
      <c r="BW937" s="344"/>
      <c r="BX937" s="344"/>
      <c r="BY937" s="344"/>
      <c r="BZ937" s="344"/>
      <c r="CA937" s="344"/>
      <c r="CB937" s="28"/>
      <c r="CC937" s="28"/>
      <c r="CD937" s="28"/>
      <c r="CE937" s="28"/>
      <c r="CF937" s="28"/>
      <c r="CG937" s="28"/>
      <c r="CH937" s="28"/>
      <c r="CI937" s="28"/>
      <c r="CJ937" s="28"/>
      <c r="CK937" s="28"/>
      <c r="CL937" s="28"/>
      <c r="CM937" s="28"/>
      <c r="CN937" s="28"/>
      <c r="CO937" s="28"/>
      <c r="CP937" s="28"/>
      <c r="CQ937" s="28"/>
      <c r="CR937" s="28"/>
      <c r="CS937" s="28"/>
      <c r="CT937" s="28"/>
      <c r="CU937" s="28"/>
      <c r="CV937" s="28"/>
      <c r="CW937" s="28"/>
    </row>
    <row r="938" spans="1:101" ht="14.25" customHeight="1" x14ac:dyDescent="0.2">
      <c r="A938" s="328"/>
      <c r="B938" s="52">
        <v>0.16676244427896236</v>
      </c>
      <c r="C938" s="330">
        <v>1.2774267546339707E-3</v>
      </c>
      <c r="D938" s="330">
        <v>2.2020409629863291E-2</v>
      </c>
      <c r="E938" s="330">
        <v>9.2422726442119591E-3</v>
      </c>
      <c r="F938" s="331">
        <v>0.76720934763364979</v>
      </c>
      <c r="G938" s="94">
        <v>0.48798430429423234</v>
      </c>
      <c r="H938" s="330">
        <v>0.75144673388380656</v>
      </c>
      <c r="I938" s="330">
        <v>1.5540639524803959E-2</v>
      </c>
      <c r="J938" s="330">
        <v>0.99999987992390038</v>
      </c>
      <c r="K938" s="330">
        <v>0.77916389601079472</v>
      </c>
      <c r="L938" s="332">
        <v>14014.743276177027</v>
      </c>
      <c r="M938" s="330">
        <v>0</v>
      </c>
      <c r="N938" s="330">
        <v>16484.047785302271</v>
      </c>
      <c r="O938" s="330">
        <v>1460.5958127396634</v>
      </c>
      <c r="P938" s="330">
        <v>29152.016652373437</v>
      </c>
      <c r="Q938" s="333">
        <v>90902.750562173562</v>
      </c>
      <c r="R938" s="330">
        <v>20869.030067065618</v>
      </c>
      <c r="S938" s="330">
        <v>15544.213479310769</v>
      </c>
      <c r="T938" s="332">
        <v>0.99860583988885654</v>
      </c>
      <c r="U938" s="330">
        <v>0.99996224402420064</v>
      </c>
      <c r="V938" s="330">
        <v>0.86928547071606621</v>
      </c>
      <c r="W938" s="330">
        <v>0.99946491683600247</v>
      </c>
      <c r="X938" s="330">
        <v>0.38500712558911682</v>
      </c>
      <c r="Y938" s="330">
        <v>0</v>
      </c>
      <c r="Z938" s="331">
        <v>0</v>
      </c>
      <c r="AA938" s="235"/>
      <c r="AB938" s="335">
        <v>142575.2000190588</v>
      </c>
      <c r="AC938" s="336">
        <v>1.9859082486724813</v>
      </c>
      <c r="AD938" s="337">
        <v>139253.230623954</v>
      </c>
      <c r="AE938" s="336">
        <v>2.1481324771018668</v>
      </c>
      <c r="AF938" s="337">
        <v>3321.9693951047957</v>
      </c>
      <c r="AG938" s="338">
        <v>-0.16222422842938555</v>
      </c>
      <c r="AH938" s="235"/>
      <c r="AI938" s="208">
        <f t="shared" si="102"/>
        <v>1744037.6362197984</v>
      </c>
      <c r="AJ938" s="208">
        <f t="shared" si="103"/>
        <v>1901472.6226228196</v>
      </c>
      <c r="AK938" s="208">
        <f t="shared" si="104"/>
        <v>-157434.98640302106</v>
      </c>
      <c r="AL938" s="235"/>
      <c r="AM938" s="52">
        <f t="shared" si="86"/>
        <v>0</v>
      </c>
      <c r="AN938" s="52">
        <f t="shared" si="87"/>
        <v>1</v>
      </c>
      <c r="AO938" s="52">
        <f t="shared" si="88"/>
        <v>0</v>
      </c>
      <c r="AP938" s="235"/>
      <c r="AQ938" s="28"/>
      <c r="AR938" s="28"/>
      <c r="AS938" s="28"/>
      <c r="AT938" s="28"/>
      <c r="AU938" s="235"/>
      <c r="AV938" s="360">
        <f t="shared" si="105"/>
        <v>1901472.6226228196</v>
      </c>
      <c r="AW938" s="235"/>
      <c r="AX938" s="355"/>
      <c r="AY938" s="344"/>
      <c r="AZ938" s="14">
        <f t="shared" si="107"/>
        <v>3321.9693951047957</v>
      </c>
      <c r="BA938" s="14">
        <f t="shared" si="106"/>
        <v>-0.16222422842938555</v>
      </c>
      <c r="BB938" s="14">
        <f t="shared" si="89"/>
        <v>-20477.640283866804</v>
      </c>
      <c r="BC938" s="344"/>
      <c r="BD938" s="344"/>
      <c r="BE938" s="344"/>
      <c r="BF938" s="344"/>
      <c r="BG938" s="344"/>
      <c r="BH938" s="344"/>
      <c r="BI938" s="344"/>
      <c r="BJ938" s="344"/>
      <c r="BK938" s="344"/>
      <c r="BL938" s="344"/>
      <c r="BM938" s="344"/>
      <c r="BN938" s="344"/>
      <c r="BO938" s="344"/>
      <c r="BP938" s="344"/>
      <c r="BQ938" s="344"/>
      <c r="BR938" s="344"/>
      <c r="BS938" s="344"/>
      <c r="BT938" s="344"/>
      <c r="BU938" s="344"/>
      <c r="BV938" s="344"/>
      <c r="BW938" s="344"/>
      <c r="BX938" s="344"/>
      <c r="BY938" s="344"/>
      <c r="BZ938" s="344"/>
      <c r="CA938" s="344"/>
      <c r="CB938" s="28"/>
      <c r="CC938" s="28"/>
      <c r="CD938" s="28"/>
      <c r="CE938" s="28"/>
      <c r="CF938" s="28"/>
      <c r="CG938" s="28"/>
      <c r="CH938" s="28"/>
      <c r="CI938" s="28"/>
      <c r="CJ938" s="28"/>
      <c r="CK938" s="28"/>
      <c r="CL938" s="28"/>
      <c r="CM938" s="28"/>
      <c r="CN938" s="28"/>
      <c r="CO938" s="28"/>
      <c r="CP938" s="28"/>
      <c r="CQ938" s="28"/>
      <c r="CR938" s="28"/>
      <c r="CS938" s="28"/>
      <c r="CT938" s="28"/>
      <c r="CU938" s="28"/>
      <c r="CV938" s="28"/>
      <c r="CW938" s="28"/>
    </row>
    <row r="939" spans="1:101" ht="14.25" customHeight="1" x14ac:dyDescent="0.2">
      <c r="A939" s="328"/>
      <c r="B939" s="52">
        <v>0.17249652189691711</v>
      </c>
      <c r="C939" s="330">
        <v>0.27926910298295216</v>
      </c>
      <c r="D939" s="330">
        <v>1.8105491047253119E-2</v>
      </c>
      <c r="E939" s="330">
        <v>3.1747411211556389E-3</v>
      </c>
      <c r="F939" s="331">
        <v>0.79000509594069934</v>
      </c>
      <c r="G939" s="94">
        <v>0.35739253188749892</v>
      </c>
      <c r="H939" s="330">
        <v>0.83915569520450406</v>
      </c>
      <c r="I939" s="330">
        <v>2.9735752552646044E-2</v>
      </c>
      <c r="J939" s="330">
        <v>0.99999999999998102</v>
      </c>
      <c r="K939" s="330">
        <v>0.76817758606425079</v>
      </c>
      <c r="L939" s="332">
        <v>15086.213940976299</v>
      </c>
      <c r="M939" s="330">
        <v>0</v>
      </c>
      <c r="N939" s="330">
        <v>21835.825182853012</v>
      </c>
      <c r="O939" s="330">
        <v>1342.7646930980386</v>
      </c>
      <c r="P939" s="330">
        <v>37935.116848767357</v>
      </c>
      <c r="Q939" s="333">
        <v>117844.55396104217</v>
      </c>
      <c r="R939" s="330">
        <v>17025.819785833151</v>
      </c>
      <c r="S939" s="330">
        <v>6732.5219924673229</v>
      </c>
      <c r="T939" s="332">
        <v>0.72485090540172736</v>
      </c>
      <c r="U939" s="330">
        <v>0.38397194840498705</v>
      </c>
      <c r="V939" s="330">
        <v>0.61235547335319596</v>
      </c>
      <c r="W939" s="330">
        <v>0.99994730295554357</v>
      </c>
      <c r="X939" s="330">
        <v>0.98780149863958144</v>
      </c>
      <c r="Y939" s="330">
        <v>0</v>
      </c>
      <c r="Z939" s="331">
        <v>0</v>
      </c>
      <c r="AA939" s="235"/>
      <c r="AB939" s="335">
        <v>73583.143235564334</v>
      </c>
      <c r="AC939" s="336">
        <v>4.7272171437885602</v>
      </c>
      <c r="AD939" s="337">
        <v>62871.834132518408</v>
      </c>
      <c r="AE939" s="336">
        <v>4.6659589624187721</v>
      </c>
      <c r="AF939" s="337">
        <v>10711.309103045925</v>
      </c>
      <c r="AG939" s="338">
        <v>6.1258181369788112E-2</v>
      </c>
      <c r="AH939" s="235"/>
      <c r="AI939" s="208">
        <f t="shared" si="102"/>
        <v>4417273.143363568</v>
      </c>
      <c r="AJ939" s="208">
        <f t="shared" si="103"/>
        <v>4369789.180165315</v>
      </c>
      <c r="AK939" s="208">
        <f t="shared" si="104"/>
        <v>47483.963198252779</v>
      </c>
      <c r="AL939" s="235"/>
      <c r="AM939" s="52">
        <f t="shared" si="86"/>
        <v>1</v>
      </c>
      <c r="AN939" s="52">
        <f t="shared" si="87"/>
        <v>0</v>
      </c>
      <c r="AO939" s="52">
        <f t="shared" si="88"/>
        <v>1</v>
      </c>
      <c r="AP939" s="235"/>
      <c r="AQ939" s="28"/>
      <c r="AR939" s="28"/>
      <c r="AS939" s="28"/>
      <c r="AT939" s="28"/>
      <c r="AU939" s="235"/>
      <c r="AV939" s="360">
        <f t="shared" si="105"/>
        <v>4417273.143363568</v>
      </c>
      <c r="AW939" s="235"/>
      <c r="AX939" s="355"/>
      <c r="AY939" s="344"/>
      <c r="AZ939" s="14">
        <f t="shared" si="107"/>
        <v>10711.309103045925</v>
      </c>
      <c r="BA939" s="14">
        <f t="shared" si="106"/>
        <v>6.1258181369788112E-2</v>
      </c>
      <c r="BB939" s="14">
        <f t="shared" si="89"/>
        <v>174855.15997261764</v>
      </c>
      <c r="BC939" s="344"/>
      <c r="BD939" s="344"/>
      <c r="BE939" s="344"/>
      <c r="BF939" s="344"/>
      <c r="BG939" s="344"/>
      <c r="BH939" s="344"/>
      <c r="BI939" s="344"/>
      <c r="BJ939" s="344"/>
      <c r="BK939" s="344"/>
      <c r="BL939" s="344"/>
      <c r="BM939" s="344"/>
      <c r="BN939" s="344"/>
      <c r="BO939" s="344"/>
      <c r="BP939" s="344"/>
      <c r="BQ939" s="344"/>
      <c r="BR939" s="344"/>
      <c r="BS939" s="344"/>
      <c r="BT939" s="344"/>
      <c r="BU939" s="344"/>
      <c r="BV939" s="344"/>
      <c r="BW939" s="344"/>
      <c r="BX939" s="344"/>
      <c r="BY939" s="344"/>
      <c r="BZ939" s="344"/>
      <c r="CA939" s="344"/>
      <c r="CB939" s="28"/>
      <c r="CC939" s="28"/>
      <c r="CD939" s="28"/>
      <c r="CE939" s="28"/>
      <c r="CF939" s="28"/>
      <c r="CG939" s="28"/>
      <c r="CH939" s="28"/>
      <c r="CI939" s="28"/>
      <c r="CJ939" s="28"/>
      <c r="CK939" s="28"/>
      <c r="CL939" s="28"/>
      <c r="CM939" s="28"/>
      <c r="CN939" s="28"/>
      <c r="CO939" s="28"/>
      <c r="CP939" s="28"/>
      <c r="CQ939" s="28"/>
      <c r="CR939" s="28"/>
      <c r="CS939" s="28"/>
      <c r="CT939" s="28"/>
      <c r="CU939" s="28"/>
      <c r="CV939" s="28"/>
      <c r="CW939" s="28"/>
    </row>
    <row r="940" spans="1:101" ht="14.25" customHeight="1" x14ac:dyDescent="0.2">
      <c r="A940" s="328"/>
      <c r="B940" s="52">
        <v>0.1478208520925402</v>
      </c>
      <c r="C940" s="330">
        <v>0.15171362929690832</v>
      </c>
      <c r="D940" s="330">
        <v>2.595684456641989E-2</v>
      </c>
      <c r="E940" s="330">
        <v>2.7614828643161893E-2</v>
      </c>
      <c r="F940" s="331">
        <v>0.78679500061881791</v>
      </c>
      <c r="G940" s="94">
        <v>0.37877831871420398</v>
      </c>
      <c r="H940" s="330">
        <v>0.73421198874369864</v>
      </c>
      <c r="I940" s="330">
        <v>1.4223895631080608E-2</v>
      </c>
      <c r="J940" s="330">
        <v>0.99999999915455751</v>
      </c>
      <c r="K940" s="330">
        <v>0.70608464034452056</v>
      </c>
      <c r="L940" s="332">
        <v>13981.347642807024</v>
      </c>
      <c r="M940" s="330">
        <v>0</v>
      </c>
      <c r="N940" s="330">
        <v>16723.184090853556</v>
      </c>
      <c r="O940" s="330">
        <v>1460.6957420136257</v>
      </c>
      <c r="P940" s="330">
        <v>33166.370202903621</v>
      </c>
      <c r="Q940" s="333">
        <v>107987.04772510397</v>
      </c>
      <c r="R940" s="330">
        <v>19012.504797094767</v>
      </c>
      <c r="S940" s="330">
        <v>9165.0874126907929</v>
      </c>
      <c r="T940" s="332">
        <v>0.99315364330838518</v>
      </c>
      <c r="U940" s="330">
        <v>0.60171282501953982</v>
      </c>
      <c r="V940" s="330">
        <v>0.91705846469270569</v>
      </c>
      <c r="W940" s="330">
        <v>0.99992522421925589</v>
      </c>
      <c r="X940" s="330">
        <v>0.99982977656496841</v>
      </c>
      <c r="Y940" s="330">
        <v>0</v>
      </c>
      <c r="Z940" s="331">
        <v>0</v>
      </c>
      <c r="AA940" s="235"/>
      <c r="AB940" s="335">
        <v>92426.671286740515</v>
      </c>
      <c r="AC940" s="336">
        <v>5.23914628137398</v>
      </c>
      <c r="AD940" s="337">
        <v>76076.96188578759</v>
      </c>
      <c r="AE940" s="336">
        <v>4.4075263044215935</v>
      </c>
      <c r="AF940" s="337">
        <v>16349.709400952925</v>
      </c>
      <c r="AG940" s="338">
        <v>0.83161997695238643</v>
      </c>
      <c r="AH940" s="235"/>
      <c r="AI940" s="208">
        <f t="shared" si="102"/>
        <v>4884762.2960185409</v>
      </c>
      <c r="AJ940" s="208">
        <f t="shared" si="103"/>
        <v>4111073.0273147263</v>
      </c>
      <c r="AK940" s="208">
        <f t="shared" si="104"/>
        <v>773689.26870381425</v>
      </c>
      <c r="AL940" s="235"/>
      <c r="AM940" s="52">
        <f t="shared" si="86"/>
        <v>1</v>
      </c>
      <c r="AN940" s="52">
        <f t="shared" si="87"/>
        <v>0</v>
      </c>
      <c r="AO940" s="52">
        <f t="shared" si="88"/>
        <v>1</v>
      </c>
      <c r="AP940" s="235"/>
      <c r="AQ940" s="28"/>
      <c r="AR940" s="28"/>
      <c r="AS940" s="28"/>
      <c r="AT940" s="28"/>
      <c r="AU940" s="235"/>
      <c r="AV940" s="360">
        <f t="shared" si="105"/>
        <v>4884762.2960185409</v>
      </c>
      <c r="AW940" s="235"/>
      <c r="AX940" s="355"/>
      <c r="AY940" s="344"/>
      <c r="AZ940" s="14">
        <f t="shared" si="107"/>
        <v>16349.709400952925</v>
      </c>
      <c r="BA940" s="14">
        <f t="shared" si="106"/>
        <v>0.83161997695238643</v>
      </c>
      <c r="BB940" s="14">
        <f t="shared" si="89"/>
        <v>19660.072934838856</v>
      </c>
      <c r="BC940" s="344"/>
      <c r="BD940" s="344"/>
      <c r="BE940" s="344"/>
      <c r="BF940" s="344"/>
      <c r="BG940" s="344"/>
      <c r="BH940" s="344"/>
      <c r="BI940" s="344"/>
      <c r="BJ940" s="344"/>
      <c r="BK940" s="344"/>
      <c r="BL940" s="344"/>
      <c r="BM940" s="344"/>
      <c r="BN940" s="344"/>
      <c r="BO940" s="344"/>
      <c r="BP940" s="344"/>
      <c r="BQ940" s="344"/>
      <c r="BR940" s="344"/>
      <c r="BS940" s="344"/>
      <c r="BT940" s="344"/>
      <c r="BU940" s="344"/>
      <c r="BV940" s="344"/>
      <c r="BW940" s="344"/>
      <c r="BX940" s="344"/>
      <c r="BY940" s="344"/>
      <c r="BZ940" s="344"/>
      <c r="CA940" s="344"/>
      <c r="CB940" s="28"/>
      <c r="CC940" s="28"/>
      <c r="CD940" s="28"/>
      <c r="CE940" s="28"/>
      <c r="CF940" s="28"/>
      <c r="CG940" s="28"/>
      <c r="CH940" s="28"/>
      <c r="CI940" s="28"/>
      <c r="CJ940" s="28"/>
      <c r="CK940" s="28"/>
      <c r="CL940" s="28"/>
      <c r="CM940" s="28"/>
      <c r="CN940" s="28"/>
      <c r="CO940" s="28"/>
      <c r="CP940" s="28"/>
      <c r="CQ940" s="28"/>
      <c r="CR940" s="28"/>
      <c r="CS940" s="28"/>
      <c r="CT940" s="28"/>
      <c r="CU940" s="28"/>
      <c r="CV940" s="28"/>
      <c r="CW940" s="28"/>
    </row>
    <row r="941" spans="1:101" ht="14.25" customHeight="1" x14ac:dyDescent="0.2">
      <c r="A941" s="328"/>
      <c r="B941" s="52">
        <v>0.17321325212752103</v>
      </c>
      <c r="C941" s="330">
        <v>0.32095528625788061</v>
      </c>
      <c r="D941" s="330">
        <v>1.4813963900096927E-2</v>
      </c>
      <c r="E941" s="330">
        <v>9.9175773845934147E-3</v>
      </c>
      <c r="F941" s="331">
        <v>0.7726036243639548</v>
      </c>
      <c r="G941" s="94">
        <v>0.34638767540540283</v>
      </c>
      <c r="H941" s="330">
        <v>0.23590772986704719</v>
      </c>
      <c r="I941" s="330">
        <v>5.7286886214691964E-3</v>
      </c>
      <c r="J941" s="330">
        <v>0.99999999999999756</v>
      </c>
      <c r="K941" s="330">
        <v>0.74518245106506376</v>
      </c>
      <c r="L941" s="332">
        <v>13794.531293654489</v>
      </c>
      <c r="M941" s="330">
        <v>0</v>
      </c>
      <c r="N941" s="330">
        <v>18474.997448774644</v>
      </c>
      <c r="O941" s="330">
        <v>1573.180881291546</v>
      </c>
      <c r="P941" s="330">
        <v>36037.625450158099</v>
      </c>
      <c r="Q941" s="333">
        <v>130135.0033259982</v>
      </c>
      <c r="R941" s="330">
        <v>23852.655670107175</v>
      </c>
      <c r="S941" s="330">
        <v>6690.8827885104838</v>
      </c>
      <c r="T941" s="332">
        <v>0.94478175168238865</v>
      </c>
      <c r="U941" s="330">
        <v>0.49238295361179679</v>
      </c>
      <c r="V941" s="330">
        <v>0.99685454660671313</v>
      </c>
      <c r="W941" s="330">
        <v>0.34338162164246355</v>
      </c>
      <c r="X941" s="330">
        <v>0.64428514369814194</v>
      </c>
      <c r="Y941" s="330">
        <v>0</v>
      </c>
      <c r="Z941" s="331">
        <v>0</v>
      </c>
      <c r="AA941" s="235"/>
      <c r="AB941" s="335">
        <v>71202.42514909849</v>
      </c>
      <c r="AC941" s="336">
        <v>3.0525868421349038</v>
      </c>
      <c r="AD941" s="337">
        <v>56369.644486949619</v>
      </c>
      <c r="AE941" s="336">
        <v>3.0321147413011755</v>
      </c>
      <c r="AF941" s="337">
        <v>14832.780662148871</v>
      </c>
      <c r="AG941" s="338">
        <v>2.0472100833728302E-2</v>
      </c>
      <c r="AH941" s="235"/>
      <c r="AI941" s="208">
        <f t="shared" si="102"/>
        <v>2828755.07487906</v>
      </c>
      <c r="AJ941" s="208">
        <f t="shared" si="103"/>
        <v>2824139.3597491668</v>
      </c>
      <c r="AK941" s="208">
        <f t="shared" si="104"/>
        <v>4615.7151298930148</v>
      </c>
      <c r="AL941" s="235"/>
      <c r="AM941" s="52">
        <f t="shared" si="86"/>
        <v>1</v>
      </c>
      <c r="AN941" s="52">
        <f t="shared" si="87"/>
        <v>0</v>
      </c>
      <c r="AO941" s="52">
        <f t="shared" si="88"/>
        <v>1</v>
      </c>
      <c r="AP941" s="235"/>
      <c r="AQ941" s="28"/>
      <c r="AR941" s="28"/>
      <c r="AS941" s="28"/>
      <c r="AT941" s="28"/>
      <c r="AU941" s="235"/>
      <c r="AV941" s="360">
        <f t="shared" si="105"/>
        <v>2828755.07487906</v>
      </c>
      <c r="AW941" s="235"/>
      <c r="AX941" s="355"/>
      <c r="AY941" s="344"/>
      <c r="AZ941" s="14">
        <f t="shared" si="107"/>
        <v>14832.780662148871</v>
      </c>
      <c r="BA941" s="14">
        <f t="shared" si="106"/>
        <v>2.0472100833728302E-2</v>
      </c>
      <c r="BB941" s="14">
        <f t="shared" si="89"/>
        <v>724536.32299971336</v>
      </c>
      <c r="BC941" s="344"/>
      <c r="BD941" s="344"/>
      <c r="BE941" s="344"/>
      <c r="BF941" s="344"/>
      <c r="BG941" s="344"/>
      <c r="BH941" s="344"/>
      <c r="BI941" s="344"/>
      <c r="BJ941" s="344"/>
      <c r="BK941" s="344"/>
      <c r="BL941" s="344"/>
      <c r="BM941" s="344"/>
      <c r="BN941" s="344"/>
      <c r="BO941" s="344"/>
      <c r="BP941" s="344"/>
      <c r="BQ941" s="344"/>
      <c r="BR941" s="344"/>
      <c r="BS941" s="344"/>
      <c r="BT941" s="344"/>
      <c r="BU941" s="344"/>
      <c r="BV941" s="344"/>
      <c r="BW941" s="344"/>
      <c r="BX941" s="344"/>
      <c r="BY941" s="344"/>
      <c r="BZ941" s="344"/>
      <c r="CA941" s="344"/>
      <c r="CB941" s="28"/>
      <c r="CC941" s="28"/>
      <c r="CD941" s="28"/>
      <c r="CE941" s="28"/>
      <c r="CF941" s="28"/>
      <c r="CG941" s="28"/>
      <c r="CH941" s="28"/>
      <c r="CI941" s="28"/>
      <c r="CJ941" s="28"/>
      <c r="CK941" s="28"/>
      <c r="CL941" s="28"/>
      <c r="CM941" s="28"/>
      <c r="CN941" s="28"/>
      <c r="CO941" s="28"/>
      <c r="CP941" s="28"/>
      <c r="CQ941" s="28"/>
      <c r="CR941" s="28"/>
      <c r="CS941" s="28"/>
      <c r="CT941" s="28"/>
      <c r="CU941" s="28"/>
      <c r="CV941" s="28"/>
      <c r="CW941" s="28"/>
    </row>
    <row r="942" spans="1:101" ht="14.25" customHeight="1" x14ac:dyDescent="0.2">
      <c r="A942" s="328"/>
      <c r="B942" s="52">
        <v>0.1531847124101009</v>
      </c>
      <c r="C942" s="330">
        <v>0.50490789051256124</v>
      </c>
      <c r="D942" s="330">
        <v>2.4517001402769911E-2</v>
      </c>
      <c r="E942" s="330">
        <v>8.0007043714724283E-3</v>
      </c>
      <c r="F942" s="331">
        <v>0.83396272308368624</v>
      </c>
      <c r="G942" s="94">
        <v>0.4260743446249432</v>
      </c>
      <c r="H942" s="330">
        <v>0.65741402899890833</v>
      </c>
      <c r="I942" s="330">
        <v>2.3595337523211524E-2</v>
      </c>
      <c r="J942" s="330">
        <v>0.99929744693160993</v>
      </c>
      <c r="K942" s="330">
        <v>0.76638472795326229</v>
      </c>
      <c r="L942" s="332">
        <v>15944.06817603182</v>
      </c>
      <c r="M942" s="330">
        <v>0</v>
      </c>
      <c r="N942" s="330">
        <v>19512.450097402732</v>
      </c>
      <c r="O942" s="330">
        <v>1214.0246527532563</v>
      </c>
      <c r="P942" s="330">
        <v>40354.006612725621</v>
      </c>
      <c r="Q942" s="333">
        <v>84019.902351254015</v>
      </c>
      <c r="R942" s="330">
        <v>23769.04119561996</v>
      </c>
      <c r="S942" s="330">
        <v>8892.4268062971496</v>
      </c>
      <c r="T942" s="332">
        <v>7.5768862035973383E-2</v>
      </c>
      <c r="U942" s="330">
        <v>0.99935238305349272</v>
      </c>
      <c r="V942" s="330">
        <v>0.96895866332802605</v>
      </c>
      <c r="W942" s="330">
        <v>5.8459240178102438E-2</v>
      </c>
      <c r="X942" s="330">
        <v>0.83529233203152398</v>
      </c>
      <c r="Y942" s="330">
        <v>0</v>
      </c>
      <c r="Z942" s="331">
        <v>0</v>
      </c>
      <c r="AA942" s="235"/>
      <c r="AB942" s="335">
        <v>97868.082566736717</v>
      </c>
      <c r="AC942" s="336">
        <v>4.2226364114859569</v>
      </c>
      <c r="AD942" s="337">
        <v>81718.379345391295</v>
      </c>
      <c r="AE942" s="336">
        <v>3.9903912160151775</v>
      </c>
      <c r="AF942" s="337">
        <v>16149.703221345422</v>
      </c>
      <c r="AG942" s="338">
        <v>0.23224519547077938</v>
      </c>
      <c r="AH942" s="235"/>
      <c r="AI942" s="208">
        <f t="shared" si="102"/>
        <v>3913636.5083449222</v>
      </c>
      <c r="AJ942" s="208">
        <f t="shared" si="103"/>
        <v>3709153.2758690272</v>
      </c>
      <c r="AK942" s="208">
        <f t="shared" si="104"/>
        <v>204483.23247589497</v>
      </c>
      <c r="AL942" s="235"/>
      <c r="AM942" s="52">
        <f t="shared" si="86"/>
        <v>1</v>
      </c>
      <c r="AN942" s="52">
        <f t="shared" si="87"/>
        <v>0</v>
      </c>
      <c r="AO942" s="52">
        <f t="shared" si="88"/>
        <v>1</v>
      </c>
      <c r="AP942" s="235"/>
      <c r="AQ942" s="28"/>
      <c r="AR942" s="28"/>
      <c r="AS942" s="28"/>
      <c r="AT942" s="28"/>
      <c r="AU942" s="235"/>
      <c r="AV942" s="360">
        <f t="shared" si="105"/>
        <v>3913636.5083449222</v>
      </c>
      <c r="AW942" s="235"/>
      <c r="AX942" s="355"/>
      <c r="AY942" s="344"/>
      <c r="AZ942" s="14">
        <f t="shared" si="107"/>
        <v>16149.703221345422</v>
      </c>
      <c r="BA942" s="14">
        <f t="shared" si="106"/>
        <v>0.23224519547077938</v>
      </c>
      <c r="BB942" s="14">
        <f t="shared" si="89"/>
        <v>69537.297374908856</v>
      </c>
      <c r="BC942" s="344"/>
      <c r="BD942" s="344"/>
      <c r="BE942" s="344"/>
      <c r="BF942" s="344"/>
      <c r="BG942" s="344"/>
      <c r="BH942" s="344"/>
      <c r="BI942" s="344"/>
      <c r="BJ942" s="344"/>
      <c r="BK942" s="344"/>
      <c r="BL942" s="344"/>
      <c r="BM942" s="344"/>
      <c r="BN942" s="344"/>
      <c r="BO942" s="344"/>
      <c r="BP942" s="344"/>
      <c r="BQ942" s="344"/>
      <c r="BR942" s="344"/>
      <c r="BS942" s="344"/>
      <c r="BT942" s="344"/>
      <c r="BU942" s="344"/>
      <c r="BV942" s="344"/>
      <c r="BW942" s="344"/>
      <c r="BX942" s="344"/>
      <c r="BY942" s="344"/>
      <c r="BZ942" s="344"/>
      <c r="CA942" s="344"/>
      <c r="CB942" s="28"/>
      <c r="CC942" s="28"/>
      <c r="CD942" s="28"/>
      <c r="CE942" s="28"/>
      <c r="CF942" s="28"/>
      <c r="CG942" s="28"/>
      <c r="CH942" s="28"/>
      <c r="CI942" s="28"/>
      <c r="CJ942" s="28"/>
      <c r="CK942" s="28"/>
      <c r="CL942" s="28"/>
      <c r="CM942" s="28"/>
      <c r="CN942" s="28"/>
      <c r="CO942" s="28"/>
      <c r="CP942" s="28"/>
      <c r="CQ942" s="28"/>
      <c r="CR942" s="28"/>
      <c r="CS942" s="28"/>
      <c r="CT942" s="28"/>
      <c r="CU942" s="28"/>
      <c r="CV942" s="28"/>
      <c r="CW942" s="28"/>
    </row>
    <row r="943" spans="1:101" ht="14.25" customHeight="1" x14ac:dyDescent="0.2">
      <c r="A943" s="328"/>
      <c r="B943" s="52">
        <v>0.18205902041018718</v>
      </c>
      <c r="C943" s="330">
        <v>0.5010705219965168</v>
      </c>
      <c r="D943" s="330">
        <v>1.2616309322270439E-2</v>
      </c>
      <c r="E943" s="330">
        <v>5.2860513095400333E-3</v>
      </c>
      <c r="F943" s="331">
        <v>0.75684537898165016</v>
      </c>
      <c r="G943" s="94">
        <v>0.36437277303244642</v>
      </c>
      <c r="H943" s="330">
        <v>0.52791942698187921</v>
      </c>
      <c r="I943" s="330">
        <v>4.7498248902813466E-3</v>
      </c>
      <c r="J943" s="330">
        <v>1</v>
      </c>
      <c r="K943" s="330">
        <v>0.75585311157529878</v>
      </c>
      <c r="L943" s="332">
        <v>9883.8773277283035</v>
      </c>
      <c r="M943" s="330">
        <v>0</v>
      </c>
      <c r="N943" s="330">
        <v>18090.048815044418</v>
      </c>
      <c r="O943" s="330">
        <v>1249.2357674120174</v>
      </c>
      <c r="P943" s="330">
        <v>50773.45194954599</v>
      </c>
      <c r="Q943" s="333">
        <v>102758.13254740791</v>
      </c>
      <c r="R943" s="330">
        <v>16486.716158355546</v>
      </c>
      <c r="S943" s="330">
        <v>10518.024102838748</v>
      </c>
      <c r="T943" s="332">
        <v>0.91738234730978729</v>
      </c>
      <c r="U943" s="330">
        <v>0.9601969213833198</v>
      </c>
      <c r="V943" s="330">
        <v>0.7301038481818628</v>
      </c>
      <c r="W943" s="330">
        <v>0.99146301750420018</v>
      </c>
      <c r="X943" s="330">
        <v>0.7369605115797</v>
      </c>
      <c r="Y943" s="330">
        <v>0</v>
      </c>
      <c r="Z943" s="331">
        <v>0</v>
      </c>
      <c r="AA943" s="235"/>
      <c r="AB943" s="335">
        <v>97278.32454098553</v>
      </c>
      <c r="AC943" s="336">
        <v>3.4261273774644372</v>
      </c>
      <c r="AD943" s="337">
        <v>89236.984540418052</v>
      </c>
      <c r="AE943" s="336">
        <v>3.3941060434340544</v>
      </c>
      <c r="AF943" s="337">
        <v>8041.3400005674775</v>
      </c>
      <c r="AG943" s="338">
        <v>3.2021334030382764E-2</v>
      </c>
      <c r="AH943" s="235"/>
      <c r="AI943" s="208">
        <f t="shared" si="102"/>
        <v>3157542.6840502294</v>
      </c>
      <c r="AJ943" s="208">
        <f t="shared" si="103"/>
        <v>3135163.7567219334</v>
      </c>
      <c r="AK943" s="208">
        <f t="shared" si="104"/>
        <v>22378.927328296148</v>
      </c>
      <c r="AL943" s="235"/>
      <c r="AM943" s="52">
        <f t="shared" si="86"/>
        <v>1</v>
      </c>
      <c r="AN943" s="52">
        <f t="shared" si="87"/>
        <v>0</v>
      </c>
      <c r="AO943" s="52">
        <f t="shared" si="88"/>
        <v>1</v>
      </c>
      <c r="AP943" s="235"/>
      <c r="AQ943" s="28"/>
      <c r="AR943" s="28"/>
      <c r="AS943" s="28"/>
      <c r="AT943" s="28"/>
      <c r="AU943" s="235"/>
      <c r="AV943" s="360">
        <f t="shared" si="105"/>
        <v>3157542.6840502294</v>
      </c>
      <c r="AW943" s="235"/>
      <c r="AX943" s="355"/>
      <c r="AY943" s="344"/>
      <c r="AZ943" s="14">
        <f t="shared" si="107"/>
        <v>8041.3400005674775</v>
      </c>
      <c r="BA943" s="14">
        <f t="shared" si="106"/>
        <v>3.2021334030382764E-2</v>
      </c>
      <c r="BB943" s="14">
        <f t="shared" si="89"/>
        <v>251124.45324537766</v>
      </c>
      <c r="BC943" s="344"/>
      <c r="BD943" s="344"/>
      <c r="BE943" s="344"/>
      <c r="BF943" s="344"/>
      <c r="BG943" s="344"/>
      <c r="BH943" s="344"/>
      <c r="BI943" s="344"/>
      <c r="BJ943" s="344"/>
      <c r="BK943" s="344"/>
      <c r="BL943" s="344"/>
      <c r="BM943" s="344"/>
      <c r="BN943" s="344"/>
      <c r="BO943" s="344"/>
      <c r="BP943" s="344"/>
      <c r="BQ943" s="344"/>
      <c r="BR943" s="344"/>
      <c r="BS943" s="344"/>
      <c r="BT943" s="344"/>
      <c r="BU943" s="344"/>
      <c r="BV943" s="344"/>
      <c r="BW943" s="344"/>
      <c r="BX943" s="344"/>
      <c r="BY943" s="344"/>
      <c r="BZ943" s="344"/>
      <c r="CA943" s="344"/>
      <c r="CB943" s="28"/>
      <c r="CC943" s="28"/>
      <c r="CD943" s="28"/>
      <c r="CE943" s="28"/>
      <c r="CF943" s="28"/>
      <c r="CG943" s="28"/>
      <c r="CH943" s="28"/>
      <c r="CI943" s="28"/>
      <c r="CJ943" s="28"/>
      <c r="CK943" s="28"/>
      <c r="CL943" s="28"/>
      <c r="CM943" s="28"/>
      <c r="CN943" s="28"/>
      <c r="CO943" s="28"/>
      <c r="CP943" s="28"/>
      <c r="CQ943" s="28"/>
      <c r="CR943" s="28"/>
      <c r="CS943" s="28"/>
      <c r="CT943" s="28"/>
      <c r="CU943" s="28"/>
      <c r="CV943" s="28"/>
      <c r="CW943" s="28"/>
    </row>
    <row r="944" spans="1:101" ht="14.25" customHeight="1" x14ac:dyDescent="0.2">
      <c r="A944" s="328"/>
      <c r="B944" s="52">
        <v>0.16671351115875321</v>
      </c>
      <c r="C944" s="330">
        <v>0.74702023948030927</v>
      </c>
      <c r="D944" s="330">
        <v>1.0580281088167345E-2</v>
      </c>
      <c r="E944" s="330">
        <v>2.2064065513892173E-2</v>
      </c>
      <c r="F944" s="331">
        <v>0.76606881589898335</v>
      </c>
      <c r="G944" s="94">
        <v>0.36811096571454643</v>
      </c>
      <c r="H944" s="330">
        <v>0.52224345564773256</v>
      </c>
      <c r="I944" s="330">
        <v>2.7548142464963288E-2</v>
      </c>
      <c r="J944" s="330">
        <v>0.99999999999989697</v>
      </c>
      <c r="K944" s="330">
        <v>0.81525594434299453</v>
      </c>
      <c r="L944" s="332">
        <v>11752.856928795651</v>
      </c>
      <c r="M944" s="330">
        <v>0</v>
      </c>
      <c r="N944" s="330">
        <v>23289.323435810675</v>
      </c>
      <c r="O944" s="330">
        <v>1131.7460089681206</v>
      </c>
      <c r="P944" s="330">
        <v>52775.446737226237</v>
      </c>
      <c r="Q944" s="333">
        <v>90407.2946585959</v>
      </c>
      <c r="R944" s="330">
        <v>25351.081894620598</v>
      </c>
      <c r="S944" s="330">
        <v>8977.3035927546371</v>
      </c>
      <c r="T944" s="332">
        <v>0.8859810848045786</v>
      </c>
      <c r="U944" s="330">
        <v>0.94121707213103489</v>
      </c>
      <c r="V944" s="330">
        <v>0.98865031306381757</v>
      </c>
      <c r="W944" s="330">
        <v>0.40698611517034045</v>
      </c>
      <c r="X944" s="330">
        <v>0.99815531007376301</v>
      </c>
      <c r="Y944" s="330">
        <v>0</v>
      </c>
      <c r="Z944" s="331">
        <v>0</v>
      </c>
      <c r="AA944" s="235"/>
      <c r="AB944" s="335">
        <v>89062.314858977887</v>
      </c>
      <c r="AC944" s="336">
        <v>4.9787154652478094</v>
      </c>
      <c r="AD944" s="337">
        <v>85575.867619004741</v>
      </c>
      <c r="AE944" s="336">
        <v>4.9757961404632409</v>
      </c>
      <c r="AF944" s="337">
        <v>3486.4472399731458</v>
      </c>
      <c r="AG944" s="338">
        <v>2.9193247845684667E-3</v>
      </c>
      <c r="AH944" s="235"/>
      <c r="AI944" s="208">
        <f t="shared" si="102"/>
        <v>4640717.3771264413</v>
      </c>
      <c r="AJ944" s="208">
        <f t="shared" si="103"/>
        <v>4641430.4658210734</v>
      </c>
      <c r="AK944" s="208">
        <f t="shared" si="104"/>
        <v>-713.08869463310248</v>
      </c>
      <c r="AL944" s="235"/>
      <c r="AM944" s="52">
        <f t="shared" si="86"/>
        <v>0</v>
      </c>
      <c r="AN944" s="52">
        <f t="shared" si="87"/>
        <v>1</v>
      </c>
      <c r="AO944" s="52">
        <f t="shared" si="88"/>
        <v>0</v>
      </c>
      <c r="AP944" s="235"/>
      <c r="AQ944" s="28"/>
      <c r="AR944" s="28"/>
      <c r="AS944" s="28"/>
      <c r="AT944" s="28"/>
      <c r="AU944" s="235"/>
      <c r="AV944" s="360">
        <f t="shared" si="105"/>
        <v>4641430.4658210734</v>
      </c>
      <c r="AW944" s="235"/>
      <c r="AX944" s="355"/>
      <c r="AY944" s="344"/>
      <c r="AZ944" s="14">
        <f t="shared" si="107"/>
        <v>3486.4472399731458</v>
      </c>
      <c r="BA944" s="14">
        <f t="shared" si="106"/>
        <v>2.9193247845684667E-3</v>
      </c>
      <c r="BB944" s="14">
        <f t="shared" si="89"/>
        <v>1194264.9404418739</v>
      </c>
      <c r="BC944" s="344"/>
      <c r="BD944" s="344"/>
      <c r="BE944" s="344"/>
      <c r="BF944" s="344"/>
      <c r="BG944" s="344"/>
      <c r="BH944" s="344"/>
      <c r="BI944" s="344"/>
      <c r="BJ944" s="344"/>
      <c r="BK944" s="344"/>
      <c r="BL944" s="344"/>
      <c r="BM944" s="344"/>
      <c r="BN944" s="344"/>
      <c r="BO944" s="344"/>
      <c r="BP944" s="344"/>
      <c r="BQ944" s="344"/>
      <c r="BR944" s="344"/>
      <c r="BS944" s="344"/>
      <c r="BT944" s="344"/>
      <c r="BU944" s="344"/>
      <c r="BV944" s="344"/>
      <c r="BW944" s="344"/>
      <c r="BX944" s="344"/>
      <c r="BY944" s="344"/>
      <c r="BZ944" s="344"/>
      <c r="CA944" s="344"/>
      <c r="CB944" s="28"/>
      <c r="CC944" s="28"/>
      <c r="CD944" s="28"/>
      <c r="CE944" s="28"/>
      <c r="CF944" s="28"/>
      <c r="CG944" s="28"/>
      <c r="CH944" s="28"/>
      <c r="CI944" s="28"/>
      <c r="CJ944" s="28"/>
      <c r="CK944" s="28"/>
      <c r="CL944" s="28"/>
      <c r="CM944" s="28"/>
      <c r="CN944" s="28"/>
      <c r="CO944" s="28"/>
      <c r="CP944" s="28"/>
      <c r="CQ944" s="28"/>
      <c r="CR944" s="28"/>
      <c r="CS944" s="28"/>
      <c r="CT944" s="28"/>
      <c r="CU944" s="28"/>
      <c r="CV944" s="28"/>
      <c r="CW944" s="28"/>
    </row>
    <row r="945" spans="1:101" ht="14.25" customHeight="1" x14ac:dyDescent="0.2">
      <c r="A945" s="328"/>
      <c r="B945" s="52">
        <v>0.17460647863919587</v>
      </c>
      <c r="C945" s="330">
        <v>0.2854598041415739</v>
      </c>
      <c r="D945" s="330">
        <v>9.2871357557563552E-3</v>
      </c>
      <c r="E945" s="330">
        <v>8.7191044594487847E-3</v>
      </c>
      <c r="F945" s="331">
        <v>0.79122902252000216</v>
      </c>
      <c r="G945" s="94">
        <v>0.40478059240745057</v>
      </c>
      <c r="H945" s="330">
        <v>0.84658806140400444</v>
      </c>
      <c r="I945" s="330">
        <v>1.0921667983252484E-2</v>
      </c>
      <c r="J945" s="330">
        <v>0.99998127707607387</v>
      </c>
      <c r="K945" s="330">
        <v>0.72853550783712817</v>
      </c>
      <c r="L945" s="332">
        <v>11866.469786642043</v>
      </c>
      <c r="M945" s="330">
        <v>0</v>
      </c>
      <c r="N945" s="330">
        <v>18707.644647737481</v>
      </c>
      <c r="O945" s="330">
        <v>1571.1840332743172</v>
      </c>
      <c r="P945" s="330">
        <v>66947.530891735048</v>
      </c>
      <c r="Q945" s="333">
        <v>94249.754795860528</v>
      </c>
      <c r="R945" s="330">
        <v>30695.552294162917</v>
      </c>
      <c r="S945" s="330">
        <v>7857.9639994721447</v>
      </c>
      <c r="T945" s="332">
        <v>0.38642185798367173</v>
      </c>
      <c r="U945" s="330">
        <v>0.9165283183849513</v>
      </c>
      <c r="V945" s="330">
        <v>0.99550954418040172</v>
      </c>
      <c r="W945" s="330">
        <v>0.90230303799518774</v>
      </c>
      <c r="X945" s="330">
        <v>0.99997753342948581</v>
      </c>
      <c r="Y945" s="330">
        <v>0</v>
      </c>
      <c r="Z945" s="331">
        <v>0</v>
      </c>
      <c r="AA945" s="235"/>
      <c r="AB945" s="335">
        <v>80545.702066334954</v>
      </c>
      <c r="AC945" s="336">
        <v>4.9762351714510817</v>
      </c>
      <c r="AD945" s="337">
        <v>73308.210844590387</v>
      </c>
      <c r="AE945" s="336">
        <v>4.7545255427153785</v>
      </c>
      <c r="AF945" s="337">
        <v>7237.4912217445672</v>
      </c>
      <c r="AG945" s="338">
        <v>0.22170962873570321</v>
      </c>
      <c r="AH945" s="235"/>
      <c r="AI945" s="208">
        <f t="shared" si="102"/>
        <v>4646877.7108121924</v>
      </c>
      <c r="AJ945" s="208">
        <f t="shared" si="103"/>
        <v>4443491.0547350189</v>
      </c>
      <c r="AK945" s="208">
        <f t="shared" si="104"/>
        <v>203386.65607717348</v>
      </c>
      <c r="AL945" s="235"/>
      <c r="AM945" s="52">
        <f t="shared" si="86"/>
        <v>1</v>
      </c>
      <c r="AN945" s="52">
        <f t="shared" si="87"/>
        <v>0</v>
      </c>
      <c r="AO945" s="52">
        <f t="shared" si="88"/>
        <v>1</v>
      </c>
      <c r="AP945" s="235"/>
      <c r="AQ945" s="28"/>
      <c r="AR945" s="28"/>
      <c r="AS945" s="28"/>
      <c r="AT945" s="28"/>
      <c r="AU945" s="235"/>
      <c r="AV945" s="360">
        <f t="shared" si="105"/>
        <v>4646877.7108121924</v>
      </c>
      <c r="AW945" s="235"/>
      <c r="AX945" s="355"/>
      <c r="AY945" s="344"/>
      <c r="AZ945" s="14">
        <f t="shared" si="107"/>
        <v>7237.4912217445672</v>
      </c>
      <c r="BA945" s="14">
        <f t="shared" si="106"/>
        <v>0.22170962873570321</v>
      </c>
      <c r="BB945" s="14">
        <f t="shared" si="89"/>
        <v>32644.009477695145</v>
      </c>
      <c r="BC945" s="344"/>
      <c r="BD945" s="344"/>
      <c r="BE945" s="344"/>
      <c r="BF945" s="344"/>
      <c r="BG945" s="344"/>
      <c r="BH945" s="344"/>
      <c r="BI945" s="344"/>
      <c r="BJ945" s="344"/>
      <c r="BK945" s="344"/>
      <c r="BL945" s="344"/>
      <c r="BM945" s="344"/>
      <c r="BN945" s="344"/>
      <c r="BO945" s="344"/>
      <c r="BP945" s="344"/>
      <c r="BQ945" s="344"/>
      <c r="BR945" s="344"/>
      <c r="BS945" s="344"/>
      <c r="BT945" s="344"/>
      <c r="BU945" s="344"/>
      <c r="BV945" s="344"/>
      <c r="BW945" s="344"/>
      <c r="BX945" s="344"/>
      <c r="BY945" s="344"/>
      <c r="BZ945" s="344"/>
      <c r="CA945" s="344"/>
      <c r="CB945" s="28"/>
      <c r="CC945" s="28"/>
      <c r="CD945" s="28"/>
      <c r="CE945" s="28"/>
      <c r="CF945" s="28"/>
      <c r="CG945" s="28"/>
      <c r="CH945" s="28"/>
      <c r="CI945" s="28"/>
      <c r="CJ945" s="28"/>
      <c r="CK945" s="28"/>
      <c r="CL945" s="28"/>
      <c r="CM945" s="28"/>
      <c r="CN945" s="28"/>
      <c r="CO945" s="28"/>
      <c r="CP945" s="28"/>
      <c r="CQ945" s="28"/>
      <c r="CR945" s="28"/>
      <c r="CS945" s="28"/>
      <c r="CT945" s="28"/>
      <c r="CU945" s="28"/>
      <c r="CV945" s="28"/>
      <c r="CW945" s="28"/>
    </row>
    <row r="946" spans="1:101" ht="14.25" customHeight="1" x14ac:dyDescent="0.2">
      <c r="A946" s="328"/>
      <c r="B946" s="52">
        <v>0.18535762168621606</v>
      </c>
      <c r="C946" s="330">
        <v>9.3231753377160054E-2</v>
      </c>
      <c r="D946" s="330">
        <v>2.0930037267912982E-2</v>
      </c>
      <c r="E946" s="330">
        <v>1.7609757010507265E-2</v>
      </c>
      <c r="F946" s="331">
        <v>0.7808292150900239</v>
      </c>
      <c r="G946" s="94">
        <v>0.44249034234963425</v>
      </c>
      <c r="H946" s="330">
        <v>0.94296416964438912</v>
      </c>
      <c r="I946" s="330">
        <v>3.0106926386691213E-2</v>
      </c>
      <c r="J946" s="330">
        <v>0.99999806922768286</v>
      </c>
      <c r="K946" s="330">
        <v>0.73735797253334145</v>
      </c>
      <c r="L946" s="332">
        <v>10321.395564679511</v>
      </c>
      <c r="M946" s="330">
        <v>0</v>
      </c>
      <c r="N946" s="330">
        <v>13718.607402860383</v>
      </c>
      <c r="O946" s="330">
        <v>1777.5100016642955</v>
      </c>
      <c r="P946" s="330">
        <v>55421.840867137689</v>
      </c>
      <c r="Q946" s="333">
        <v>98964.420985490025</v>
      </c>
      <c r="R946" s="330">
        <v>23071.035564140748</v>
      </c>
      <c r="S946" s="330">
        <v>8199.9795815763628</v>
      </c>
      <c r="T946" s="332">
        <v>0.46273784917183558</v>
      </c>
      <c r="U946" s="330">
        <v>0.99976464412306143</v>
      </c>
      <c r="V946" s="330">
        <v>0.66461925771628116</v>
      </c>
      <c r="W946" s="330">
        <v>0.91737185974756152</v>
      </c>
      <c r="X946" s="330">
        <v>0.71089028840025892</v>
      </c>
      <c r="Y946" s="330">
        <v>0</v>
      </c>
      <c r="Z946" s="331">
        <v>0</v>
      </c>
      <c r="AA946" s="235"/>
      <c r="AB946" s="335">
        <v>80147.978108722542</v>
      </c>
      <c r="AC946" s="336">
        <v>3.3912804448713079</v>
      </c>
      <c r="AD946" s="337">
        <v>77275.768489942668</v>
      </c>
      <c r="AE946" s="336">
        <v>3.3381808437063238</v>
      </c>
      <c r="AF946" s="337">
        <v>2872.2096187798743</v>
      </c>
      <c r="AG946" s="338">
        <v>5.3099601164984023E-2</v>
      </c>
      <c r="AH946" s="235"/>
      <c r="AI946" s="208">
        <f t="shared" si="102"/>
        <v>3141568.4445190197</v>
      </c>
      <c r="AJ946" s="208">
        <f t="shared" si="103"/>
        <v>3093996.0330310646</v>
      </c>
      <c r="AK946" s="208">
        <f t="shared" si="104"/>
        <v>47572.411487954945</v>
      </c>
      <c r="AL946" s="235"/>
      <c r="AM946" s="52">
        <f t="shared" si="86"/>
        <v>1</v>
      </c>
      <c r="AN946" s="52">
        <f t="shared" si="87"/>
        <v>0</v>
      </c>
      <c r="AO946" s="52">
        <f t="shared" si="88"/>
        <v>1</v>
      </c>
      <c r="AP946" s="235"/>
      <c r="AQ946" s="28"/>
      <c r="AR946" s="28"/>
      <c r="AS946" s="28"/>
      <c r="AT946" s="28"/>
      <c r="AU946" s="235"/>
      <c r="AV946" s="360">
        <f t="shared" si="105"/>
        <v>3141568.4445190197</v>
      </c>
      <c r="AW946" s="235"/>
      <c r="AX946" s="355"/>
      <c r="AY946" s="344"/>
      <c r="AZ946" s="14">
        <f t="shared" si="107"/>
        <v>2872.2096187798743</v>
      </c>
      <c r="BA946" s="14">
        <f t="shared" si="106"/>
        <v>5.3099601164984023E-2</v>
      </c>
      <c r="BB946" s="14">
        <f t="shared" si="89"/>
        <v>54090.982903162047</v>
      </c>
      <c r="BC946" s="344"/>
      <c r="BD946" s="344"/>
      <c r="BE946" s="344"/>
      <c r="BF946" s="344"/>
      <c r="BG946" s="344"/>
      <c r="BH946" s="344"/>
      <c r="BI946" s="344"/>
      <c r="BJ946" s="344"/>
      <c r="BK946" s="344"/>
      <c r="BL946" s="344"/>
      <c r="BM946" s="344"/>
      <c r="BN946" s="344"/>
      <c r="BO946" s="344"/>
      <c r="BP946" s="344"/>
      <c r="BQ946" s="344"/>
      <c r="BR946" s="344"/>
      <c r="BS946" s="344"/>
      <c r="BT946" s="344"/>
      <c r="BU946" s="344"/>
      <c r="BV946" s="344"/>
      <c r="BW946" s="344"/>
      <c r="BX946" s="344"/>
      <c r="BY946" s="344"/>
      <c r="BZ946" s="344"/>
      <c r="CA946" s="344"/>
      <c r="CB946" s="28"/>
      <c r="CC946" s="28"/>
      <c r="CD946" s="28"/>
      <c r="CE946" s="28"/>
      <c r="CF946" s="28"/>
      <c r="CG946" s="28"/>
      <c r="CH946" s="28"/>
      <c r="CI946" s="28"/>
      <c r="CJ946" s="28"/>
      <c r="CK946" s="28"/>
      <c r="CL946" s="28"/>
      <c r="CM946" s="28"/>
      <c r="CN946" s="28"/>
      <c r="CO946" s="28"/>
      <c r="CP946" s="28"/>
      <c r="CQ946" s="28"/>
      <c r="CR946" s="28"/>
      <c r="CS946" s="28"/>
      <c r="CT946" s="28"/>
      <c r="CU946" s="28"/>
      <c r="CV946" s="28"/>
      <c r="CW946" s="28"/>
    </row>
    <row r="947" spans="1:101" ht="14.25" customHeight="1" x14ac:dyDescent="0.2">
      <c r="A947" s="328"/>
      <c r="B947" s="52">
        <v>0.23649991886889143</v>
      </c>
      <c r="C947" s="330">
        <v>0.64993000993904615</v>
      </c>
      <c r="D947" s="330">
        <v>1.5896997431467552E-2</v>
      </c>
      <c r="E947" s="330">
        <v>1.6525064393318689E-2</v>
      </c>
      <c r="F947" s="331">
        <v>0.7965859070513418</v>
      </c>
      <c r="G947" s="94">
        <v>0.3490565322308255</v>
      </c>
      <c r="H947" s="330">
        <v>0.12772360756279907</v>
      </c>
      <c r="I947" s="330">
        <v>8.2906174768097602E-3</v>
      </c>
      <c r="J947" s="330">
        <v>0.31451753433617019</v>
      </c>
      <c r="K947" s="330">
        <v>0.75727603953038503</v>
      </c>
      <c r="L947" s="332">
        <v>8723.0696861799042</v>
      </c>
      <c r="M947" s="330">
        <v>0</v>
      </c>
      <c r="N947" s="330">
        <v>17265.441707798796</v>
      </c>
      <c r="O947" s="330">
        <v>989.73766250841265</v>
      </c>
      <c r="P947" s="330">
        <v>42681.890779828165</v>
      </c>
      <c r="Q947" s="333">
        <v>90479.611349572224</v>
      </c>
      <c r="R947" s="330">
        <v>17451.03474388468</v>
      </c>
      <c r="S947" s="330">
        <v>6829.7156054662928</v>
      </c>
      <c r="T947" s="332">
        <v>0.94253647297702625</v>
      </c>
      <c r="U947" s="330">
        <v>9.9169593282608492E-2</v>
      </c>
      <c r="V947" s="330">
        <v>0.66047372590824005</v>
      </c>
      <c r="W947" s="330">
        <v>0.31657992642634974</v>
      </c>
      <c r="X947" s="330">
        <v>0.89000948529088564</v>
      </c>
      <c r="Y947" s="330">
        <v>0</v>
      </c>
      <c r="Z947" s="331">
        <v>0</v>
      </c>
      <c r="AA947" s="235"/>
      <c r="AB947" s="335">
        <v>70366.191149908482</v>
      </c>
      <c r="AC947" s="336">
        <v>4.492560664204083</v>
      </c>
      <c r="AD947" s="337">
        <v>56967.976531543092</v>
      </c>
      <c r="AE947" s="336">
        <v>4.1080995127946114</v>
      </c>
      <c r="AF947" s="337">
        <v>13398.214618365389</v>
      </c>
      <c r="AG947" s="338">
        <v>0.38446115140947157</v>
      </c>
      <c r="AH947" s="235"/>
      <c r="AI947" s="208">
        <f t="shared" si="102"/>
        <v>4197566.4398439704</v>
      </c>
      <c r="AJ947" s="208">
        <f t="shared" si="103"/>
        <v>3845726.5606233375</v>
      </c>
      <c r="AK947" s="208">
        <f t="shared" si="104"/>
        <v>351839.8792206326</v>
      </c>
      <c r="AL947" s="235"/>
      <c r="AM947" s="52">
        <f t="shared" si="86"/>
        <v>1</v>
      </c>
      <c r="AN947" s="52">
        <f t="shared" si="87"/>
        <v>0</v>
      </c>
      <c r="AO947" s="52">
        <f t="shared" si="88"/>
        <v>1</v>
      </c>
      <c r="AP947" s="235"/>
      <c r="AQ947" s="28"/>
      <c r="AR947" s="28"/>
      <c r="AS947" s="28"/>
      <c r="AT947" s="28"/>
      <c r="AU947" s="235"/>
      <c r="AV947" s="360">
        <f t="shared" si="105"/>
        <v>4197566.4398439704</v>
      </c>
      <c r="AW947" s="235"/>
      <c r="AX947" s="355"/>
      <c r="AY947" s="344"/>
      <c r="AZ947" s="14">
        <f t="shared" si="107"/>
        <v>13398.214618365389</v>
      </c>
      <c r="BA947" s="14">
        <f t="shared" si="106"/>
        <v>0.38446115140947157</v>
      </c>
      <c r="BB947" s="14">
        <f t="shared" si="89"/>
        <v>34849.332810990774</v>
      </c>
      <c r="BC947" s="344"/>
      <c r="BD947" s="344"/>
      <c r="BE947" s="344"/>
      <c r="BF947" s="344"/>
      <c r="BG947" s="344"/>
      <c r="BH947" s="344"/>
      <c r="BI947" s="344"/>
      <c r="BJ947" s="344"/>
      <c r="BK947" s="344"/>
      <c r="BL947" s="344"/>
      <c r="BM947" s="344"/>
      <c r="BN947" s="344"/>
      <c r="BO947" s="344"/>
      <c r="BP947" s="344"/>
      <c r="BQ947" s="344"/>
      <c r="BR947" s="344"/>
      <c r="BS947" s="344"/>
      <c r="BT947" s="344"/>
      <c r="BU947" s="344"/>
      <c r="BV947" s="344"/>
      <c r="BW947" s="344"/>
      <c r="BX947" s="344"/>
      <c r="BY947" s="344"/>
      <c r="BZ947" s="344"/>
      <c r="CA947" s="344"/>
      <c r="CB947" s="28"/>
      <c r="CC947" s="28"/>
      <c r="CD947" s="28"/>
      <c r="CE947" s="28"/>
      <c r="CF947" s="28"/>
      <c r="CG947" s="28"/>
      <c r="CH947" s="28"/>
      <c r="CI947" s="28"/>
      <c r="CJ947" s="28"/>
      <c r="CK947" s="28"/>
      <c r="CL947" s="28"/>
      <c r="CM947" s="28"/>
      <c r="CN947" s="28"/>
      <c r="CO947" s="28"/>
      <c r="CP947" s="28"/>
      <c r="CQ947" s="28"/>
      <c r="CR947" s="28"/>
      <c r="CS947" s="28"/>
      <c r="CT947" s="28"/>
      <c r="CU947" s="28"/>
      <c r="CV947" s="28"/>
      <c r="CW947" s="28"/>
    </row>
    <row r="948" spans="1:101" ht="14.25" customHeight="1" x14ac:dyDescent="0.2">
      <c r="A948" s="328"/>
      <c r="B948" s="52">
        <v>0.12647467032527321</v>
      </c>
      <c r="C948" s="330">
        <v>0.2033330553461184</v>
      </c>
      <c r="D948" s="330">
        <v>9.7427643411354282E-3</v>
      </c>
      <c r="E948" s="330">
        <v>1.1509653825239809E-2</v>
      </c>
      <c r="F948" s="331">
        <v>0.79894463342458066</v>
      </c>
      <c r="G948" s="94">
        <v>0.36465906262810688</v>
      </c>
      <c r="H948" s="330">
        <v>0.32450983062189237</v>
      </c>
      <c r="I948" s="330">
        <v>1.7013702523390073E-2</v>
      </c>
      <c r="J948" s="330">
        <v>0.99054530709034883</v>
      </c>
      <c r="K948" s="330">
        <v>0.78610435091955988</v>
      </c>
      <c r="L948" s="332">
        <v>10919.352225421211</v>
      </c>
      <c r="M948" s="330">
        <v>0</v>
      </c>
      <c r="N948" s="330">
        <v>24459.926917435656</v>
      </c>
      <c r="O948" s="330">
        <v>1565.6385046690666</v>
      </c>
      <c r="P948" s="330">
        <v>42977.512524211823</v>
      </c>
      <c r="Q948" s="333">
        <v>85817.540912686876</v>
      </c>
      <c r="R948" s="330">
        <v>20533.705855398075</v>
      </c>
      <c r="S948" s="330">
        <v>7681.4855414187787</v>
      </c>
      <c r="T948" s="332">
        <v>0.85800837530901275</v>
      </c>
      <c r="U948" s="330">
        <v>0.51187267562848815</v>
      </c>
      <c r="V948" s="330">
        <v>0.99989784746152421</v>
      </c>
      <c r="W948" s="330">
        <v>0.96840736822755291</v>
      </c>
      <c r="X948" s="330">
        <v>0.90892964609131388</v>
      </c>
      <c r="Y948" s="330">
        <v>0</v>
      </c>
      <c r="Z948" s="331">
        <v>0</v>
      </c>
      <c r="AA948" s="235"/>
      <c r="AB948" s="335">
        <v>77610.564930709399</v>
      </c>
      <c r="AC948" s="336">
        <v>4.4240439290662641</v>
      </c>
      <c r="AD948" s="337">
        <v>68732.216092919363</v>
      </c>
      <c r="AE948" s="336">
        <v>4.5175434918092172</v>
      </c>
      <c r="AF948" s="337">
        <v>8878.3488377900358</v>
      </c>
      <c r="AG948" s="338">
        <v>-9.3499562742953124E-2</v>
      </c>
      <c r="AH948" s="235"/>
      <c r="AI948" s="208">
        <f t="shared" si="102"/>
        <v>4125231.1676822412</v>
      </c>
      <c r="AJ948" s="208">
        <f t="shared" si="103"/>
        <v>4222934.1011258373</v>
      </c>
      <c r="AK948" s="208">
        <f t="shared" si="104"/>
        <v>-97702.93344359551</v>
      </c>
      <c r="AL948" s="235"/>
      <c r="AM948" s="52">
        <f t="shared" si="86"/>
        <v>0</v>
      </c>
      <c r="AN948" s="52">
        <f t="shared" si="87"/>
        <v>1</v>
      </c>
      <c r="AO948" s="52">
        <f t="shared" si="88"/>
        <v>0</v>
      </c>
      <c r="AP948" s="235"/>
      <c r="AQ948" s="28"/>
      <c r="AR948" s="28"/>
      <c r="AS948" s="28"/>
      <c r="AT948" s="28"/>
      <c r="AU948" s="235"/>
      <c r="AV948" s="360">
        <f t="shared" si="105"/>
        <v>4222934.1011258373</v>
      </c>
      <c r="AW948" s="235"/>
      <c r="AX948" s="355"/>
      <c r="AY948" s="344"/>
      <c r="AZ948" s="14">
        <f t="shared" si="107"/>
        <v>8878.3488377900358</v>
      </c>
      <c r="BA948" s="14">
        <f t="shared" si="106"/>
        <v>-9.3499562742953124E-2</v>
      </c>
      <c r="BB948" s="14">
        <f t="shared" si="89"/>
        <v>-94956.046609524696</v>
      </c>
      <c r="BC948" s="344"/>
      <c r="BD948" s="344"/>
      <c r="BE948" s="344"/>
      <c r="BF948" s="344"/>
      <c r="BG948" s="344"/>
      <c r="BH948" s="344"/>
      <c r="BI948" s="344"/>
      <c r="BJ948" s="344"/>
      <c r="BK948" s="344"/>
      <c r="BL948" s="344"/>
      <c r="BM948" s="344"/>
      <c r="BN948" s="344"/>
      <c r="BO948" s="344"/>
      <c r="BP948" s="344"/>
      <c r="BQ948" s="344"/>
      <c r="BR948" s="344"/>
      <c r="BS948" s="344"/>
      <c r="BT948" s="344"/>
      <c r="BU948" s="344"/>
      <c r="BV948" s="344"/>
      <c r="BW948" s="344"/>
      <c r="BX948" s="344"/>
      <c r="BY948" s="344"/>
      <c r="BZ948" s="344"/>
      <c r="CA948" s="344"/>
      <c r="CB948" s="28"/>
      <c r="CC948" s="28"/>
      <c r="CD948" s="28"/>
      <c r="CE948" s="28"/>
      <c r="CF948" s="28"/>
      <c r="CG948" s="28"/>
      <c r="CH948" s="28"/>
      <c r="CI948" s="28"/>
      <c r="CJ948" s="28"/>
      <c r="CK948" s="28"/>
      <c r="CL948" s="28"/>
      <c r="CM948" s="28"/>
      <c r="CN948" s="28"/>
      <c r="CO948" s="28"/>
      <c r="CP948" s="28"/>
      <c r="CQ948" s="28"/>
      <c r="CR948" s="28"/>
      <c r="CS948" s="28"/>
      <c r="CT948" s="28"/>
      <c r="CU948" s="28"/>
      <c r="CV948" s="28"/>
      <c r="CW948" s="28"/>
    </row>
    <row r="949" spans="1:101" ht="14.25" customHeight="1" x14ac:dyDescent="0.2">
      <c r="A949" s="328"/>
      <c r="B949" s="52">
        <v>0.15113013018504573</v>
      </c>
      <c r="C949" s="330">
        <v>0.51057461226757184</v>
      </c>
      <c r="D949" s="330">
        <v>1.5098863979009947E-2</v>
      </c>
      <c r="E949" s="330">
        <v>2.9336336386533435E-2</v>
      </c>
      <c r="F949" s="331">
        <v>0.78256404905375443</v>
      </c>
      <c r="G949" s="94">
        <v>0.42080839910307311</v>
      </c>
      <c r="H949" s="330">
        <v>0.95356125706207551</v>
      </c>
      <c r="I949" s="330">
        <v>1.9180183789266225E-2</v>
      </c>
      <c r="J949" s="330">
        <v>0.67206594584773616</v>
      </c>
      <c r="K949" s="330">
        <v>0.7330636019217952</v>
      </c>
      <c r="L949" s="332">
        <v>10677.703352739827</v>
      </c>
      <c r="M949" s="330">
        <v>0</v>
      </c>
      <c r="N949" s="330">
        <v>19729.973451519472</v>
      </c>
      <c r="O949" s="330">
        <v>1352.3977318971311</v>
      </c>
      <c r="P949" s="330">
        <v>46422.586034244763</v>
      </c>
      <c r="Q949" s="333">
        <v>102395.60620921815</v>
      </c>
      <c r="R949" s="330">
        <v>19695.412703461254</v>
      </c>
      <c r="S949" s="330">
        <v>10363.27177297651</v>
      </c>
      <c r="T949" s="332">
        <v>0.8780799822046903</v>
      </c>
      <c r="U949" s="330">
        <v>0.76897314964757146</v>
      </c>
      <c r="V949" s="330">
        <v>0.69561516128259981</v>
      </c>
      <c r="W949" s="330">
        <v>0.93978981717719767</v>
      </c>
      <c r="X949" s="330">
        <v>0.82987321465751573</v>
      </c>
      <c r="Y949" s="330">
        <v>0</v>
      </c>
      <c r="Z949" s="331">
        <v>0</v>
      </c>
      <c r="AA949" s="235"/>
      <c r="AB949" s="335">
        <v>99669.406068834767</v>
      </c>
      <c r="AC949" s="336">
        <v>4.1362157116321994</v>
      </c>
      <c r="AD949" s="337">
        <v>91111.572714052745</v>
      </c>
      <c r="AE949" s="336">
        <v>3.9165172724684987</v>
      </c>
      <c r="AF949" s="337">
        <v>8557.8333547820221</v>
      </c>
      <c r="AG949" s="338">
        <v>0.21969843916370069</v>
      </c>
      <c r="AH949" s="235"/>
      <c r="AI949" s="208">
        <f t="shared" si="102"/>
        <v>3829735.5199817545</v>
      </c>
      <c r="AJ949" s="208">
        <f t="shared" si="103"/>
        <v>3629579.8361310209</v>
      </c>
      <c r="AK949" s="208">
        <f t="shared" si="104"/>
        <v>200155.68385073362</v>
      </c>
      <c r="AL949" s="235"/>
      <c r="AM949" s="52">
        <f t="shared" si="86"/>
        <v>1</v>
      </c>
      <c r="AN949" s="52">
        <f t="shared" si="87"/>
        <v>0</v>
      </c>
      <c r="AO949" s="52">
        <f t="shared" si="88"/>
        <v>1</v>
      </c>
      <c r="AP949" s="235"/>
      <c r="AQ949" s="28"/>
      <c r="AR949" s="28"/>
      <c r="AS949" s="28"/>
      <c r="AT949" s="28"/>
      <c r="AU949" s="235"/>
      <c r="AV949" s="360">
        <f t="shared" si="105"/>
        <v>3829735.5199817545</v>
      </c>
      <c r="AW949" s="235"/>
      <c r="AX949" s="355"/>
      <c r="AY949" s="344"/>
      <c r="AZ949" s="14">
        <f t="shared" si="107"/>
        <v>8557.8333547820221</v>
      </c>
      <c r="BA949" s="14">
        <f t="shared" si="106"/>
        <v>0.21969843916370069</v>
      </c>
      <c r="BB949" s="14">
        <f t="shared" si="89"/>
        <v>38952.636110470718</v>
      </c>
      <c r="BC949" s="344"/>
      <c r="BD949" s="344"/>
      <c r="BE949" s="344"/>
      <c r="BF949" s="344"/>
      <c r="BG949" s="344"/>
      <c r="BH949" s="344"/>
      <c r="BI949" s="344"/>
      <c r="BJ949" s="344"/>
      <c r="BK949" s="344"/>
      <c r="BL949" s="344"/>
      <c r="BM949" s="344"/>
      <c r="BN949" s="344"/>
      <c r="BO949" s="344"/>
      <c r="BP949" s="344"/>
      <c r="BQ949" s="344"/>
      <c r="BR949" s="344"/>
      <c r="BS949" s="344"/>
      <c r="BT949" s="344"/>
      <c r="BU949" s="344"/>
      <c r="BV949" s="344"/>
      <c r="BW949" s="344"/>
      <c r="BX949" s="344"/>
      <c r="BY949" s="344"/>
      <c r="BZ949" s="344"/>
      <c r="CA949" s="344"/>
      <c r="CB949" s="28"/>
      <c r="CC949" s="28"/>
      <c r="CD949" s="28"/>
      <c r="CE949" s="28"/>
      <c r="CF949" s="28"/>
      <c r="CG949" s="28"/>
      <c r="CH949" s="28"/>
      <c r="CI949" s="28"/>
      <c r="CJ949" s="28"/>
      <c r="CK949" s="28"/>
      <c r="CL949" s="28"/>
      <c r="CM949" s="28"/>
      <c r="CN949" s="28"/>
      <c r="CO949" s="28"/>
      <c r="CP949" s="28"/>
      <c r="CQ949" s="28"/>
      <c r="CR949" s="28"/>
      <c r="CS949" s="28"/>
      <c r="CT949" s="28"/>
      <c r="CU949" s="28"/>
      <c r="CV949" s="28"/>
      <c r="CW949" s="28"/>
    </row>
    <row r="950" spans="1:101" ht="14.25" customHeight="1" x14ac:dyDescent="0.2">
      <c r="A950" s="328"/>
      <c r="B950" s="52">
        <v>0.12181492954153036</v>
      </c>
      <c r="C950" s="330">
        <v>0.55409324731034459</v>
      </c>
      <c r="D950" s="330">
        <v>1.9737263665299931E-2</v>
      </c>
      <c r="E950" s="330">
        <v>1.1147009849682893E-2</v>
      </c>
      <c r="F950" s="331">
        <v>0.78764360128471411</v>
      </c>
      <c r="G950" s="94">
        <v>0.41853977353697513</v>
      </c>
      <c r="H950" s="330">
        <v>7.2907285159264257E-2</v>
      </c>
      <c r="I950" s="330">
        <v>9.4074649717225869E-3</v>
      </c>
      <c r="J950" s="330">
        <v>0.5573276824980925</v>
      </c>
      <c r="K950" s="330">
        <v>0.7767360527703473</v>
      </c>
      <c r="L950" s="332">
        <v>13022.333921278068</v>
      </c>
      <c r="M950" s="330">
        <v>0</v>
      </c>
      <c r="N950" s="330">
        <v>17891.841038224899</v>
      </c>
      <c r="O950" s="330">
        <v>1554.4897564457658</v>
      </c>
      <c r="P950" s="330">
        <v>53578.447145615144</v>
      </c>
      <c r="Q950" s="333">
        <v>94062.057385028704</v>
      </c>
      <c r="R950" s="330">
        <v>30639.686923883422</v>
      </c>
      <c r="S950" s="330">
        <v>10234.393100794105</v>
      </c>
      <c r="T950" s="332">
        <v>0.95441334545569312</v>
      </c>
      <c r="U950" s="330">
        <v>0.86333256055051477</v>
      </c>
      <c r="V950" s="330">
        <v>0.93063369253875761</v>
      </c>
      <c r="W950" s="330">
        <v>0.70552906679124749</v>
      </c>
      <c r="X950" s="330">
        <v>0.99212175466320485</v>
      </c>
      <c r="Y950" s="330">
        <v>0</v>
      </c>
      <c r="Z950" s="331">
        <v>0</v>
      </c>
      <c r="AA950" s="235"/>
      <c r="AB950" s="335">
        <v>102012.88129562288</v>
      </c>
      <c r="AC950" s="336">
        <v>4.9320708229107293</v>
      </c>
      <c r="AD950" s="337">
        <v>87477.906851475724</v>
      </c>
      <c r="AE950" s="336">
        <v>4.6942723002440685</v>
      </c>
      <c r="AF950" s="337">
        <v>14534.974444147156</v>
      </c>
      <c r="AG950" s="338">
        <v>0.23779852266666079</v>
      </c>
      <c r="AH950" s="235"/>
      <c r="AI950" s="208">
        <f t="shared" si="102"/>
        <v>4583454.4004695695</v>
      </c>
      <c r="AJ950" s="208">
        <f t="shared" si="103"/>
        <v>4372080.7783803893</v>
      </c>
      <c r="AK950" s="208">
        <f t="shared" si="104"/>
        <v>211373.62208918057</v>
      </c>
      <c r="AL950" s="235"/>
      <c r="AM950" s="52">
        <f t="shared" si="86"/>
        <v>1</v>
      </c>
      <c r="AN950" s="52">
        <f t="shared" si="87"/>
        <v>0</v>
      </c>
      <c r="AO950" s="52">
        <f t="shared" si="88"/>
        <v>1</v>
      </c>
      <c r="AP950" s="235"/>
      <c r="AQ950" s="28"/>
      <c r="AR950" s="28"/>
      <c r="AS950" s="28"/>
      <c r="AT950" s="28"/>
      <c r="AU950" s="235"/>
      <c r="AV950" s="360">
        <f t="shared" si="105"/>
        <v>4583454.4004695695</v>
      </c>
      <c r="AW950" s="235"/>
      <c r="AX950" s="355"/>
      <c r="AY950" s="344"/>
      <c r="AZ950" s="14">
        <f t="shared" si="107"/>
        <v>14534.974444147156</v>
      </c>
      <c r="BA950" s="14">
        <f t="shared" si="106"/>
        <v>0.23779852266666079</v>
      </c>
      <c r="BB950" s="14">
        <f t="shared" si="89"/>
        <v>61123.064521817359</v>
      </c>
      <c r="BC950" s="344"/>
      <c r="BD950" s="344"/>
      <c r="BE950" s="344"/>
      <c r="BF950" s="344"/>
      <c r="BG950" s="344"/>
      <c r="BH950" s="344"/>
      <c r="BI950" s="344"/>
      <c r="BJ950" s="344"/>
      <c r="BK950" s="344"/>
      <c r="BL950" s="344"/>
      <c r="BM950" s="344"/>
      <c r="BN950" s="344"/>
      <c r="BO950" s="344"/>
      <c r="BP950" s="344"/>
      <c r="BQ950" s="344"/>
      <c r="BR950" s="344"/>
      <c r="BS950" s="344"/>
      <c r="BT950" s="344"/>
      <c r="BU950" s="344"/>
      <c r="BV950" s="344"/>
      <c r="BW950" s="344"/>
      <c r="BX950" s="344"/>
      <c r="BY950" s="344"/>
      <c r="BZ950" s="344"/>
      <c r="CA950" s="344"/>
      <c r="CB950" s="28"/>
      <c r="CC950" s="28"/>
      <c r="CD950" s="28"/>
      <c r="CE950" s="28"/>
      <c r="CF950" s="28"/>
      <c r="CG950" s="28"/>
      <c r="CH950" s="28"/>
      <c r="CI950" s="28"/>
      <c r="CJ950" s="28"/>
      <c r="CK950" s="28"/>
      <c r="CL950" s="28"/>
      <c r="CM950" s="28"/>
      <c r="CN950" s="28"/>
      <c r="CO950" s="28"/>
      <c r="CP950" s="28"/>
      <c r="CQ950" s="28"/>
      <c r="CR950" s="28"/>
      <c r="CS950" s="28"/>
      <c r="CT950" s="28"/>
      <c r="CU950" s="28"/>
      <c r="CV950" s="28"/>
      <c r="CW950" s="28"/>
    </row>
    <row r="951" spans="1:101" ht="14.25" customHeight="1" x14ac:dyDescent="0.2">
      <c r="A951" s="328"/>
      <c r="B951" s="52">
        <v>0.17673301537674646</v>
      </c>
      <c r="C951" s="330">
        <v>0.31656743726782566</v>
      </c>
      <c r="D951" s="330">
        <v>2.3937573832062742E-2</v>
      </c>
      <c r="E951" s="330">
        <v>1.2158042706878135E-2</v>
      </c>
      <c r="F951" s="331">
        <v>0.82131317775678725</v>
      </c>
      <c r="G951" s="94">
        <v>0.40725330535580906</v>
      </c>
      <c r="H951" s="330">
        <v>0.58086936737311978</v>
      </c>
      <c r="I951" s="330">
        <v>1.0095400600489414E-2</v>
      </c>
      <c r="J951" s="330">
        <v>0.30748502374860376</v>
      </c>
      <c r="K951" s="330">
        <v>0.76220811640374464</v>
      </c>
      <c r="L951" s="332">
        <v>14711.301489271267</v>
      </c>
      <c r="M951" s="330">
        <v>0</v>
      </c>
      <c r="N951" s="330">
        <v>18915.840439008232</v>
      </c>
      <c r="O951" s="330">
        <v>1168.1071663591579</v>
      </c>
      <c r="P951" s="330">
        <v>62065.866365660971</v>
      </c>
      <c r="Q951" s="333">
        <v>105767.66934727506</v>
      </c>
      <c r="R951" s="330">
        <v>21006.355704585265</v>
      </c>
      <c r="S951" s="330">
        <v>9369.0567814141341</v>
      </c>
      <c r="T951" s="332">
        <v>0.85876136046847695</v>
      </c>
      <c r="U951" s="330">
        <v>0.26121768054916172</v>
      </c>
      <c r="V951" s="330">
        <v>0.99991058489408702</v>
      </c>
      <c r="W951" s="330">
        <v>0.99813022420993458</v>
      </c>
      <c r="X951" s="330">
        <v>1.528213015623303E-2</v>
      </c>
      <c r="Y951" s="330">
        <v>0</v>
      </c>
      <c r="Z951" s="331">
        <v>0</v>
      </c>
      <c r="AA951" s="235"/>
      <c r="AB951" s="335">
        <v>99120.699493109365</v>
      </c>
      <c r="AC951" s="336">
        <v>8.3595174563704161E-2</v>
      </c>
      <c r="AD951" s="337">
        <v>82592.959610683945</v>
      </c>
      <c r="AE951" s="336">
        <v>8.1396563355640147E-2</v>
      </c>
      <c r="AF951" s="337">
        <v>16527.73988242542</v>
      </c>
      <c r="AG951" s="338">
        <v>2.1986112080640136E-3</v>
      </c>
      <c r="AH951" s="235"/>
      <c r="AI951" s="208">
        <f t="shared" si="102"/>
        <v>-19705.283657590408</v>
      </c>
      <c r="AJ951" s="208">
        <f t="shared" si="103"/>
        <v>-5266.224422825806</v>
      </c>
      <c r="AK951" s="208">
        <f t="shared" si="104"/>
        <v>-14439.059234764607</v>
      </c>
      <c r="AL951" s="235"/>
      <c r="AM951" s="52">
        <f t="shared" si="86"/>
        <v>0</v>
      </c>
      <c r="AN951" s="52">
        <f t="shared" si="87"/>
        <v>1</v>
      </c>
      <c r="AO951" s="52">
        <f t="shared" si="88"/>
        <v>0</v>
      </c>
      <c r="AP951" s="235"/>
      <c r="AQ951" s="28"/>
      <c r="AR951" s="28"/>
      <c r="AS951" s="28"/>
      <c r="AT951" s="28"/>
      <c r="AU951" s="235"/>
      <c r="AV951" s="360">
        <f t="shared" si="105"/>
        <v>-5266.224422825806</v>
      </c>
      <c r="AW951" s="235"/>
      <c r="AX951" s="355"/>
      <c r="AY951" s="344"/>
      <c r="AZ951" s="14">
        <f t="shared" si="107"/>
        <v>16527.73988242542</v>
      </c>
      <c r="BA951" s="14">
        <f t="shared" si="106"/>
        <v>2.1986112080640136E-3</v>
      </c>
      <c r="BB951" s="14">
        <f t="shared" si="89"/>
        <v>7517354.5107954377</v>
      </c>
      <c r="BC951" s="344"/>
      <c r="BD951" s="344"/>
      <c r="BE951" s="344"/>
      <c r="BF951" s="344"/>
      <c r="BG951" s="344"/>
      <c r="BH951" s="344"/>
      <c r="BI951" s="344"/>
      <c r="BJ951" s="344"/>
      <c r="BK951" s="344"/>
      <c r="BL951" s="344"/>
      <c r="BM951" s="344"/>
      <c r="BN951" s="344"/>
      <c r="BO951" s="344"/>
      <c r="BP951" s="344"/>
      <c r="BQ951" s="344"/>
      <c r="BR951" s="344"/>
      <c r="BS951" s="344"/>
      <c r="BT951" s="344"/>
      <c r="BU951" s="344"/>
      <c r="BV951" s="344"/>
      <c r="BW951" s="344"/>
      <c r="BX951" s="344"/>
      <c r="BY951" s="344"/>
      <c r="BZ951" s="344"/>
      <c r="CA951" s="344"/>
      <c r="CB951" s="28"/>
      <c r="CC951" s="28"/>
      <c r="CD951" s="28"/>
      <c r="CE951" s="28"/>
      <c r="CF951" s="28"/>
      <c r="CG951" s="28"/>
      <c r="CH951" s="28"/>
      <c r="CI951" s="28"/>
      <c r="CJ951" s="28"/>
      <c r="CK951" s="28"/>
      <c r="CL951" s="28"/>
      <c r="CM951" s="28"/>
      <c r="CN951" s="28"/>
      <c r="CO951" s="28"/>
      <c r="CP951" s="28"/>
      <c r="CQ951" s="28"/>
      <c r="CR951" s="28"/>
      <c r="CS951" s="28"/>
      <c r="CT951" s="28"/>
      <c r="CU951" s="28"/>
      <c r="CV951" s="28"/>
      <c r="CW951" s="28"/>
    </row>
    <row r="952" spans="1:101" ht="14.25" customHeight="1" x14ac:dyDescent="0.2">
      <c r="A952" s="328"/>
      <c r="B952" s="52">
        <v>0.15456322858792063</v>
      </c>
      <c r="C952" s="330">
        <v>0.13747520577082156</v>
      </c>
      <c r="D952" s="330">
        <v>1.7060461878584898E-2</v>
      </c>
      <c r="E952" s="330">
        <v>1.2080308801824941E-2</v>
      </c>
      <c r="F952" s="331">
        <v>0.81107824860189726</v>
      </c>
      <c r="G952" s="94">
        <v>0.40390947121772225</v>
      </c>
      <c r="H952" s="330">
        <v>0.23388234089659465</v>
      </c>
      <c r="I952" s="330">
        <v>2.5236783236672222E-2</v>
      </c>
      <c r="J952" s="330">
        <v>0.99999925827883862</v>
      </c>
      <c r="K952" s="330">
        <v>0.79704893258939014</v>
      </c>
      <c r="L952" s="332">
        <v>13014.882194608035</v>
      </c>
      <c r="M952" s="330">
        <v>0</v>
      </c>
      <c r="N952" s="330">
        <v>17641.043887551954</v>
      </c>
      <c r="O952" s="330">
        <v>689.43940180826451</v>
      </c>
      <c r="P952" s="330">
        <v>42181.330991132483</v>
      </c>
      <c r="Q952" s="333">
        <v>111692.50498746742</v>
      </c>
      <c r="R952" s="330">
        <v>22516.72658201326</v>
      </c>
      <c r="S952" s="330">
        <v>7897.7250541563899</v>
      </c>
      <c r="T952" s="332">
        <v>0.39682298670759125</v>
      </c>
      <c r="U952" s="330">
        <v>0.75104492152468239</v>
      </c>
      <c r="V952" s="330">
        <v>0.89868045299291621</v>
      </c>
      <c r="W952" s="330">
        <v>0.97969428316946994</v>
      </c>
      <c r="X952" s="330">
        <v>7.8198813468535661E-2</v>
      </c>
      <c r="Y952" s="330">
        <v>0</v>
      </c>
      <c r="Z952" s="331">
        <v>0</v>
      </c>
      <c r="AA952" s="235"/>
      <c r="AB952" s="335">
        <v>82637.081667750463</v>
      </c>
      <c r="AC952" s="336">
        <v>0.41852374615125859</v>
      </c>
      <c r="AD952" s="337">
        <v>71683.494445272401</v>
      </c>
      <c r="AE952" s="336">
        <v>0.40139651071519755</v>
      </c>
      <c r="AF952" s="337">
        <v>10953.587222478061</v>
      </c>
      <c r="AG952" s="338">
        <v>1.7127235436061039E-2</v>
      </c>
      <c r="AH952" s="235"/>
      <c r="AI952" s="208">
        <f t="shared" si="102"/>
        <v>314960.47717594518</v>
      </c>
      <c r="AJ952" s="208">
        <f t="shared" si="103"/>
        <v>309643.19073416525</v>
      </c>
      <c r="AK952" s="208">
        <f t="shared" si="104"/>
        <v>5317.2864417799265</v>
      </c>
      <c r="AL952" s="235"/>
      <c r="AM952" s="52">
        <f t="shared" si="86"/>
        <v>1</v>
      </c>
      <c r="AN952" s="52">
        <f t="shared" si="87"/>
        <v>0</v>
      </c>
      <c r="AO952" s="52">
        <f t="shared" si="88"/>
        <v>1</v>
      </c>
      <c r="AP952" s="235"/>
      <c r="AQ952" s="28"/>
      <c r="AR952" s="28"/>
      <c r="AS952" s="28"/>
      <c r="AT952" s="28"/>
      <c r="AU952" s="235"/>
      <c r="AV952" s="360">
        <f t="shared" si="105"/>
        <v>314960.47717594518</v>
      </c>
      <c r="AW952" s="235"/>
      <c r="AX952" s="355"/>
      <c r="AY952" s="344"/>
      <c r="AZ952" s="14">
        <f t="shared" si="107"/>
        <v>10953.587222478061</v>
      </c>
      <c r="BA952" s="14">
        <f t="shared" si="106"/>
        <v>1.7127235436061039E-2</v>
      </c>
      <c r="BB952" s="14">
        <f t="shared" si="89"/>
        <v>639542.04771515611</v>
      </c>
      <c r="BC952" s="344"/>
      <c r="BD952" s="344"/>
      <c r="BE952" s="344"/>
      <c r="BF952" s="344"/>
      <c r="BG952" s="344"/>
      <c r="BH952" s="344"/>
      <c r="BI952" s="344"/>
      <c r="BJ952" s="344"/>
      <c r="BK952" s="344"/>
      <c r="BL952" s="344"/>
      <c r="BM952" s="344"/>
      <c r="BN952" s="344"/>
      <c r="BO952" s="344"/>
      <c r="BP952" s="344"/>
      <c r="BQ952" s="344"/>
      <c r="BR952" s="344"/>
      <c r="BS952" s="344"/>
      <c r="BT952" s="344"/>
      <c r="BU952" s="344"/>
      <c r="BV952" s="344"/>
      <c r="BW952" s="344"/>
      <c r="BX952" s="344"/>
      <c r="BY952" s="344"/>
      <c r="BZ952" s="344"/>
      <c r="CA952" s="344"/>
      <c r="CB952" s="28"/>
      <c r="CC952" s="28"/>
      <c r="CD952" s="28"/>
      <c r="CE952" s="28"/>
      <c r="CF952" s="28"/>
      <c r="CG952" s="28"/>
      <c r="CH952" s="28"/>
      <c r="CI952" s="28"/>
      <c r="CJ952" s="28"/>
      <c r="CK952" s="28"/>
      <c r="CL952" s="28"/>
      <c r="CM952" s="28"/>
      <c r="CN952" s="28"/>
      <c r="CO952" s="28"/>
      <c r="CP952" s="28"/>
      <c r="CQ952" s="28"/>
      <c r="CR952" s="28"/>
      <c r="CS952" s="28"/>
      <c r="CT952" s="28"/>
      <c r="CU952" s="28"/>
      <c r="CV952" s="28"/>
      <c r="CW952" s="28"/>
    </row>
    <row r="953" spans="1:101" ht="14.25" customHeight="1" x14ac:dyDescent="0.2">
      <c r="A953" s="328"/>
      <c r="B953" s="52">
        <v>0.15133607582539771</v>
      </c>
      <c r="C953" s="330">
        <v>0.97488714567873935</v>
      </c>
      <c r="D953" s="330">
        <v>1.2768871841353531E-2</v>
      </c>
      <c r="E953" s="330">
        <v>2.9641303566640076E-2</v>
      </c>
      <c r="F953" s="331">
        <v>0.7970303431527177</v>
      </c>
      <c r="G953" s="94">
        <v>0.37904139226184808</v>
      </c>
      <c r="H953" s="330">
        <v>4.0206243614068819E-2</v>
      </c>
      <c r="I953" s="330">
        <v>1.1341655139614009E-2</v>
      </c>
      <c r="J953" s="330">
        <v>0.99999999999999978</v>
      </c>
      <c r="K953" s="330">
        <v>0.76445490873557931</v>
      </c>
      <c r="L953" s="332">
        <v>16926.876543776198</v>
      </c>
      <c r="M953" s="330">
        <v>0</v>
      </c>
      <c r="N953" s="330">
        <v>22909.225906675965</v>
      </c>
      <c r="O953" s="330">
        <v>1576.0416233223336</v>
      </c>
      <c r="P953" s="330">
        <v>35762.438897642351</v>
      </c>
      <c r="Q953" s="333">
        <v>109190.90290280545</v>
      </c>
      <c r="R953" s="330">
        <v>20574.968306992636</v>
      </c>
      <c r="S953" s="330">
        <v>7858.4188947443545</v>
      </c>
      <c r="T953" s="332">
        <v>0.89729966658091298</v>
      </c>
      <c r="U953" s="330">
        <v>0.13495650898031569</v>
      </c>
      <c r="V953" s="330">
        <v>0.9612582622220156</v>
      </c>
      <c r="W953" s="330">
        <v>0.22485053283231549</v>
      </c>
      <c r="X953" s="330">
        <v>0.60700129593968621</v>
      </c>
      <c r="Y953" s="330">
        <v>0</v>
      </c>
      <c r="Z953" s="331">
        <v>0</v>
      </c>
      <c r="AA953" s="235"/>
      <c r="AB953" s="335">
        <v>87629.264636214895</v>
      </c>
      <c r="AC953" s="336">
        <v>3.07860629991846</v>
      </c>
      <c r="AD953" s="337">
        <v>66182.124112886813</v>
      </c>
      <c r="AE953" s="336">
        <v>2.8340804234503758</v>
      </c>
      <c r="AF953" s="337">
        <v>21447.140523328082</v>
      </c>
      <c r="AG953" s="338">
        <v>0.24452587646808421</v>
      </c>
      <c r="AH953" s="235"/>
      <c r="AI953" s="208">
        <f t="shared" si="102"/>
        <v>2837046.7202863223</v>
      </c>
      <c r="AJ953" s="208">
        <f t="shared" si="103"/>
        <v>2626194.2781649702</v>
      </c>
      <c r="AK953" s="208">
        <f t="shared" si="104"/>
        <v>210852.44212135189</v>
      </c>
      <c r="AL953" s="235"/>
      <c r="AM953" s="52">
        <f t="shared" si="86"/>
        <v>1</v>
      </c>
      <c r="AN953" s="52">
        <f t="shared" si="87"/>
        <v>0</v>
      </c>
      <c r="AO953" s="52">
        <f t="shared" si="88"/>
        <v>1</v>
      </c>
      <c r="AP953" s="235"/>
      <c r="AQ953" s="28"/>
      <c r="AR953" s="28"/>
      <c r="AS953" s="28"/>
      <c r="AT953" s="28"/>
      <c r="AU953" s="235"/>
      <c r="AV953" s="360">
        <f t="shared" si="105"/>
        <v>2837046.7202863223</v>
      </c>
      <c r="AW953" s="235"/>
      <c r="AX953" s="355"/>
      <c r="AY953" s="344"/>
      <c r="AZ953" s="14">
        <f t="shared" si="107"/>
        <v>21447.140523328082</v>
      </c>
      <c r="BA953" s="14">
        <f t="shared" si="106"/>
        <v>0.24452587646808421</v>
      </c>
      <c r="BB953" s="14">
        <f t="shared" si="89"/>
        <v>87709.083525674985</v>
      </c>
      <c r="BC953" s="344"/>
      <c r="BD953" s="344"/>
      <c r="BE953" s="344"/>
      <c r="BF953" s="344"/>
      <c r="BG953" s="344"/>
      <c r="BH953" s="344"/>
      <c r="BI953" s="344"/>
      <c r="BJ953" s="344"/>
      <c r="BK953" s="344"/>
      <c r="BL953" s="344"/>
      <c r="BM953" s="344"/>
      <c r="BN953" s="344"/>
      <c r="BO953" s="344"/>
      <c r="BP953" s="344"/>
      <c r="BQ953" s="344"/>
      <c r="BR953" s="344"/>
      <c r="BS953" s="344"/>
      <c r="BT953" s="344"/>
      <c r="BU953" s="344"/>
      <c r="BV953" s="344"/>
      <c r="BW953" s="344"/>
      <c r="BX953" s="344"/>
      <c r="BY953" s="344"/>
      <c r="BZ953" s="344"/>
      <c r="CA953" s="344"/>
      <c r="CB953" s="28"/>
      <c r="CC953" s="28"/>
      <c r="CD953" s="28"/>
      <c r="CE953" s="28"/>
      <c r="CF953" s="28"/>
      <c r="CG953" s="28"/>
      <c r="CH953" s="28"/>
      <c r="CI953" s="28"/>
      <c r="CJ953" s="28"/>
      <c r="CK953" s="28"/>
      <c r="CL953" s="28"/>
      <c r="CM953" s="28"/>
      <c r="CN953" s="28"/>
      <c r="CO953" s="28"/>
      <c r="CP953" s="28"/>
      <c r="CQ953" s="28"/>
      <c r="CR953" s="28"/>
      <c r="CS953" s="28"/>
      <c r="CT953" s="28"/>
      <c r="CU953" s="28"/>
      <c r="CV953" s="28"/>
      <c r="CW953" s="28"/>
    </row>
    <row r="954" spans="1:101" ht="14.25" customHeight="1" x14ac:dyDescent="0.2">
      <c r="A954" s="328"/>
      <c r="B954" s="52">
        <v>0.12063987745888587</v>
      </c>
      <c r="C954" s="330">
        <v>0.40549769363727228</v>
      </c>
      <c r="D954" s="330">
        <v>2.5192016392335037E-2</v>
      </c>
      <c r="E954" s="330">
        <v>8.7299822768178957E-3</v>
      </c>
      <c r="F954" s="331">
        <v>0.7679202415948595</v>
      </c>
      <c r="G954" s="94">
        <v>0.4438431588912074</v>
      </c>
      <c r="H954" s="330">
        <v>0.2710234560868594</v>
      </c>
      <c r="I954" s="330">
        <v>3.0202989380770928E-2</v>
      </c>
      <c r="J954" s="330">
        <v>0.98570019085794247</v>
      </c>
      <c r="K954" s="330">
        <v>0.7100133121075991</v>
      </c>
      <c r="L954" s="332">
        <v>14589.775730370246</v>
      </c>
      <c r="M954" s="330">
        <v>0</v>
      </c>
      <c r="N954" s="330">
        <v>15703.762122916387</v>
      </c>
      <c r="O954" s="330">
        <v>1412.7670098598423</v>
      </c>
      <c r="P954" s="330">
        <v>46465.17522523056</v>
      </c>
      <c r="Q954" s="333">
        <v>86631.389007534599</v>
      </c>
      <c r="R954" s="330">
        <v>17655.593046787035</v>
      </c>
      <c r="S954" s="330">
        <v>6269.9964144941277</v>
      </c>
      <c r="T954" s="332">
        <v>0.94308036954143815</v>
      </c>
      <c r="U954" s="330">
        <v>0.99989531994260838</v>
      </c>
      <c r="V954" s="330">
        <v>0.75765388583840354</v>
      </c>
      <c r="W954" s="330">
        <v>0.60438966513826942</v>
      </c>
      <c r="X954" s="330">
        <v>0.79287436965726354</v>
      </c>
      <c r="Y954" s="330">
        <v>0</v>
      </c>
      <c r="Z954" s="331">
        <v>0</v>
      </c>
      <c r="AA954" s="235"/>
      <c r="AB954" s="335">
        <v>67558.191124775563</v>
      </c>
      <c r="AC954" s="336">
        <v>3.7065800149398833</v>
      </c>
      <c r="AD954" s="337">
        <v>52538.598942129662</v>
      </c>
      <c r="AE954" s="336">
        <v>3.5167653278019992</v>
      </c>
      <c r="AF954" s="337">
        <v>15019.592182645902</v>
      </c>
      <c r="AG954" s="338">
        <v>0.18981468713788407</v>
      </c>
      <c r="AH954" s="235"/>
      <c r="AI954" s="208">
        <f t="shared" si="102"/>
        <v>3453692.8230681135</v>
      </c>
      <c r="AJ954" s="208">
        <f t="shared" si="103"/>
        <v>3288388.4624697692</v>
      </c>
      <c r="AK954" s="208">
        <f t="shared" si="104"/>
        <v>165304.36059834398</v>
      </c>
      <c r="AL954" s="235"/>
      <c r="AM954" s="52">
        <f t="shared" si="86"/>
        <v>1</v>
      </c>
      <c r="AN954" s="52">
        <f t="shared" si="87"/>
        <v>0</v>
      </c>
      <c r="AO954" s="52">
        <f t="shared" si="88"/>
        <v>1</v>
      </c>
      <c r="AP954" s="235"/>
      <c r="AQ954" s="28"/>
      <c r="AR954" s="28"/>
      <c r="AS954" s="28"/>
      <c r="AT954" s="28"/>
      <c r="AU954" s="235"/>
      <c r="AV954" s="360">
        <f t="shared" si="105"/>
        <v>3453692.8230681135</v>
      </c>
      <c r="AW954" s="235"/>
      <c r="AX954" s="355"/>
      <c r="AY954" s="344"/>
      <c r="AZ954" s="14">
        <f t="shared" si="107"/>
        <v>15019.592182645902</v>
      </c>
      <c r="BA954" s="14">
        <f t="shared" si="106"/>
        <v>0.18981468713788407</v>
      </c>
      <c r="BB954" s="14">
        <f t="shared" si="89"/>
        <v>79127.660820763878</v>
      </c>
      <c r="BC954" s="344"/>
      <c r="BD954" s="344"/>
      <c r="BE954" s="344"/>
      <c r="BF954" s="344"/>
      <c r="BG954" s="344"/>
      <c r="BH954" s="344"/>
      <c r="BI954" s="344"/>
      <c r="BJ954" s="344"/>
      <c r="BK954" s="344"/>
      <c r="BL954" s="344"/>
      <c r="BM954" s="344"/>
      <c r="BN954" s="344"/>
      <c r="BO954" s="344"/>
      <c r="BP954" s="344"/>
      <c r="BQ954" s="344"/>
      <c r="BR954" s="344"/>
      <c r="BS954" s="344"/>
      <c r="BT954" s="344"/>
      <c r="BU954" s="344"/>
      <c r="BV954" s="344"/>
      <c r="BW954" s="344"/>
      <c r="BX954" s="344"/>
      <c r="BY954" s="344"/>
      <c r="BZ954" s="344"/>
      <c r="CA954" s="344"/>
      <c r="CB954" s="28"/>
      <c r="CC954" s="28"/>
      <c r="CD954" s="28"/>
      <c r="CE954" s="28"/>
      <c r="CF954" s="28"/>
      <c r="CG954" s="28"/>
      <c r="CH954" s="28"/>
      <c r="CI954" s="28"/>
      <c r="CJ954" s="28"/>
      <c r="CK954" s="28"/>
      <c r="CL954" s="28"/>
      <c r="CM954" s="28"/>
      <c r="CN954" s="28"/>
      <c r="CO954" s="28"/>
      <c r="CP954" s="28"/>
      <c r="CQ954" s="28"/>
      <c r="CR954" s="28"/>
      <c r="CS954" s="28"/>
      <c r="CT954" s="28"/>
      <c r="CU954" s="28"/>
      <c r="CV954" s="28"/>
      <c r="CW954" s="28"/>
    </row>
    <row r="955" spans="1:101" ht="14.25" customHeight="1" x14ac:dyDescent="0.2">
      <c r="A955" s="328"/>
      <c r="B955" s="52">
        <v>0.11733676005076794</v>
      </c>
      <c r="C955" s="330">
        <v>0.24689497737061117</v>
      </c>
      <c r="D955" s="330">
        <v>2.045854565794869E-2</v>
      </c>
      <c r="E955" s="330">
        <v>3.7250178139482504E-2</v>
      </c>
      <c r="F955" s="331">
        <v>0.73301706281793078</v>
      </c>
      <c r="G955" s="94">
        <v>0.41750651149074192</v>
      </c>
      <c r="H955" s="330">
        <v>0.95977909332393285</v>
      </c>
      <c r="I955" s="330">
        <v>2.9646413355738588E-2</v>
      </c>
      <c r="J955" s="330">
        <v>1</v>
      </c>
      <c r="K955" s="330">
        <v>0.77623328335019537</v>
      </c>
      <c r="L955" s="332">
        <v>13179.485140732719</v>
      </c>
      <c r="M955" s="330">
        <v>0</v>
      </c>
      <c r="N955" s="330">
        <v>13437.445642902449</v>
      </c>
      <c r="O955" s="330">
        <v>1090.9403482532173</v>
      </c>
      <c r="P955" s="330">
        <v>39394.733717526928</v>
      </c>
      <c r="Q955" s="333">
        <v>81180.724006745353</v>
      </c>
      <c r="R955" s="330">
        <v>32540.316879793609</v>
      </c>
      <c r="S955" s="330">
        <v>10200.249140555557</v>
      </c>
      <c r="T955" s="332">
        <v>0.96594690494478352</v>
      </c>
      <c r="U955" s="330">
        <v>0.95498146307257947</v>
      </c>
      <c r="V955" s="330">
        <v>0.93245795951445232</v>
      </c>
      <c r="W955" s="330">
        <v>0.99998925524620708</v>
      </c>
      <c r="X955" s="330">
        <v>0.72957906088664937</v>
      </c>
      <c r="Y955" s="330">
        <v>0</v>
      </c>
      <c r="Z955" s="331">
        <v>0</v>
      </c>
      <c r="AA955" s="235"/>
      <c r="AB955" s="335">
        <v>94686.733869379663</v>
      </c>
      <c r="AC955" s="336">
        <v>3.6759094508011994</v>
      </c>
      <c r="AD955" s="337">
        <v>99833.913671300354</v>
      </c>
      <c r="AE955" s="336">
        <v>3.6544849378167279</v>
      </c>
      <c r="AF955" s="337">
        <v>-5147.1798019206908</v>
      </c>
      <c r="AG955" s="338">
        <v>2.1424512984471455E-2</v>
      </c>
      <c r="AH955" s="235"/>
      <c r="AI955" s="208">
        <f t="shared" si="102"/>
        <v>3397427.2443917594</v>
      </c>
      <c r="AJ955" s="208">
        <f t="shared" si="103"/>
        <v>3371926.7772545912</v>
      </c>
      <c r="AK955" s="208">
        <f t="shared" si="104"/>
        <v>25500.467137168573</v>
      </c>
      <c r="AL955" s="235"/>
      <c r="AM955" s="52">
        <f t="shared" si="86"/>
        <v>1</v>
      </c>
      <c r="AN955" s="52">
        <f t="shared" si="87"/>
        <v>0</v>
      </c>
      <c r="AO955" s="52">
        <f t="shared" si="88"/>
        <v>1</v>
      </c>
      <c r="AP955" s="235"/>
      <c r="AQ955" s="28"/>
      <c r="AR955" s="28"/>
      <c r="AS955" s="28"/>
      <c r="AT955" s="28"/>
      <c r="AU955" s="235"/>
      <c r="AV955" s="360">
        <f t="shared" si="105"/>
        <v>3397427.2443917594</v>
      </c>
      <c r="AW955" s="235"/>
      <c r="AX955" s="355"/>
      <c r="AY955" s="344"/>
      <c r="AZ955" s="14">
        <f t="shared" si="107"/>
        <v>-5147.1798019206908</v>
      </c>
      <c r="BA955" s="14">
        <f t="shared" si="106"/>
        <v>2.1424512984471455E-2</v>
      </c>
      <c r="BB955" s="14">
        <f t="shared" si="89"/>
        <v>-240247.22548659009</v>
      </c>
      <c r="BC955" s="344"/>
      <c r="BD955" s="344"/>
      <c r="BE955" s="344"/>
      <c r="BF955" s="344"/>
      <c r="BG955" s="344"/>
      <c r="BH955" s="344"/>
      <c r="BI955" s="344"/>
      <c r="BJ955" s="344"/>
      <c r="BK955" s="344"/>
      <c r="BL955" s="344"/>
      <c r="BM955" s="344"/>
      <c r="BN955" s="344"/>
      <c r="BO955" s="344"/>
      <c r="BP955" s="344"/>
      <c r="BQ955" s="344"/>
      <c r="BR955" s="344"/>
      <c r="BS955" s="344"/>
      <c r="BT955" s="344"/>
      <c r="BU955" s="344"/>
      <c r="BV955" s="344"/>
      <c r="BW955" s="344"/>
      <c r="BX955" s="344"/>
      <c r="BY955" s="344"/>
      <c r="BZ955" s="344"/>
      <c r="CA955" s="344"/>
      <c r="CB955" s="28"/>
      <c r="CC955" s="28"/>
      <c r="CD955" s="28"/>
      <c r="CE955" s="28"/>
      <c r="CF955" s="28"/>
      <c r="CG955" s="28"/>
      <c r="CH955" s="28"/>
      <c r="CI955" s="28"/>
      <c r="CJ955" s="28"/>
      <c r="CK955" s="28"/>
      <c r="CL955" s="28"/>
      <c r="CM955" s="28"/>
      <c r="CN955" s="28"/>
      <c r="CO955" s="28"/>
      <c r="CP955" s="28"/>
      <c r="CQ955" s="28"/>
      <c r="CR955" s="28"/>
      <c r="CS955" s="28"/>
      <c r="CT955" s="28"/>
      <c r="CU955" s="28"/>
      <c r="CV955" s="28"/>
      <c r="CW955" s="28"/>
    </row>
    <row r="956" spans="1:101" ht="14.25" customHeight="1" x14ac:dyDescent="0.2">
      <c r="A956" s="328"/>
      <c r="B956" s="52">
        <v>0.16097168903840686</v>
      </c>
      <c r="C956" s="330">
        <v>0.45243647178468538</v>
      </c>
      <c r="D956" s="330">
        <v>4.7570773110474423E-3</v>
      </c>
      <c r="E956" s="330">
        <v>1.871357364323234E-2</v>
      </c>
      <c r="F956" s="331">
        <v>0.81232954122064649</v>
      </c>
      <c r="G956" s="94">
        <v>0.37737186854949861</v>
      </c>
      <c r="H956" s="330">
        <v>0.48084466315294194</v>
      </c>
      <c r="I956" s="330">
        <v>1.1605547703075834E-2</v>
      </c>
      <c r="J956" s="330">
        <v>2.2000863426988666E-4</v>
      </c>
      <c r="K956" s="330">
        <v>0.71342896644862264</v>
      </c>
      <c r="L956" s="332">
        <v>9505.5176183636868</v>
      </c>
      <c r="M956" s="330">
        <v>0</v>
      </c>
      <c r="N956" s="330">
        <v>12553.839527903401</v>
      </c>
      <c r="O956" s="330">
        <v>1039.1952767304206</v>
      </c>
      <c r="P956" s="330">
        <v>48032.576803073069</v>
      </c>
      <c r="Q956" s="333">
        <v>76102.308901390395</v>
      </c>
      <c r="R956" s="330">
        <v>29481.25805391571</v>
      </c>
      <c r="S956" s="330">
        <v>9748.1822178202383</v>
      </c>
      <c r="T956" s="332">
        <v>0.99499501601083029</v>
      </c>
      <c r="U956" s="330">
        <v>0.95765073143298629</v>
      </c>
      <c r="V956" s="330">
        <v>0.40814624801966426</v>
      </c>
      <c r="W956" s="330">
        <v>0.84206267341688201</v>
      </c>
      <c r="X956" s="330">
        <v>0.96955504031975404</v>
      </c>
      <c r="Y956" s="330">
        <v>0</v>
      </c>
      <c r="Z956" s="331">
        <v>0</v>
      </c>
      <c r="AA956" s="235"/>
      <c r="AB956" s="335">
        <v>96856.838320720359</v>
      </c>
      <c r="AC956" s="336">
        <v>5.0215809107030651</v>
      </c>
      <c r="AD956" s="337">
        <v>80703.242348748085</v>
      </c>
      <c r="AE956" s="336">
        <v>4.295267475366213</v>
      </c>
      <c r="AF956" s="337">
        <v>16153.595971972274</v>
      </c>
      <c r="AG956" s="338">
        <v>0.72631343533685211</v>
      </c>
      <c r="AH956" s="235"/>
      <c r="AI956" s="208">
        <f t="shared" si="102"/>
        <v>4673645.0268471921</v>
      </c>
      <c r="AJ956" s="208">
        <f t="shared" si="103"/>
        <v>3999800.8592491541</v>
      </c>
      <c r="AK956" s="208">
        <f t="shared" si="104"/>
        <v>673844.16759803728</v>
      </c>
      <c r="AL956" s="235"/>
      <c r="AM956" s="52">
        <f t="shared" si="86"/>
        <v>1</v>
      </c>
      <c r="AN956" s="52">
        <f t="shared" si="87"/>
        <v>0</v>
      </c>
      <c r="AO956" s="52">
        <f t="shared" si="88"/>
        <v>1</v>
      </c>
      <c r="AP956" s="235"/>
      <c r="AQ956" s="28"/>
      <c r="AR956" s="28"/>
      <c r="AS956" s="28"/>
      <c r="AT956" s="28"/>
      <c r="AU956" s="235"/>
      <c r="AV956" s="360">
        <f t="shared" si="105"/>
        <v>4673645.0268471921</v>
      </c>
      <c r="AW956" s="235"/>
      <c r="AX956" s="355"/>
      <c r="AY956" s="344"/>
      <c r="AZ956" s="14">
        <f t="shared" si="107"/>
        <v>16153.595971972274</v>
      </c>
      <c r="BA956" s="14">
        <f t="shared" si="106"/>
        <v>0.72631343533685211</v>
      </c>
      <c r="BB956" s="14">
        <f t="shared" si="89"/>
        <v>22240.530308351663</v>
      </c>
      <c r="BC956" s="344"/>
      <c r="BD956" s="344"/>
      <c r="BE956" s="344"/>
      <c r="BF956" s="344"/>
      <c r="BG956" s="344"/>
      <c r="BH956" s="344"/>
      <c r="BI956" s="344"/>
      <c r="BJ956" s="344"/>
      <c r="BK956" s="344"/>
      <c r="BL956" s="344"/>
      <c r="BM956" s="344"/>
      <c r="BN956" s="344"/>
      <c r="BO956" s="344"/>
      <c r="BP956" s="344"/>
      <c r="BQ956" s="344"/>
      <c r="BR956" s="344"/>
      <c r="BS956" s="344"/>
      <c r="BT956" s="344"/>
      <c r="BU956" s="344"/>
      <c r="BV956" s="344"/>
      <c r="BW956" s="344"/>
      <c r="BX956" s="344"/>
      <c r="BY956" s="344"/>
      <c r="BZ956" s="344"/>
      <c r="CA956" s="344"/>
      <c r="CB956" s="28"/>
      <c r="CC956" s="28"/>
      <c r="CD956" s="28"/>
      <c r="CE956" s="28"/>
      <c r="CF956" s="28"/>
      <c r="CG956" s="28"/>
      <c r="CH956" s="28"/>
      <c r="CI956" s="28"/>
      <c r="CJ956" s="28"/>
      <c r="CK956" s="28"/>
      <c r="CL956" s="28"/>
      <c r="CM956" s="28"/>
      <c r="CN956" s="28"/>
      <c r="CO956" s="28"/>
      <c r="CP956" s="28"/>
      <c r="CQ956" s="28"/>
      <c r="CR956" s="28"/>
      <c r="CS956" s="28"/>
      <c r="CT956" s="28"/>
      <c r="CU956" s="28"/>
      <c r="CV956" s="28"/>
      <c r="CW956" s="28"/>
    </row>
    <row r="957" spans="1:101" ht="14.25" customHeight="1" x14ac:dyDescent="0.2">
      <c r="A957" s="328"/>
      <c r="B957" s="52">
        <v>0.13183178424057218</v>
      </c>
      <c r="C957" s="330">
        <v>0.64201471536477328</v>
      </c>
      <c r="D957" s="330">
        <v>1.908634977185153E-2</v>
      </c>
      <c r="E957" s="330">
        <v>2.3042763309456871E-2</v>
      </c>
      <c r="F957" s="331">
        <v>0.74385734696332872</v>
      </c>
      <c r="G957" s="94">
        <v>0.41902867189274706</v>
      </c>
      <c r="H957" s="330">
        <v>0.89670590034494768</v>
      </c>
      <c r="I957" s="330">
        <v>2.0744875491661596E-2</v>
      </c>
      <c r="J957" s="330">
        <v>0.99996957326215696</v>
      </c>
      <c r="K957" s="330">
        <v>0.74807832350831305</v>
      </c>
      <c r="L957" s="332">
        <v>10912.362671730851</v>
      </c>
      <c r="M957" s="330">
        <v>0</v>
      </c>
      <c r="N957" s="330">
        <v>16915.895508221889</v>
      </c>
      <c r="O957" s="330">
        <v>1366.4240157075451</v>
      </c>
      <c r="P957" s="330">
        <v>43681.090100932408</v>
      </c>
      <c r="Q957" s="333">
        <v>72143.718824761934</v>
      </c>
      <c r="R957" s="330">
        <v>25181.871305530218</v>
      </c>
      <c r="S957" s="330">
        <v>7478.5732855119968</v>
      </c>
      <c r="T957" s="332">
        <v>0.82726397289218789</v>
      </c>
      <c r="U957" s="330">
        <v>0.93847054254843476</v>
      </c>
      <c r="V957" s="330">
        <v>0.98731587775911711</v>
      </c>
      <c r="W957" s="330">
        <v>0.99930919193817003</v>
      </c>
      <c r="X957" s="330">
        <v>0.72898061966602412</v>
      </c>
      <c r="Y957" s="330">
        <v>0</v>
      </c>
      <c r="Z957" s="331">
        <v>0</v>
      </c>
      <c r="AA957" s="235"/>
      <c r="AB957" s="335">
        <v>73106.633496062786</v>
      </c>
      <c r="AC957" s="336">
        <v>3.2852174782600332</v>
      </c>
      <c r="AD957" s="337">
        <v>71169.154352305515</v>
      </c>
      <c r="AE957" s="336">
        <v>3.6659756606120726</v>
      </c>
      <c r="AF957" s="337">
        <v>1937.4791437572712</v>
      </c>
      <c r="AG957" s="338">
        <v>-0.3807581823520394</v>
      </c>
      <c r="AH957" s="235"/>
      <c r="AI957" s="208">
        <f t="shared" si="102"/>
        <v>3047849.9708509687</v>
      </c>
      <c r="AJ957" s="208">
        <f t="shared" si="103"/>
        <v>3411507.7232291633</v>
      </c>
      <c r="AK957" s="208">
        <f t="shared" si="104"/>
        <v>-363657.75237819471</v>
      </c>
      <c r="AL957" s="235"/>
      <c r="AM957" s="52">
        <f t="shared" si="86"/>
        <v>0</v>
      </c>
      <c r="AN957" s="52">
        <f t="shared" si="87"/>
        <v>1</v>
      </c>
      <c r="AO957" s="52">
        <f t="shared" si="88"/>
        <v>0</v>
      </c>
      <c r="AP957" s="235"/>
      <c r="AQ957" s="28"/>
      <c r="AR957" s="28"/>
      <c r="AS957" s="28"/>
      <c r="AT957" s="28"/>
      <c r="AU957" s="235"/>
      <c r="AV957" s="360">
        <f t="shared" si="105"/>
        <v>3411507.7232291633</v>
      </c>
      <c r="AW957" s="235"/>
      <c r="AX957" s="355"/>
      <c r="AY957" s="344"/>
      <c r="AZ957" s="14">
        <f t="shared" si="107"/>
        <v>1937.4791437572712</v>
      </c>
      <c r="BA957" s="14">
        <f t="shared" si="106"/>
        <v>-0.3807581823520394</v>
      </c>
      <c r="BB957" s="14">
        <f t="shared" si="89"/>
        <v>-5088.4767118830478</v>
      </c>
      <c r="BC957" s="344"/>
      <c r="BD957" s="344"/>
      <c r="BE957" s="344"/>
      <c r="BF957" s="344"/>
      <c r="BG957" s="344"/>
      <c r="BH957" s="344"/>
      <c r="BI957" s="344"/>
      <c r="BJ957" s="344"/>
      <c r="BK957" s="344"/>
      <c r="BL957" s="344"/>
      <c r="BM957" s="344"/>
      <c r="BN957" s="344"/>
      <c r="BO957" s="344"/>
      <c r="BP957" s="344"/>
      <c r="BQ957" s="344"/>
      <c r="BR957" s="344"/>
      <c r="BS957" s="344"/>
      <c r="BT957" s="344"/>
      <c r="BU957" s="344"/>
      <c r="BV957" s="344"/>
      <c r="BW957" s="344"/>
      <c r="BX957" s="344"/>
      <c r="BY957" s="344"/>
      <c r="BZ957" s="344"/>
      <c r="CA957" s="344"/>
      <c r="CB957" s="28"/>
      <c r="CC957" s="28"/>
      <c r="CD957" s="28"/>
      <c r="CE957" s="28"/>
      <c r="CF957" s="28"/>
      <c r="CG957" s="28"/>
      <c r="CH957" s="28"/>
      <c r="CI957" s="28"/>
      <c r="CJ957" s="28"/>
      <c r="CK957" s="28"/>
      <c r="CL957" s="28"/>
      <c r="CM957" s="28"/>
      <c r="CN957" s="28"/>
      <c r="CO957" s="28"/>
      <c r="CP957" s="28"/>
      <c r="CQ957" s="28"/>
      <c r="CR957" s="28"/>
      <c r="CS957" s="28"/>
      <c r="CT957" s="28"/>
      <c r="CU957" s="28"/>
      <c r="CV957" s="28"/>
      <c r="CW957" s="28"/>
    </row>
    <row r="958" spans="1:101" ht="14.25" customHeight="1" x14ac:dyDescent="0.2">
      <c r="A958" s="328"/>
      <c r="B958" s="52">
        <v>0.193541933617707</v>
      </c>
      <c r="C958" s="330">
        <v>0.33881035488487032</v>
      </c>
      <c r="D958" s="330">
        <v>6.6380581579180472E-3</v>
      </c>
      <c r="E958" s="330">
        <v>4.2236059646929225E-2</v>
      </c>
      <c r="F958" s="331">
        <v>0.7765520419586015</v>
      </c>
      <c r="G958" s="94">
        <v>0.41957323366932653</v>
      </c>
      <c r="H958" s="330">
        <v>0.64717691209136397</v>
      </c>
      <c r="I958" s="330">
        <v>4.8312040247784089E-3</v>
      </c>
      <c r="J958" s="330">
        <v>0.95520875275031958</v>
      </c>
      <c r="K958" s="330">
        <v>0.76308019166360919</v>
      </c>
      <c r="L958" s="332">
        <v>12731.582918170898</v>
      </c>
      <c r="M958" s="330">
        <v>0</v>
      </c>
      <c r="N958" s="330">
        <v>13963.139824321748</v>
      </c>
      <c r="O958" s="330">
        <v>1087.3873807024172</v>
      </c>
      <c r="P958" s="330">
        <v>42686.237420297475</v>
      </c>
      <c r="Q958" s="333">
        <v>75920.001809326917</v>
      </c>
      <c r="R958" s="330">
        <v>28967.706077650368</v>
      </c>
      <c r="S958" s="330">
        <v>11677.656571343026</v>
      </c>
      <c r="T958" s="332">
        <v>0.81745062752736597</v>
      </c>
      <c r="U958" s="330">
        <v>0.83632453561539488</v>
      </c>
      <c r="V958" s="330">
        <v>0.95015195034928035</v>
      </c>
      <c r="W958" s="330">
        <v>0.97840564934229923</v>
      </c>
      <c r="X958" s="330">
        <v>0.75422677794316317</v>
      </c>
      <c r="Y958" s="330">
        <v>0</v>
      </c>
      <c r="Z958" s="331">
        <v>0</v>
      </c>
      <c r="AA958" s="235"/>
      <c r="AB958" s="335">
        <v>112256.28925753704</v>
      </c>
      <c r="AC958" s="336">
        <v>3.5563275805023022</v>
      </c>
      <c r="AD958" s="337">
        <v>104193.42596204352</v>
      </c>
      <c r="AE958" s="336">
        <v>3.4848260238745703</v>
      </c>
      <c r="AF958" s="337">
        <v>8062.8632954935165</v>
      </c>
      <c r="AG958" s="338">
        <v>7.1501556627731944E-2</v>
      </c>
      <c r="AH958" s="235"/>
      <c r="AI958" s="208">
        <f t="shared" si="102"/>
        <v>3266254.9122196501</v>
      </c>
      <c r="AJ958" s="208">
        <f t="shared" si="103"/>
        <v>3206391.2967187981</v>
      </c>
      <c r="AK958" s="208">
        <f t="shared" si="104"/>
        <v>59863.615500851825</v>
      </c>
      <c r="AL958" s="235"/>
      <c r="AM958" s="52">
        <f t="shared" si="86"/>
        <v>1</v>
      </c>
      <c r="AN958" s="52">
        <f t="shared" si="87"/>
        <v>0</v>
      </c>
      <c r="AO958" s="52">
        <f t="shared" si="88"/>
        <v>1</v>
      </c>
      <c r="AP958" s="235"/>
      <c r="AQ958" s="28"/>
      <c r="AR958" s="28"/>
      <c r="AS958" s="28"/>
      <c r="AT958" s="28"/>
      <c r="AU958" s="235"/>
      <c r="AV958" s="360">
        <f t="shared" si="105"/>
        <v>3266254.9122196501</v>
      </c>
      <c r="AW958" s="235"/>
      <c r="AX958" s="355"/>
      <c r="AY958" s="344"/>
      <c r="AZ958" s="14">
        <f t="shared" si="107"/>
        <v>8062.8632954935165</v>
      </c>
      <c r="BA958" s="14">
        <f t="shared" si="106"/>
        <v>7.1501556627731944E-2</v>
      </c>
      <c r="BB958" s="14">
        <f t="shared" si="89"/>
        <v>112764.86381229815</v>
      </c>
      <c r="BC958" s="344"/>
      <c r="BD958" s="344"/>
      <c r="BE958" s="344"/>
      <c r="BF958" s="344"/>
      <c r="BG958" s="344"/>
      <c r="BH958" s="344"/>
      <c r="BI958" s="344"/>
      <c r="BJ958" s="344"/>
      <c r="BK958" s="344"/>
      <c r="BL958" s="344"/>
      <c r="BM958" s="344"/>
      <c r="BN958" s="344"/>
      <c r="BO958" s="344"/>
      <c r="BP958" s="344"/>
      <c r="BQ958" s="344"/>
      <c r="BR958" s="344"/>
      <c r="BS958" s="344"/>
      <c r="BT958" s="344"/>
      <c r="BU958" s="344"/>
      <c r="BV958" s="344"/>
      <c r="BW958" s="344"/>
      <c r="BX958" s="344"/>
      <c r="BY958" s="344"/>
      <c r="BZ958" s="344"/>
      <c r="CA958" s="344"/>
      <c r="CB958" s="28"/>
      <c r="CC958" s="28"/>
      <c r="CD958" s="28"/>
      <c r="CE958" s="28"/>
      <c r="CF958" s="28"/>
      <c r="CG958" s="28"/>
      <c r="CH958" s="28"/>
      <c r="CI958" s="28"/>
      <c r="CJ958" s="28"/>
      <c r="CK958" s="28"/>
      <c r="CL958" s="28"/>
      <c r="CM958" s="28"/>
      <c r="CN958" s="28"/>
      <c r="CO958" s="28"/>
      <c r="CP958" s="28"/>
      <c r="CQ958" s="28"/>
      <c r="CR958" s="28"/>
      <c r="CS958" s="28"/>
      <c r="CT958" s="28"/>
      <c r="CU958" s="28"/>
      <c r="CV958" s="28"/>
      <c r="CW958" s="28"/>
    </row>
    <row r="959" spans="1:101" ht="14.25" customHeight="1" x14ac:dyDescent="0.2">
      <c r="A959" s="328"/>
      <c r="B959" s="52">
        <v>0.15861528036063668</v>
      </c>
      <c r="C959" s="330">
        <v>0.52698793795524224</v>
      </c>
      <c r="D959" s="330">
        <v>1.5908752876524712E-2</v>
      </c>
      <c r="E959" s="330">
        <v>9.0795710402124148E-3</v>
      </c>
      <c r="F959" s="331">
        <v>0.77607653341607874</v>
      </c>
      <c r="G959" s="94">
        <v>0.42832740308387474</v>
      </c>
      <c r="H959" s="330">
        <v>0.89113466570143507</v>
      </c>
      <c r="I959" s="330">
        <v>1.8352644343672786E-2</v>
      </c>
      <c r="J959" s="330">
        <v>0.99999999995883204</v>
      </c>
      <c r="K959" s="330">
        <v>0.75608846924819706</v>
      </c>
      <c r="L959" s="332">
        <v>9681.2908450931445</v>
      </c>
      <c r="M959" s="330">
        <v>0</v>
      </c>
      <c r="N959" s="330">
        <v>23758.093002336089</v>
      </c>
      <c r="O959" s="330">
        <v>1301.9067407311934</v>
      </c>
      <c r="P959" s="330">
        <v>36391.808841133548</v>
      </c>
      <c r="Q959" s="333">
        <v>128757.32359823339</v>
      </c>
      <c r="R959" s="330">
        <v>18854.478858705563</v>
      </c>
      <c r="S959" s="330">
        <v>8243.8603966816827</v>
      </c>
      <c r="T959" s="332">
        <v>0.98443949879804682</v>
      </c>
      <c r="U959" s="330">
        <v>0.59253738701128811</v>
      </c>
      <c r="V959" s="330">
        <v>0.92514522155020762</v>
      </c>
      <c r="W959" s="330">
        <v>0.93441668952650292</v>
      </c>
      <c r="X959" s="330">
        <v>0.99999876179202185</v>
      </c>
      <c r="Y959" s="330">
        <v>0</v>
      </c>
      <c r="Z959" s="331">
        <v>0</v>
      </c>
      <c r="AA959" s="235"/>
      <c r="AB959" s="335">
        <v>80447.074490417814</v>
      </c>
      <c r="AC959" s="336">
        <v>5.1637417382622743</v>
      </c>
      <c r="AD959" s="337">
        <v>76074.071275969298</v>
      </c>
      <c r="AE959" s="336">
        <v>4.6954516191896456</v>
      </c>
      <c r="AF959" s="337">
        <v>4373.0032144485158</v>
      </c>
      <c r="AG959" s="338">
        <v>0.46829011907262874</v>
      </c>
      <c r="AH959" s="235"/>
      <c r="AI959" s="208">
        <f t="shared" si="102"/>
        <v>4825107.5768587431</v>
      </c>
      <c r="AJ959" s="208">
        <f t="shared" si="103"/>
        <v>4384604.966954194</v>
      </c>
      <c r="AK959" s="208">
        <f t="shared" si="104"/>
        <v>440502.60990454879</v>
      </c>
      <c r="AL959" s="235"/>
      <c r="AM959" s="52">
        <f t="shared" si="86"/>
        <v>1</v>
      </c>
      <c r="AN959" s="52">
        <f t="shared" si="87"/>
        <v>0</v>
      </c>
      <c r="AO959" s="52">
        <f t="shared" si="88"/>
        <v>1</v>
      </c>
      <c r="AP959" s="235"/>
      <c r="AQ959" s="28"/>
      <c r="AR959" s="28"/>
      <c r="AS959" s="28"/>
      <c r="AT959" s="28"/>
      <c r="AU959" s="235"/>
      <c r="AV959" s="360">
        <f t="shared" si="105"/>
        <v>4825107.5768587431</v>
      </c>
      <c r="AW959" s="235"/>
      <c r="AX959" s="355"/>
      <c r="AY959" s="344"/>
      <c r="AZ959" s="14">
        <f t="shared" si="107"/>
        <v>4373.0032144485158</v>
      </c>
      <c r="BA959" s="14">
        <f t="shared" si="106"/>
        <v>0.46829011907262874</v>
      </c>
      <c r="BB959" s="14">
        <f t="shared" si="89"/>
        <v>9338.2350733953699</v>
      </c>
      <c r="BC959" s="344"/>
      <c r="BD959" s="344"/>
      <c r="BE959" s="344"/>
      <c r="BF959" s="344"/>
      <c r="BG959" s="344"/>
      <c r="BH959" s="344"/>
      <c r="BI959" s="344"/>
      <c r="BJ959" s="344"/>
      <c r="BK959" s="344"/>
      <c r="BL959" s="344"/>
      <c r="BM959" s="344"/>
      <c r="BN959" s="344"/>
      <c r="BO959" s="344"/>
      <c r="BP959" s="344"/>
      <c r="BQ959" s="344"/>
      <c r="BR959" s="344"/>
      <c r="BS959" s="344"/>
      <c r="BT959" s="344"/>
      <c r="BU959" s="344"/>
      <c r="BV959" s="344"/>
      <c r="BW959" s="344"/>
      <c r="BX959" s="344"/>
      <c r="BY959" s="344"/>
      <c r="BZ959" s="344"/>
      <c r="CA959" s="344"/>
      <c r="CB959" s="28"/>
      <c r="CC959" s="28"/>
      <c r="CD959" s="28"/>
      <c r="CE959" s="28"/>
      <c r="CF959" s="28"/>
      <c r="CG959" s="28"/>
      <c r="CH959" s="28"/>
      <c r="CI959" s="28"/>
      <c r="CJ959" s="28"/>
      <c r="CK959" s="28"/>
      <c r="CL959" s="28"/>
      <c r="CM959" s="28"/>
      <c r="CN959" s="28"/>
      <c r="CO959" s="28"/>
      <c r="CP959" s="28"/>
      <c r="CQ959" s="28"/>
      <c r="CR959" s="28"/>
      <c r="CS959" s="28"/>
      <c r="CT959" s="28"/>
      <c r="CU959" s="28"/>
      <c r="CV959" s="28"/>
      <c r="CW959" s="28"/>
    </row>
    <row r="960" spans="1:101" ht="14.25" customHeight="1" x14ac:dyDescent="0.2">
      <c r="A960" s="328"/>
      <c r="B960" s="52">
        <v>0.16520150229835906</v>
      </c>
      <c r="C960" s="330">
        <v>0.11902736340778852</v>
      </c>
      <c r="D960" s="330">
        <v>1.0792609374305482E-2</v>
      </c>
      <c r="E960" s="330">
        <v>1.9025779160437017E-2</v>
      </c>
      <c r="F960" s="331">
        <v>0.78182952827659158</v>
      </c>
      <c r="G960" s="94">
        <v>0.41865654048129042</v>
      </c>
      <c r="H960" s="330">
        <v>0.78629346031283132</v>
      </c>
      <c r="I960" s="330">
        <v>2.4779301158780354E-2</v>
      </c>
      <c r="J960" s="330">
        <v>0.99921177905344649</v>
      </c>
      <c r="K960" s="330">
        <v>0.78848707412216923</v>
      </c>
      <c r="L960" s="332">
        <v>10877.763177151273</v>
      </c>
      <c r="M960" s="330">
        <v>0</v>
      </c>
      <c r="N960" s="330">
        <v>17872.802534643728</v>
      </c>
      <c r="O960" s="330">
        <v>1380.1397106149134</v>
      </c>
      <c r="P960" s="330">
        <v>47996.876918119611</v>
      </c>
      <c r="Q960" s="333">
        <v>73464.540940737264</v>
      </c>
      <c r="R960" s="330">
        <v>20897.590269706368</v>
      </c>
      <c r="S960" s="330">
        <v>10176.722028080243</v>
      </c>
      <c r="T960" s="332">
        <v>0.88570852508655795</v>
      </c>
      <c r="U960" s="330">
        <v>0.76907446512532107</v>
      </c>
      <c r="V960" s="330">
        <v>0.9981659649829695</v>
      </c>
      <c r="W960" s="330">
        <v>0.99948221494041511</v>
      </c>
      <c r="X960" s="330">
        <v>0.88251144596398057</v>
      </c>
      <c r="Y960" s="330">
        <v>0</v>
      </c>
      <c r="Z960" s="331">
        <v>0</v>
      </c>
      <c r="AA960" s="235"/>
      <c r="AB960" s="335">
        <v>97032.534017547907</v>
      </c>
      <c r="AC960" s="336">
        <v>4.207643490741197</v>
      </c>
      <c r="AD960" s="337">
        <v>94866.970257930923</v>
      </c>
      <c r="AE960" s="336">
        <v>4.2373995707632179</v>
      </c>
      <c r="AF960" s="337">
        <v>2165.5637596169836</v>
      </c>
      <c r="AG960" s="338">
        <v>-2.9756080022020903E-2</v>
      </c>
      <c r="AH960" s="235"/>
      <c r="AI960" s="208">
        <f t="shared" si="102"/>
        <v>3900228.7821865892</v>
      </c>
      <c r="AJ960" s="208">
        <f t="shared" si="103"/>
        <v>3930662.6219671261</v>
      </c>
      <c r="AK960" s="208">
        <f t="shared" si="104"/>
        <v>-30433.83978053684</v>
      </c>
      <c r="AL960" s="235"/>
      <c r="AM960" s="52">
        <f t="shared" si="86"/>
        <v>0</v>
      </c>
      <c r="AN960" s="52">
        <f t="shared" si="87"/>
        <v>1</v>
      </c>
      <c r="AO960" s="52">
        <f t="shared" si="88"/>
        <v>0</v>
      </c>
      <c r="AP960" s="235"/>
      <c r="AQ960" s="28"/>
      <c r="AR960" s="28"/>
      <c r="AS960" s="28"/>
      <c r="AT960" s="28"/>
      <c r="AU960" s="235"/>
      <c r="AV960" s="360">
        <f t="shared" si="105"/>
        <v>3930662.6219671261</v>
      </c>
      <c r="AW960" s="235"/>
      <c r="AX960" s="355"/>
      <c r="AY960" s="344"/>
      <c r="AZ960" s="14">
        <f t="shared" si="107"/>
        <v>2165.5637596169836</v>
      </c>
      <c r="BA960" s="14">
        <f t="shared" si="106"/>
        <v>-2.9756080022020903E-2</v>
      </c>
      <c r="BB960" s="14">
        <f t="shared" si="89"/>
        <v>-72777.185637838193</v>
      </c>
      <c r="BC960" s="344"/>
      <c r="BD960" s="344"/>
      <c r="BE960" s="344"/>
      <c r="BF960" s="344"/>
      <c r="BG960" s="344"/>
      <c r="BH960" s="344"/>
      <c r="BI960" s="344"/>
      <c r="BJ960" s="344"/>
      <c r="BK960" s="344"/>
      <c r="BL960" s="344"/>
      <c r="BM960" s="344"/>
      <c r="BN960" s="344"/>
      <c r="BO960" s="344"/>
      <c r="BP960" s="344"/>
      <c r="BQ960" s="344"/>
      <c r="BR960" s="344"/>
      <c r="BS960" s="344"/>
      <c r="BT960" s="344"/>
      <c r="BU960" s="344"/>
      <c r="BV960" s="344"/>
      <c r="BW960" s="344"/>
      <c r="BX960" s="344"/>
      <c r="BY960" s="344"/>
      <c r="BZ960" s="344"/>
      <c r="CA960" s="344"/>
      <c r="CB960" s="28"/>
      <c r="CC960" s="28"/>
      <c r="CD960" s="28"/>
      <c r="CE960" s="28"/>
      <c r="CF960" s="28"/>
      <c r="CG960" s="28"/>
      <c r="CH960" s="28"/>
      <c r="CI960" s="28"/>
      <c r="CJ960" s="28"/>
      <c r="CK960" s="28"/>
      <c r="CL960" s="28"/>
      <c r="CM960" s="28"/>
      <c r="CN960" s="28"/>
      <c r="CO960" s="28"/>
      <c r="CP960" s="28"/>
      <c r="CQ960" s="28"/>
      <c r="CR960" s="28"/>
      <c r="CS960" s="28"/>
      <c r="CT960" s="28"/>
      <c r="CU960" s="28"/>
      <c r="CV960" s="28"/>
      <c r="CW960" s="28"/>
    </row>
    <row r="961" spans="1:101" ht="14.25" customHeight="1" x14ac:dyDescent="0.2">
      <c r="A961" s="328"/>
      <c r="B961" s="52">
        <v>0.16301157075500194</v>
      </c>
      <c r="C961" s="330">
        <v>5.8627015004466633E-2</v>
      </c>
      <c r="D961" s="330">
        <v>1.0139682337796101E-2</v>
      </c>
      <c r="E961" s="330">
        <v>6.9700559401203481E-3</v>
      </c>
      <c r="F961" s="331">
        <v>0.82330264812529474</v>
      </c>
      <c r="G961" s="94">
        <v>0.38048244083860516</v>
      </c>
      <c r="H961" s="330">
        <v>0.66028499139782681</v>
      </c>
      <c r="I961" s="330">
        <v>1.1391759937800531E-2</v>
      </c>
      <c r="J961" s="330">
        <v>1</v>
      </c>
      <c r="K961" s="330">
        <v>0.70755387930322033</v>
      </c>
      <c r="L961" s="332">
        <v>9626.4426612776278</v>
      </c>
      <c r="M961" s="330">
        <v>0</v>
      </c>
      <c r="N961" s="330">
        <v>16591.617231045704</v>
      </c>
      <c r="O961" s="330">
        <v>1406.716564758198</v>
      </c>
      <c r="P961" s="330">
        <v>63344.280500996283</v>
      </c>
      <c r="Q961" s="333">
        <v>95577.437679915049</v>
      </c>
      <c r="R961" s="330">
        <v>20417.140927828474</v>
      </c>
      <c r="S961" s="330">
        <v>11297.938479762081</v>
      </c>
      <c r="T961" s="332">
        <v>0.84526035704913638</v>
      </c>
      <c r="U961" s="330">
        <v>0.32667959831239779</v>
      </c>
      <c r="V961" s="330">
        <v>0.81981605226390875</v>
      </c>
      <c r="W961" s="330">
        <v>0.9985170447091356</v>
      </c>
      <c r="X961" s="330">
        <v>0.95332171279119504</v>
      </c>
      <c r="Y961" s="330">
        <v>0</v>
      </c>
      <c r="Z961" s="331">
        <v>0</v>
      </c>
      <c r="AA961" s="235"/>
      <c r="AB961" s="335">
        <v>110027.64149872765</v>
      </c>
      <c r="AC961" s="336">
        <v>4.7419775900174166</v>
      </c>
      <c r="AD961" s="337">
        <v>92156.451540307011</v>
      </c>
      <c r="AE961" s="336">
        <v>4.1003666930382856</v>
      </c>
      <c r="AF961" s="337">
        <v>17871.18995842064</v>
      </c>
      <c r="AG961" s="338">
        <v>0.64161089697913098</v>
      </c>
      <c r="AH961" s="235"/>
      <c r="AI961" s="208">
        <f t="shared" si="102"/>
        <v>4394851.0690178182</v>
      </c>
      <c r="AJ961" s="208">
        <f t="shared" si="103"/>
        <v>3803191.9068460641</v>
      </c>
      <c r="AK961" s="208">
        <f t="shared" si="104"/>
        <v>591659.16217175382</v>
      </c>
      <c r="AL961" s="235"/>
      <c r="AM961" s="52">
        <f t="shared" si="86"/>
        <v>1</v>
      </c>
      <c r="AN961" s="52">
        <f t="shared" si="87"/>
        <v>0</v>
      </c>
      <c r="AO961" s="52">
        <f t="shared" si="88"/>
        <v>1</v>
      </c>
      <c r="AP961" s="235"/>
      <c r="AQ961" s="28"/>
      <c r="AR961" s="28"/>
      <c r="AS961" s="28"/>
      <c r="AT961" s="28"/>
      <c r="AU961" s="235"/>
      <c r="AV961" s="360">
        <f t="shared" si="105"/>
        <v>4394851.0690178182</v>
      </c>
      <c r="AW961" s="235"/>
      <c r="AX961" s="355"/>
      <c r="AY961" s="344"/>
      <c r="AZ961" s="14">
        <f t="shared" si="107"/>
        <v>17871.18995842064</v>
      </c>
      <c r="BA961" s="14">
        <f t="shared" si="106"/>
        <v>0.64161089697913098</v>
      </c>
      <c r="BB961" s="14">
        <f t="shared" si="89"/>
        <v>27853.625994450525</v>
      </c>
      <c r="BC961" s="344"/>
      <c r="BD961" s="344"/>
      <c r="BE961" s="344"/>
      <c r="BF961" s="344"/>
      <c r="BG961" s="344"/>
      <c r="BH961" s="344"/>
      <c r="BI961" s="344"/>
      <c r="BJ961" s="344"/>
      <c r="BK961" s="344"/>
      <c r="BL961" s="344"/>
      <c r="BM961" s="344"/>
      <c r="BN961" s="344"/>
      <c r="BO961" s="344"/>
      <c r="BP961" s="344"/>
      <c r="BQ961" s="344"/>
      <c r="BR961" s="344"/>
      <c r="BS961" s="344"/>
      <c r="BT961" s="344"/>
      <c r="BU961" s="344"/>
      <c r="BV961" s="344"/>
      <c r="BW961" s="344"/>
      <c r="BX961" s="344"/>
      <c r="BY961" s="344"/>
      <c r="BZ961" s="344"/>
      <c r="CA961" s="344"/>
      <c r="CB961" s="28"/>
      <c r="CC961" s="28"/>
      <c r="CD961" s="28"/>
      <c r="CE961" s="28"/>
      <c r="CF961" s="28"/>
      <c r="CG961" s="28"/>
      <c r="CH961" s="28"/>
      <c r="CI961" s="28"/>
      <c r="CJ961" s="28"/>
      <c r="CK961" s="28"/>
      <c r="CL961" s="28"/>
      <c r="CM961" s="28"/>
      <c r="CN961" s="28"/>
      <c r="CO961" s="28"/>
      <c r="CP961" s="28"/>
      <c r="CQ961" s="28"/>
      <c r="CR961" s="28"/>
      <c r="CS961" s="28"/>
      <c r="CT961" s="28"/>
      <c r="CU961" s="28"/>
      <c r="CV961" s="28"/>
      <c r="CW961" s="28"/>
    </row>
    <row r="962" spans="1:101" ht="14.25" customHeight="1" x14ac:dyDescent="0.2">
      <c r="A962" s="328"/>
      <c r="B962" s="52">
        <v>0.15541091397910164</v>
      </c>
      <c r="C962" s="330">
        <v>0.79303639538540183</v>
      </c>
      <c r="D962" s="330">
        <v>7.7474211566077962E-3</v>
      </c>
      <c r="E962" s="330">
        <v>2.6197862916727432E-2</v>
      </c>
      <c r="F962" s="331">
        <v>0.80327382432304306</v>
      </c>
      <c r="G962" s="94">
        <v>0.43157992482581375</v>
      </c>
      <c r="H962" s="330">
        <v>0.26853488507450451</v>
      </c>
      <c r="I962" s="330">
        <v>3.7943924512676919E-2</v>
      </c>
      <c r="J962" s="330">
        <v>1</v>
      </c>
      <c r="K962" s="330">
        <v>0.77603014520057889</v>
      </c>
      <c r="L962" s="332">
        <v>11693.763405268935</v>
      </c>
      <c r="M962" s="330">
        <v>0</v>
      </c>
      <c r="N962" s="330">
        <v>15196.417990496402</v>
      </c>
      <c r="O962" s="330">
        <v>1369.0241615485791</v>
      </c>
      <c r="P962" s="330">
        <v>40835.681490539253</v>
      </c>
      <c r="Q962" s="333">
        <v>107974.21366597241</v>
      </c>
      <c r="R962" s="330">
        <v>35794.794047250238</v>
      </c>
      <c r="S962" s="330">
        <v>5813.9260384789914</v>
      </c>
      <c r="T962" s="332">
        <v>0.13568701095139851</v>
      </c>
      <c r="U962" s="330">
        <v>0.74706181222519064</v>
      </c>
      <c r="V962" s="330">
        <v>0.99414178279389964</v>
      </c>
      <c r="W962" s="330">
        <v>0.96085162684279002</v>
      </c>
      <c r="X962" s="330">
        <v>0.9999999958860144</v>
      </c>
      <c r="Y962" s="330">
        <v>0</v>
      </c>
      <c r="Z962" s="331">
        <v>0</v>
      </c>
      <c r="AA962" s="235"/>
      <c r="AB962" s="335">
        <v>66566.603964715905</v>
      </c>
      <c r="AC962" s="336">
        <v>4.8676009155609945</v>
      </c>
      <c r="AD962" s="337">
        <v>56149.416772372766</v>
      </c>
      <c r="AE962" s="336">
        <v>4.8509816877976286</v>
      </c>
      <c r="AF962" s="337">
        <v>10417.187192343139</v>
      </c>
      <c r="AG962" s="338">
        <v>1.6619227763365885E-2</v>
      </c>
      <c r="AH962" s="235"/>
      <c r="AI962" s="208">
        <f t="shared" si="102"/>
        <v>4557654.2658182289</v>
      </c>
      <c r="AJ962" s="208">
        <f t="shared" si="103"/>
        <v>4552283.1866353741</v>
      </c>
      <c r="AK962" s="208">
        <f t="shared" si="104"/>
        <v>5371.0791828544516</v>
      </c>
      <c r="AL962" s="235"/>
      <c r="AM962" s="52">
        <f t="shared" si="86"/>
        <v>1</v>
      </c>
      <c r="AN962" s="52">
        <f t="shared" si="87"/>
        <v>0</v>
      </c>
      <c r="AO962" s="52">
        <f t="shared" si="88"/>
        <v>1</v>
      </c>
      <c r="AP962" s="235"/>
      <c r="AQ962" s="28"/>
      <c r="AR962" s="28"/>
      <c r="AS962" s="28"/>
      <c r="AT962" s="28"/>
      <c r="AU962" s="235"/>
      <c r="AV962" s="360">
        <f t="shared" si="105"/>
        <v>4557654.2658182289</v>
      </c>
      <c r="AW962" s="235"/>
      <c r="AX962" s="355"/>
      <c r="AY962" s="344"/>
      <c r="AZ962" s="14">
        <f t="shared" si="107"/>
        <v>10417.187192343139</v>
      </c>
      <c r="BA962" s="14">
        <f t="shared" si="106"/>
        <v>1.6619227763365885E-2</v>
      </c>
      <c r="BB962" s="14">
        <f t="shared" si="89"/>
        <v>626815.35752858291</v>
      </c>
      <c r="BC962" s="344"/>
      <c r="BD962" s="344"/>
      <c r="BE962" s="344"/>
      <c r="BF962" s="344"/>
      <c r="BG962" s="344"/>
      <c r="BH962" s="344"/>
      <c r="BI962" s="344"/>
      <c r="BJ962" s="344"/>
      <c r="BK962" s="344"/>
      <c r="BL962" s="344"/>
      <c r="BM962" s="344"/>
      <c r="BN962" s="344"/>
      <c r="BO962" s="344"/>
      <c r="BP962" s="344"/>
      <c r="BQ962" s="344"/>
      <c r="BR962" s="344"/>
      <c r="BS962" s="344"/>
      <c r="BT962" s="344"/>
      <c r="BU962" s="344"/>
      <c r="BV962" s="344"/>
      <c r="BW962" s="344"/>
      <c r="BX962" s="344"/>
      <c r="BY962" s="344"/>
      <c r="BZ962" s="344"/>
      <c r="CA962" s="344"/>
      <c r="CB962" s="28"/>
      <c r="CC962" s="28"/>
      <c r="CD962" s="28"/>
      <c r="CE962" s="28"/>
      <c r="CF962" s="28"/>
      <c r="CG962" s="28"/>
      <c r="CH962" s="28"/>
      <c r="CI962" s="28"/>
      <c r="CJ962" s="28"/>
      <c r="CK962" s="28"/>
      <c r="CL962" s="28"/>
      <c r="CM962" s="28"/>
      <c r="CN962" s="28"/>
      <c r="CO962" s="28"/>
      <c r="CP962" s="28"/>
      <c r="CQ962" s="28"/>
      <c r="CR962" s="28"/>
      <c r="CS962" s="28"/>
      <c r="CT962" s="28"/>
      <c r="CU962" s="28"/>
      <c r="CV962" s="28"/>
      <c r="CW962" s="28"/>
    </row>
    <row r="963" spans="1:101" ht="14.25" customHeight="1" x14ac:dyDescent="0.2">
      <c r="A963" s="328"/>
      <c r="B963" s="52">
        <v>0.16127804900003351</v>
      </c>
      <c r="C963" s="330">
        <v>0.98508156592136387</v>
      </c>
      <c r="D963" s="330">
        <v>9.9056827771753387E-3</v>
      </c>
      <c r="E963" s="330">
        <v>9.7646356339434175E-3</v>
      </c>
      <c r="F963" s="331">
        <v>0.8093853365175292</v>
      </c>
      <c r="G963" s="94">
        <v>0.44313679997164435</v>
      </c>
      <c r="H963" s="330">
        <v>0.37837990152850443</v>
      </c>
      <c r="I963" s="330">
        <v>7.4280324661172925E-3</v>
      </c>
      <c r="J963" s="330">
        <v>0.90455546289124322</v>
      </c>
      <c r="K963" s="330">
        <v>0.72001700113254552</v>
      </c>
      <c r="L963" s="332">
        <v>12838.926552049044</v>
      </c>
      <c r="M963" s="330">
        <v>0</v>
      </c>
      <c r="N963" s="330">
        <v>15248.770964121195</v>
      </c>
      <c r="O963" s="330">
        <v>1177.6384606702027</v>
      </c>
      <c r="P963" s="330">
        <v>71230.503969828715</v>
      </c>
      <c r="Q963" s="333">
        <v>102518.55457982382</v>
      </c>
      <c r="R963" s="330">
        <v>19942.555055325374</v>
      </c>
      <c r="S963" s="330">
        <v>10670.493947984749</v>
      </c>
      <c r="T963" s="332">
        <v>0.98521706182113777</v>
      </c>
      <c r="U963" s="330">
        <v>0.94017948696917486</v>
      </c>
      <c r="V963" s="330">
        <v>0.99238609469620642</v>
      </c>
      <c r="W963" s="330">
        <v>0.97077577500059509</v>
      </c>
      <c r="X963" s="330">
        <v>0.53768709075456445</v>
      </c>
      <c r="Y963" s="330">
        <v>0</v>
      </c>
      <c r="Z963" s="331">
        <v>0</v>
      </c>
      <c r="AA963" s="235"/>
      <c r="AB963" s="335">
        <v>109043.02005087917</v>
      </c>
      <c r="AC963" s="336">
        <v>2.9980277503802615</v>
      </c>
      <c r="AD963" s="337">
        <v>86947.84725988275</v>
      </c>
      <c r="AE963" s="336">
        <v>2.4553297115462818</v>
      </c>
      <c r="AF963" s="337">
        <v>22095.172790996425</v>
      </c>
      <c r="AG963" s="338">
        <v>0.54269803883397971</v>
      </c>
      <c r="AH963" s="235"/>
      <c r="AI963" s="208">
        <f t="shared" si="102"/>
        <v>2739083.3428103691</v>
      </c>
      <c r="AJ963" s="208">
        <f t="shared" si="103"/>
        <v>2245615.3787090848</v>
      </c>
      <c r="AK963" s="208">
        <f t="shared" si="104"/>
        <v>493467.96410128428</v>
      </c>
      <c r="AL963" s="235"/>
      <c r="AM963" s="52">
        <f t="shared" si="86"/>
        <v>1</v>
      </c>
      <c r="AN963" s="52">
        <f t="shared" si="87"/>
        <v>0</v>
      </c>
      <c r="AO963" s="52">
        <f t="shared" si="88"/>
        <v>1</v>
      </c>
      <c r="AP963" s="235"/>
      <c r="AQ963" s="28"/>
      <c r="AR963" s="28"/>
      <c r="AS963" s="28"/>
      <c r="AT963" s="28"/>
      <c r="AU963" s="235"/>
      <c r="AV963" s="360">
        <f t="shared" si="105"/>
        <v>2739083.3428103691</v>
      </c>
      <c r="AW963" s="235"/>
      <c r="AX963" s="355"/>
      <c r="AY963" s="344"/>
      <c r="AZ963" s="14">
        <f t="shared" si="107"/>
        <v>22095.172790996425</v>
      </c>
      <c r="BA963" s="14">
        <f t="shared" si="106"/>
        <v>0.54269803883397971</v>
      </c>
      <c r="BB963" s="14">
        <f t="shared" si="89"/>
        <v>40713.566679675627</v>
      </c>
      <c r="BC963" s="344"/>
      <c r="BD963" s="344"/>
      <c r="BE963" s="344"/>
      <c r="BF963" s="344"/>
      <c r="BG963" s="344"/>
      <c r="BH963" s="344"/>
      <c r="BI963" s="344"/>
      <c r="BJ963" s="344"/>
      <c r="BK963" s="344"/>
      <c r="BL963" s="344"/>
      <c r="BM963" s="344"/>
      <c r="BN963" s="344"/>
      <c r="BO963" s="344"/>
      <c r="BP963" s="344"/>
      <c r="BQ963" s="344"/>
      <c r="BR963" s="344"/>
      <c r="BS963" s="344"/>
      <c r="BT963" s="344"/>
      <c r="BU963" s="344"/>
      <c r="BV963" s="344"/>
      <c r="BW963" s="344"/>
      <c r="BX963" s="344"/>
      <c r="BY963" s="344"/>
      <c r="BZ963" s="344"/>
      <c r="CA963" s="344"/>
      <c r="CB963" s="28"/>
      <c r="CC963" s="28"/>
      <c r="CD963" s="28"/>
      <c r="CE963" s="28"/>
      <c r="CF963" s="28"/>
      <c r="CG963" s="28"/>
      <c r="CH963" s="28"/>
      <c r="CI963" s="28"/>
      <c r="CJ963" s="28"/>
      <c r="CK963" s="28"/>
      <c r="CL963" s="28"/>
      <c r="CM963" s="28"/>
      <c r="CN963" s="28"/>
      <c r="CO963" s="28"/>
      <c r="CP963" s="28"/>
      <c r="CQ963" s="28"/>
      <c r="CR963" s="28"/>
      <c r="CS963" s="28"/>
      <c r="CT963" s="28"/>
      <c r="CU963" s="28"/>
      <c r="CV963" s="28"/>
      <c r="CW963" s="28"/>
    </row>
    <row r="964" spans="1:101" ht="14.25" customHeight="1" x14ac:dyDescent="0.2">
      <c r="A964" s="328"/>
      <c r="B964" s="52">
        <v>0.15299743756049222</v>
      </c>
      <c r="C964" s="330">
        <v>0.56629915479710169</v>
      </c>
      <c r="D964" s="330">
        <v>1.3954387047484806E-2</v>
      </c>
      <c r="E964" s="330">
        <v>1.2459541900760719E-2</v>
      </c>
      <c r="F964" s="331">
        <v>0.81469652051746377</v>
      </c>
      <c r="G964" s="94">
        <v>0.3249374598690441</v>
      </c>
      <c r="H964" s="330">
        <v>0.56574397294978906</v>
      </c>
      <c r="I964" s="330">
        <v>7.5113010242335082E-3</v>
      </c>
      <c r="J964" s="330">
        <v>0.99999999999999978</v>
      </c>
      <c r="K964" s="330">
        <v>0.81409762787779139</v>
      </c>
      <c r="L964" s="332">
        <v>11118.412759604205</v>
      </c>
      <c r="M964" s="330">
        <v>0</v>
      </c>
      <c r="N964" s="330">
        <v>14500.060655139587</v>
      </c>
      <c r="O964" s="330">
        <v>1259.5830461816015</v>
      </c>
      <c r="P964" s="330">
        <v>58808.926989012885</v>
      </c>
      <c r="Q964" s="333">
        <v>83312.773275670872</v>
      </c>
      <c r="R964" s="330">
        <v>14175.401142279014</v>
      </c>
      <c r="S964" s="330">
        <v>7868.2768815794161</v>
      </c>
      <c r="T964" s="332">
        <v>0.93363079429765472</v>
      </c>
      <c r="U964" s="330">
        <v>0.71674480824075648</v>
      </c>
      <c r="V964" s="330">
        <v>0.94081111101398895</v>
      </c>
      <c r="W964" s="330">
        <v>0.95536496012661765</v>
      </c>
      <c r="X964" s="330">
        <v>0.99475507135681607</v>
      </c>
      <c r="Y964" s="330">
        <v>0</v>
      </c>
      <c r="Z964" s="331">
        <v>0</v>
      </c>
      <c r="AA964" s="235"/>
      <c r="AB964" s="335">
        <v>81509.095972087031</v>
      </c>
      <c r="AC964" s="336">
        <v>5.3980365092181852</v>
      </c>
      <c r="AD964" s="337">
        <v>72136.84678195692</v>
      </c>
      <c r="AE964" s="336">
        <v>5.0171906834340092</v>
      </c>
      <c r="AF964" s="337">
        <v>9372.2491901301109</v>
      </c>
      <c r="AG964" s="338">
        <v>0.38084582578417603</v>
      </c>
      <c r="AH964" s="235"/>
      <c r="AI964" s="208">
        <f t="shared" si="102"/>
        <v>5046625.587785189</v>
      </c>
      <c r="AJ964" s="208">
        <f t="shared" si="103"/>
        <v>4694194.3024803521</v>
      </c>
      <c r="AK964" s="208">
        <f t="shared" si="104"/>
        <v>352431.2853048371</v>
      </c>
      <c r="AL964" s="235"/>
      <c r="AM964" s="52">
        <f t="shared" si="86"/>
        <v>1</v>
      </c>
      <c r="AN964" s="52">
        <f t="shared" si="87"/>
        <v>0</v>
      </c>
      <c r="AO964" s="52">
        <f t="shared" si="88"/>
        <v>1</v>
      </c>
      <c r="AP964" s="235"/>
      <c r="AQ964" s="28"/>
      <c r="AR964" s="28"/>
      <c r="AS964" s="28"/>
      <c r="AT964" s="28"/>
      <c r="AU964" s="235"/>
      <c r="AV964" s="360">
        <f t="shared" si="105"/>
        <v>5046625.587785189</v>
      </c>
      <c r="AW964" s="235"/>
      <c r="AX964" s="355"/>
      <c r="AY964" s="344"/>
      <c r="AZ964" s="14">
        <f t="shared" si="107"/>
        <v>9372.2491901301109</v>
      </c>
      <c r="BA964" s="14">
        <f t="shared" si="106"/>
        <v>0.38084582578417603</v>
      </c>
      <c r="BB964" s="14">
        <f t="shared" si="89"/>
        <v>24609.037451919798</v>
      </c>
      <c r="BC964" s="344"/>
      <c r="BD964" s="344"/>
      <c r="BE964" s="344"/>
      <c r="BF964" s="344"/>
      <c r="BG964" s="344"/>
      <c r="BH964" s="344"/>
      <c r="BI964" s="344"/>
      <c r="BJ964" s="344"/>
      <c r="BK964" s="344"/>
      <c r="BL964" s="344"/>
      <c r="BM964" s="344"/>
      <c r="BN964" s="344"/>
      <c r="BO964" s="344"/>
      <c r="BP964" s="344"/>
      <c r="BQ964" s="344"/>
      <c r="BR964" s="344"/>
      <c r="BS964" s="344"/>
      <c r="BT964" s="344"/>
      <c r="BU964" s="344"/>
      <c r="BV964" s="344"/>
      <c r="BW964" s="344"/>
      <c r="BX964" s="344"/>
      <c r="BY964" s="344"/>
      <c r="BZ964" s="344"/>
      <c r="CA964" s="344"/>
      <c r="CB964" s="28"/>
      <c r="CC964" s="28"/>
      <c r="CD964" s="28"/>
      <c r="CE964" s="28"/>
      <c r="CF964" s="28"/>
      <c r="CG964" s="28"/>
      <c r="CH964" s="28"/>
      <c r="CI964" s="28"/>
      <c r="CJ964" s="28"/>
      <c r="CK964" s="28"/>
      <c r="CL964" s="28"/>
      <c r="CM964" s="28"/>
      <c r="CN964" s="28"/>
      <c r="CO964" s="28"/>
      <c r="CP964" s="28"/>
      <c r="CQ964" s="28"/>
      <c r="CR964" s="28"/>
      <c r="CS964" s="28"/>
      <c r="CT964" s="28"/>
      <c r="CU964" s="28"/>
      <c r="CV964" s="28"/>
      <c r="CW964" s="28"/>
    </row>
    <row r="965" spans="1:101" ht="14.25" customHeight="1" x14ac:dyDescent="0.2">
      <c r="A965" s="328"/>
      <c r="B965" s="52">
        <v>0.14541869756988013</v>
      </c>
      <c r="C965" s="330">
        <v>0.25013572956373403</v>
      </c>
      <c r="D965" s="330">
        <v>2.099688629299501E-2</v>
      </c>
      <c r="E965" s="330">
        <v>1.2858393247188155E-2</v>
      </c>
      <c r="F965" s="331">
        <v>0.78213187191104394</v>
      </c>
      <c r="G965" s="94">
        <v>0.44194808586244128</v>
      </c>
      <c r="H965" s="330">
        <v>0.85969990236102323</v>
      </c>
      <c r="I965" s="330">
        <v>1.7869286003071916E-2</v>
      </c>
      <c r="J965" s="330">
        <v>0.99999999666532002</v>
      </c>
      <c r="K965" s="330">
        <v>0.74553800992960195</v>
      </c>
      <c r="L965" s="332">
        <v>15193.366995222663</v>
      </c>
      <c r="M965" s="330">
        <v>0</v>
      </c>
      <c r="N965" s="330">
        <v>28887.808884723021</v>
      </c>
      <c r="O965" s="330">
        <v>1237.345212990577</v>
      </c>
      <c r="P965" s="330">
        <v>52110.971420061876</v>
      </c>
      <c r="Q965" s="333">
        <v>110447.9676529818</v>
      </c>
      <c r="R965" s="330">
        <v>25187.70181794995</v>
      </c>
      <c r="S965" s="330">
        <v>8614.9937640614135</v>
      </c>
      <c r="T965" s="332">
        <v>0.86630358335606039</v>
      </c>
      <c r="U965" s="330">
        <v>0.24530496349498848</v>
      </c>
      <c r="V965" s="330">
        <v>0.9250904953315322</v>
      </c>
      <c r="W965" s="330">
        <v>0.99999486417967931</v>
      </c>
      <c r="X965" s="330">
        <v>0.99653340727103568</v>
      </c>
      <c r="Y965" s="330">
        <v>0</v>
      </c>
      <c r="Z965" s="331">
        <v>0</v>
      </c>
      <c r="AA965" s="235"/>
      <c r="AB965" s="335">
        <v>88937.59630849486</v>
      </c>
      <c r="AC965" s="336">
        <v>5.0517166772265476</v>
      </c>
      <c r="AD965" s="337">
        <v>80431.996080653393</v>
      </c>
      <c r="AE965" s="336">
        <v>4.5112729809823948</v>
      </c>
      <c r="AF965" s="337">
        <v>8505.6002278414671</v>
      </c>
      <c r="AG965" s="338">
        <v>0.54044369624415278</v>
      </c>
      <c r="AH965" s="235"/>
      <c r="AI965" s="208">
        <f t="shared" si="102"/>
        <v>4710193.2470567254</v>
      </c>
      <c r="AJ965" s="208">
        <f t="shared" si="103"/>
        <v>4205277.3358526211</v>
      </c>
      <c r="AK965" s="208">
        <f t="shared" si="104"/>
        <v>504915.91120410367</v>
      </c>
      <c r="AL965" s="235"/>
      <c r="AM965" s="52">
        <f t="shared" si="86"/>
        <v>1</v>
      </c>
      <c r="AN965" s="52">
        <f t="shared" si="87"/>
        <v>0</v>
      </c>
      <c r="AO965" s="52">
        <f t="shared" si="88"/>
        <v>1</v>
      </c>
      <c r="AP965" s="235"/>
      <c r="AQ965" s="28"/>
      <c r="AR965" s="28"/>
      <c r="AS965" s="28"/>
      <c r="AT965" s="28"/>
      <c r="AU965" s="235"/>
      <c r="AV965" s="360">
        <f t="shared" si="105"/>
        <v>4710193.2470567254</v>
      </c>
      <c r="AW965" s="235"/>
      <c r="AX965" s="355"/>
      <c r="AY965" s="344"/>
      <c r="AZ965" s="14">
        <f t="shared" si="107"/>
        <v>8505.6002278414671</v>
      </c>
      <c r="BA965" s="14">
        <f t="shared" si="106"/>
        <v>0.54044369624415278</v>
      </c>
      <c r="BB965" s="14">
        <f t="shared" si="89"/>
        <v>15738.180104517209</v>
      </c>
      <c r="BC965" s="344"/>
      <c r="BD965" s="344"/>
      <c r="BE965" s="344"/>
      <c r="BF965" s="344"/>
      <c r="BG965" s="344"/>
      <c r="BH965" s="344"/>
      <c r="BI965" s="344"/>
      <c r="BJ965" s="344"/>
      <c r="BK965" s="344"/>
      <c r="BL965" s="344"/>
      <c r="BM965" s="344"/>
      <c r="BN965" s="344"/>
      <c r="BO965" s="344"/>
      <c r="BP965" s="344"/>
      <c r="BQ965" s="344"/>
      <c r="BR965" s="344"/>
      <c r="BS965" s="344"/>
      <c r="BT965" s="344"/>
      <c r="BU965" s="344"/>
      <c r="BV965" s="344"/>
      <c r="BW965" s="344"/>
      <c r="BX965" s="344"/>
      <c r="BY965" s="344"/>
      <c r="BZ965" s="344"/>
      <c r="CA965" s="344"/>
      <c r="CB965" s="28"/>
      <c r="CC965" s="28"/>
      <c r="CD965" s="28"/>
      <c r="CE965" s="28"/>
      <c r="CF965" s="28"/>
      <c r="CG965" s="28"/>
      <c r="CH965" s="28"/>
      <c r="CI965" s="28"/>
      <c r="CJ965" s="28"/>
      <c r="CK965" s="28"/>
      <c r="CL965" s="28"/>
      <c r="CM965" s="28"/>
      <c r="CN965" s="28"/>
      <c r="CO965" s="28"/>
      <c r="CP965" s="28"/>
      <c r="CQ965" s="28"/>
      <c r="CR965" s="28"/>
      <c r="CS965" s="28"/>
      <c r="CT965" s="28"/>
      <c r="CU965" s="28"/>
      <c r="CV965" s="28"/>
      <c r="CW965" s="28"/>
    </row>
    <row r="966" spans="1:101" ht="14.25" customHeight="1" x14ac:dyDescent="0.2">
      <c r="A966" s="328"/>
      <c r="B966" s="52">
        <v>0.13190455057768835</v>
      </c>
      <c r="C966" s="330">
        <v>0.17221644716364534</v>
      </c>
      <c r="D966" s="330">
        <v>2.0767753177421078E-2</v>
      </c>
      <c r="E966" s="330">
        <v>1.6434458169194532E-2</v>
      </c>
      <c r="F966" s="331">
        <v>0.78897148763924485</v>
      </c>
      <c r="G966" s="94">
        <v>0.46255412742790181</v>
      </c>
      <c r="H966" s="330">
        <v>0.99569960364965959</v>
      </c>
      <c r="I966" s="330">
        <v>2.0449623498580149E-2</v>
      </c>
      <c r="J966" s="330">
        <v>0.8214499935541989</v>
      </c>
      <c r="K966" s="330">
        <v>0.72978756705252701</v>
      </c>
      <c r="L966" s="332">
        <v>13454.796230837983</v>
      </c>
      <c r="M966" s="330">
        <v>0</v>
      </c>
      <c r="N966" s="330">
        <v>20802.393782890867</v>
      </c>
      <c r="O966" s="330">
        <v>1548.4780435949629</v>
      </c>
      <c r="P966" s="330">
        <v>41772.092821204002</v>
      </c>
      <c r="Q966" s="333">
        <v>96459.231807687756</v>
      </c>
      <c r="R966" s="330">
        <v>31622.274499962798</v>
      </c>
      <c r="S966" s="330">
        <v>8707.9232495668621</v>
      </c>
      <c r="T966" s="332">
        <v>0.99998446296500909</v>
      </c>
      <c r="U966" s="330">
        <v>0.73881481704468177</v>
      </c>
      <c r="V966" s="330">
        <v>0.84757523821174041</v>
      </c>
      <c r="W966" s="330">
        <v>0.99988420127629285</v>
      </c>
      <c r="X966" s="330">
        <v>0.99899596636205812</v>
      </c>
      <c r="Y966" s="330">
        <v>0</v>
      </c>
      <c r="Z966" s="331">
        <v>0</v>
      </c>
      <c r="AA966" s="235"/>
      <c r="AB966" s="335">
        <v>88371.249229222158</v>
      </c>
      <c r="AC966" s="336">
        <v>4.9777145981463722</v>
      </c>
      <c r="AD966" s="337">
        <v>84628.942739883496</v>
      </c>
      <c r="AE966" s="336">
        <v>4.5673350134661632</v>
      </c>
      <c r="AF966" s="337">
        <v>3742.3064893386618</v>
      </c>
      <c r="AG966" s="338">
        <v>0.41037958468020896</v>
      </c>
      <c r="AH966" s="235"/>
      <c r="AI966" s="208">
        <f t="shared" si="102"/>
        <v>4640457.619009831</v>
      </c>
      <c r="AJ966" s="208">
        <f t="shared" si="103"/>
        <v>4254339.3200529721</v>
      </c>
      <c r="AK966" s="208">
        <f t="shared" si="104"/>
        <v>386118.29895685986</v>
      </c>
      <c r="AL966" s="235"/>
      <c r="AM966" s="52">
        <f t="shared" si="86"/>
        <v>1</v>
      </c>
      <c r="AN966" s="52">
        <f t="shared" si="87"/>
        <v>0</v>
      </c>
      <c r="AO966" s="52">
        <f t="shared" si="88"/>
        <v>1</v>
      </c>
      <c r="AP966" s="235"/>
      <c r="AQ966" s="28"/>
      <c r="AR966" s="28"/>
      <c r="AS966" s="28"/>
      <c r="AT966" s="28"/>
      <c r="AU966" s="235"/>
      <c r="AV966" s="360">
        <f t="shared" si="105"/>
        <v>4640457.619009831</v>
      </c>
      <c r="AW966" s="235"/>
      <c r="AX966" s="355"/>
      <c r="AY966" s="344"/>
      <c r="AZ966" s="14">
        <f t="shared" si="107"/>
        <v>3742.3064893386618</v>
      </c>
      <c r="BA966" s="14">
        <f t="shared" si="106"/>
        <v>0.41037958468020896</v>
      </c>
      <c r="BB966" s="14">
        <f t="shared" si="89"/>
        <v>9119.1341602796329</v>
      </c>
      <c r="BC966" s="344"/>
      <c r="BD966" s="344"/>
      <c r="BE966" s="344"/>
      <c r="BF966" s="344"/>
      <c r="BG966" s="344"/>
      <c r="BH966" s="344"/>
      <c r="BI966" s="344"/>
      <c r="BJ966" s="344"/>
      <c r="BK966" s="344"/>
      <c r="BL966" s="344"/>
      <c r="BM966" s="344"/>
      <c r="BN966" s="344"/>
      <c r="BO966" s="344"/>
      <c r="BP966" s="344"/>
      <c r="BQ966" s="344"/>
      <c r="BR966" s="344"/>
      <c r="BS966" s="344"/>
      <c r="BT966" s="344"/>
      <c r="BU966" s="344"/>
      <c r="BV966" s="344"/>
      <c r="BW966" s="344"/>
      <c r="BX966" s="344"/>
      <c r="BY966" s="344"/>
      <c r="BZ966" s="344"/>
      <c r="CA966" s="344"/>
      <c r="CB966" s="28"/>
      <c r="CC966" s="28"/>
      <c r="CD966" s="28"/>
      <c r="CE966" s="28"/>
      <c r="CF966" s="28"/>
      <c r="CG966" s="28"/>
      <c r="CH966" s="28"/>
      <c r="CI966" s="28"/>
      <c r="CJ966" s="28"/>
      <c r="CK966" s="28"/>
      <c r="CL966" s="28"/>
      <c r="CM966" s="28"/>
      <c r="CN966" s="28"/>
      <c r="CO966" s="28"/>
      <c r="CP966" s="28"/>
      <c r="CQ966" s="28"/>
      <c r="CR966" s="28"/>
      <c r="CS966" s="28"/>
      <c r="CT966" s="28"/>
      <c r="CU966" s="28"/>
      <c r="CV966" s="28"/>
      <c r="CW966" s="28"/>
    </row>
    <row r="967" spans="1:101" ht="14.25" customHeight="1" x14ac:dyDescent="0.2">
      <c r="A967" s="328"/>
      <c r="B967" s="52">
        <v>0.15729623359292885</v>
      </c>
      <c r="C967" s="330">
        <v>0.84681334941843656</v>
      </c>
      <c r="D967" s="330">
        <v>1.5203594414692656E-2</v>
      </c>
      <c r="E967" s="330">
        <v>1.175341254572399E-2</v>
      </c>
      <c r="F967" s="331">
        <v>0.8005892763337078</v>
      </c>
      <c r="G967" s="94">
        <v>0.39022108188077276</v>
      </c>
      <c r="H967" s="330">
        <v>0.55618865536757589</v>
      </c>
      <c r="I967" s="330">
        <v>2.8386779151282182E-2</v>
      </c>
      <c r="J967" s="330">
        <v>0.99977218511197297</v>
      </c>
      <c r="K967" s="330">
        <v>0.79401377788339589</v>
      </c>
      <c r="L967" s="332">
        <v>10348.07604630097</v>
      </c>
      <c r="M967" s="330">
        <v>0</v>
      </c>
      <c r="N967" s="330">
        <v>22962.675991309421</v>
      </c>
      <c r="O967" s="330">
        <v>1103.2356677045609</v>
      </c>
      <c r="P967" s="330">
        <v>52108.886764801231</v>
      </c>
      <c r="Q967" s="333">
        <v>70859.826267947632</v>
      </c>
      <c r="R967" s="330">
        <v>27275.452494383037</v>
      </c>
      <c r="S967" s="330">
        <v>9268.7233717930467</v>
      </c>
      <c r="T967" s="332">
        <v>0.55866206891446979</v>
      </c>
      <c r="U967" s="330">
        <v>0.20955832531707302</v>
      </c>
      <c r="V967" s="330">
        <v>0.39139397160545336</v>
      </c>
      <c r="W967" s="330">
        <v>0.82533458511299551</v>
      </c>
      <c r="X967" s="330">
        <v>0.90667292256378673</v>
      </c>
      <c r="Y967" s="330">
        <v>0</v>
      </c>
      <c r="Z967" s="331">
        <v>0</v>
      </c>
      <c r="AA967" s="235"/>
      <c r="AB967" s="335">
        <v>93956.748817972853</v>
      </c>
      <c r="AC967" s="336">
        <v>4.5246138838236893</v>
      </c>
      <c r="AD967" s="337">
        <v>87030.825894983413</v>
      </c>
      <c r="AE967" s="336">
        <v>4.4426052507547977</v>
      </c>
      <c r="AF967" s="337">
        <v>6925.9229229894408</v>
      </c>
      <c r="AG967" s="338">
        <v>8.2008633068891612E-2</v>
      </c>
      <c r="AH967" s="235"/>
      <c r="AI967" s="208">
        <f t="shared" si="102"/>
        <v>4204426.4408145323</v>
      </c>
      <c r="AJ967" s="208">
        <f t="shared" si="103"/>
        <v>4133444.1623220742</v>
      </c>
      <c r="AK967" s="208">
        <f t="shared" si="104"/>
        <v>70982.278492457597</v>
      </c>
      <c r="AL967" s="235"/>
      <c r="AM967" s="52">
        <f t="shared" si="86"/>
        <v>1</v>
      </c>
      <c r="AN967" s="52">
        <f t="shared" si="87"/>
        <v>0</v>
      </c>
      <c r="AO967" s="52">
        <f t="shared" si="88"/>
        <v>1</v>
      </c>
      <c r="AP967" s="235"/>
      <c r="AQ967" s="28"/>
      <c r="AR967" s="28"/>
      <c r="AS967" s="28"/>
      <c r="AT967" s="28"/>
      <c r="AU967" s="235"/>
      <c r="AV967" s="360">
        <f t="shared" si="105"/>
        <v>4204426.4408145323</v>
      </c>
      <c r="AW967" s="235"/>
      <c r="AX967" s="355"/>
      <c r="AY967" s="344"/>
      <c r="AZ967" s="14">
        <f t="shared" si="107"/>
        <v>6925.9229229894408</v>
      </c>
      <c r="BA967" s="14">
        <f t="shared" si="106"/>
        <v>8.2008633068891612E-2</v>
      </c>
      <c r="BB967" s="14">
        <f t="shared" si="89"/>
        <v>84453.583285204833</v>
      </c>
      <c r="BC967" s="344"/>
      <c r="BD967" s="344"/>
      <c r="BE967" s="344"/>
      <c r="BF967" s="344"/>
      <c r="BG967" s="344"/>
      <c r="BH967" s="344"/>
      <c r="BI967" s="344"/>
      <c r="BJ967" s="344"/>
      <c r="BK967" s="344"/>
      <c r="BL967" s="344"/>
      <c r="BM967" s="344"/>
      <c r="BN967" s="344"/>
      <c r="BO967" s="344"/>
      <c r="BP967" s="344"/>
      <c r="BQ967" s="344"/>
      <c r="BR967" s="344"/>
      <c r="BS967" s="344"/>
      <c r="BT967" s="344"/>
      <c r="BU967" s="344"/>
      <c r="BV967" s="344"/>
      <c r="BW967" s="344"/>
      <c r="BX967" s="344"/>
      <c r="BY967" s="344"/>
      <c r="BZ967" s="344"/>
      <c r="CA967" s="344"/>
      <c r="CB967" s="28"/>
      <c r="CC967" s="28"/>
      <c r="CD967" s="28"/>
      <c r="CE967" s="28"/>
      <c r="CF967" s="28"/>
      <c r="CG967" s="28"/>
      <c r="CH967" s="28"/>
      <c r="CI967" s="28"/>
      <c r="CJ967" s="28"/>
      <c r="CK967" s="28"/>
      <c r="CL967" s="28"/>
      <c r="CM967" s="28"/>
      <c r="CN967" s="28"/>
      <c r="CO967" s="28"/>
      <c r="CP967" s="28"/>
      <c r="CQ967" s="28"/>
      <c r="CR967" s="28"/>
      <c r="CS967" s="28"/>
      <c r="CT967" s="28"/>
      <c r="CU967" s="28"/>
      <c r="CV967" s="28"/>
      <c r="CW967" s="28"/>
    </row>
    <row r="968" spans="1:101" ht="14.25" customHeight="1" x14ac:dyDescent="0.2">
      <c r="A968" s="328"/>
      <c r="B968" s="52">
        <v>0.1826625287395196</v>
      </c>
      <c r="C968" s="330">
        <v>0.42129972915008174</v>
      </c>
      <c r="D968" s="330">
        <v>1.9166732667920572E-2</v>
      </c>
      <c r="E968" s="330">
        <v>1.4696340468005054E-2</v>
      </c>
      <c r="F968" s="331">
        <v>0.78775519328310317</v>
      </c>
      <c r="G968" s="94">
        <v>0.36693255042167794</v>
      </c>
      <c r="H968" s="330">
        <v>0.57724218655693937</v>
      </c>
      <c r="I968" s="330">
        <v>1.6254589494872795E-2</v>
      </c>
      <c r="J968" s="330">
        <v>0.65092417976829231</v>
      </c>
      <c r="K968" s="330">
        <v>0.70400469843787705</v>
      </c>
      <c r="L968" s="332">
        <v>10676.699416883012</v>
      </c>
      <c r="M968" s="330">
        <v>0</v>
      </c>
      <c r="N968" s="330">
        <v>24086.764248254007</v>
      </c>
      <c r="O968" s="330">
        <v>1160.300290644693</v>
      </c>
      <c r="P968" s="330">
        <v>50212.100215790546</v>
      </c>
      <c r="Q968" s="333">
        <v>86458.77567222777</v>
      </c>
      <c r="R968" s="330">
        <v>26536.223613078837</v>
      </c>
      <c r="S968" s="330">
        <v>8399.6558477358649</v>
      </c>
      <c r="T968" s="332">
        <v>0.29591825599528382</v>
      </c>
      <c r="U968" s="330">
        <v>0.57639923970077545</v>
      </c>
      <c r="V968" s="330">
        <v>0.72315050434788974</v>
      </c>
      <c r="W968" s="330">
        <v>0.65822717785404283</v>
      </c>
      <c r="X968" s="330">
        <v>0.99207875958347858</v>
      </c>
      <c r="Y968" s="330">
        <v>0</v>
      </c>
      <c r="Z968" s="331">
        <v>0</v>
      </c>
      <c r="AA968" s="235"/>
      <c r="AB968" s="335">
        <v>84244.463875970017</v>
      </c>
      <c r="AC968" s="336">
        <v>4.7776637564768212</v>
      </c>
      <c r="AD968" s="337">
        <v>70283.835350884998</v>
      </c>
      <c r="AE968" s="336">
        <v>4.2321328563050402</v>
      </c>
      <c r="AF968" s="337">
        <v>13960.62852508502</v>
      </c>
      <c r="AG968" s="338">
        <v>0.54553090017178096</v>
      </c>
      <c r="AH968" s="235"/>
      <c r="AI968" s="208">
        <f t="shared" si="102"/>
        <v>4454536.1047770102</v>
      </c>
      <c r="AJ968" s="208">
        <f t="shared" si="103"/>
        <v>3950242.3781389031</v>
      </c>
      <c r="AK968" s="208">
        <f t="shared" si="104"/>
        <v>504293.72663810686</v>
      </c>
      <c r="AL968" s="235"/>
      <c r="AM968" s="52">
        <f t="shared" si="86"/>
        <v>1</v>
      </c>
      <c r="AN968" s="52">
        <f t="shared" si="87"/>
        <v>0</v>
      </c>
      <c r="AO968" s="52">
        <f t="shared" si="88"/>
        <v>1</v>
      </c>
      <c r="AP968" s="235"/>
      <c r="AQ968" s="28"/>
      <c r="AR968" s="28"/>
      <c r="AS968" s="28"/>
      <c r="AT968" s="28"/>
      <c r="AU968" s="235"/>
      <c r="AV968" s="360">
        <f t="shared" si="105"/>
        <v>4454536.1047770102</v>
      </c>
      <c r="AW968" s="235"/>
      <c r="AX968" s="355"/>
      <c r="AY968" s="344"/>
      <c r="AZ968" s="14">
        <f t="shared" si="107"/>
        <v>13960.62852508502</v>
      </c>
      <c r="BA968" s="14">
        <f t="shared" si="106"/>
        <v>0.54553090017178096</v>
      </c>
      <c r="BB968" s="14">
        <f t="shared" si="89"/>
        <v>25590.903321313221</v>
      </c>
      <c r="BC968" s="344"/>
      <c r="BD968" s="344"/>
      <c r="BE968" s="344"/>
      <c r="BF968" s="344"/>
      <c r="BG968" s="344"/>
      <c r="BH968" s="344"/>
      <c r="BI968" s="344"/>
      <c r="BJ968" s="344"/>
      <c r="BK968" s="344"/>
      <c r="BL968" s="344"/>
      <c r="BM968" s="344"/>
      <c r="BN968" s="344"/>
      <c r="BO968" s="344"/>
      <c r="BP968" s="344"/>
      <c r="BQ968" s="344"/>
      <c r="BR968" s="344"/>
      <c r="BS968" s="344"/>
      <c r="BT968" s="344"/>
      <c r="BU968" s="344"/>
      <c r="BV968" s="344"/>
      <c r="BW968" s="344"/>
      <c r="BX968" s="344"/>
      <c r="BY968" s="344"/>
      <c r="BZ968" s="344"/>
      <c r="CA968" s="344"/>
      <c r="CB968" s="28"/>
      <c r="CC968" s="28"/>
      <c r="CD968" s="28"/>
      <c r="CE968" s="28"/>
      <c r="CF968" s="28"/>
      <c r="CG968" s="28"/>
      <c r="CH968" s="28"/>
      <c r="CI968" s="28"/>
      <c r="CJ968" s="28"/>
      <c r="CK968" s="28"/>
      <c r="CL968" s="28"/>
      <c r="CM968" s="28"/>
      <c r="CN968" s="28"/>
      <c r="CO968" s="28"/>
      <c r="CP968" s="28"/>
      <c r="CQ968" s="28"/>
      <c r="CR968" s="28"/>
      <c r="CS968" s="28"/>
      <c r="CT968" s="28"/>
      <c r="CU968" s="28"/>
      <c r="CV968" s="28"/>
      <c r="CW968" s="28"/>
    </row>
    <row r="969" spans="1:101" ht="14.25" customHeight="1" x14ac:dyDescent="0.2">
      <c r="A969" s="328"/>
      <c r="B969" s="52">
        <v>0.18034608066026359</v>
      </c>
      <c r="C969" s="330">
        <v>5.4017455571856998E-3</v>
      </c>
      <c r="D969" s="330">
        <v>7.5622431990457865E-3</v>
      </c>
      <c r="E969" s="330">
        <v>1.1871777861979583E-2</v>
      </c>
      <c r="F969" s="331">
        <v>0.76980298921601409</v>
      </c>
      <c r="G969" s="94">
        <v>0.44087178732708532</v>
      </c>
      <c r="H969" s="330">
        <v>0.221315507284115</v>
      </c>
      <c r="I969" s="330">
        <v>8.1351505188075341E-3</v>
      </c>
      <c r="J969" s="330">
        <v>2.475905725856756E-4</v>
      </c>
      <c r="K969" s="330">
        <v>0.76138187463963547</v>
      </c>
      <c r="L969" s="332">
        <v>11118.186836274645</v>
      </c>
      <c r="M969" s="330">
        <v>0</v>
      </c>
      <c r="N969" s="330">
        <v>20368.445176854042</v>
      </c>
      <c r="O969" s="330">
        <v>1114.3389940273732</v>
      </c>
      <c r="P969" s="330">
        <v>44747.577163119044</v>
      </c>
      <c r="Q969" s="333">
        <v>119735.2363706233</v>
      </c>
      <c r="R969" s="330">
        <v>25931.18425239822</v>
      </c>
      <c r="S969" s="330">
        <v>10506.437119795146</v>
      </c>
      <c r="T969" s="332">
        <v>0.99810799237857517</v>
      </c>
      <c r="U969" s="330">
        <v>9.3635581677297172E-2</v>
      </c>
      <c r="V969" s="330">
        <v>0.76148871377361138</v>
      </c>
      <c r="W969" s="330">
        <v>0.24081852253657932</v>
      </c>
      <c r="X969" s="330">
        <v>0.77812574954305724</v>
      </c>
      <c r="Y969" s="330">
        <v>0</v>
      </c>
      <c r="Z969" s="331">
        <v>0</v>
      </c>
      <c r="AA969" s="235"/>
      <c r="AB969" s="335">
        <v>98301.749653013627</v>
      </c>
      <c r="AC969" s="336">
        <v>4.0030664555617372</v>
      </c>
      <c r="AD969" s="337">
        <v>89274.373687561194</v>
      </c>
      <c r="AE969" s="336">
        <v>3.5930153916063281</v>
      </c>
      <c r="AF969" s="337">
        <v>9027.3759654524329</v>
      </c>
      <c r="AG969" s="338">
        <v>0.41005106395540913</v>
      </c>
      <c r="AH969" s="235"/>
      <c r="AI969" s="208">
        <f t="shared" si="102"/>
        <v>3704611.383130637</v>
      </c>
      <c r="AJ969" s="208">
        <f t="shared" si="103"/>
        <v>3324090.2483384507</v>
      </c>
      <c r="AK969" s="208">
        <f t="shared" si="104"/>
        <v>380521.1347921862</v>
      </c>
      <c r="AL969" s="235"/>
      <c r="AM969" s="52">
        <f t="shared" si="86"/>
        <v>1</v>
      </c>
      <c r="AN969" s="52">
        <f t="shared" si="87"/>
        <v>0</v>
      </c>
      <c r="AO969" s="52">
        <f t="shared" si="88"/>
        <v>1</v>
      </c>
      <c r="AP969" s="235"/>
      <c r="AQ969" s="28"/>
      <c r="AR969" s="28"/>
      <c r="AS969" s="28"/>
      <c r="AT969" s="28"/>
      <c r="AU969" s="235"/>
      <c r="AV969" s="360">
        <f t="shared" si="105"/>
        <v>3704611.383130637</v>
      </c>
      <c r="AW969" s="235"/>
      <c r="AX969" s="355"/>
      <c r="AY969" s="344"/>
      <c r="AZ969" s="14">
        <f t="shared" si="107"/>
        <v>9027.3759654524329</v>
      </c>
      <c r="BA969" s="14">
        <f t="shared" si="106"/>
        <v>0.41005106395540913</v>
      </c>
      <c r="BB969" s="14">
        <f t="shared" si="89"/>
        <v>22015.248243409293</v>
      </c>
      <c r="BC969" s="344"/>
      <c r="BD969" s="344"/>
      <c r="BE969" s="344"/>
      <c r="BF969" s="344"/>
      <c r="BG969" s="344"/>
      <c r="BH969" s="344"/>
      <c r="BI969" s="344"/>
      <c r="BJ969" s="344"/>
      <c r="BK969" s="344"/>
      <c r="BL969" s="344"/>
      <c r="BM969" s="344"/>
      <c r="BN969" s="344"/>
      <c r="BO969" s="344"/>
      <c r="BP969" s="344"/>
      <c r="BQ969" s="344"/>
      <c r="BR969" s="344"/>
      <c r="BS969" s="344"/>
      <c r="BT969" s="344"/>
      <c r="BU969" s="344"/>
      <c r="BV969" s="344"/>
      <c r="BW969" s="344"/>
      <c r="BX969" s="344"/>
      <c r="BY969" s="344"/>
      <c r="BZ969" s="344"/>
      <c r="CA969" s="344"/>
      <c r="CB969" s="28"/>
      <c r="CC969" s="28"/>
      <c r="CD969" s="28"/>
      <c r="CE969" s="28"/>
      <c r="CF969" s="28"/>
      <c r="CG969" s="28"/>
      <c r="CH969" s="28"/>
      <c r="CI969" s="28"/>
      <c r="CJ969" s="28"/>
      <c r="CK969" s="28"/>
      <c r="CL969" s="28"/>
      <c r="CM969" s="28"/>
      <c r="CN969" s="28"/>
      <c r="CO969" s="28"/>
      <c r="CP969" s="28"/>
      <c r="CQ969" s="28"/>
      <c r="CR969" s="28"/>
      <c r="CS969" s="28"/>
      <c r="CT969" s="28"/>
      <c r="CU969" s="28"/>
      <c r="CV969" s="28"/>
      <c r="CW969" s="28"/>
    </row>
    <row r="970" spans="1:101" ht="14.25" customHeight="1" x14ac:dyDescent="0.2">
      <c r="A970" s="328"/>
      <c r="B970" s="52">
        <v>0.13844102211329373</v>
      </c>
      <c r="C970" s="330">
        <v>0.10793140871243449</v>
      </c>
      <c r="D970" s="330">
        <v>1.9049036689615773E-2</v>
      </c>
      <c r="E970" s="330">
        <v>1.1792016600788838E-2</v>
      </c>
      <c r="F970" s="331">
        <v>0.82665867870013621</v>
      </c>
      <c r="G970" s="94">
        <v>0.38965719782616193</v>
      </c>
      <c r="H970" s="330">
        <v>0.16839444300360321</v>
      </c>
      <c r="I970" s="330">
        <v>6.540574365149562E-3</v>
      </c>
      <c r="J970" s="330">
        <v>0.54942803926787076</v>
      </c>
      <c r="K970" s="330">
        <v>0.73108168165543586</v>
      </c>
      <c r="L970" s="332">
        <v>12234.09143654004</v>
      </c>
      <c r="M970" s="330">
        <v>0</v>
      </c>
      <c r="N970" s="330">
        <v>12909.771698771168</v>
      </c>
      <c r="O970" s="330">
        <v>1055.9503435170914</v>
      </c>
      <c r="P970" s="330">
        <v>43942.832436079094</v>
      </c>
      <c r="Q970" s="333">
        <v>90079.20742657232</v>
      </c>
      <c r="R970" s="330">
        <v>14135.909773082725</v>
      </c>
      <c r="S970" s="330">
        <v>8576.5640315770288</v>
      </c>
      <c r="T970" s="332">
        <v>0.996633600533399</v>
      </c>
      <c r="U970" s="330">
        <v>0.56290840094527594</v>
      </c>
      <c r="V970" s="330">
        <v>0.45486814665511333</v>
      </c>
      <c r="W970" s="330">
        <v>0.78864418286654792</v>
      </c>
      <c r="X970" s="330">
        <v>0.26354060544611746</v>
      </c>
      <c r="Y970" s="330">
        <v>0</v>
      </c>
      <c r="Z970" s="331">
        <v>0</v>
      </c>
      <c r="AA970" s="235"/>
      <c r="AB970" s="335">
        <v>88914.081926271654</v>
      </c>
      <c r="AC970" s="336">
        <v>1.5029390677249923</v>
      </c>
      <c r="AD970" s="337">
        <v>68932.638646516862</v>
      </c>
      <c r="AE970" s="336">
        <v>1.2551487405105739</v>
      </c>
      <c r="AF970" s="337">
        <v>19981.443279754792</v>
      </c>
      <c r="AG970" s="338">
        <v>0.2477903272144184</v>
      </c>
      <c r="AH970" s="235"/>
      <c r="AI970" s="208">
        <f t="shared" si="102"/>
        <v>1338878.0324124712</v>
      </c>
      <c r="AJ970" s="208">
        <f t="shared" si="103"/>
        <v>1123458.6648385283</v>
      </c>
      <c r="AK970" s="208">
        <f t="shared" si="104"/>
        <v>215419.3675739427</v>
      </c>
      <c r="AL970" s="235"/>
      <c r="AM970" s="52">
        <f t="shared" si="86"/>
        <v>1</v>
      </c>
      <c r="AN970" s="52">
        <f t="shared" si="87"/>
        <v>0</v>
      </c>
      <c r="AO970" s="52">
        <f t="shared" si="88"/>
        <v>1</v>
      </c>
      <c r="AP970" s="235"/>
      <c r="AQ970" s="28"/>
      <c r="AR970" s="28"/>
      <c r="AS970" s="28"/>
      <c r="AT970" s="28"/>
      <c r="AU970" s="235"/>
      <c r="AV970" s="360">
        <f t="shared" si="105"/>
        <v>1338878.0324124712</v>
      </c>
      <c r="AW970" s="235"/>
      <c r="AX970" s="355"/>
      <c r="AY970" s="344"/>
      <c r="AZ970" s="14">
        <f t="shared" si="107"/>
        <v>19981.443279754792</v>
      </c>
      <c r="BA970" s="14">
        <f t="shared" si="106"/>
        <v>0.2477903272144184</v>
      </c>
      <c r="BB970" s="14">
        <f t="shared" si="89"/>
        <v>80638.512020949114</v>
      </c>
      <c r="BC970" s="344"/>
      <c r="BD970" s="344"/>
      <c r="BE970" s="344"/>
      <c r="BF970" s="344"/>
      <c r="BG970" s="344"/>
      <c r="BH970" s="344"/>
      <c r="BI970" s="344"/>
      <c r="BJ970" s="344"/>
      <c r="BK970" s="344"/>
      <c r="BL970" s="344"/>
      <c r="BM970" s="344"/>
      <c r="BN970" s="344"/>
      <c r="BO970" s="344"/>
      <c r="BP970" s="344"/>
      <c r="BQ970" s="344"/>
      <c r="BR970" s="344"/>
      <c r="BS970" s="344"/>
      <c r="BT970" s="344"/>
      <c r="BU970" s="344"/>
      <c r="BV970" s="344"/>
      <c r="BW970" s="344"/>
      <c r="BX970" s="344"/>
      <c r="BY970" s="344"/>
      <c r="BZ970" s="344"/>
      <c r="CA970" s="344"/>
      <c r="CB970" s="28"/>
      <c r="CC970" s="28"/>
      <c r="CD970" s="28"/>
      <c r="CE970" s="28"/>
      <c r="CF970" s="28"/>
      <c r="CG970" s="28"/>
      <c r="CH970" s="28"/>
      <c r="CI970" s="28"/>
      <c r="CJ970" s="28"/>
      <c r="CK970" s="28"/>
      <c r="CL970" s="28"/>
      <c r="CM970" s="28"/>
      <c r="CN970" s="28"/>
      <c r="CO970" s="28"/>
      <c r="CP970" s="28"/>
      <c r="CQ970" s="28"/>
      <c r="CR970" s="28"/>
      <c r="CS970" s="28"/>
      <c r="CT970" s="28"/>
      <c r="CU970" s="28"/>
      <c r="CV970" s="28"/>
      <c r="CW970" s="28"/>
    </row>
    <row r="971" spans="1:101" ht="14.25" customHeight="1" x14ac:dyDescent="0.2">
      <c r="A971" s="328"/>
      <c r="B971" s="52">
        <v>0.1695819315510263</v>
      </c>
      <c r="C971" s="330">
        <v>0.81467491238450673</v>
      </c>
      <c r="D971" s="330">
        <v>7.9750803570928959E-3</v>
      </c>
      <c r="E971" s="330">
        <v>1.4718812421378735E-2</v>
      </c>
      <c r="F971" s="331">
        <v>0.76017176887931026</v>
      </c>
      <c r="G971" s="94">
        <v>0.42272816824955928</v>
      </c>
      <c r="H971" s="330">
        <v>0.15881528965230113</v>
      </c>
      <c r="I971" s="330">
        <v>3.241238634721953E-3</v>
      </c>
      <c r="J971" s="330">
        <v>0.99996584693262214</v>
      </c>
      <c r="K971" s="330">
        <v>0.8051632644857516</v>
      </c>
      <c r="L971" s="332">
        <v>11591.981006858134</v>
      </c>
      <c r="M971" s="330">
        <v>0</v>
      </c>
      <c r="N971" s="330">
        <v>12314.400694021131</v>
      </c>
      <c r="O971" s="330">
        <v>1468.4458189704321</v>
      </c>
      <c r="P971" s="330">
        <v>56395.287912821354</v>
      </c>
      <c r="Q971" s="333">
        <v>84702.143697367472</v>
      </c>
      <c r="R971" s="330">
        <v>14193.04799945497</v>
      </c>
      <c r="S971" s="330">
        <v>8392.1473768338601</v>
      </c>
      <c r="T971" s="332">
        <v>0.9980875633220132</v>
      </c>
      <c r="U971" s="330">
        <v>0.98941770064429657</v>
      </c>
      <c r="V971" s="330">
        <v>0.74752608788628228</v>
      </c>
      <c r="W971" s="330">
        <v>0.74645607173794282</v>
      </c>
      <c r="X971" s="330">
        <v>0.81724765231470398</v>
      </c>
      <c r="Y971" s="330">
        <v>0</v>
      </c>
      <c r="Z971" s="331">
        <v>0</v>
      </c>
      <c r="AA971" s="235"/>
      <c r="AB971" s="335">
        <v>82377.358429498636</v>
      </c>
      <c r="AC971" s="336">
        <v>4.0428961671887631</v>
      </c>
      <c r="AD971" s="337">
        <v>74308.017079065539</v>
      </c>
      <c r="AE971" s="336">
        <v>4.30677324048734</v>
      </c>
      <c r="AF971" s="337">
        <v>8069.3413504330965</v>
      </c>
      <c r="AG971" s="338">
        <v>-0.2638770732985769</v>
      </c>
      <c r="AH971" s="235"/>
      <c r="AI971" s="208">
        <f t="shared" si="102"/>
        <v>3758374.0003998266</v>
      </c>
      <c r="AJ971" s="208">
        <f t="shared" si="103"/>
        <v>4017126.5613839072</v>
      </c>
      <c r="AK971" s="208">
        <f t="shared" si="104"/>
        <v>-258752.56098408115</v>
      </c>
      <c r="AL971" s="235"/>
      <c r="AM971" s="52">
        <f t="shared" si="86"/>
        <v>0</v>
      </c>
      <c r="AN971" s="52">
        <f t="shared" si="87"/>
        <v>1</v>
      </c>
      <c r="AO971" s="52">
        <f t="shared" si="88"/>
        <v>0</v>
      </c>
      <c r="AP971" s="235"/>
      <c r="AQ971" s="28"/>
      <c r="AR971" s="28"/>
      <c r="AS971" s="28"/>
      <c r="AT971" s="28"/>
      <c r="AU971" s="235"/>
      <c r="AV971" s="360">
        <f t="shared" si="105"/>
        <v>4017126.5613839072</v>
      </c>
      <c r="AW971" s="235"/>
      <c r="AX971" s="355"/>
      <c r="AY971" s="344"/>
      <c r="AZ971" s="14">
        <f t="shared" si="107"/>
        <v>8069.3413504330965</v>
      </c>
      <c r="BA971" s="14">
        <f t="shared" si="106"/>
        <v>-0.2638770732985769</v>
      </c>
      <c r="BB971" s="14">
        <f t="shared" si="89"/>
        <v>-30579.925908540896</v>
      </c>
      <c r="BC971" s="344"/>
      <c r="BD971" s="344"/>
      <c r="BE971" s="344"/>
      <c r="BF971" s="344"/>
      <c r="BG971" s="344"/>
      <c r="BH971" s="344"/>
      <c r="BI971" s="344"/>
      <c r="BJ971" s="344"/>
      <c r="BK971" s="344"/>
      <c r="BL971" s="344"/>
      <c r="BM971" s="344"/>
      <c r="BN971" s="344"/>
      <c r="BO971" s="344"/>
      <c r="BP971" s="344"/>
      <c r="BQ971" s="344"/>
      <c r="BR971" s="344"/>
      <c r="BS971" s="344"/>
      <c r="BT971" s="344"/>
      <c r="BU971" s="344"/>
      <c r="BV971" s="344"/>
      <c r="BW971" s="344"/>
      <c r="BX971" s="344"/>
      <c r="BY971" s="344"/>
      <c r="BZ971" s="344"/>
      <c r="CA971" s="344"/>
      <c r="CB971" s="28"/>
      <c r="CC971" s="28"/>
      <c r="CD971" s="28"/>
      <c r="CE971" s="28"/>
      <c r="CF971" s="28"/>
      <c r="CG971" s="28"/>
      <c r="CH971" s="28"/>
      <c r="CI971" s="28"/>
      <c r="CJ971" s="28"/>
      <c r="CK971" s="28"/>
      <c r="CL971" s="28"/>
      <c r="CM971" s="28"/>
      <c r="CN971" s="28"/>
      <c r="CO971" s="28"/>
      <c r="CP971" s="28"/>
      <c r="CQ971" s="28"/>
      <c r="CR971" s="28"/>
      <c r="CS971" s="28"/>
      <c r="CT971" s="28"/>
      <c r="CU971" s="28"/>
      <c r="CV971" s="28"/>
      <c r="CW971" s="28"/>
    </row>
    <row r="972" spans="1:101" ht="14.25" customHeight="1" x14ac:dyDescent="0.2">
      <c r="A972" s="328"/>
      <c r="B972" s="52">
        <v>0.18069439596314441</v>
      </c>
      <c r="C972" s="330">
        <v>0.26922204383882498</v>
      </c>
      <c r="D972" s="330">
        <v>8.7372827704070739E-3</v>
      </c>
      <c r="E972" s="330">
        <v>1.9929309399764228E-2</v>
      </c>
      <c r="F972" s="331">
        <v>0.78289089232225073</v>
      </c>
      <c r="G972" s="94">
        <v>0.39167347272434755</v>
      </c>
      <c r="H972" s="330">
        <v>0.21220444665616128</v>
      </c>
      <c r="I972" s="330">
        <v>2.9321315958870997E-2</v>
      </c>
      <c r="J972" s="330">
        <v>0.99999999481649637</v>
      </c>
      <c r="K972" s="330">
        <v>0.78834374215187952</v>
      </c>
      <c r="L972" s="332">
        <v>11843.044248717499</v>
      </c>
      <c r="M972" s="330">
        <v>0</v>
      </c>
      <c r="N972" s="330">
        <v>17674.824828157009</v>
      </c>
      <c r="O972" s="330">
        <v>1114.4925152480089</v>
      </c>
      <c r="P972" s="330">
        <v>57654.763457857851</v>
      </c>
      <c r="Q972" s="333">
        <v>103029.59283622833</v>
      </c>
      <c r="R972" s="330">
        <v>27201.632347508155</v>
      </c>
      <c r="S972" s="330">
        <v>6783.0099515589209</v>
      </c>
      <c r="T972" s="332">
        <v>0.16974182180610298</v>
      </c>
      <c r="U972" s="330">
        <v>0.98453436394499838</v>
      </c>
      <c r="V972" s="330">
        <v>0.91443739198096385</v>
      </c>
      <c r="W972" s="330">
        <v>0.98886822695266163</v>
      </c>
      <c r="X972" s="330">
        <v>0.98715930212402558</v>
      </c>
      <c r="Y972" s="330">
        <v>0</v>
      </c>
      <c r="Z972" s="331">
        <v>0</v>
      </c>
      <c r="AA972" s="235"/>
      <c r="AB972" s="335">
        <v>70519.399348095278</v>
      </c>
      <c r="AC972" s="336">
        <v>4.693955789777827</v>
      </c>
      <c r="AD972" s="337">
        <v>62147.112909142466</v>
      </c>
      <c r="AE972" s="336">
        <v>4.9333147473852641</v>
      </c>
      <c r="AF972" s="337">
        <v>8372.2864389528113</v>
      </c>
      <c r="AG972" s="338">
        <v>-0.23935895760743708</v>
      </c>
      <c r="AH972" s="235"/>
      <c r="AI972" s="208">
        <f t="shared" si="102"/>
        <v>4388738.6009408403</v>
      </c>
      <c r="AJ972" s="208">
        <f t="shared" si="103"/>
        <v>4624501.897106858</v>
      </c>
      <c r="AK972" s="208">
        <f t="shared" si="104"/>
        <v>-235763.29616601803</v>
      </c>
      <c r="AL972" s="235"/>
      <c r="AM972" s="52">
        <f t="shared" si="86"/>
        <v>0</v>
      </c>
      <c r="AN972" s="52">
        <f t="shared" si="87"/>
        <v>1</v>
      </c>
      <c r="AO972" s="52">
        <f t="shared" si="88"/>
        <v>0</v>
      </c>
      <c r="AP972" s="235"/>
      <c r="AQ972" s="28"/>
      <c r="AR972" s="28"/>
      <c r="AS972" s="28"/>
      <c r="AT972" s="28"/>
      <c r="AU972" s="235"/>
      <c r="AV972" s="360">
        <f t="shared" si="105"/>
        <v>4624501.897106858</v>
      </c>
      <c r="AW972" s="235"/>
      <c r="AX972" s="355"/>
      <c r="AY972" s="344"/>
      <c r="AZ972" s="14">
        <f t="shared" si="107"/>
        <v>8372.2864389528113</v>
      </c>
      <c r="BA972" s="14">
        <f t="shared" si="106"/>
        <v>-0.23935895760743708</v>
      </c>
      <c r="BB972" s="14">
        <f t="shared" si="89"/>
        <v>-34977.953290905694</v>
      </c>
      <c r="BC972" s="344"/>
      <c r="BD972" s="344"/>
      <c r="BE972" s="344"/>
      <c r="BF972" s="344"/>
      <c r="BG972" s="344"/>
      <c r="BH972" s="344"/>
      <c r="BI972" s="344"/>
      <c r="BJ972" s="344"/>
      <c r="BK972" s="344"/>
      <c r="BL972" s="344"/>
      <c r="BM972" s="344"/>
      <c r="BN972" s="344"/>
      <c r="BO972" s="344"/>
      <c r="BP972" s="344"/>
      <c r="BQ972" s="344"/>
      <c r="BR972" s="344"/>
      <c r="BS972" s="344"/>
      <c r="BT972" s="344"/>
      <c r="BU972" s="344"/>
      <c r="BV972" s="344"/>
      <c r="BW972" s="344"/>
      <c r="BX972" s="344"/>
      <c r="BY972" s="344"/>
      <c r="BZ972" s="344"/>
      <c r="CA972" s="344"/>
      <c r="CB972" s="28"/>
      <c r="CC972" s="28"/>
      <c r="CD972" s="28"/>
      <c r="CE972" s="28"/>
      <c r="CF972" s="28"/>
      <c r="CG972" s="28"/>
      <c r="CH972" s="28"/>
      <c r="CI972" s="28"/>
      <c r="CJ972" s="28"/>
      <c r="CK972" s="28"/>
      <c r="CL972" s="28"/>
      <c r="CM972" s="28"/>
      <c r="CN972" s="28"/>
      <c r="CO972" s="28"/>
      <c r="CP972" s="28"/>
      <c r="CQ972" s="28"/>
      <c r="CR972" s="28"/>
      <c r="CS972" s="28"/>
      <c r="CT972" s="28"/>
      <c r="CU972" s="28"/>
      <c r="CV972" s="28"/>
      <c r="CW972" s="28"/>
    </row>
    <row r="973" spans="1:101" ht="14.25" customHeight="1" x14ac:dyDescent="0.2">
      <c r="A973" s="328"/>
      <c r="B973" s="52">
        <v>0.16043147747764852</v>
      </c>
      <c r="C973" s="330">
        <v>0.12612918263337247</v>
      </c>
      <c r="D973" s="330">
        <v>7.8323527059643051E-3</v>
      </c>
      <c r="E973" s="330">
        <v>2.8130759715662701E-2</v>
      </c>
      <c r="F973" s="331">
        <v>0.79742924561960504</v>
      </c>
      <c r="G973" s="94">
        <v>0.36612540775458419</v>
      </c>
      <c r="H973" s="330">
        <v>0.518206168567928</v>
      </c>
      <c r="I973" s="330">
        <v>8.9723077413754789E-3</v>
      </c>
      <c r="J973" s="330">
        <v>0.9999959489929493</v>
      </c>
      <c r="K973" s="330">
        <v>0.71674356860574484</v>
      </c>
      <c r="L973" s="332">
        <v>6506.927004134528</v>
      </c>
      <c r="M973" s="330">
        <v>0</v>
      </c>
      <c r="N973" s="330">
        <v>20541.840110783287</v>
      </c>
      <c r="O973" s="330">
        <v>1056.2516764071763</v>
      </c>
      <c r="P973" s="330">
        <v>46589.423110307434</v>
      </c>
      <c r="Q973" s="333">
        <v>93753.721549719194</v>
      </c>
      <c r="R973" s="330">
        <v>17619.599014478074</v>
      </c>
      <c r="S973" s="330">
        <v>10369.71864891945</v>
      </c>
      <c r="T973" s="332">
        <v>0.93216008307278497</v>
      </c>
      <c r="U973" s="330">
        <v>0.64689532350082501</v>
      </c>
      <c r="V973" s="330">
        <v>0.76307702926380705</v>
      </c>
      <c r="W973" s="330">
        <v>0.98508563183802411</v>
      </c>
      <c r="X973" s="330">
        <v>0.9174734335510758</v>
      </c>
      <c r="Y973" s="330">
        <v>0</v>
      </c>
      <c r="Z973" s="331">
        <v>0</v>
      </c>
      <c r="AA973" s="235"/>
      <c r="AB973" s="335">
        <v>95890.903042430611</v>
      </c>
      <c r="AC973" s="336">
        <v>4.4930508766164463</v>
      </c>
      <c r="AD973" s="337">
        <v>83994.586973234123</v>
      </c>
      <c r="AE973" s="336">
        <v>4.1903593526005052</v>
      </c>
      <c r="AF973" s="337">
        <v>11896.316069196488</v>
      </c>
      <c r="AG973" s="338">
        <v>0.30269152401594113</v>
      </c>
      <c r="AH973" s="235"/>
      <c r="AI973" s="208">
        <f t="shared" si="102"/>
        <v>4172507.4297431936</v>
      </c>
      <c r="AJ973" s="208">
        <f t="shared" si="103"/>
        <v>3896846.797997246</v>
      </c>
      <c r="AK973" s="208">
        <f t="shared" si="104"/>
        <v>275660.63174594758</v>
      </c>
      <c r="AL973" s="235"/>
      <c r="AM973" s="52">
        <f t="shared" si="86"/>
        <v>1</v>
      </c>
      <c r="AN973" s="52">
        <f t="shared" si="87"/>
        <v>0</v>
      </c>
      <c r="AO973" s="52">
        <f t="shared" si="88"/>
        <v>1</v>
      </c>
      <c r="AP973" s="235"/>
      <c r="AQ973" s="28"/>
      <c r="AR973" s="28"/>
      <c r="AS973" s="28"/>
      <c r="AT973" s="28"/>
      <c r="AU973" s="235"/>
      <c r="AV973" s="360">
        <f t="shared" si="105"/>
        <v>4172507.4297431936</v>
      </c>
      <c r="AW973" s="235"/>
      <c r="AX973" s="355"/>
      <c r="AY973" s="344"/>
      <c r="AZ973" s="14">
        <f t="shared" si="107"/>
        <v>11896.316069196488</v>
      </c>
      <c r="BA973" s="14">
        <f t="shared" si="106"/>
        <v>0.30269152401594113</v>
      </c>
      <c r="BB973" s="14">
        <f t="shared" si="89"/>
        <v>39301.7812701289</v>
      </c>
      <c r="BC973" s="344"/>
      <c r="BD973" s="344"/>
      <c r="BE973" s="344"/>
      <c r="BF973" s="344"/>
      <c r="BG973" s="344"/>
      <c r="BH973" s="344"/>
      <c r="BI973" s="344"/>
      <c r="BJ973" s="344"/>
      <c r="BK973" s="344"/>
      <c r="BL973" s="344"/>
      <c r="BM973" s="344"/>
      <c r="BN973" s="344"/>
      <c r="BO973" s="344"/>
      <c r="BP973" s="344"/>
      <c r="BQ973" s="344"/>
      <c r="BR973" s="344"/>
      <c r="BS973" s="344"/>
      <c r="BT973" s="344"/>
      <c r="BU973" s="344"/>
      <c r="BV973" s="344"/>
      <c r="BW973" s="344"/>
      <c r="BX973" s="344"/>
      <c r="BY973" s="344"/>
      <c r="BZ973" s="344"/>
      <c r="CA973" s="344"/>
      <c r="CB973" s="28"/>
      <c r="CC973" s="28"/>
      <c r="CD973" s="28"/>
      <c r="CE973" s="28"/>
      <c r="CF973" s="28"/>
      <c r="CG973" s="28"/>
      <c r="CH973" s="28"/>
      <c r="CI973" s="28"/>
      <c r="CJ973" s="28"/>
      <c r="CK973" s="28"/>
      <c r="CL973" s="28"/>
      <c r="CM973" s="28"/>
      <c r="CN973" s="28"/>
      <c r="CO973" s="28"/>
      <c r="CP973" s="28"/>
      <c r="CQ973" s="28"/>
      <c r="CR973" s="28"/>
      <c r="CS973" s="28"/>
      <c r="CT973" s="28"/>
      <c r="CU973" s="28"/>
      <c r="CV973" s="28"/>
      <c r="CW973" s="28"/>
    </row>
    <row r="974" spans="1:101" ht="14.25" customHeight="1" x14ac:dyDescent="0.2">
      <c r="A974" s="328"/>
      <c r="B974" s="52">
        <v>0.20883932997161625</v>
      </c>
      <c r="C974" s="330">
        <v>3.7234783839031005E-2</v>
      </c>
      <c r="D974" s="330">
        <v>1.9012677353442697E-2</v>
      </c>
      <c r="E974" s="330">
        <v>7.1419521799928687E-3</v>
      </c>
      <c r="F974" s="331">
        <v>0.73882967626862017</v>
      </c>
      <c r="G974" s="94">
        <v>0.37336638585008347</v>
      </c>
      <c r="H974" s="330">
        <v>0.74394922479180003</v>
      </c>
      <c r="I974" s="330">
        <v>4.3765649502453567E-3</v>
      </c>
      <c r="J974" s="330">
        <v>0.99456715254941641</v>
      </c>
      <c r="K974" s="330">
        <v>0.77742059031786659</v>
      </c>
      <c r="L974" s="332">
        <v>7083.3002139625487</v>
      </c>
      <c r="M974" s="330">
        <v>0</v>
      </c>
      <c r="N974" s="330">
        <v>23482.358385366551</v>
      </c>
      <c r="O974" s="330">
        <v>978.97665161201905</v>
      </c>
      <c r="P974" s="330">
        <v>62037.813612361868</v>
      </c>
      <c r="Q974" s="333">
        <v>89330.414962968498</v>
      </c>
      <c r="R974" s="330">
        <v>14940.000466658905</v>
      </c>
      <c r="S974" s="330">
        <v>10385.034913971065</v>
      </c>
      <c r="T974" s="332">
        <v>0.99997176271388066</v>
      </c>
      <c r="U974" s="330">
        <v>0.99454630112083597</v>
      </c>
      <c r="V974" s="330">
        <v>0.58175329269680454</v>
      </c>
      <c r="W974" s="330">
        <v>0.94105779035005988</v>
      </c>
      <c r="X974" s="330">
        <v>0.53106232954887322</v>
      </c>
      <c r="Y974" s="330">
        <v>0</v>
      </c>
      <c r="Z974" s="331">
        <v>0</v>
      </c>
      <c r="AA974" s="235"/>
      <c r="AB974" s="335">
        <v>90099.334497100732</v>
      </c>
      <c r="AC974" s="336">
        <v>2.4353769499082372</v>
      </c>
      <c r="AD974" s="337">
        <v>91422.064897254051</v>
      </c>
      <c r="AE974" s="336">
        <v>2.7230596040282062</v>
      </c>
      <c r="AF974" s="337">
        <v>-1322.7304001533194</v>
      </c>
      <c r="AG974" s="338">
        <v>-0.28768265411996907</v>
      </c>
      <c r="AH974" s="235"/>
      <c r="AI974" s="208">
        <f t="shared" ref="AI974:AI1013" si="108">AC974*cRatio-AB974</f>
        <v>2223508.7679157248</v>
      </c>
      <c r="AJ974" s="208">
        <f t="shared" ref="AJ974:AJ1013" si="109">AE974*cRatio-AD974</f>
        <v>2495484.5589295416</v>
      </c>
      <c r="AK974" s="208">
        <f t="shared" ref="AK974:AK1013" si="110">AG974*cRatio-AF974</f>
        <v>-271975.7910138173</v>
      </c>
      <c r="AL974" s="235"/>
      <c r="AM974" s="52">
        <f t="shared" si="86"/>
        <v>0</v>
      </c>
      <c r="AN974" s="52">
        <f t="shared" si="87"/>
        <v>1</v>
      </c>
      <c r="AO974" s="52">
        <f t="shared" si="88"/>
        <v>0</v>
      </c>
      <c r="AP974" s="235"/>
      <c r="AQ974" s="28"/>
      <c r="AR974" s="28"/>
      <c r="AS974" s="28"/>
      <c r="AT974" s="28"/>
      <c r="AU974" s="235"/>
      <c r="AV974" s="360">
        <f t="shared" si="105"/>
        <v>2495484.5589295416</v>
      </c>
      <c r="AW974" s="235"/>
      <c r="AX974" s="355"/>
      <c r="AY974" s="344"/>
      <c r="AZ974" s="14">
        <f t="shared" si="107"/>
        <v>-1322.7304001533194</v>
      </c>
      <c r="BA974" s="14">
        <f t="shared" si="106"/>
        <v>-0.28768265411996907</v>
      </c>
      <c r="BB974" s="14">
        <f t="shared" si="89"/>
        <v>4597.880272620524</v>
      </c>
      <c r="BC974" s="344"/>
      <c r="BD974" s="344"/>
      <c r="BE974" s="344"/>
      <c r="BF974" s="344"/>
      <c r="BG974" s="344"/>
      <c r="BH974" s="344"/>
      <c r="BI974" s="344"/>
      <c r="BJ974" s="344"/>
      <c r="BK974" s="344"/>
      <c r="BL974" s="344"/>
      <c r="BM974" s="344"/>
      <c r="BN974" s="344"/>
      <c r="BO974" s="344"/>
      <c r="BP974" s="344"/>
      <c r="BQ974" s="344"/>
      <c r="BR974" s="344"/>
      <c r="BS974" s="344"/>
      <c r="BT974" s="344"/>
      <c r="BU974" s="344"/>
      <c r="BV974" s="344"/>
      <c r="BW974" s="344"/>
      <c r="BX974" s="344"/>
      <c r="BY974" s="344"/>
      <c r="BZ974" s="344"/>
      <c r="CA974" s="344"/>
      <c r="CB974" s="28"/>
      <c r="CC974" s="28"/>
      <c r="CD974" s="28"/>
      <c r="CE974" s="28"/>
      <c r="CF974" s="28"/>
      <c r="CG974" s="28"/>
      <c r="CH974" s="28"/>
      <c r="CI974" s="28"/>
      <c r="CJ974" s="28"/>
      <c r="CK974" s="28"/>
      <c r="CL974" s="28"/>
      <c r="CM974" s="28"/>
      <c r="CN974" s="28"/>
      <c r="CO974" s="28"/>
      <c r="CP974" s="28"/>
      <c r="CQ974" s="28"/>
      <c r="CR974" s="28"/>
      <c r="CS974" s="28"/>
      <c r="CT974" s="28"/>
      <c r="CU974" s="28"/>
      <c r="CV974" s="28"/>
      <c r="CW974" s="28"/>
    </row>
    <row r="975" spans="1:101" ht="14.25" customHeight="1" x14ac:dyDescent="0.2">
      <c r="A975" s="328"/>
      <c r="B975" s="52">
        <v>0.1672996101153712</v>
      </c>
      <c r="C975" s="330">
        <v>0.53748959243980821</v>
      </c>
      <c r="D975" s="330">
        <v>1.9357834776511318E-2</v>
      </c>
      <c r="E975" s="330">
        <v>2.2490774918713097E-2</v>
      </c>
      <c r="F975" s="331">
        <v>0.78006575673927303</v>
      </c>
      <c r="G975" s="94">
        <v>0.37266973247915608</v>
      </c>
      <c r="H975" s="330">
        <v>0.63195819081400018</v>
      </c>
      <c r="I975" s="330">
        <v>4.1761509137758446E-2</v>
      </c>
      <c r="J975" s="330">
        <v>0.9999944417381037</v>
      </c>
      <c r="K975" s="330">
        <v>0.795389460254462</v>
      </c>
      <c r="L975" s="332">
        <v>7723.026585959512</v>
      </c>
      <c r="M975" s="330">
        <v>0</v>
      </c>
      <c r="N975" s="330">
        <v>21850.002915539095</v>
      </c>
      <c r="O975" s="330">
        <v>1078.4548736803642</v>
      </c>
      <c r="P975" s="330">
        <v>46853.267996201823</v>
      </c>
      <c r="Q975" s="333">
        <v>82683.511089494496</v>
      </c>
      <c r="R975" s="330">
        <v>30813.559458066997</v>
      </c>
      <c r="S975" s="330">
        <v>10105.64822745854</v>
      </c>
      <c r="T975" s="332">
        <v>0.99994225898835709</v>
      </c>
      <c r="U975" s="330">
        <v>0.81461047670679798</v>
      </c>
      <c r="V975" s="330">
        <v>0.91364433613588236</v>
      </c>
      <c r="W975" s="330">
        <v>0.19178190657516334</v>
      </c>
      <c r="X975" s="330">
        <v>0.9983422375781239</v>
      </c>
      <c r="Y975" s="330">
        <v>0</v>
      </c>
      <c r="Z975" s="331">
        <v>0</v>
      </c>
      <c r="AA975" s="235"/>
      <c r="AB975" s="335">
        <v>95542.090653396997</v>
      </c>
      <c r="AC975" s="336">
        <v>4.7058054178657471</v>
      </c>
      <c r="AD975" s="337">
        <v>96226.465947662145</v>
      </c>
      <c r="AE975" s="336">
        <v>5.168814863509299</v>
      </c>
      <c r="AF975" s="337">
        <v>-684.37529426514811</v>
      </c>
      <c r="AG975" s="338">
        <v>-0.46300944564355184</v>
      </c>
      <c r="AH975" s="235"/>
      <c r="AI975" s="208">
        <f t="shared" si="108"/>
        <v>4374973.0563190626</v>
      </c>
      <c r="AJ975" s="208">
        <f t="shared" si="109"/>
        <v>4814147.6543861711</v>
      </c>
      <c r="AK975" s="208">
        <f t="shared" si="110"/>
        <v>-439174.59806710907</v>
      </c>
      <c r="AL975" s="235"/>
      <c r="AM975" s="52">
        <f t="shared" si="86"/>
        <v>0</v>
      </c>
      <c r="AN975" s="52">
        <f t="shared" si="87"/>
        <v>1</v>
      </c>
      <c r="AO975" s="52">
        <f t="shared" si="88"/>
        <v>0</v>
      </c>
      <c r="AP975" s="235"/>
      <c r="AQ975" s="28"/>
      <c r="AR975" s="28"/>
      <c r="AS975" s="28"/>
      <c r="AT975" s="28"/>
      <c r="AU975" s="235"/>
      <c r="AV975" s="360">
        <f t="shared" ref="AV975:AV1013" si="111">MAX(AI975:AJ975)</f>
        <v>4814147.6543861711</v>
      </c>
      <c r="AW975" s="235"/>
      <c r="AX975" s="355"/>
      <c r="AY975" s="344"/>
      <c r="AZ975" s="14">
        <f t="shared" si="107"/>
        <v>-684.37529426514811</v>
      </c>
      <c r="BA975" s="14">
        <f t="shared" ref="BA975:BA1013" si="112">AG975</f>
        <v>-0.46300944564355184</v>
      </c>
      <c r="BB975" s="14">
        <f t="shared" si="89"/>
        <v>1478.1022303204045</v>
      </c>
      <c r="BC975" s="344"/>
      <c r="BD975" s="344"/>
      <c r="BE975" s="344"/>
      <c r="BF975" s="344"/>
      <c r="BG975" s="344"/>
      <c r="BH975" s="344"/>
      <c r="BI975" s="344"/>
      <c r="BJ975" s="344"/>
      <c r="BK975" s="344"/>
      <c r="BL975" s="344"/>
      <c r="BM975" s="344"/>
      <c r="BN975" s="344"/>
      <c r="BO975" s="344"/>
      <c r="BP975" s="344"/>
      <c r="BQ975" s="344"/>
      <c r="BR975" s="344"/>
      <c r="BS975" s="344"/>
      <c r="BT975" s="344"/>
      <c r="BU975" s="344"/>
      <c r="BV975" s="344"/>
      <c r="BW975" s="344"/>
      <c r="BX975" s="344"/>
      <c r="BY975" s="344"/>
      <c r="BZ975" s="344"/>
      <c r="CA975" s="344"/>
      <c r="CB975" s="28"/>
      <c r="CC975" s="28"/>
      <c r="CD975" s="28"/>
      <c r="CE975" s="28"/>
      <c r="CF975" s="28"/>
      <c r="CG975" s="28"/>
      <c r="CH975" s="28"/>
      <c r="CI975" s="28"/>
      <c r="CJ975" s="28"/>
      <c r="CK975" s="28"/>
      <c r="CL975" s="28"/>
      <c r="CM975" s="28"/>
      <c r="CN975" s="28"/>
      <c r="CO975" s="28"/>
      <c r="CP975" s="28"/>
      <c r="CQ975" s="28"/>
      <c r="CR975" s="28"/>
      <c r="CS975" s="28"/>
      <c r="CT975" s="28"/>
      <c r="CU975" s="28"/>
      <c r="CV975" s="28"/>
      <c r="CW975" s="28"/>
    </row>
    <row r="976" spans="1:101" ht="14.25" customHeight="1" x14ac:dyDescent="0.2">
      <c r="A976" s="328"/>
      <c r="B976" s="52">
        <v>0.13682924836347066</v>
      </c>
      <c r="C976" s="330">
        <v>0.11163171315694996</v>
      </c>
      <c r="D976" s="330">
        <v>9.245941395878348E-3</v>
      </c>
      <c r="E976" s="330">
        <v>2.4790267428556612E-2</v>
      </c>
      <c r="F976" s="331">
        <v>0.79667643852594539</v>
      </c>
      <c r="G976" s="94">
        <v>0.30774220278599379</v>
      </c>
      <c r="H976" s="330">
        <v>0.76758327424623318</v>
      </c>
      <c r="I976" s="330">
        <v>8.4336568123345602E-3</v>
      </c>
      <c r="J976" s="330">
        <v>1</v>
      </c>
      <c r="K976" s="330">
        <v>0.76569168619133865</v>
      </c>
      <c r="L976" s="332">
        <v>11824.274462748068</v>
      </c>
      <c r="M976" s="330">
        <v>0</v>
      </c>
      <c r="N976" s="330">
        <v>13788.678017271463</v>
      </c>
      <c r="O976" s="330">
        <v>1480.9951704364853</v>
      </c>
      <c r="P976" s="330">
        <v>31211.061087625236</v>
      </c>
      <c r="Q976" s="333">
        <v>66716.416762863999</v>
      </c>
      <c r="R976" s="330">
        <v>25031.594962164607</v>
      </c>
      <c r="S976" s="330">
        <v>11569.973094497152</v>
      </c>
      <c r="T976" s="332">
        <v>0.94183424030543739</v>
      </c>
      <c r="U976" s="330">
        <v>0.89821936094995258</v>
      </c>
      <c r="V976" s="330">
        <v>0.97842145115893242</v>
      </c>
      <c r="W976" s="330">
        <v>0.61827724445802545</v>
      </c>
      <c r="X976" s="330">
        <v>0.95197665312917246</v>
      </c>
      <c r="Y976" s="330">
        <v>0</v>
      </c>
      <c r="Z976" s="331">
        <v>0</v>
      </c>
      <c r="AA976" s="235"/>
      <c r="AB976" s="335">
        <v>111410.46996023619</v>
      </c>
      <c r="AC976" s="336">
        <v>4.7840088315052327</v>
      </c>
      <c r="AD976" s="337">
        <v>101684.32783327416</v>
      </c>
      <c r="AE976" s="336">
        <v>4.4877249401547932</v>
      </c>
      <c r="AF976" s="337">
        <v>9726.1421269620332</v>
      </c>
      <c r="AG976" s="338">
        <v>0.29628389135043953</v>
      </c>
      <c r="AH976" s="235"/>
      <c r="AI976" s="208">
        <f t="shared" si="108"/>
        <v>4433397.9199697347</v>
      </c>
      <c r="AJ976" s="208">
        <f t="shared" si="109"/>
        <v>4161654.3653137796</v>
      </c>
      <c r="AK976" s="208">
        <f t="shared" si="110"/>
        <v>271743.55465595552</v>
      </c>
      <c r="AL976" s="235"/>
      <c r="AM976" s="52">
        <f t="shared" si="86"/>
        <v>1</v>
      </c>
      <c r="AN976" s="52">
        <f t="shared" si="87"/>
        <v>0</v>
      </c>
      <c r="AO976" s="52">
        <f t="shared" si="88"/>
        <v>1</v>
      </c>
      <c r="AP976" s="235"/>
      <c r="AQ976" s="28"/>
      <c r="AR976" s="28"/>
      <c r="AS976" s="28"/>
      <c r="AT976" s="28"/>
      <c r="AU976" s="235"/>
      <c r="AV976" s="360">
        <f t="shared" si="111"/>
        <v>4433397.9199697347</v>
      </c>
      <c r="AW976" s="235"/>
      <c r="AX976" s="355"/>
      <c r="AY976" s="344"/>
      <c r="AZ976" s="14">
        <f t="shared" ref="AZ976:AZ1013" si="113">AF976</f>
        <v>9726.1421269620332</v>
      </c>
      <c r="BA976" s="14">
        <f t="shared" si="112"/>
        <v>0.29628389135043953</v>
      </c>
      <c r="BB976" s="14">
        <f t="shared" si="89"/>
        <v>32827.104040759739</v>
      </c>
      <c r="BC976" s="344"/>
      <c r="BD976" s="344"/>
      <c r="BE976" s="344"/>
      <c r="BF976" s="344"/>
      <c r="BG976" s="344"/>
      <c r="BH976" s="344"/>
      <c r="BI976" s="344"/>
      <c r="BJ976" s="344"/>
      <c r="BK976" s="344"/>
      <c r="BL976" s="344"/>
      <c r="BM976" s="344"/>
      <c r="BN976" s="344"/>
      <c r="BO976" s="344"/>
      <c r="BP976" s="344"/>
      <c r="BQ976" s="344"/>
      <c r="BR976" s="344"/>
      <c r="BS976" s="344"/>
      <c r="BT976" s="344"/>
      <c r="BU976" s="344"/>
      <c r="BV976" s="344"/>
      <c r="BW976" s="344"/>
      <c r="BX976" s="344"/>
      <c r="BY976" s="344"/>
      <c r="BZ976" s="344"/>
      <c r="CA976" s="344"/>
      <c r="CB976" s="28"/>
      <c r="CC976" s="28"/>
      <c r="CD976" s="28"/>
      <c r="CE976" s="28"/>
      <c r="CF976" s="28"/>
      <c r="CG976" s="28"/>
      <c r="CH976" s="28"/>
      <c r="CI976" s="28"/>
      <c r="CJ976" s="28"/>
      <c r="CK976" s="28"/>
      <c r="CL976" s="28"/>
      <c r="CM976" s="28"/>
      <c r="CN976" s="28"/>
      <c r="CO976" s="28"/>
      <c r="CP976" s="28"/>
      <c r="CQ976" s="28"/>
      <c r="CR976" s="28"/>
      <c r="CS976" s="28"/>
      <c r="CT976" s="28"/>
      <c r="CU976" s="28"/>
      <c r="CV976" s="28"/>
      <c r="CW976" s="28"/>
    </row>
    <row r="977" spans="1:101" ht="14.25" customHeight="1" x14ac:dyDescent="0.2">
      <c r="A977" s="328"/>
      <c r="B977" s="52">
        <v>0.16882924098977126</v>
      </c>
      <c r="C977" s="330">
        <v>0.72693993493939768</v>
      </c>
      <c r="D977" s="330">
        <v>2.734852933099885E-2</v>
      </c>
      <c r="E977" s="330">
        <v>1.2575703299676895E-2</v>
      </c>
      <c r="F977" s="331">
        <v>0.79191828191736369</v>
      </c>
      <c r="G977" s="94">
        <v>0.41861046810398717</v>
      </c>
      <c r="H977" s="330">
        <v>0.99268849593908515</v>
      </c>
      <c r="I977" s="330">
        <v>4.1332088410266143E-2</v>
      </c>
      <c r="J977" s="330">
        <v>0.9991165904205136</v>
      </c>
      <c r="K977" s="330">
        <v>0.73403978742802101</v>
      </c>
      <c r="L977" s="332">
        <v>11219.318746072839</v>
      </c>
      <c r="M977" s="330">
        <v>0</v>
      </c>
      <c r="N977" s="330">
        <v>17727.072925290115</v>
      </c>
      <c r="O977" s="330">
        <v>1051.4947992239238</v>
      </c>
      <c r="P977" s="330">
        <v>28847.692471614791</v>
      </c>
      <c r="Q977" s="333">
        <v>101259.57680421806</v>
      </c>
      <c r="R977" s="330">
        <v>26324.558087119545</v>
      </c>
      <c r="S977" s="330">
        <v>8813.2385024061387</v>
      </c>
      <c r="T977" s="332">
        <v>0.99313608275503584</v>
      </c>
      <c r="U977" s="330">
        <v>0.99616356159729669</v>
      </c>
      <c r="V977" s="330">
        <v>0.31527561816050886</v>
      </c>
      <c r="W977" s="330">
        <v>0.97957104767348535</v>
      </c>
      <c r="X977" s="330">
        <v>0.68782044909277995</v>
      </c>
      <c r="Y977" s="330">
        <v>0</v>
      </c>
      <c r="Z977" s="331">
        <v>0</v>
      </c>
      <c r="AA977" s="235"/>
      <c r="AB977" s="335">
        <v>89995.040990412876</v>
      </c>
      <c r="AC977" s="336">
        <v>3.3685686792952838</v>
      </c>
      <c r="AD977" s="337">
        <v>83238.62390022233</v>
      </c>
      <c r="AE977" s="336">
        <v>3.2103471135389285</v>
      </c>
      <c r="AF977" s="337">
        <v>6756.4170901905454</v>
      </c>
      <c r="AG977" s="338">
        <v>0.15822156575635526</v>
      </c>
      <c r="AH977" s="235"/>
      <c r="AI977" s="208">
        <f t="shared" si="108"/>
        <v>3110145.2043401068</v>
      </c>
      <c r="AJ977" s="208">
        <f t="shared" si="109"/>
        <v>2966591.13396176</v>
      </c>
      <c r="AK977" s="208">
        <f t="shared" si="110"/>
        <v>143554.07037834695</v>
      </c>
      <c r="AL977" s="235"/>
      <c r="AM977" s="52">
        <f t="shared" si="86"/>
        <v>1</v>
      </c>
      <c r="AN977" s="52">
        <f t="shared" si="87"/>
        <v>0</v>
      </c>
      <c r="AO977" s="52">
        <f t="shared" si="88"/>
        <v>1</v>
      </c>
      <c r="AP977" s="235"/>
      <c r="AQ977" s="28"/>
      <c r="AR977" s="28"/>
      <c r="AS977" s="28"/>
      <c r="AT977" s="28"/>
      <c r="AU977" s="235"/>
      <c r="AV977" s="360">
        <f t="shared" si="111"/>
        <v>3110145.2043401068</v>
      </c>
      <c r="AW977" s="235"/>
      <c r="AX977" s="355"/>
      <c r="AY977" s="344"/>
      <c r="AZ977" s="14">
        <f t="shared" si="113"/>
        <v>6756.4170901905454</v>
      </c>
      <c r="BA977" s="14">
        <f t="shared" si="112"/>
        <v>0.15822156575635526</v>
      </c>
      <c r="BB977" s="14">
        <f t="shared" si="89"/>
        <v>42702.251478124825</v>
      </c>
      <c r="BC977" s="344"/>
      <c r="BD977" s="344"/>
      <c r="BE977" s="344"/>
      <c r="BF977" s="344"/>
      <c r="BG977" s="344"/>
      <c r="BH977" s="344"/>
      <c r="BI977" s="344"/>
      <c r="BJ977" s="344"/>
      <c r="BK977" s="344"/>
      <c r="BL977" s="344"/>
      <c r="BM977" s="344"/>
      <c r="BN977" s="344"/>
      <c r="BO977" s="344"/>
      <c r="BP977" s="344"/>
      <c r="BQ977" s="344"/>
      <c r="BR977" s="344"/>
      <c r="BS977" s="344"/>
      <c r="BT977" s="344"/>
      <c r="BU977" s="344"/>
      <c r="BV977" s="344"/>
      <c r="BW977" s="344"/>
      <c r="BX977" s="344"/>
      <c r="BY977" s="344"/>
      <c r="BZ977" s="344"/>
      <c r="CA977" s="344"/>
      <c r="CB977" s="28"/>
      <c r="CC977" s="28"/>
      <c r="CD977" s="28"/>
      <c r="CE977" s="28"/>
      <c r="CF977" s="28"/>
      <c r="CG977" s="28"/>
      <c r="CH977" s="28"/>
      <c r="CI977" s="28"/>
      <c r="CJ977" s="28"/>
      <c r="CK977" s="28"/>
      <c r="CL977" s="28"/>
      <c r="CM977" s="28"/>
      <c r="CN977" s="28"/>
      <c r="CO977" s="28"/>
      <c r="CP977" s="28"/>
      <c r="CQ977" s="28"/>
      <c r="CR977" s="28"/>
      <c r="CS977" s="28"/>
      <c r="CT977" s="28"/>
      <c r="CU977" s="28"/>
      <c r="CV977" s="28"/>
      <c r="CW977" s="28"/>
    </row>
    <row r="978" spans="1:101" ht="14.25" customHeight="1" x14ac:dyDescent="0.2">
      <c r="A978" s="328"/>
      <c r="B978" s="52">
        <v>0.18368855946055884</v>
      </c>
      <c r="C978" s="330">
        <v>7.1052095349415464E-2</v>
      </c>
      <c r="D978" s="330">
        <v>1.8843955483114128E-2</v>
      </c>
      <c r="E978" s="330">
        <v>1.2439854713249363E-2</v>
      </c>
      <c r="F978" s="331">
        <v>0.8049194981077521</v>
      </c>
      <c r="G978" s="94">
        <v>0.4681722272388158</v>
      </c>
      <c r="H978" s="330">
        <v>0.53958705911824123</v>
      </c>
      <c r="I978" s="330">
        <v>8.6796969898291342E-3</v>
      </c>
      <c r="J978" s="330">
        <v>0.9999999984281247</v>
      </c>
      <c r="K978" s="330">
        <v>0.78573764503699317</v>
      </c>
      <c r="L978" s="332">
        <v>8403.3933604818267</v>
      </c>
      <c r="M978" s="330">
        <v>0</v>
      </c>
      <c r="N978" s="330">
        <v>24145.206292541126</v>
      </c>
      <c r="O978" s="330">
        <v>1434.8047850814105</v>
      </c>
      <c r="P978" s="330">
        <v>45990.692268828694</v>
      </c>
      <c r="Q978" s="333">
        <v>120973.95955835973</v>
      </c>
      <c r="R978" s="330">
        <v>19859.697417861898</v>
      </c>
      <c r="S978" s="330">
        <v>10045.946385867146</v>
      </c>
      <c r="T978" s="332">
        <v>0.94513651934461995</v>
      </c>
      <c r="U978" s="330">
        <v>0.81278252538594276</v>
      </c>
      <c r="V978" s="330">
        <v>0.98674008192362073</v>
      </c>
      <c r="W978" s="330">
        <v>0.28567106883980847</v>
      </c>
      <c r="X978" s="330">
        <v>0.84208355722022432</v>
      </c>
      <c r="Y978" s="330">
        <v>0</v>
      </c>
      <c r="Z978" s="331">
        <v>0</v>
      </c>
      <c r="AA978" s="235"/>
      <c r="AB978" s="335">
        <v>96122.557713101298</v>
      </c>
      <c r="AC978" s="336">
        <v>4.5947357442527297</v>
      </c>
      <c r="AD978" s="337">
        <v>91134.207886776217</v>
      </c>
      <c r="AE978" s="336">
        <v>4.3209713685762585</v>
      </c>
      <c r="AF978" s="337">
        <v>4988.3498263250804</v>
      </c>
      <c r="AG978" s="338">
        <v>0.27376437567647116</v>
      </c>
      <c r="AH978" s="235"/>
      <c r="AI978" s="208">
        <f t="shared" si="108"/>
        <v>4268876.3993269913</v>
      </c>
      <c r="AJ978" s="208">
        <f t="shared" si="109"/>
        <v>4013788.592260669</v>
      </c>
      <c r="AK978" s="208">
        <f t="shared" si="110"/>
        <v>255087.80706632254</v>
      </c>
      <c r="AL978" s="235"/>
      <c r="AM978" s="52">
        <f t="shared" si="86"/>
        <v>1</v>
      </c>
      <c r="AN978" s="52">
        <f t="shared" si="87"/>
        <v>0</v>
      </c>
      <c r="AO978" s="52">
        <f t="shared" si="88"/>
        <v>1</v>
      </c>
      <c r="AP978" s="235"/>
      <c r="AQ978" s="28"/>
      <c r="AR978" s="28"/>
      <c r="AS978" s="28"/>
      <c r="AT978" s="28"/>
      <c r="AU978" s="235"/>
      <c r="AV978" s="360">
        <f t="shared" si="111"/>
        <v>4268876.3993269913</v>
      </c>
      <c r="AW978" s="235"/>
      <c r="AX978" s="355"/>
      <c r="AY978" s="344"/>
      <c r="AZ978" s="14">
        <f t="shared" si="113"/>
        <v>4988.3498263250804</v>
      </c>
      <c r="BA978" s="14">
        <f t="shared" si="112"/>
        <v>0.27376437567647116</v>
      </c>
      <c r="BB978" s="14">
        <f t="shared" si="89"/>
        <v>18221.325597966788</v>
      </c>
      <c r="BC978" s="344"/>
      <c r="BD978" s="344"/>
      <c r="BE978" s="344"/>
      <c r="BF978" s="344"/>
      <c r="BG978" s="344"/>
      <c r="BH978" s="344"/>
      <c r="BI978" s="344"/>
      <c r="BJ978" s="344"/>
      <c r="BK978" s="344"/>
      <c r="BL978" s="344"/>
      <c r="BM978" s="344"/>
      <c r="BN978" s="344"/>
      <c r="BO978" s="344"/>
      <c r="BP978" s="344"/>
      <c r="BQ978" s="344"/>
      <c r="BR978" s="344"/>
      <c r="BS978" s="344"/>
      <c r="BT978" s="344"/>
      <c r="BU978" s="344"/>
      <c r="BV978" s="344"/>
      <c r="BW978" s="344"/>
      <c r="BX978" s="344"/>
      <c r="BY978" s="344"/>
      <c r="BZ978" s="344"/>
      <c r="CA978" s="344"/>
      <c r="CB978" s="28"/>
      <c r="CC978" s="28"/>
      <c r="CD978" s="28"/>
      <c r="CE978" s="28"/>
      <c r="CF978" s="28"/>
      <c r="CG978" s="28"/>
      <c r="CH978" s="28"/>
      <c r="CI978" s="28"/>
      <c r="CJ978" s="28"/>
      <c r="CK978" s="28"/>
      <c r="CL978" s="28"/>
      <c r="CM978" s="28"/>
      <c r="CN978" s="28"/>
      <c r="CO978" s="28"/>
      <c r="CP978" s="28"/>
      <c r="CQ978" s="28"/>
      <c r="CR978" s="28"/>
      <c r="CS978" s="28"/>
      <c r="CT978" s="28"/>
      <c r="CU978" s="28"/>
      <c r="CV978" s="28"/>
      <c r="CW978" s="28"/>
    </row>
    <row r="979" spans="1:101" ht="14.25" customHeight="1" x14ac:dyDescent="0.2">
      <c r="A979" s="328"/>
      <c r="B979" s="52">
        <v>0.13597591925238631</v>
      </c>
      <c r="C979" s="330">
        <v>0.54640168656335852</v>
      </c>
      <c r="D979" s="330">
        <v>1.1039540527438729E-2</v>
      </c>
      <c r="E979" s="330">
        <v>2.1425164253005669E-2</v>
      </c>
      <c r="F979" s="331">
        <v>0.76627470412556187</v>
      </c>
      <c r="G979" s="94">
        <v>0.41303481698316213</v>
      </c>
      <c r="H979" s="330">
        <v>0.60633674203231358</v>
      </c>
      <c r="I979" s="330">
        <v>1.0646657992273538E-2</v>
      </c>
      <c r="J979" s="330">
        <v>0.20914430194300421</v>
      </c>
      <c r="K979" s="330">
        <v>0.71694891850985298</v>
      </c>
      <c r="L979" s="332">
        <v>12928.688043996801</v>
      </c>
      <c r="M979" s="330">
        <v>0</v>
      </c>
      <c r="N979" s="330">
        <v>18740.407983590172</v>
      </c>
      <c r="O979" s="330">
        <v>1642.5247568520456</v>
      </c>
      <c r="P979" s="330">
        <v>49547.436970182425</v>
      </c>
      <c r="Q979" s="333">
        <v>115359.53537886214</v>
      </c>
      <c r="R979" s="330">
        <v>20482.419202393739</v>
      </c>
      <c r="S979" s="330">
        <v>10063.283163928063</v>
      </c>
      <c r="T979" s="332">
        <v>0.52226644648373011</v>
      </c>
      <c r="U979" s="330">
        <v>0.88887942455994984</v>
      </c>
      <c r="V979" s="330">
        <v>0.80175021487727771</v>
      </c>
      <c r="W979" s="330">
        <v>0.89867971407392133</v>
      </c>
      <c r="X979" s="330">
        <v>0.9319287756678738</v>
      </c>
      <c r="Y979" s="330">
        <v>0</v>
      </c>
      <c r="Z979" s="331">
        <v>0</v>
      </c>
      <c r="AA979" s="235"/>
      <c r="AB979" s="335">
        <v>97600.280248485651</v>
      </c>
      <c r="AC979" s="336">
        <v>4.5531499752073632</v>
      </c>
      <c r="AD979" s="337">
        <v>83797.023494498382</v>
      </c>
      <c r="AE979" s="336">
        <v>4.0370162699119492</v>
      </c>
      <c r="AF979" s="337">
        <v>13803.256753987269</v>
      </c>
      <c r="AG979" s="338">
        <v>0.51613370529541402</v>
      </c>
      <c r="AH979" s="235"/>
      <c r="AI979" s="208">
        <f t="shared" si="108"/>
        <v>4227892.1961985091</v>
      </c>
      <c r="AJ979" s="208">
        <f t="shared" si="109"/>
        <v>3751368.4329218534</v>
      </c>
      <c r="AK979" s="208">
        <f t="shared" si="110"/>
        <v>476523.76327665604</v>
      </c>
      <c r="AL979" s="235"/>
      <c r="AM979" s="52">
        <f t="shared" si="86"/>
        <v>1</v>
      </c>
      <c r="AN979" s="52">
        <f t="shared" si="87"/>
        <v>0</v>
      </c>
      <c r="AO979" s="52">
        <f t="shared" si="88"/>
        <v>1</v>
      </c>
      <c r="AP979" s="235"/>
      <c r="AQ979" s="28"/>
      <c r="AR979" s="28"/>
      <c r="AS979" s="28"/>
      <c r="AT979" s="28"/>
      <c r="AU979" s="235"/>
      <c r="AV979" s="360">
        <f t="shared" si="111"/>
        <v>4227892.1961985091</v>
      </c>
      <c r="AW979" s="235"/>
      <c r="AX979" s="355"/>
      <c r="AY979" s="344"/>
      <c r="AZ979" s="14">
        <f t="shared" si="113"/>
        <v>13803.256753987269</v>
      </c>
      <c r="BA979" s="14">
        <f t="shared" si="112"/>
        <v>0.51613370529541402</v>
      </c>
      <c r="BB979" s="14">
        <f t="shared" si="89"/>
        <v>26743.567824323436</v>
      </c>
      <c r="BC979" s="344"/>
      <c r="BD979" s="344"/>
      <c r="BE979" s="344"/>
      <c r="BF979" s="344"/>
      <c r="BG979" s="344"/>
      <c r="BH979" s="344"/>
      <c r="BI979" s="344"/>
      <c r="BJ979" s="344"/>
      <c r="BK979" s="344"/>
      <c r="BL979" s="344"/>
      <c r="BM979" s="344"/>
      <c r="BN979" s="344"/>
      <c r="BO979" s="344"/>
      <c r="BP979" s="344"/>
      <c r="BQ979" s="344"/>
      <c r="BR979" s="344"/>
      <c r="BS979" s="344"/>
      <c r="BT979" s="344"/>
      <c r="BU979" s="344"/>
      <c r="BV979" s="344"/>
      <c r="BW979" s="344"/>
      <c r="BX979" s="344"/>
      <c r="BY979" s="344"/>
      <c r="BZ979" s="344"/>
      <c r="CA979" s="344"/>
      <c r="CB979" s="28"/>
      <c r="CC979" s="28"/>
      <c r="CD979" s="28"/>
      <c r="CE979" s="28"/>
      <c r="CF979" s="28"/>
      <c r="CG979" s="28"/>
      <c r="CH979" s="28"/>
      <c r="CI979" s="28"/>
      <c r="CJ979" s="28"/>
      <c r="CK979" s="28"/>
      <c r="CL979" s="28"/>
      <c r="CM979" s="28"/>
      <c r="CN979" s="28"/>
      <c r="CO979" s="28"/>
      <c r="CP979" s="28"/>
      <c r="CQ979" s="28"/>
      <c r="CR979" s="28"/>
      <c r="CS979" s="28"/>
      <c r="CT979" s="28"/>
      <c r="CU979" s="28"/>
      <c r="CV979" s="28"/>
      <c r="CW979" s="28"/>
    </row>
    <row r="980" spans="1:101" ht="14.25" customHeight="1" x14ac:dyDescent="0.2">
      <c r="A980" s="328"/>
      <c r="B980" s="52">
        <v>0.14191620899136781</v>
      </c>
      <c r="C980" s="330">
        <v>4.2500122624917522E-2</v>
      </c>
      <c r="D980" s="330">
        <v>1.2646461063575502E-2</v>
      </c>
      <c r="E980" s="330">
        <v>1.0558030427451945E-2</v>
      </c>
      <c r="F980" s="331">
        <v>0.78411616613406676</v>
      </c>
      <c r="G980" s="94">
        <v>0.40773885605786342</v>
      </c>
      <c r="H980" s="330">
        <v>0.42112063265530864</v>
      </c>
      <c r="I980" s="330">
        <v>1.9628025771628255E-2</v>
      </c>
      <c r="J980" s="330">
        <v>4.8865926844200702E-4</v>
      </c>
      <c r="K980" s="330">
        <v>0.69628081880561521</v>
      </c>
      <c r="L980" s="332">
        <v>13767.752805209569</v>
      </c>
      <c r="M980" s="330">
        <v>0</v>
      </c>
      <c r="N980" s="330">
        <v>15302.050067985594</v>
      </c>
      <c r="O980" s="330">
        <v>1101.415939914144</v>
      </c>
      <c r="P980" s="330">
        <v>43828.869731567414</v>
      </c>
      <c r="Q980" s="333">
        <v>112848.91740929482</v>
      </c>
      <c r="R980" s="330">
        <v>28884.183920590782</v>
      </c>
      <c r="S980" s="330">
        <v>7997.7422158872478</v>
      </c>
      <c r="T980" s="332">
        <v>0.94662745689666439</v>
      </c>
      <c r="U980" s="330">
        <v>0.65629228826114794</v>
      </c>
      <c r="V980" s="330">
        <v>0.61707760352404906</v>
      </c>
      <c r="W980" s="330">
        <v>0.80186957394667568</v>
      </c>
      <c r="X980" s="330">
        <v>0.50006764161131445</v>
      </c>
      <c r="Y980" s="330">
        <v>0</v>
      </c>
      <c r="Z980" s="331">
        <v>0</v>
      </c>
      <c r="AA980" s="235"/>
      <c r="AB980" s="335">
        <v>81599.187151912047</v>
      </c>
      <c r="AC980" s="336">
        <v>2.3695483940078264</v>
      </c>
      <c r="AD980" s="337">
        <v>65983.297908246663</v>
      </c>
      <c r="AE980" s="336">
        <v>2.2788884542780794</v>
      </c>
      <c r="AF980" s="337">
        <v>15615.889243665384</v>
      </c>
      <c r="AG980" s="338">
        <v>9.0659939729746952E-2</v>
      </c>
      <c r="AH980" s="235"/>
      <c r="AI980" s="208">
        <f t="shared" si="108"/>
        <v>2169471.787155523</v>
      </c>
      <c r="AJ980" s="208">
        <f t="shared" si="109"/>
        <v>2098960.7336559291</v>
      </c>
      <c r="AK980" s="208">
        <f t="shared" si="110"/>
        <v>70511.053499594214</v>
      </c>
      <c r="AL980" s="235"/>
      <c r="AM980" s="52">
        <f t="shared" si="86"/>
        <v>1</v>
      </c>
      <c r="AN980" s="52">
        <f t="shared" si="87"/>
        <v>0</v>
      </c>
      <c r="AO980" s="52">
        <f t="shared" si="88"/>
        <v>1</v>
      </c>
      <c r="AP980" s="235"/>
      <c r="AQ980" s="28"/>
      <c r="AR980" s="28"/>
      <c r="AS980" s="28"/>
      <c r="AT980" s="28"/>
      <c r="AU980" s="235"/>
      <c r="AV980" s="360">
        <f t="shared" si="111"/>
        <v>2169471.787155523</v>
      </c>
      <c r="AW980" s="235"/>
      <c r="AX980" s="355"/>
      <c r="AY980" s="344"/>
      <c r="AZ980" s="14">
        <f t="shared" si="113"/>
        <v>15615.889243665384</v>
      </c>
      <c r="BA980" s="14">
        <f t="shared" si="112"/>
        <v>9.0659939729746952E-2</v>
      </c>
      <c r="BB980" s="14">
        <f t="shared" si="89"/>
        <v>172246.85225046056</v>
      </c>
      <c r="BC980" s="344"/>
      <c r="BD980" s="344"/>
      <c r="BE980" s="344"/>
      <c r="BF980" s="344"/>
      <c r="BG980" s="344"/>
      <c r="BH980" s="344"/>
      <c r="BI980" s="344"/>
      <c r="BJ980" s="344"/>
      <c r="BK980" s="344"/>
      <c r="BL980" s="344"/>
      <c r="BM980" s="344"/>
      <c r="BN980" s="344"/>
      <c r="BO980" s="344"/>
      <c r="BP980" s="344"/>
      <c r="BQ980" s="344"/>
      <c r="BR980" s="344"/>
      <c r="BS980" s="344"/>
      <c r="BT980" s="344"/>
      <c r="BU980" s="344"/>
      <c r="BV980" s="344"/>
      <c r="BW980" s="344"/>
      <c r="BX980" s="344"/>
      <c r="BY980" s="344"/>
      <c r="BZ980" s="344"/>
      <c r="CA980" s="344"/>
      <c r="CB980" s="28"/>
      <c r="CC980" s="28"/>
      <c r="CD980" s="28"/>
      <c r="CE980" s="28"/>
      <c r="CF980" s="28"/>
      <c r="CG980" s="28"/>
      <c r="CH980" s="28"/>
      <c r="CI980" s="28"/>
      <c r="CJ980" s="28"/>
      <c r="CK980" s="28"/>
      <c r="CL980" s="28"/>
      <c r="CM980" s="28"/>
      <c r="CN980" s="28"/>
      <c r="CO980" s="28"/>
      <c r="CP980" s="28"/>
      <c r="CQ980" s="28"/>
      <c r="CR980" s="28"/>
      <c r="CS980" s="28"/>
      <c r="CT980" s="28"/>
      <c r="CU980" s="28"/>
      <c r="CV980" s="28"/>
      <c r="CW980" s="28"/>
    </row>
    <row r="981" spans="1:101" ht="14.25" customHeight="1" x14ac:dyDescent="0.2">
      <c r="A981" s="328"/>
      <c r="B981" s="52">
        <v>0.14408683823880034</v>
      </c>
      <c r="C981" s="330">
        <v>0.91081629834654376</v>
      </c>
      <c r="D981" s="330">
        <v>1.0270341120001034E-2</v>
      </c>
      <c r="E981" s="330">
        <v>6.3522268509826358E-3</v>
      </c>
      <c r="F981" s="331">
        <v>0.77355721813291645</v>
      </c>
      <c r="G981" s="94">
        <v>0.31309221887719629</v>
      </c>
      <c r="H981" s="330">
        <v>0.38654451001046192</v>
      </c>
      <c r="I981" s="330">
        <v>1.7331119071755996E-2</v>
      </c>
      <c r="J981" s="330">
        <v>0.50613455354232362</v>
      </c>
      <c r="K981" s="330">
        <v>0.7803764140538606</v>
      </c>
      <c r="L981" s="332">
        <v>8666.3005023883106</v>
      </c>
      <c r="M981" s="330">
        <v>0</v>
      </c>
      <c r="N981" s="330">
        <v>18488.167226979178</v>
      </c>
      <c r="O981" s="330">
        <v>900.6749582817007</v>
      </c>
      <c r="P981" s="330">
        <v>36032.235506267541</v>
      </c>
      <c r="Q981" s="333">
        <v>117622.67547483946</v>
      </c>
      <c r="R981" s="330">
        <v>17225.862860758341</v>
      </c>
      <c r="S981" s="330">
        <v>11314.12511225599</v>
      </c>
      <c r="T981" s="332">
        <v>0.99494123291052938</v>
      </c>
      <c r="U981" s="330">
        <v>0.68483317358151952</v>
      </c>
      <c r="V981" s="330">
        <v>0.52589185218927104</v>
      </c>
      <c r="W981" s="330">
        <v>0.75934982813466123</v>
      </c>
      <c r="X981" s="330">
        <v>0.18691439802852991</v>
      </c>
      <c r="Y981" s="330">
        <v>0</v>
      </c>
      <c r="Z981" s="331">
        <v>0</v>
      </c>
      <c r="AA981" s="235"/>
      <c r="AB981" s="335">
        <v>105152.37091408149</v>
      </c>
      <c r="AC981" s="336">
        <v>0.99133628580558297</v>
      </c>
      <c r="AD981" s="337">
        <v>97952.733784696422</v>
      </c>
      <c r="AE981" s="336">
        <v>1.0666825529662303</v>
      </c>
      <c r="AF981" s="337">
        <v>7199.637129385068</v>
      </c>
      <c r="AG981" s="338">
        <v>-7.5346267160647296E-2</v>
      </c>
      <c r="AH981" s="235"/>
      <c r="AI981" s="208">
        <f t="shared" si="108"/>
        <v>836617.10060122237</v>
      </c>
      <c r="AJ981" s="208">
        <f t="shared" si="109"/>
        <v>915395.69153322233</v>
      </c>
      <c r="AK981" s="208">
        <f t="shared" si="110"/>
        <v>-78778.590931999992</v>
      </c>
      <c r="AL981" s="235"/>
      <c r="AM981" s="52">
        <f t="shared" si="86"/>
        <v>0</v>
      </c>
      <c r="AN981" s="52">
        <f t="shared" si="87"/>
        <v>1</v>
      </c>
      <c r="AO981" s="52">
        <f t="shared" si="88"/>
        <v>0</v>
      </c>
      <c r="AP981" s="235"/>
      <c r="AQ981" s="28"/>
      <c r="AR981" s="28"/>
      <c r="AS981" s="28"/>
      <c r="AT981" s="28"/>
      <c r="AU981" s="235"/>
      <c r="AV981" s="360">
        <f t="shared" si="111"/>
        <v>915395.69153322233</v>
      </c>
      <c r="AW981" s="235"/>
      <c r="AX981" s="355"/>
      <c r="AY981" s="344"/>
      <c r="AZ981" s="14">
        <f t="shared" si="113"/>
        <v>7199.637129385068</v>
      </c>
      <c r="BA981" s="14">
        <f t="shared" si="112"/>
        <v>-7.5346267160647296E-2</v>
      </c>
      <c r="BB981" s="14">
        <f t="shared" si="89"/>
        <v>-95553.99889996642</v>
      </c>
      <c r="BC981" s="344"/>
      <c r="BD981" s="344"/>
      <c r="BE981" s="344"/>
      <c r="BF981" s="344"/>
      <c r="BG981" s="344"/>
      <c r="BH981" s="344"/>
      <c r="BI981" s="344"/>
      <c r="BJ981" s="344"/>
      <c r="BK981" s="344"/>
      <c r="BL981" s="344"/>
      <c r="BM981" s="344"/>
      <c r="BN981" s="344"/>
      <c r="BO981" s="344"/>
      <c r="BP981" s="344"/>
      <c r="BQ981" s="344"/>
      <c r="BR981" s="344"/>
      <c r="BS981" s="344"/>
      <c r="BT981" s="344"/>
      <c r="BU981" s="344"/>
      <c r="BV981" s="344"/>
      <c r="BW981" s="344"/>
      <c r="BX981" s="344"/>
      <c r="BY981" s="344"/>
      <c r="BZ981" s="344"/>
      <c r="CA981" s="344"/>
      <c r="CB981" s="28"/>
      <c r="CC981" s="28"/>
      <c r="CD981" s="28"/>
      <c r="CE981" s="28"/>
      <c r="CF981" s="28"/>
      <c r="CG981" s="28"/>
      <c r="CH981" s="28"/>
      <c r="CI981" s="28"/>
      <c r="CJ981" s="28"/>
      <c r="CK981" s="28"/>
      <c r="CL981" s="28"/>
      <c r="CM981" s="28"/>
      <c r="CN981" s="28"/>
      <c r="CO981" s="28"/>
      <c r="CP981" s="28"/>
      <c r="CQ981" s="28"/>
      <c r="CR981" s="28"/>
      <c r="CS981" s="28"/>
      <c r="CT981" s="28"/>
      <c r="CU981" s="28"/>
      <c r="CV981" s="28"/>
      <c r="CW981" s="28"/>
    </row>
    <row r="982" spans="1:101" ht="14.25" customHeight="1" x14ac:dyDescent="0.2">
      <c r="A982" s="328"/>
      <c r="B982" s="52">
        <v>0.17569953476716782</v>
      </c>
      <c r="C982" s="330">
        <v>0.12079710152303413</v>
      </c>
      <c r="D982" s="330">
        <v>1.4525291097568171E-2</v>
      </c>
      <c r="E982" s="330">
        <v>2.0546108297072263E-2</v>
      </c>
      <c r="F982" s="331">
        <v>0.80303934793252352</v>
      </c>
      <c r="G982" s="94">
        <v>0.46501356662362403</v>
      </c>
      <c r="H982" s="330">
        <v>0.20195314500123288</v>
      </c>
      <c r="I982" s="330">
        <v>6.9326624678156239E-3</v>
      </c>
      <c r="J982" s="330">
        <v>4.4881318967558438E-4</v>
      </c>
      <c r="K982" s="330">
        <v>0.75100967823831566</v>
      </c>
      <c r="L982" s="332">
        <v>20085.395647649308</v>
      </c>
      <c r="M982" s="330">
        <v>0</v>
      </c>
      <c r="N982" s="330">
        <v>17345.153638920372</v>
      </c>
      <c r="O982" s="330">
        <v>988.67533410033855</v>
      </c>
      <c r="P982" s="330">
        <v>56933.862358367696</v>
      </c>
      <c r="Q982" s="333">
        <v>101810.63073934852</v>
      </c>
      <c r="R982" s="330">
        <v>22412.95713966855</v>
      </c>
      <c r="S982" s="330">
        <v>10543.795626337518</v>
      </c>
      <c r="T982" s="332">
        <v>0.1250909826410557</v>
      </c>
      <c r="U982" s="330">
        <v>0.92930560862299383</v>
      </c>
      <c r="V982" s="330">
        <v>0.68430498614019375</v>
      </c>
      <c r="W982" s="330">
        <v>0.98116136635867823</v>
      </c>
      <c r="X982" s="330">
        <v>0.99995675994363675</v>
      </c>
      <c r="Y982" s="330">
        <v>0</v>
      </c>
      <c r="Z982" s="331">
        <v>0</v>
      </c>
      <c r="AA982" s="235"/>
      <c r="AB982" s="335">
        <v>111860.7457093267</v>
      </c>
      <c r="AC982" s="336">
        <v>4.8732003424553101</v>
      </c>
      <c r="AD982" s="337">
        <v>87862.203469018175</v>
      </c>
      <c r="AE982" s="336">
        <v>4.7263975690496691</v>
      </c>
      <c r="AF982" s="337">
        <v>23998.542240308525</v>
      </c>
      <c r="AG982" s="338">
        <v>0.14680277340564096</v>
      </c>
      <c r="AH982" s="235"/>
      <c r="AI982" s="208">
        <f t="shared" si="108"/>
        <v>4517679.5796232177</v>
      </c>
      <c r="AJ982" s="208">
        <f t="shared" si="109"/>
        <v>4402215.4871281674</v>
      </c>
      <c r="AK982" s="208">
        <f t="shared" si="110"/>
        <v>115464.09249505038</v>
      </c>
      <c r="AL982" s="235"/>
      <c r="AM982" s="52">
        <f t="shared" si="86"/>
        <v>1</v>
      </c>
      <c r="AN982" s="52">
        <f t="shared" si="87"/>
        <v>0</v>
      </c>
      <c r="AO982" s="52">
        <f t="shared" si="88"/>
        <v>1</v>
      </c>
      <c r="AP982" s="235"/>
      <c r="AQ982" s="28"/>
      <c r="AR982" s="28"/>
      <c r="AS982" s="28"/>
      <c r="AT982" s="28"/>
      <c r="AU982" s="235"/>
      <c r="AV982" s="360">
        <f t="shared" si="111"/>
        <v>4517679.5796232177</v>
      </c>
      <c r="AW982" s="235"/>
      <c r="AX982" s="355"/>
      <c r="AY982" s="344"/>
      <c r="AZ982" s="14">
        <f t="shared" si="113"/>
        <v>23998.542240308525</v>
      </c>
      <c r="BA982" s="14">
        <f t="shared" si="112"/>
        <v>0.14680277340564096</v>
      </c>
      <c r="BB982" s="14">
        <f t="shared" si="89"/>
        <v>163474.71974522228</v>
      </c>
      <c r="BC982" s="344"/>
      <c r="BD982" s="344"/>
      <c r="BE982" s="344"/>
      <c r="BF982" s="344"/>
      <c r="BG982" s="344"/>
      <c r="BH982" s="344"/>
      <c r="BI982" s="344"/>
      <c r="BJ982" s="344"/>
      <c r="BK982" s="344"/>
      <c r="BL982" s="344"/>
      <c r="BM982" s="344"/>
      <c r="BN982" s="344"/>
      <c r="BO982" s="344"/>
      <c r="BP982" s="344"/>
      <c r="BQ982" s="344"/>
      <c r="BR982" s="344"/>
      <c r="BS982" s="344"/>
      <c r="BT982" s="344"/>
      <c r="BU982" s="344"/>
      <c r="BV982" s="344"/>
      <c r="BW982" s="344"/>
      <c r="BX982" s="344"/>
      <c r="BY982" s="344"/>
      <c r="BZ982" s="344"/>
      <c r="CA982" s="344"/>
      <c r="CB982" s="28"/>
      <c r="CC982" s="28"/>
      <c r="CD982" s="28"/>
      <c r="CE982" s="28"/>
      <c r="CF982" s="28"/>
      <c r="CG982" s="28"/>
      <c r="CH982" s="28"/>
      <c r="CI982" s="28"/>
      <c r="CJ982" s="28"/>
      <c r="CK982" s="28"/>
      <c r="CL982" s="28"/>
      <c r="CM982" s="28"/>
      <c r="CN982" s="28"/>
      <c r="CO982" s="28"/>
      <c r="CP982" s="28"/>
      <c r="CQ982" s="28"/>
      <c r="CR982" s="28"/>
      <c r="CS982" s="28"/>
      <c r="CT982" s="28"/>
      <c r="CU982" s="28"/>
      <c r="CV982" s="28"/>
      <c r="CW982" s="28"/>
    </row>
    <row r="983" spans="1:101" ht="14.25" customHeight="1" x14ac:dyDescent="0.2">
      <c r="A983" s="328"/>
      <c r="B983" s="52">
        <v>0.15608618249146286</v>
      </c>
      <c r="C983" s="330">
        <v>6.0614807312158805E-2</v>
      </c>
      <c r="D983" s="330">
        <v>1.4156858337989586E-2</v>
      </c>
      <c r="E983" s="330">
        <v>9.4976093936350505E-3</v>
      </c>
      <c r="F983" s="331">
        <v>0.79546951428998125</v>
      </c>
      <c r="G983" s="94">
        <v>0.37675370557398796</v>
      </c>
      <c r="H983" s="330">
        <v>0.6579653776428116</v>
      </c>
      <c r="I983" s="330">
        <v>4.5540019179450344E-3</v>
      </c>
      <c r="J983" s="330">
        <v>0.98570807564081575</v>
      </c>
      <c r="K983" s="330">
        <v>0.69764224905738392</v>
      </c>
      <c r="L983" s="332">
        <v>12278.237251212535</v>
      </c>
      <c r="M983" s="330">
        <v>0</v>
      </c>
      <c r="N983" s="330">
        <v>25995.580206621198</v>
      </c>
      <c r="O983" s="330">
        <v>946.08303758034265</v>
      </c>
      <c r="P983" s="330">
        <v>43205.152368285177</v>
      </c>
      <c r="Q983" s="333">
        <v>76953.239570341</v>
      </c>
      <c r="R983" s="330">
        <v>17945.283106015562</v>
      </c>
      <c r="S983" s="330">
        <v>9926.2307665777953</v>
      </c>
      <c r="T983" s="332">
        <v>0.96975658612832594</v>
      </c>
      <c r="U983" s="330">
        <v>0.66755980021853867</v>
      </c>
      <c r="V983" s="330">
        <v>0.1945124965181087</v>
      </c>
      <c r="W983" s="330">
        <v>0.15721794431566852</v>
      </c>
      <c r="X983" s="330">
        <v>0.49659273826564615</v>
      </c>
      <c r="Y983" s="330">
        <v>0</v>
      </c>
      <c r="Z983" s="331">
        <v>0</v>
      </c>
      <c r="AA983" s="235"/>
      <c r="AB983" s="335">
        <v>97501.13758147895</v>
      </c>
      <c r="AC983" s="336">
        <v>2.4346277654940063</v>
      </c>
      <c r="AD983" s="337">
        <v>79348.910805539883</v>
      </c>
      <c r="AE983" s="336">
        <v>2.2527204072725828</v>
      </c>
      <c r="AF983" s="337">
        <v>18152.226775939067</v>
      </c>
      <c r="AG983" s="338">
        <v>0.18190735822142345</v>
      </c>
      <c r="AH983" s="235"/>
      <c r="AI983" s="208">
        <f t="shared" si="108"/>
        <v>2215395.239637827</v>
      </c>
      <c r="AJ983" s="208">
        <f t="shared" si="109"/>
        <v>2060735.4761034136</v>
      </c>
      <c r="AK983" s="208">
        <f t="shared" si="110"/>
        <v>154659.76353441324</v>
      </c>
      <c r="AL983" s="235"/>
      <c r="AM983" s="52">
        <f t="shared" si="86"/>
        <v>1</v>
      </c>
      <c r="AN983" s="52">
        <f t="shared" si="87"/>
        <v>0</v>
      </c>
      <c r="AO983" s="52">
        <f t="shared" si="88"/>
        <v>1</v>
      </c>
      <c r="AP983" s="235"/>
      <c r="AQ983" s="28"/>
      <c r="AR983" s="28"/>
      <c r="AS983" s="28"/>
      <c r="AT983" s="28"/>
      <c r="AU983" s="235"/>
      <c r="AV983" s="360">
        <f t="shared" si="111"/>
        <v>2215395.239637827</v>
      </c>
      <c r="AW983" s="235"/>
      <c r="AX983" s="355"/>
      <c r="AY983" s="344"/>
      <c r="AZ983" s="14">
        <f t="shared" si="113"/>
        <v>18152.226775939067</v>
      </c>
      <c r="BA983" s="14">
        <f t="shared" si="112"/>
        <v>0.18190735822142345</v>
      </c>
      <c r="BB983" s="14">
        <f t="shared" si="89"/>
        <v>99788.30407642771</v>
      </c>
      <c r="BC983" s="344"/>
      <c r="BD983" s="344"/>
      <c r="BE983" s="344"/>
      <c r="BF983" s="344"/>
      <c r="BG983" s="344"/>
      <c r="BH983" s="344"/>
      <c r="BI983" s="344"/>
      <c r="BJ983" s="344"/>
      <c r="BK983" s="344"/>
      <c r="BL983" s="344"/>
      <c r="BM983" s="344"/>
      <c r="BN983" s="344"/>
      <c r="BO983" s="344"/>
      <c r="BP983" s="344"/>
      <c r="BQ983" s="344"/>
      <c r="BR983" s="344"/>
      <c r="BS983" s="344"/>
      <c r="BT983" s="344"/>
      <c r="BU983" s="344"/>
      <c r="BV983" s="344"/>
      <c r="BW983" s="344"/>
      <c r="BX983" s="344"/>
      <c r="BY983" s="344"/>
      <c r="BZ983" s="344"/>
      <c r="CA983" s="344"/>
      <c r="CB983" s="28"/>
      <c r="CC983" s="28"/>
      <c r="CD983" s="28"/>
      <c r="CE983" s="28"/>
      <c r="CF983" s="28"/>
      <c r="CG983" s="28"/>
      <c r="CH983" s="28"/>
      <c r="CI983" s="28"/>
      <c r="CJ983" s="28"/>
      <c r="CK983" s="28"/>
      <c r="CL983" s="28"/>
      <c r="CM983" s="28"/>
      <c r="CN983" s="28"/>
      <c r="CO983" s="28"/>
      <c r="CP983" s="28"/>
      <c r="CQ983" s="28"/>
      <c r="CR983" s="28"/>
      <c r="CS983" s="28"/>
      <c r="CT983" s="28"/>
      <c r="CU983" s="28"/>
      <c r="CV983" s="28"/>
      <c r="CW983" s="28"/>
    </row>
    <row r="984" spans="1:101" ht="14.25" customHeight="1" x14ac:dyDescent="0.2">
      <c r="A984" s="328"/>
      <c r="B984" s="52">
        <v>0.20310004149019634</v>
      </c>
      <c r="C984" s="330">
        <v>0.23151192382973662</v>
      </c>
      <c r="D984" s="330">
        <v>9.6408335326276188E-3</v>
      </c>
      <c r="E984" s="330">
        <v>9.5243721445929606E-3</v>
      </c>
      <c r="F984" s="331">
        <v>0.79993066234776555</v>
      </c>
      <c r="G984" s="94">
        <v>0.38217261010547549</v>
      </c>
      <c r="H984" s="330">
        <v>0.67837710410424579</v>
      </c>
      <c r="I984" s="330">
        <v>9.2445979378579339E-3</v>
      </c>
      <c r="J984" s="330">
        <v>0.99984982889498164</v>
      </c>
      <c r="K984" s="330">
        <v>0.79495697509637198</v>
      </c>
      <c r="L984" s="332">
        <v>12202.232274842341</v>
      </c>
      <c r="M984" s="330">
        <v>0</v>
      </c>
      <c r="N984" s="330">
        <v>23276.313243454122</v>
      </c>
      <c r="O984" s="330">
        <v>1069.0388659024186</v>
      </c>
      <c r="P984" s="330">
        <v>49850.447480234616</v>
      </c>
      <c r="Q984" s="333">
        <v>99368.86578637168</v>
      </c>
      <c r="R984" s="330">
        <v>28814.863135127987</v>
      </c>
      <c r="S984" s="330">
        <v>11295.441952477488</v>
      </c>
      <c r="T984" s="332">
        <v>0.61128782682222005</v>
      </c>
      <c r="U984" s="330">
        <v>0.55402650311071788</v>
      </c>
      <c r="V984" s="330">
        <v>0.90323878239101096</v>
      </c>
      <c r="W984" s="330">
        <v>0.85689176640679154</v>
      </c>
      <c r="X984" s="330">
        <v>0.72020722545369464</v>
      </c>
      <c r="Y984" s="330">
        <v>0</v>
      </c>
      <c r="Z984" s="331">
        <v>0</v>
      </c>
      <c r="AA984" s="235"/>
      <c r="AB984" s="335">
        <v>110932.95989990314</v>
      </c>
      <c r="AC984" s="336">
        <v>3.5214960349879609</v>
      </c>
      <c r="AD984" s="337">
        <v>104802.83254667386</v>
      </c>
      <c r="AE984" s="336">
        <v>3.5583839869745604</v>
      </c>
      <c r="AF984" s="337">
        <v>6130.1273532292835</v>
      </c>
      <c r="AG984" s="338">
        <v>-3.6887951986599443E-2</v>
      </c>
      <c r="AH984" s="235"/>
      <c r="AI984" s="208">
        <f t="shared" si="108"/>
        <v>3234488.2733386597</v>
      </c>
      <c r="AJ984" s="208">
        <f t="shared" si="109"/>
        <v>3275661.9550791588</v>
      </c>
      <c r="AK984" s="208">
        <f t="shared" si="110"/>
        <v>-41173.681740498752</v>
      </c>
      <c r="AL984" s="235"/>
      <c r="AM984" s="52">
        <f t="shared" si="86"/>
        <v>0</v>
      </c>
      <c r="AN984" s="52">
        <f t="shared" si="87"/>
        <v>1</v>
      </c>
      <c r="AO984" s="52">
        <f t="shared" si="88"/>
        <v>0</v>
      </c>
      <c r="AP984" s="235"/>
      <c r="AQ984" s="28"/>
      <c r="AR984" s="28"/>
      <c r="AS984" s="28"/>
      <c r="AT984" s="28"/>
      <c r="AU984" s="235"/>
      <c r="AV984" s="360">
        <f t="shared" si="111"/>
        <v>3275661.9550791588</v>
      </c>
      <c r="AW984" s="235"/>
      <c r="AX984" s="355"/>
      <c r="AY984" s="344"/>
      <c r="AZ984" s="14">
        <f t="shared" si="113"/>
        <v>6130.1273532292835</v>
      </c>
      <c r="BA984" s="14">
        <f t="shared" si="112"/>
        <v>-3.6887951986599443E-2</v>
      </c>
      <c r="BB984" s="14">
        <f t="shared" si="89"/>
        <v>-166182.37183393157</v>
      </c>
      <c r="BC984" s="344"/>
      <c r="BD984" s="344"/>
      <c r="BE984" s="344"/>
      <c r="BF984" s="344"/>
      <c r="BG984" s="344"/>
      <c r="BH984" s="344"/>
      <c r="BI984" s="344"/>
      <c r="BJ984" s="344"/>
      <c r="BK984" s="344"/>
      <c r="BL984" s="344"/>
      <c r="BM984" s="344"/>
      <c r="BN984" s="344"/>
      <c r="BO984" s="344"/>
      <c r="BP984" s="344"/>
      <c r="BQ984" s="344"/>
      <c r="BR984" s="344"/>
      <c r="BS984" s="344"/>
      <c r="BT984" s="344"/>
      <c r="BU984" s="344"/>
      <c r="BV984" s="344"/>
      <c r="BW984" s="344"/>
      <c r="BX984" s="344"/>
      <c r="BY984" s="344"/>
      <c r="BZ984" s="344"/>
      <c r="CA984" s="344"/>
      <c r="CB984" s="28"/>
      <c r="CC984" s="28"/>
      <c r="CD984" s="28"/>
      <c r="CE984" s="28"/>
      <c r="CF984" s="28"/>
      <c r="CG984" s="28"/>
      <c r="CH984" s="28"/>
      <c r="CI984" s="28"/>
      <c r="CJ984" s="28"/>
      <c r="CK984" s="28"/>
      <c r="CL984" s="28"/>
      <c r="CM984" s="28"/>
      <c r="CN984" s="28"/>
      <c r="CO984" s="28"/>
      <c r="CP984" s="28"/>
      <c r="CQ984" s="28"/>
      <c r="CR984" s="28"/>
      <c r="CS984" s="28"/>
      <c r="CT984" s="28"/>
      <c r="CU984" s="28"/>
      <c r="CV984" s="28"/>
      <c r="CW984" s="28"/>
    </row>
    <row r="985" spans="1:101" ht="14.25" customHeight="1" x14ac:dyDescent="0.2">
      <c r="A985" s="328"/>
      <c r="B985" s="52">
        <v>0.18375477464990464</v>
      </c>
      <c r="C985" s="330">
        <v>0.29920763281967061</v>
      </c>
      <c r="D985" s="330">
        <v>1.3753086190649142E-2</v>
      </c>
      <c r="E985" s="330">
        <v>1.9263283190829039E-2</v>
      </c>
      <c r="F985" s="331">
        <v>0.81224594702108777</v>
      </c>
      <c r="G985" s="94">
        <v>0.41268396600450596</v>
      </c>
      <c r="H985" s="330">
        <v>0.44178659885987148</v>
      </c>
      <c r="I985" s="330">
        <v>1.3988696835630697E-2</v>
      </c>
      <c r="J985" s="330">
        <v>0.99304456783960859</v>
      </c>
      <c r="K985" s="330">
        <v>0.75549511799592162</v>
      </c>
      <c r="L985" s="332">
        <v>9678.0899523575063</v>
      </c>
      <c r="M985" s="330">
        <v>0</v>
      </c>
      <c r="N985" s="330">
        <v>18147.435961361749</v>
      </c>
      <c r="O985" s="330">
        <v>1575.6742550650456</v>
      </c>
      <c r="P985" s="330">
        <v>47326.280616169242</v>
      </c>
      <c r="Q985" s="333">
        <v>59272.309608601543</v>
      </c>
      <c r="R985" s="330">
        <v>24610.116469773948</v>
      </c>
      <c r="S985" s="330">
        <v>12119.887867970065</v>
      </c>
      <c r="T985" s="332">
        <v>0.99761119447261559</v>
      </c>
      <c r="U985" s="330">
        <v>0.80787040798143794</v>
      </c>
      <c r="V985" s="330">
        <v>0.99281683270123022</v>
      </c>
      <c r="W985" s="330">
        <v>0.71185886459075254</v>
      </c>
      <c r="X985" s="330">
        <v>0.66808832039279453</v>
      </c>
      <c r="Y985" s="330">
        <v>0</v>
      </c>
      <c r="Z985" s="331">
        <v>0</v>
      </c>
      <c r="AA985" s="235"/>
      <c r="AB985" s="335">
        <v>117115.47217866867</v>
      </c>
      <c r="AC985" s="336">
        <v>3.3715515584172384</v>
      </c>
      <c r="AD985" s="337">
        <v>104095.08309028861</v>
      </c>
      <c r="AE985" s="336">
        <v>3.1226516632225962</v>
      </c>
      <c r="AF985" s="337">
        <v>13020.389088380063</v>
      </c>
      <c r="AG985" s="338">
        <v>0.24889989519464217</v>
      </c>
      <c r="AH985" s="235"/>
      <c r="AI985" s="208">
        <f t="shared" si="108"/>
        <v>3085858.5083177076</v>
      </c>
      <c r="AJ985" s="208">
        <f t="shared" si="109"/>
        <v>2862423.9969711779</v>
      </c>
      <c r="AK985" s="208">
        <f t="shared" si="110"/>
        <v>223434.51134652999</v>
      </c>
      <c r="AL985" s="235"/>
      <c r="AM985" s="52">
        <f t="shared" si="86"/>
        <v>1</v>
      </c>
      <c r="AN985" s="52">
        <f t="shared" si="87"/>
        <v>0</v>
      </c>
      <c r="AO985" s="52">
        <f t="shared" si="88"/>
        <v>1</v>
      </c>
      <c r="AP985" s="235"/>
      <c r="AQ985" s="28"/>
      <c r="AR985" s="28"/>
      <c r="AS985" s="28"/>
      <c r="AT985" s="28"/>
      <c r="AU985" s="235"/>
      <c r="AV985" s="360">
        <f t="shared" si="111"/>
        <v>3085858.5083177076</v>
      </c>
      <c r="AW985" s="235"/>
      <c r="AX985" s="355"/>
      <c r="AY985" s="344"/>
      <c r="AZ985" s="14">
        <f t="shared" si="113"/>
        <v>13020.389088380063</v>
      </c>
      <c r="BA985" s="14">
        <f t="shared" si="112"/>
        <v>0.24889989519464217</v>
      </c>
      <c r="BB985" s="14">
        <f t="shared" si="89"/>
        <v>52311.749983655034</v>
      </c>
      <c r="BC985" s="344"/>
      <c r="BD985" s="344"/>
      <c r="BE985" s="344"/>
      <c r="BF985" s="344"/>
      <c r="BG985" s="344"/>
      <c r="BH985" s="344"/>
      <c r="BI985" s="344"/>
      <c r="BJ985" s="344"/>
      <c r="BK985" s="344"/>
      <c r="BL985" s="344"/>
      <c r="BM985" s="344"/>
      <c r="BN985" s="344"/>
      <c r="BO985" s="344"/>
      <c r="BP985" s="344"/>
      <c r="BQ985" s="344"/>
      <c r="BR985" s="344"/>
      <c r="BS985" s="344"/>
      <c r="BT985" s="344"/>
      <c r="BU985" s="344"/>
      <c r="BV985" s="344"/>
      <c r="BW985" s="344"/>
      <c r="BX985" s="344"/>
      <c r="BY985" s="344"/>
      <c r="BZ985" s="344"/>
      <c r="CA985" s="344"/>
      <c r="CB985" s="28"/>
      <c r="CC985" s="28"/>
      <c r="CD985" s="28"/>
      <c r="CE985" s="28"/>
      <c r="CF985" s="28"/>
      <c r="CG985" s="28"/>
      <c r="CH985" s="28"/>
      <c r="CI985" s="28"/>
      <c r="CJ985" s="28"/>
      <c r="CK985" s="28"/>
      <c r="CL985" s="28"/>
      <c r="CM985" s="28"/>
      <c r="CN985" s="28"/>
      <c r="CO985" s="28"/>
      <c r="CP985" s="28"/>
      <c r="CQ985" s="28"/>
      <c r="CR985" s="28"/>
      <c r="CS985" s="28"/>
      <c r="CT985" s="28"/>
      <c r="CU985" s="28"/>
      <c r="CV985" s="28"/>
      <c r="CW985" s="28"/>
    </row>
    <row r="986" spans="1:101" ht="14.25" customHeight="1" x14ac:dyDescent="0.2">
      <c r="A986" s="328"/>
      <c r="B986" s="52">
        <v>0.1437326602907151</v>
      </c>
      <c r="C986" s="330">
        <v>5.7392906146838528E-2</v>
      </c>
      <c r="D986" s="330">
        <v>1.1595901968293153E-2</v>
      </c>
      <c r="E986" s="330">
        <v>1.9883187065850016E-2</v>
      </c>
      <c r="F986" s="331">
        <v>0.79984144337090624</v>
      </c>
      <c r="G986" s="94">
        <v>0.3874970555706882</v>
      </c>
      <c r="H986" s="330">
        <v>5.3796471609299519E-2</v>
      </c>
      <c r="I986" s="330">
        <v>1.4548176048523116E-2</v>
      </c>
      <c r="J986" s="330">
        <v>0.99999194551490389</v>
      </c>
      <c r="K986" s="330">
        <v>0.75864883091693758</v>
      </c>
      <c r="L986" s="332">
        <v>10859.597292269233</v>
      </c>
      <c r="M986" s="330">
        <v>0</v>
      </c>
      <c r="N986" s="330">
        <v>14077.322853798367</v>
      </c>
      <c r="O986" s="330">
        <v>1033.7159398033164</v>
      </c>
      <c r="P986" s="330">
        <v>56691.560007850218</v>
      </c>
      <c r="Q986" s="333">
        <v>95705.568275270649</v>
      </c>
      <c r="R986" s="330">
        <v>23794.576003398397</v>
      </c>
      <c r="S986" s="330">
        <v>9514.5431403061866</v>
      </c>
      <c r="T986" s="332">
        <v>0.97916772357538773</v>
      </c>
      <c r="U986" s="330">
        <v>0.90284464660914754</v>
      </c>
      <c r="V986" s="330">
        <v>0.98110967547961869</v>
      </c>
      <c r="W986" s="330">
        <v>0.49693264124700781</v>
      </c>
      <c r="X986" s="330">
        <v>0.98209462335756159</v>
      </c>
      <c r="Y986" s="330">
        <v>0</v>
      </c>
      <c r="Z986" s="331">
        <v>0</v>
      </c>
      <c r="AA986" s="235"/>
      <c r="AB986" s="335">
        <v>93032.34299186297</v>
      </c>
      <c r="AC986" s="336">
        <v>5.3070021510745313</v>
      </c>
      <c r="AD986" s="337">
        <v>79295.682891333796</v>
      </c>
      <c r="AE986" s="336">
        <v>4.5421232245778285</v>
      </c>
      <c r="AF986" s="337">
        <v>13736.660100529174</v>
      </c>
      <c r="AG986" s="338">
        <v>0.76487892649670286</v>
      </c>
      <c r="AH986" s="235"/>
      <c r="AI986" s="208">
        <f t="shared" si="108"/>
        <v>4948619.7005289411</v>
      </c>
      <c r="AJ986" s="208">
        <f t="shared" si="109"/>
        <v>4235721.3804576034</v>
      </c>
      <c r="AK986" s="208">
        <f t="shared" si="110"/>
        <v>712898.32007133856</v>
      </c>
      <c r="AL986" s="235"/>
      <c r="AM986" s="52">
        <f t="shared" si="86"/>
        <v>1</v>
      </c>
      <c r="AN986" s="52">
        <f t="shared" si="87"/>
        <v>0</v>
      </c>
      <c r="AO986" s="52">
        <f t="shared" si="88"/>
        <v>1</v>
      </c>
      <c r="AP986" s="235"/>
      <c r="AQ986" s="28"/>
      <c r="AR986" s="28"/>
      <c r="AS986" s="28"/>
      <c r="AT986" s="28"/>
      <c r="AU986" s="235"/>
      <c r="AV986" s="360">
        <f t="shared" si="111"/>
        <v>4948619.7005289411</v>
      </c>
      <c r="AW986" s="235"/>
      <c r="AX986" s="355"/>
      <c r="AY986" s="344"/>
      <c r="AZ986" s="14">
        <f t="shared" si="113"/>
        <v>13736.660100529174</v>
      </c>
      <c r="BA986" s="14">
        <f t="shared" si="112"/>
        <v>0.76487892649670286</v>
      </c>
      <c r="BB986" s="14">
        <f t="shared" si="89"/>
        <v>17959.260772741905</v>
      </c>
      <c r="BC986" s="344"/>
      <c r="BD986" s="344"/>
      <c r="BE986" s="344"/>
      <c r="BF986" s="344"/>
      <c r="BG986" s="344"/>
      <c r="BH986" s="344"/>
      <c r="BI986" s="344"/>
      <c r="BJ986" s="344"/>
      <c r="BK986" s="344"/>
      <c r="BL986" s="344"/>
      <c r="BM986" s="344"/>
      <c r="BN986" s="344"/>
      <c r="BO986" s="344"/>
      <c r="BP986" s="344"/>
      <c r="BQ986" s="344"/>
      <c r="BR986" s="344"/>
      <c r="BS986" s="344"/>
      <c r="BT986" s="344"/>
      <c r="BU986" s="344"/>
      <c r="BV986" s="344"/>
      <c r="BW986" s="344"/>
      <c r="BX986" s="344"/>
      <c r="BY986" s="344"/>
      <c r="BZ986" s="344"/>
      <c r="CA986" s="344"/>
      <c r="CB986" s="28"/>
      <c r="CC986" s="28"/>
      <c r="CD986" s="28"/>
      <c r="CE986" s="28"/>
      <c r="CF986" s="28"/>
      <c r="CG986" s="28"/>
      <c r="CH986" s="28"/>
      <c r="CI986" s="28"/>
      <c r="CJ986" s="28"/>
      <c r="CK986" s="28"/>
      <c r="CL986" s="28"/>
      <c r="CM986" s="28"/>
      <c r="CN986" s="28"/>
      <c r="CO986" s="28"/>
      <c r="CP986" s="28"/>
      <c r="CQ986" s="28"/>
      <c r="CR986" s="28"/>
      <c r="CS986" s="28"/>
      <c r="CT986" s="28"/>
      <c r="CU986" s="28"/>
      <c r="CV986" s="28"/>
      <c r="CW986" s="28"/>
    </row>
    <row r="987" spans="1:101" ht="14.25" customHeight="1" x14ac:dyDescent="0.2">
      <c r="A987" s="328"/>
      <c r="B987" s="52">
        <v>0.17069625027622459</v>
      </c>
      <c r="C987" s="330">
        <v>0.3919538294787035</v>
      </c>
      <c r="D987" s="330">
        <v>7.4476360591905844E-3</v>
      </c>
      <c r="E987" s="330">
        <v>1.9713645878471242E-2</v>
      </c>
      <c r="F987" s="331">
        <v>0.81646609309317453</v>
      </c>
      <c r="G987" s="94">
        <v>0.41751929795669207</v>
      </c>
      <c r="H987" s="330">
        <v>0.9072022767358765</v>
      </c>
      <c r="I987" s="330">
        <v>1.929246478117419E-2</v>
      </c>
      <c r="J987" s="330">
        <v>0.99999999251142735</v>
      </c>
      <c r="K987" s="330">
        <v>0.74977656193602449</v>
      </c>
      <c r="L987" s="332">
        <v>8892.5521708984179</v>
      </c>
      <c r="M987" s="330">
        <v>0</v>
      </c>
      <c r="N987" s="330">
        <v>22324.192524229817</v>
      </c>
      <c r="O987" s="330">
        <v>1302.6755309313917</v>
      </c>
      <c r="P987" s="330">
        <v>52355.245278079317</v>
      </c>
      <c r="Q987" s="333">
        <v>89164.195421280572</v>
      </c>
      <c r="R987" s="330">
        <v>20204.048478296907</v>
      </c>
      <c r="S987" s="330">
        <v>9262.8688643715323</v>
      </c>
      <c r="T987" s="332">
        <v>0.97671181732103662</v>
      </c>
      <c r="U987" s="330">
        <v>0.62160753593304352</v>
      </c>
      <c r="V987" s="330">
        <v>0.98193909672815483</v>
      </c>
      <c r="W987" s="330">
        <v>0.58648985487436511</v>
      </c>
      <c r="X987" s="330">
        <v>0.99927475034208657</v>
      </c>
      <c r="Y987" s="330">
        <v>0</v>
      </c>
      <c r="Z987" s="331">
        <v>0</v>
      </c>
      <c r="AA987" s="235"/>
      <c r="AB987" s="335">
        <v>91740.244234427257</v>
      </c>
      <c r="AC987" s="336">
        <v>5.1526434466965618</v>
      </c>
      <c r="AD987" s="337">
        <v>83961.853958968422</v>
      </c>
      <c r="AE987" s="336">
        <v>4.734821606067257</v>
      </c>
      <c r="AF987" s="337">
        <v>7778.3902754588344</v>
      </c>
      <c r="AG987" s="338">
        <v>0.41782184062930483</v>
      </c>
      <c r="AH987" s="235"/>
      <c r="AI987" s="208">
        <f t="shared" si="108"/>
        <v>4803271.0301273065</v>
      </c>
      <c r="AJ987" s="208">
        <f t="shared" si="109"/>
        <v>4414118.6718049264</v>
      </c>
      <c r="AK987" s="208">
        <f t="shared" si="110"/>
        <v>389152.35832238081</v>
      </c>
      <c r="AL987" s="235"/>
      <c r="AM987" s="52">
        <f t="shared" si="86"/>
        <v>1</v>
      </c>
      <c r="AN987" s="52">
        <f t="shared" si="87"/>
        <v>0</v>
      </c>
      <c r="AO987" s="52">
        <f t="shared" si="88"/>
        <v>1</v>
      </c>
      <c r="AP987" s="235"/>
      <c r="AQ987" s="28"/>
      <c r="AR987" s="28"/>
      <c r="AS987" s="28"/>
      <c r="AT987" s="28"/>
      <c r="AU987" s="235"/>
      <c r="AV987" s="360">
        <f t="shared" si="111"/>
        <v>4803271.0301273065</v>
      </c>
      <c r="AW987" s="235"/>
      <c r="AX987" s="355"/>
      <c r="AY987" s="344"/>
      <c r="AZ987" s="14">
        <f t="shared" si="113"/>
        <v>7778.3902754588344</v>
      </c>
      <c r="BA987" s="14">
        <f t="shared" si="112"/>
        <v>0.41782184062930483</v>
      </c>
      <c r="BB987" s="14">
        <f t="shared" si="89"/>
        <v>18616.523884302856</v>
      </c>
      <c r="BC987" s="344"/>
      <c r="BD987" s="344"/>
      <c r="BE987" s="344"/>
      <c r="BF987" s="344"/>
      <c r="BG987" s="344"/>
      <c r="BH987" s="344"/>
      <c r="BI987" s="344"/>
      <c r="BJ987" s="344"/>
      <c r="BK987" s="344"/>
      <c r="BL987" s="344"/>
      <c r="BM987" s="344"/>
      <c r="BN987" s="344"/>
      <c r="BO987" s="344"/>
      <c r="BP987" s="344"/>
      <c r="BQ987" s="344"/>
      <c r="BR987" s="344"/>
      <c r="BS987" s="344"/>
      <c r="BT987" s="344"/>
      <c r="BU987" s="344"/>
      <c r="BV987" s="344"/>
      <c r="BW987" s="344"/>
      <c r="BX987" s="344"/>
      <c r="BY987" s="344"/>
      <c r="BZ987" s="344"/>
      <c r="CA987" s="344"/>
      <c r="CB987" s="28"/>
      <c r="CC987" s="28"/>
      <c r="CD987" s="28"/>
      <c r="CE987" s="28"/>
      <c r="CF987" s="28"/>
      <c r="CG987" s="28"/>
      <c r="CH987" s="28"/>
      <c r="CI987" s="28"/>
      <c r="CJ987" s="28"/>
      <c r="CK987" s="28"/>
      <c r="CL987" s="28"/>
      <c r="CM987" s="28"/>
      <c r="CN987" s="28"/>
      <c r="CO987" s="28"/>
      <c r="CP987" s="28"/>
      <c r="CQ987" s="28"/>
      <c r="CR987" s="28"/>
      <c r="CS987" s="28"/>
      <c r="CT987" s="28"/>
      <c r="CU987" s="28"/>
      <c r="CV987" s="28"/>
      <c r="CW987" s="28"/>
    </row>
    <row r="988" spans="1:101" ht="14.25" customHeight="1" x14ac:dyDescent="0.2">
      <c r="A988" s="328"/>
      <c r="B988" s="52">
        <v>0.16152465497017232</v>
      </c>
      <c r="C988" s="330">
        <v>7.7595391426689572E-2</v>
      </c>
      <c r="D988" s="330">
        <v>1.6121537442670864E-2</v>
      </c>
      <c r="E988" s="330">
        <v>4.9653329993181138E-3</v>
      </c>
      <c r="F988" s="331">
        <v>0.76900839464327742</v>
      </c>
      <c r="G988" s="94">
        <v>0.39972279605520089</v>
      </c>
      <c r="H988" s="330">
        <v>0.62765734253357874</v>
      </c>
      <c r="I988" s="330">
        <v>2.3489154927243683E-2</v>
      </c>
      <c r="J988" s="330">
        <v>0.99999985203332997</v>
      </c>
      <c r="K988" s="330">
        <v>0.75004351624125309</v>
      </c>
      <c r="L988" s="332">
        <v>16182.444822750416</v>
      </c>
      <c r="M988" s="330">
        <v>0</v>
      </c>
      <c r="N988" s="330">
        <v>22111.662204934815</v>
      </c>
      <c r="O988" s="330">
        <v>1297.5858460422949</v>
      </c>
      <c r="P988" s="330">
        <v>44928.18111930773</v>
      </c>
      <c r="Q988" s="333">
        <v>97825.761589917965</v>
      </c>
      <c r="R988" s="330">
        <v>28770.135635282888</v>
      </c>
      <c r="S988" s="330">
        <v>8101.6691512338166</v>
      </c>
      <c r="T988" s="332">
        <v>0.4559546906770171</v>
      </c>
      <c r="U988" s="330">
        <v>0.9936324845887814</v>
      </c>
      <c r="V988" s="330">
        <v>0.78783494080608274</v>
      </c>
      <c r="W988" s="330">
        <v>0.30872917166186364</v>
      </c>
      <c r="X988" s="330">
        <v>0.99556150957969058</v>
      </c>
      <c r="Y988" s="330">
        <v>0</v>
      </c>
      <c r="Z988" s="331">
        <v>0</v>
      </c>
      <c r="AA988" s="235"/>
      <c r="AB988" s="335">
        <v>83866.507704512362</v>
      </c>
      <c r="AC988" s="336">
        <v>4.8358189812413546</v>
      </c>
      <c r="AD988" s="337">
        <v>74345.592318326293</v>
      </c>
      <c r="AE988" s="336">
        <v>4.6220730875888707</v>
      </c>
      <c r="AF988" s="337">
        <v>9520.9153861860686</v>
      </c>
      <c r="AG988" s="338">
        <v>0.21374589365248386</v>
      </c>
      <c r="AH988" s="235"/>
      <c r="AI988" s="208">
        <f t="shared" si="108"/>
        <v>4510161.5244747745</v>
      </c>
      <c r="AJ988" s="208">
        <f t="shared" si="109"/>
        <v>4316623.8408911005</v>
      </c>
      <c r="AK988" s="208">
        <f t="shared" si="110"/>
        <v>193537.68358367361</v>
      </c>
      <c r="AL988" s="235"/>
      <c r="AM988" s="52">
        <f t="shared" si="86"/>
        <v>1</v>
      </c>
      <c r="AN988" s="52">
        <f t="shared" si="87"/>
        <v>0</v>
      </c>
      <c r="AO988" s="52">
        <f t="shared" si="88"/>
        <v>1</v>
      </c>
      <c r="AP988" s="235"/>
      <c r="AQ988" s="28"/>
      <c r="AR988" s="28"/>
      <c r="AS988" s="28"/>
      <c r="AT988" s="28"/>
      <c r="AU988" s="235"/>
      <c r="AV988" s="360">
        <f t="shared" si="111"/>
        <v>4510161.5244747745</v>
      </c>
      <c r="AW988" s="235"/>
      <c r="AX988" s="355"/>
      <c r="AY988" s="344"/>
      <c r="AZ988" s="14">
        <f t="shared" si="113"/>
        <v>9520.9153861860686</v>
      </c>
      <c r="BA988" s="14">
        <f t="shared" si="112"/>
        <v>0.21374589365248386</v>
      </c>
      <c r="BB988" s="14">
        <f t="shared" si="89"/>
        <v>44543.149922054326</v>
      </c>
      <c r="BC988" s="344"/>
      <c r="BD988" s="344"/>
      <c r="BE988" s="344"/>
      <c r="BF988" s="344"/>
      <c r="BG988" s="344"/>
      <c r="BH988" s="344"/>
      <c r="BI988" s="344"/>
      <c r="BJ988" s="344"/>
      <c r="BK988" s="344"/>
      <c r="BL988" s="344"/>
      <c r="BM988" s="344"/>
      <c r="BN988" s="344"/>
      <c r="BO988" s="344"/>
      <c r="BP988" s="344"/>
      <c r="BQ988" s="344"/>
      <c r="BR988" s="344"/>
      <c r="BS988" s="344"/>
      <c r="BT988" s="344"/>
      <c r="BU988" s="344"/>
      <c r="BV988" s="344"/>
      <c r="BW988" s="344"/>
      <c r="BX988" s="344"/>
      <c r="BY988" s="344"/>
      <c r="BZ988" s="344"/>
      <c r="CA988" s="344"/>
      <c r="CB988" s="28"/>
      <c r="CC988" s="28"/>
      <c r="CD988" s="28"/>
      <c r="CE988" s="28"/>
      <c r="CF988" s="28"/>
      <c r="CG988" s="28"/>
      <c r="CH988" s="28"/>
      <c r="CI988" s="28"/>
      <c r="CJ988" s="28"/>
      <c r="CK988" s="28"/>
      <c r="CL988" s="28"/>
      <c r="CM988" s="28"/>
      <c r="CN988" s="28"/>
      <c r="CO988" s="28"/>
      <c r="CP988" s="28"/>
      <c r="CQ988" s="28"/>
      <c r="CR988" s="28"/>
      <c r="CS988" s="28"/>
      <c r="CT988" s="28"/>
      <c r="CU988" s="28"/>
      <c r="CV988" s="28"/>
      <c r="CW988" s="28"/>
    </row>
    <row r="989" spans="1:101" ht="14.25" customHeight="1" x14ac:dyDescent="0.2">
      <c r="A989" s="328"/>
      <c r="B989" s="52">
        <v>0.16500659256537153</v>
      </c>
      <c r="C989" s="330">
        <v>0.10469002769715126</v>
      </c>
      <c r="D989" s="330">
        <v>2.4077994022502214E-2</v>
      </c>
      <c r="E989" s="330">
        <v>1.1102100251085427E-2</v>
      </c>
      <c r="F989" s="331">
        <v>0.80343259196228201</v>
      </c>
      <c r="G989" s="94">
        <v>0.41643203066787138</v>
      </c>
      <c r="H989" s="330">
        <v>0.95728493874083209</v>
      </c>
      <c r="I989" s="330">
        <v>2.8272574903589143E-2</v>
      </c>
      <c r="J989" s="330">
        <v>0.99999999999995226</v>
      </c>
      <c r="K989" s="330">
        <v>0.73217093241954789</v>
      </c>
      <c r="L989" s="332">
        <v>10355.802655552838</v>
      </c>
      <c r="M989" s="330">
        <v>0</v>
      </c>
      <c r="N989" s="330">
        <v>16772.007599090997</v>
      </c>
      <c r="O989" s="330">
        <v>1266.0772218036445</v>
      </c>
      <c r="P989" s="330">
        <v>47656.502085592583</v>
      </c>
      <c r="Q989" s="333">
        <v>127297.15694887837</v>
      </c>
      <c r="R989" s="330">
        <v>20309.616931855482</v>
      </c>
      <c r="S989" s="330">
        <v>7949.2459080624903</v>
      </c>
      <c r="T989" s="332">
        <v>0.78715909048811328</v>
      </c>
      <c r="U989" s="330">
        <v>0.96382210993019335</v>
      </c>
      <c r="V989" s="330">
        <v>0.91043375384298186</v>
      </c>
      <c r="W989" s="330">
        <v>0.94188419120460676</v>
      </c>
      <c r="X989" s="330">
        <v>0.99931608515046255</v>
      </c>
      <c r="Y989" s="330">
        <v>0</v>
      </c>
      <c r="Z989" s="331">
        <v>0</v>
      </c>
      <c r="AA989" s="235"/>
      <c r="AB989" s="335">
        <v>79961.125102466118</v>
      </c>
      <c r="AC989" s="336">
        <v>5.0939131592132263</v>
      </c>
      <c r="AD989" s="337">
        <v>73134.961518877171</v>
      </c>
      <c r="AE989" s="336">
        <v>4.5033364568033534</v>
      </c>
      <c r="AF989" s="337">
        <v>6826.1635835889465</v>
      </c>
      <c r="AG989" s="338">
        <v>0.59057670240987292</v>
      </c>
      <c r="AH989" s="235"/>
      <c r="AI989" s="208">
        <f t="shared" si="108"/>
        <v>4759256.3761500986</v>
      </c>
      <c r="AJ989" s="208">
        <f t="shared" si="109"/>
        <v>4205034.6724443082</v>
      </c>
      <c r="AK989" s="208">
        <f t="shared" si="110"/>
        <v>554221.70370579034</v>
      </c>
      <c r="AL989" s="235"/>
      <c r="AM989" s="52">
        <f t="shared" si="86"/>
        <v>1</v>
      </c>
      <c r="AN989" s="52">
        <f t="shared" si="87"/>
        <v>0</v>
      </c>
      <c r="AO989" s="52">
        <f t="shared" si="88"/>
        <v>1</v>
      </c>
      <c r="AP989" s="235"/>
      <c r="AQ989" s="28"/>
      <c r="AR989" s="28"/>
      <c r="AS989" s="28"/>
      <c r="AT989" s="28"/>
      <c r="AU989" s="235"/>
      <c r="AV989" s="360">
        <f t="shared" si="111"/>
        <v>4759256.3761500986</v>
      </c>
      <c r="AW989" s="235"/>
      <c r="AX989" s="355"/>
      <c r="AY989" s="344"/>
      <c r="AZ989" s="14">
        <f t="shared" si="113"/>
        <v>6826.1635835889465</v>
      </c>
      <c r="BA989" s="14">
        <f t="shared" si="112"/>
        <v>0.59057670240987292</v>
      </c>
      <c r="BB989" s="14">
        <f t="shared" si="89"/>
        <v>11558.470823069214</v>
      </c>
      <c r="BC989" s="344"/>
      <c r="BD989" s="344"/>
      <c r="BE989" s="344"/>
      <c r="BF989" s="344"/>
      <c r="BG989" s="344"/>
      <c r="BH989" s="344"/>
      <c r="BI989" s="344"/>
      <c r="BJ989" s="344"/>
      <c r="BK989" s="344"/>
      <c r="BL989" s="344"/>
      <c r="BM989" s="344"/>
      <c r="BN989" s="344"/>
      <c r="BO989" s="344"/>
      <c r="BP989" s="344"/>
      <c r="BQ989" s="344"/>
      <c r="BR989" s="344"/>
      <c r="BS989" s="344"/>
      <c r="BT989" s="344"/>
      <c r="BU989" s="344"/>
      <c r="BV989" s="344"/>
      <c r="BW989" s="344"/>
      <c r="BX989" s="344"/>
      <c r="BY989" s="344"/>
      <c r="BZ989" s="344"/>
      <c r="CA989" s="344"/>
      <c r="CB989" s="28"/>
      <c r="CC989" s="28"/>
      <c r="CD989" s="28"/>
      <c r="CE989" s="28"/>
      <c r="CF989" s="28"/>
      <c r="CG989" s="28"/>
      <c r="CH989" s="28"/>
      <c r="CI989" s="28"/>
      <c r="CJ989" s="28"/>
      <c r="CK989" s="28"/>
      <c r="CL989" s="28"/>
      <c r="CM989" s="28"/>
      <c r="CN989" s="28"/>
      <c r="CO989" s="28"/>
      <c r="CP989" s="28"/>
      <c r="CQ989" s="28"/>
      <c r="CR989" s="28"/>
      <c r="CS989" s="28"/>
      <c r="CT989" s="28"/>
      <c r="CU989" s="28"/>
      <c r="CV989" s="28"/>
      <c r="CW989" s="28"/>
    </row>
    <row r="990" spans="1:101" ht="14.25" customHeight="1" x14ac:dyDescent="0.2">
      <c r="A990" s="328"/>
      <c r="B990" s="52">
        <v>0.14109034987415042</v>
      </c>
      <c r="C990" s="330">
        <v>0.11624832845907385</v>
      </c>
      <c r="D990" s="330">
        <v>1.105858369603282E-2</v>
      </c>
      <c r="E990" s="330">
        <v>1.7256420459071498E-2</v>
      </c>
      <c r="F990" s="331">
        <v>0.75595360826259528</v>
      </c>
      <c r="G990" s="94">
        <v>0.3706984044211592</v>
      </c>
      <c r="H990" s="330">
        <v>0.55487082307784052</v>
      </c>
      <c r="I990" s="330">
        <v>1.2987102285096497E-2</v>
      </c>
      <c r="J990" s="330">
        <v>0.99999999999671629</v>
      </c>
      <c r="K990" s="330">
        <v>0.81230375600108873</v>
      </c>
      <c r="L990" s="332">
        <v>12550.490156722135</v>
      </c>
      <c r="M990" s="330">
        <v>0</v>
      </c>
      <c r="N990" s="330">
        <v>26199.254221450628</v>
      </c>
      <c r="O990" s="330">
        <v>1470.1963474407869</v>
      </c>
      <c r="P990" s="330">
        <v>41130.96404467769</v>
      </c>
      <c r="Q990" s="333">
        <v>90866.406088579242</v>
      </c>
      <c r="R990" s="330">
        <v>26701.556721733425</v>
      </c>
      <c r="S990" s="330">
        <v>9498.3358076167715</v>
      </c>
      <c r="T990" s="332">
        <v>0.91195109843638433</v>
      </c>
      <c r="U990" s="330">
        <v>0.5660769119745368</v>
      </c>
      <c r="V990" s="330">
        <v>0.92146739380788878</v>
      </c>
      <c r="W990" s="330">
        <v>0.98596365866882341</v>
      </c>
      <c r="X990" s="330">
        <v>0.9947451020722744</v>
      </c>
      <c r="Y990" s="330">
        <v>0</v>
      </c>
      <c r="Z990" s="331">
        <v>0</v>
      </c>
      <c r="AA990" s="235"/>
      <c r="AB990" s="335">
        <v>90392.927790009504</v>
      </c>
      <c r="AC990" s="336">
        <v>4.9620451131997436</v>
      </c>
      <c r="AD990" s="337">
        <v>89539.634678711926</v>
      </c>
      <c r="AE990" s="336">
        <v>4.9123864485949476</v>
      </c>
      <c r="AF990" s="337">
        <v>853.29311129757843</v>
      </c>
      <c r="AG990" s="338">
        <v>4.9658664604796066E-2</v>
      </c>
      <c r="AH990" s="235"/>
      <c r="AI990" s="208">
        <f t="shared" si="108"/>
        <v>4623549.9297497468</v>
      </c>
      <c r="AJ990" s="208">
        <f t="shared" si="109"/>
        <v>4577227.4914864879</v>
      </c>
      <c r="AK990" s="208">
        <f t="shared" si="110"/>
        <v>46322.438263258686</v>
      </c>
      <c r="AL990" s="235"/>
      <c r="AM990" s="52">
        <f t="shared" si="86"/>
        <v>1</v>
      </c>
      <c r="AN990" s="52">
        <f t="shared" si="87"/>
        <v>0</v>
      </c>
      <c r="AO990" s="52">
        <f t="shared" si="88"/>
        <v>1</v>
      </c>
      <c r="AP990" s="235"/>
      <c r="AQ990" s="28"/>
      <c r="AR990" s="28"/>
      <c r="AS990" s="28"/>
      <c r="AT990" s="28"/>
      <c r="AU990" s="235"/>
      <c r="AV990" s="360">
        <f t="shared" si="111"/>
        <v>4623549.9297497468</v>
      </c>
      <c r="AW990" s="235"/>
      <c r="AX990" s="355"/>
      <c r="AY990" s="344"/>
      <c r="AZ990" s="14">
        <f t="shared" si="113"/>
        <v>853.29311129757843</v>
      </c>
      <c r="BA990" s="14">
        <f t="shared" si="112"/>
        <v>4.9658664604796066E-2</v>
      </c>
      <c r="BB990" s="14">
        <f t="shared" si="89"/>
        <v>17183.1666857825</v>
      </c>
      <c r="BC990" s="344"/>
      <c r="BD990" s="344"/>
      <c r="BE990" s="344"/>
      <c r="BF990" s="344"/>
      <c r="BG990" s="344"/>
      <c r="BH990" s="344"/>
      <c r="BI990" s="344"/>
      <c r="BJ990" s="344"/>
      <c r="BK990" s="344"/>
      <c r="BL990" s="344"/>
      <c r="BM990" s="344"/>
      <c r="BN990" s="344"/>
      <c r="BO990" s="344"/>
      <c r="BP990" s="344"/>
      <c r="BQ990" s="344"/>
      <c r="BR990" s="344"/>
      <c r="BS990" s="344"/>
      <c r="BT990" s="344"/>
      <c r="BU990" s="344"/>
      <c r="BV990" s="344"/>
      <c r="BW990" s="344"/>
      <c r="BX990" s="344"/>
      <c r="BY990" s="344"/>
      <c r="BZ990" s="344"/>
      <c r="CA990" s="344"/>
      <c r="CB990" s="28"/>
      <c r="CC990" s="28"/>
      <c r="CD990" s="28"/>
      <c r="CE990" s="28"/>
      <c r="CF990" s="28"/>
      <c r="CG990" s="28"/>
      <c r="CH990" s="28"/>
      <c r="CI990" s="28"/>
      <c r="CJ990" s="28"/>
      <c r="CK990" s="28"/>
      <c r="CL990" s="28"/>
      <c r="CM990" s="28"/>
      <c r="CN990" s="28"/>
      <c r="CO990" s="28"/>
      <c r="CP990" s="28"/>
      <c r="CQ990" s="28"/>
      <c r="CR990" s="28"/>
      <c r="CS990" s="28"/>
      <c r="CT990" s="28"/>
      <c r="CU990" s="28"/>
      <c r="CV990" s="28"/>
      <c r="CW990" s="28"/>
    </row>
    <row r="991" spans="1:101" ht="14.25" customHeight="1" x14ac:dyDescent="0.2">
      <c r="A991" s="328"/>
      <c r="B991" s="52">
        <v>0.16629027291691112</v>
      </c>
      <c r="C991" s="330">
        <v>0.29411876235004403</v>
      </c>
      <c r="D991" s="330">
        <v>2.381914503200977E-2</v>
      </c>
      <c r="E991" s="330">
        <v>1.8427187662192202E-2</v>
      </c>
      <c r="F991" s="331">
        <v>0.7710339933633531</v>
      </c>
      <c r="G991" s="94">
        <v>0.40772399833964601</v>
      </c>
      <c r="H991" s="330">
        <v>0.18523919134802727</v>
      </c>
      <c r="I991" s="330">
        <v>1.3630937954421603E-2</v>
      </c>
      <c r="J991" s="330">
        <v>0.99981230620439576</v>
      </c>
      <c r="K991" s="330">
        <v>0.75477661052403566</v>
      </c>
      <c r="L991" s="332">
        <v>11446.102275805566</v>
      </c>
      <c r="M991" s="330">
        <v>0</v>
      </c>
      <c r="N991" s="330">
        <v>20311.766573613077</v>
      </c>
      <c r="O991" s="330">
        <v>1543.7804091167475</v>
      </c>
      <c r="P991" s="330">
        <v>54628.387758020843</v>
      </c>
      <c r="Q991" s="333">
        <v>80325.040531027436</v>
      </c>
      <c r="R991" s="330">
        <v>17173.333550850792</v>
      </c>
      <c r="S991" s="330">
        <v>9051.4370300966275</v>
      </c>
      <c r="T991" s="332">
        <v>0.67071419053530867</v>
      </c>
      <c r="U991" s="330">
        <v>5.0113662890624161E-2</v>
      </c>
      <c r="V991" s="330">
        <v>0.94442760134128179</v>
      </c>
      <c r="W991" s="330">
        <v>0.72828164165606157</v>
      </c>
      <c r="X991" s="330">
        <v>0.12315534109144205</v>
      </c>
      <c r="Y991" s="330">
        <v>0</v>
      </c>
      <c r="Z991" s="331">
        <v>0</v>
      </c>
      <c r="AA991" s="235"/>
      <c r="AB991" s="335">
        <v>87759.272925511526</v>
      </c>
      <c r="AC991" s="336">
        <v>0.57917272077391968</v>
      </c>
      <c r="AD991" s="337">
        <v>76113.467310062886</v>
      </c>
      <c r="AE991" s="336">
        <v>0.58274164695017405</v>
      </c>
      <c r="AF991" s="337">
        <v>11645.80561544864</v>
      </c>
      <c r="AG991" s="338">
        <v>-3.5689261762543723E-3</v>
      </c>
      <c r="AH991" s="235"/>
      <c r="AI991" s="208">
        <f t="shared" si="108"/>
        <v>462454.81180971215</v>
      </c>
      <c r="AJ991" s="208">
        <f t="shared" si="109"/>
        <v>477491.09729260247</v>
      </c>
      <c r="AK991" s="208">
        <f t="shared" si="110"/>
        <v>-15036.285482890295</v>
      </c>
      <c r="AL991" s="235"/>
      <c r="AM991" s="52">
        <f t="shared" si="86"/>
        <v>0</v>
      </c>
      <c r="AN991" s="52">
        <f t="shared" si="87"/>
        <v>1</v>
      </c>
      <c r="AO991" s="52">
        <f t="shared" si="88"/>
        <v>0</v>
      </c>
      <c r="AP991" s="235"/>
      <c r="AQ991" s="28"/>
      <c r="AR991" s="28"/>
      <c r="AS991" s="28"/>
      <c r="AT991" s="28"/>
      <c r="AU991" s="235"/>
      <c r="AV991" s="360">
        <f t="shared" si="111"/>
        <v>477491.09729260247</v>
      </c>
      <c r="AW991" s="235"/>
      <c r="AX991" s="355"/>
      <c r="AY991" s="344"/>
      <c r="AZ991" s="14">
        <f t="shared" si="113"/>
        <v>11645.80561544864</v>
      </c>
      <c r="BA991" s="14">
        <f t="shared" si="112"/>
        <v>-3.5689261762543723E-3</v>
      </c>
      <c r="BB991" s="14">
        <f t="shared" si="89"/>
        <v>-3263111.9390850058</v>
      </c>
      <c r="BC991" s="344"/>
      <c r="BD991" s="344"/>
      <c r="BE991" s="344"/>
      <c r="BF991" s="344"/>
      <c r="BG991" s="344"/>
      <c r="BH991" s="344"/>
      <c r="BI991" s="344"/>
      <c r="BJ991" s="344"/>
      <c r="BK991" s="344"/>
      <c r="BL991" s="344"/>
      <c r="BM991" s="344"/>
      <c r="BN991" s="344"/>
      <c r="BO991" s="344"/>
      <c r="BP991" s="344"/>
      <c r="BQ991" s="344"/>
      <c r="BR991" s="344"/>
      <c r="BS991" s="344"/>
      <c r="BT991" s="344"/>
      <c r="BU991" s="344"/>
      <c r="BV991" s="344"/>
      <c r="BW991" s="344"/>
      <c r="BX991" s="344"/>
      <c r="BY991" s="344"/>
      <c r="BZ991" s="344"/>
      <c r="CA991" s="344"/>
      <c r="CB991" s="28"/>
      <c r="CC991" s="28"/>
      <c r="CD991" s="28"/>
      <c r="CE991" s="28"/>
      <c r="CF991" s="28"/>
      <c r="CG991" s="28"/>
      <c r="CH991" s="28"/>
      <c r="CI991" s="28"/>
      <c r="CJ991" s="28"/>
      <c r="CK991" s="28"/>
      <c r="CL991" s="28"/>
      <c r="CM991" s="28"/>
      <c r="CN991" s="28"/>
      <c r="CO991" s="28"/>
      <c r="CP991" s="28"/>
      <c r="CQ991" s="28"/>
      <c r="CR991" s="28"/>
      <c r="CS991" s="28"/>
      <c r="CT991" s="28"/>
      <c r="CU991" s="28"/>
      <c r="CV991" s="28"/>
      <c r="CW991" s="28"/>
    </row>
    <row r="992" spans="1:101" ht="14.25" customHeight="1" x14ac:dyDescent="0.2">
      <c r="A992" s="328"/>
      <c r="B992" s="52">
        <v>0.16513136044576882</v>
      </c>
      <c r="C992" s="330">
        <v>0.26035638664768412</v>
      </c>
      <c r="D992" s="330">
        <v>1.2135312830115414E-2</v>
      </c>
      <c r="E992" s="330">
        <v>1.8468954067540788E-2</v>
      </c>
      <c r="F992" s="331">
        <v>0.78707140161718969</v>
      </c>
      <c r="G992" s="94">
        <v>0.40398636455941495</v>
      </c>
      <c r="H992" s="330">
        <v>0.28896763333903369</v>
      </c>
      <c r="I992" s="330">
        <v>7.0589262480306716E-3</v>
      </c>
      <c r="J992" s="330">
        <v>0.72922873183830894</v>
      </c>
      <c r="K992" s="330">
        <v>0.74017681619175757</v>
      </c>
      <c r="L992" s="332">
        <v>9466.2151777881882</v>
      </c>
      <c r="M992" s="330">
        <v>0</v>
      </c>
      <c r="N992" s="330">
        <v>17006.240426557975</v>
      </c>
      <c r="O992" s="330">
        <v>1063.9940313079514</v>
      </c>
      <c r="P992" s="330">
        <v>33261.173764060928</v>
      </c>
      <c r="Q992" s="333">
        <v>123580.34443733764</v>
      </c>
      <c r="R992" s="330">
        <v>20981.775394662422</v>
      </c>
      <c r="S992" s="330">
        <v>6616.4163706491636</v>
      </c>
      <c r="T992" s="332">
        <v>0.82578559707263499</v>
      </c>
      <c r="U992" s="330">
        <v>0.54953653989037976</v>
      </c>
      <c r="V992" s="330">
        <v>0.89156203850359994</v>
      </c>
      <c r="W992" s="330">
        <v>0.99999976579963223</v>
      </c>
      <c r="X992" s="330">
        <v>0.11883260937753537</v>
      </c>
      <c r="Y992" s="330">
        <v>0</v>
      </c>
      <c r="Z992" s="331">
        <v>0</v>
      </c>
      <c r="AA992" s="235"/>
      <c r="AB992" s="335">
        <v>66677.36441755158</v>
      </c>
      <c r="AC992" s="336">
        <v>0.89723787013286782</v>
      </c>
      <c r="AD992" s="337">
        <v>55888.719250648071</v>
      </c>
      <c r="AE992" s="336">
        <v>0.56735748995810953</v>
      </c>
      <c r="AF992" s="337">
        <v>10788.645166903509</v>
      </c>
      <c r="AG992" s="338">
        <v>0.32988038017475829</v>
      </c>
      <c r="AH992" s="235"/>
      <c r="AI992" s="208">
        <f t="shared" si="108"/>
        <v>785698.61220867292</v>
      </c>
      <c r="AJ992" s="208">
        <f t="shared" si="109"/>
        <v>483100.89620955603</v>
      </c>
      <c r="AK992" s="208">
        <f t="shared" si="110"/>
        <v>302597.71599911689</v>
      </c>
      <c r="AL992" s="235"/>
      <c r="AM992" s="52">
        <f t="shared" si="86"/>
        <v>1</v>
      </c>
      <c r="AN992" s="52">
        <f t="shared" si="87"/>
        <v>0</v>
      </c>
      <c r="AO992" s="52">
        <f t="shared" si="88"/>
        <v>1</v>
      </c>
      <c r="AP992" s="235"/>
      <c r="AQ992" s="28"/>
      <c r="AR992" s="28"/>
      <c r="AS992" s="28"/>
      <c r="AT992" s="28"/>
      <c r="AU992" s="235"/>
      <c r="AV992" s="360">
        <f t="shared" si="111"/>
        <v>785698.61220867292</v>
      </c>
      <c r="AW992" s="235"/>
      <c r="AX992" s="355"/>
      <c r="AY992" s="344"/>
      <c r="AZ992" s="14">
        <f t="shared" si="113"/>
        <v>10788.645166903509</v>
      </c>
      <c r="BA992" s="14">
        <f t="shared" si="112"/>
        <v>0.32988038017475829</v>
      </c>
      <c r="BB992" s="14">
        <f t="shared" si="89"/>
        <v>32704.719089956448</v>
      </c>
      <c r="BC992" s="344"/>
      <c r="BD992" s="344"/>
      <c r="BE992" s="344"/>
      <c r="BF992" s="344"/>
      <c r="BG992" s="344"/>
      <c r="BH992" s="344"/>
      <c r="BI992" s="344"/>
      <c r="BJ992" s="344"/>
      <c r="BK992" s="344"/>
      <c r="BL992" s="344"/>
      <c r="BM992" s="344"/>
      <c r="BN992" s="344"/>
      <c r="BO992" s="344"/>
      <c r="BP992" s="344"/>
      <c r="BQ992" s="344"/>
      <c r="BR992" s="344"/>
      <c r="BS992" s="344"/>
      <c r="BT992" s="344"/>
      <c r="BU992" s="344"/>
      <c r="BV992" s="344"/>
      <c r="BW992" s="344"/>
      <c r="BX992" s="344"/>
      <c r="BY992" s="344"/>
      <c r="BZ992" s="344"/>
      <c r="CA992" s="344"/>
      <c r="CB992" s="28"/>
      <c r="CC992" s="28"/>
      <c r="CD992" s="28"/>
      <c r="CE992" s="28"/>
      <c r="CF992" s="28"/>
      <c r="CG992" s="28"/>
      <c r="CH992" s="28"/>
      <c r="CI992" s="28"/>
      <c r="CJ992" s="28"/>
      <c r="CK992" s="28"/>
      <c r="CL992" s="28"/>
      <c r="CM992" s="28"/>
      <c r="CN992" s="28"/>
      <c r="CO992" s="28"/>
      <c r="CP992" s="28"/>
      <c r="CQ992" s="28"/>
      <c r="CR992" s="28"/>
      <c r="CS992" s="28"/>
      <c r="CT992" s="28"/>
      <c r="CU992" s="28"/>
      <c r="CV992" s="28"/>
      <c r="CW992" s="28"/>
    </row>
    <row r="993" spans="1:101" ht="14.25" customHeight="1" x14ac:dyDescent="0.2">
      <c r="A993" s="328"/>
      <c r="B993" s="52">
        <v>0.15863171046171445</v>
      </c>
      <c r="C993" s="330">
        <v>0.19737490341659916</v>
      </c>
      <c r="D993" s="330">
        <v>1.3682170046131007E-2</v>
      </c>
      <c r="E993" s="330">
        <v>6.9450992860511001E-3</v>
      </c>
      <c r="F993" s="331">
        <v>0.78379936974363651</v>
      </c>
      <c r="G993" s="94">
        <v>0.40780490770430944</v>
      </c>
      <c r="H993" s="330">
        <v>0.18228518787814474</v>
      </c>
      <c r="I993" s="330">
        <v>1.5986136265856432E-2</v>
      </c>
      <c r="J993" s="330">
        <v>0.99999991209921468</v>
      </c>
      <c r="K993" s="330">
        <v>0.7345846961275756</v>
      </c>
      <c r="L993" s="332">
        <v>8377.6891658637978</v>
      </c>
      <c r="M993" s="330">
        <v>0</v>
      </c>
      <c r="N993" s="330">
        <v>25249.154405075082</v>
      </c>
      <c r="O993" s="330">
        <v>1227.3247412900935</v>
      </c>
      <c r="P993" s="330">
        <v>55008.783574132685</v>
      </c>
      <c r="Q993" s="333">
        <v>85041.51771759089</v>
      </c>
      <c r="R993" s="330">
        <v>22643.624895993031</v>
      </c>
      <c r="S993" s="330">
        <v>7848.4353461053015</v>
      </c>
      <c r="T993" s="332">
        <v>0.47847013008068184</v>
      </c>
      <c r="U993" s="330">
        <v>0.89578338084133979</v>
      </c>
      <c r="V993" s="330">
        <v>0.20710922035771054</v>
      </c>
      <c r="W993" s="330">
        <v>0.99898598763843616</v>
      </c>
      <c r="X993" s="330">
        <v>0.30827487238993312</v>
      </c>
      <c r="Y993" s="330">
        <v>0</v>
      </c>
      <c r="Z993" s="331">
        <v>0</v>
      </c>
      <c r="AA993" s="235"/>
      <c r="AB993" s="335">
        <v>75481.366069237061</v>
      </c>
      <c r="AC993" s="336">
        <v>1.4895669256584727</v>
      </c>
      <c r="AD993" s="337">
        <v>65132.817541135439</v>
      </c>
      <c r="AE993" s="336">
        <v>1.6937507691422775</v>
      </c>
      <c r="AF993" s="337">
        <v>10348.548528101623</v>
      </c>
      <c r="AG993" s="338">
        <v>-0.20418384348380481</v>
      </c>
      <c r="AH993" s="235"/>
      <c r="AI993" s="208">
        <f t="shared" si="108"/>
        <v>1339607.213306312</v>
      </c>
      <c r="AJ993" s="208">
        <f t="shared" si="109"/>
        <v>1543930.413144028</v>
      </c>
      <c r="AK993" s="208">
        <f t="shared" si="110"/>
        <v>-204323.19983771618</v>
      </c>
      <c r="AL993" s="235"/>
      <c r="AM993" s="52">
        <f t="shared" si="86"/>
        <v>0</v>
      </c>
      <c r="AN993" s="52">
        <f t="shared" si="87"/>
        <v>1</v>
      </c>
      <c r="AO993" s="52">
        <f t="shared" si="88"/>
        <v>0</v>
      </c>
      <c r="AP993" s="235"/>
      <c r="AQ993" s="28"/>
      <c r="AR993" s="28"/>
      <c r="AS993" s="28"/>
      <c r="AT993" s="28"/>
      <c r="AU993" s="235"/>
      <c r="AV993" s="360">
        <f t="shared" si="111"/>
        <v>1543930.413144028</v>
      </c>
      <c r="AW993" s="235"/>
      <c r="AX993" s="355"/>
      <c r="AY993" s="344"/>
      <c r="AZ993" s="14">
        <f t="shared" si="113"/>
        <v>10348.548528101623</v>
      </c>
      <c r="BA993" s="14">
        <f t="shared" si="112"/>
        <v>-0.20418384348380481</v>
      </c>
      <c r="BB993" s="14">
        <f t="shared" si="89"/>
        <v>-50682.504313434751</v>
      </c>
      <c r="BC993" s="344"/>
      <c r="BD993" s="344"/>
      <c r="BE993" s="344"/>
      <c r="BF993" s="344"/>
      <c r="BG993" s="344"/>
      <c r="BH993" s="344"/>
      <c r="BI993" s="344"/>
      <c r="BJ993" s="344"/>
      <c r="BK993" s="344"/>
      <c r="BL993" s="344"/>
      <c r="BM993" s="344"/>
      <c r="BN993" s="344"/>
      <c r="BO993" s="344"/>
      <c r="BP993" s="344"/>
      <c r="BQ993" s="344"/>
      <c r="BR993" s="344"/>
      <c r="BS993" s="344"/>
      <c r="BT993" s="344"/>
      <c r="BU993" s="344"/>
      <c r="BV993" s="344"/>
      <c r="BW993" s="344"/>
      <c r="BX993" s="344"/>
      <c r="BY993" s="344"/>
      <c r="BZ993" s="344"/>
      <c r="CA993" s="344"/>
      <c r="CB993" s="28"/>
      <c r="CC993" s="28"/>
      <c r="CD993" s="28"/>
      <c r="CE993" s="28"/>
      <c r="CF993" s="28"/>
      <c r="CG993" s="28"/>
      <c r="CH993" s="28"/>
      <c r="CI993" s="28"/>
      <c r="CJ993" s="28"/>
      <c r="CK993" s="28"/>
      <c r="CL993" s="28"/>
      <c r="CM993" s="28"/>
      <c r="CN993" s="28"/>
      <c r="CO993" s="28"/>
      <c r="CP993" s="28"/>
      <c r="CQ993" s="28"/>
      <c r="CR993" s="28"/>
      <c r="CS993" s="28"/>
      <c r="CT993" s="28"/>
      <c r="CU993" s="28"/>
      <c r="CV993" s="28"/>
      <c r="CW993" s="28"/>
    </row>
    <row r="994" spans="1:101" ht="14.25" customHeight="1" x14ac:dyDescent="0.2">
      <c r="A994" s="328"/>
      <c r="B994" s="52">
        <v>0.13575669114977404</v>
      </c>
      <c r="C994" s="330">
        <v>0.51749176560685717</v>
      </c>
      <c r="D994" s="330">
        <v>1.0094215665371097E-2</v>
      </c>
      <c r="E994" s="330">
        <v>1.8074237941760329E-2</v>
      </c>
      <c r="F994" s="331">
        <v>0.80424011135597018</v>
      </c>
      <c r="G994" s="94">
        <v>0.38476782231977041</v>
      </c>
      <c r="H994" s="330">
        <v>0.72195293319747877</v>
      </c>
      <c r="I994" s="330">
        <v>2.1934561381160678E-2</v>
      </c>
      <c r="J994" s="330">
        <v>0.99991284386714785</v>
      </c>
      <c r="K994" s="330">
        <v>0.75634945935941156</v>
      </c>
      <c r="L994" s="332">
        <v>13182.240690251341</v>
      </c>
      <c r="M994" s="330">
        <v>0</v>
      </c>
      <c r="N994" s="330">
        <v>15638.058598867196</v>
      </c>
      <c r="O994" s="330">
        <v>1332.2795592314735</v>
      </c>
      <c r="P994" s="330">
        <v>53146.035472345109</v>
      </c>
      <c r="Q994" s="333">
        <v>65049.33693727426</v>
      </c>
      <c r="R994" s="330">
        <v>17244.567516890234</v>
      </c>
      <c r="S994" s="330">
        <v>9081.7131169420609</v>
      </c>
      <c r="T994" s="332">
        <v>0.99684339449391857</v>
      </c>
      <c r="U994" s="330">
        <v>0.99751661774053613</v>
      </c>
      <c r="V994" s="330">
        <v>0.99128555963407949</v>
      </c>
      <c r="W994" s="330">
        <v>0.98949096428424443</v>
      </c>
      <c r="X994" s="330">
        <v>0.89626956762371957</v>
      </c>
      <c r="Y994" s="330">
        <v>0</v>
      </c>
      <c r="Z994" s="331">
        <v>0</v>
      </c>
      <c r="AA994" s="235"/>
      <c r="AB994" s="335">
        <v>93045.03679787727</v>
      </c>
      <c r="AC994" s="336">
        <v>4.4699230277004167</v>
      </c>
      <c r="AD994" s="337">
        <v>80114.8740287861</v>
      </c>
      <c r="AE994" s="336">
        <v>4.4834905054763841</v>
      </c>
      <c r="AF994" s="337">
        <v>12930.16276909117</v>
      </c>
      <c r="AG994" s="338">
        <v>-1.356747777596734E-2</v>
      </c>
      <c r="AH994" s="235"/>
      <c r="AI994" s="208">
        <f t="shared" si="108"/>
        <v>4153381.8395175189</v>
      </c>
      <c r="AJ994" s="208">
        <f t="shared" si="109"/>
        <v>4179201.1061737789</v>
      </c>
      <c r="AK994" s="208">
        <f t="shared" si="110"/>
        <v>-25819.266656260144</v>
      </c>
      <c r="AL994" s="235"/>
      <c r="AM994" s="52">
        <f t="shared" si="86"/>
        <v>0</v>
      </c>
      <c r="AN994" s="52">
        <f t="shared" si="87"/>
        <v>1</v>
      </c>
      <c r="AO994" s="52">
        <f t="shared" si="88"/>
        <v>0</v>
      </c>
      <c r="AP994" s="235"/>
      <c r="AQ994" s="28"/>
      <c r="AR994" s="28"/>
      <c r="AS994" s="28"/>
      <c r="AT994" s="28"/>
      <c r="AU994" s="235"/>
      <c r="AV994" s="360">
        <f t="shared" si="111"/>
        <v>4179201.1061737789</v>
      </c>
      <c r="AW994" s="235"/>
      <c r="AX994" s="355"/>
      <c r="AY994" s="344"/>
      <c r="AZ994" s="14">
        <f t="shared" si="113"/>
        <v>12930.16276909117</v>
      </c>
      <c r="BA994" s="14">
        <f t="shared" si="112"/>
        <v>-1.356747777596734E-2</v>
      </c>
      <c r="BB994" s="14">
        <f t="shared" si="89"/>
        <v>-953026.2722814203</v>
      </c>
      <c r="BC994" s="344"/>
      <c r="BD994" s="344"/>
      <c r="BE994" s="344"/>
      <c r="BF994" s="344"/>
      <c r="BG994" s="344"/>
      <c r="BH994" s="344"/>
      <c r="BI994" s="344"/>
      <c r="BJ994" s="344"/>
      <c r="BK994" s="344"/>
      <c r="BL994" s="344"/>
      <c r="BM994" s="344"/>
      <c r="BN994" s="344"/>
      <c r="BO994" s="344"/>
      <c r="BP994" s="344"/>
      <c r="BQ994" s="344"/>
      <c r="BR994" s="344"/>
      <c r="BS994" s="344"/>
      <c r="BT994" s="344"/>
      <c r="BU994" s="344"/>
      <c r="BV994" s="344"/>
      <c r="BW994" s="344"/>
      <c r="BX994" s="344"/>
      <c r="BY994" s="344"/>
      <c r="BZ994" s="344"/>
      <c r="CA994" s="344"/>
      <c r="CB994" s="28"/>
      <c r="CC994" s="28"/>
      <c r="CD994" s="28"/>
      <c r="CE994" s="28"/>
      <c r="CF994" s="28"/>
      <c r="CG994" s="28"/>
      <c r="CH994" s="28"/>
      <c r="CI994" s="28"/>
      <c r="CJ994" s="28"/>
      <c r="CK994" s="28"/>
      <c r="CL994" s="28"/>
      <c r="CM994" s="28"/>
      <c r="CN994" s="28"/>
      <c r="CO994" s="28"/>
      <c r="CP994" s="28"/>
      <c r="CQ994" s="28"/>
      <c r="CR994" s="28"/>
      <c r="CS994" s="28"/>
      <c r="CT994" s="28"/>
      <c r="CU994" s="28"/>
      <c r="CV994" s="28"/>
      <c r="CW994" s="28"/>
    </row>
    <row r="995" spans="1:101" ht="14.25" customHeight="1" x14ac:dyDescent="0.2">
      <c r="A995" s="328"/>
      <c r="B995" s="52">
        <v>0.18259860460086652</v>
      </c>
      <c r="C995" s="330">
        <v>0.46951246962548032</v>
      </c>
      <c r="D995" s="330">
        <v>2.8139460379287717E-2</v>
      </c>
      <c r="E995" s="330">
        <v>1.2315135532798161E-2</v>
      </c>
      <c r="F995" s="331">
        <v>0.79264364297934753</v>
      </c>
      <c r="G995" s="94">
        <v>0.35298278964839958</v>
      </c>
      <c r="H995" s="330">
        <v>0.66073433393880476</v>
      </c>
      <c r="I995" s="330">
        <v>1.8916972263920528E-2</v>
      </c>
      <c r="J995" s="330">
        <v>0.99999999999952172</v>
      </c>
      <c r="K995" s="330">
        <v>0.79860333988069887</v>
      </c>
      <c r="L995" s="332">
        <v>9788.9757662352458</v>
      </c>
      <c r="M995" s="330">
        <v>0</v>
      </c>
      <c r="N995" s="330">
        <v>17475.015797308988</v>
      </c>
      <c r="O995" s="330">
        <v>915.37799070894039</v>
      </c>
      <c r="P995" s="330">
        <v>47109.648068539813</v>
      </c>
      <c r="Q995" s="333">
        <v>85227.679580904514</v>
      </c>
      <c r="R995" s="330">
        <v>22535.273091948926</v>
      </c>
      <c r="S995" s="330">
        <v>13818.410922685092</v>
      </c>
      <c r="T995" s="332">
        <v>9.3193890832787882E-2</v>
      </c>
      <c r="U995" s="330">
        <v>0.80586631678753218</v>
      </c>
      <c r="V995" s="330">
        <v>0.56848928923519149</v>
      </c>
      <c r="W995" s="330">
        <v>0.81925879206682362</v>
      </c>
      <c r="X995" s="330">
        <v>0.99999994356761546</v>
      </c>
      <c r="Y995" s="330">
        <v>0</v>
      </c>
      <c r="Z995" s="331">
        <v>0</v>
      </c>
      <c r="AA995" s="235"/>
      <c r="AB995" s="335">
        <v>129870.1168134613</v>
      </c>
      <c r="AC995" s="336">
        <v>4.8143177876098759</v>
      </c>
      <c r="AD995" s="337">
        <v>124974.28540705463</v>
      </c>
      <c r="AE995" s="336">
        <v>4.9725648617631721</v>
      </c>
      <c r="AF995" s="337">
        <v>4895.8314064066653</v>
      </c>
      <c r="AG995" s="338">
        <v>-0.1582470741532962</v>
      </c>
      <c r="AH995" s="235"/>
      <c r="AI995" s="208">
        <f t="shared" si="108"/>
        <v>4443731.7814159207</v>
      </c>
      <c r="AJ995" s="208">
        <f t="shared" si="109"/>
        <v>4598962.3332679588</v>
      </c>
      <c r="AK995" s="208">
        <f t="shared" si="110"/>
        <v>-155230.55185203807</v>
      </c>
      <c r="AL995" s="235"/>
      <c r="AM995" s="52">
        <f t="shared" si="86"/>
        <v>0</v>
      </c>
      <c r="AN995" s="52">
        <f t="shared" si="87"/>
        <v>1</v>
      </c>
      <c r="AO995" s="52">
        <f t="shared" si="88"/>
        <v>0</v>
      </c>
      <c r="AP995" s="235"/>
      <c r="AQ995" s="28"/>
      <c r="AR995" s="28"/>
      <c r="AS995" s="28"/>
      <c r="AT995" s="28"/>
      <c r="AU995" s="235"/>
      <c r="AV995" s="360">
        <f t="shared" si="111"/>
        <v>4598962.3332679588</v>
      </c>
      <c r="AW995" s="235"/>
      <c r="AX995" s="355"/>
      <c r="AY995" s="344"/>
      <c r="AZ995" s="14">
        <f t="shared" si="113"/>
        <v>4895.8314064066653</v>
      </c>
      <c r="BA995" s="14">
        <f t="shared" si="112"/>
        <v>-0.1582470741532962</v>
      </c>
      <c r="BB995" s="14">
        <f t="shared" si="89"/>
        <v>-30937.89526663857</v>
      </c>
      <c r="BC995" s="344"/>
      <c r="BD995" s="344"/>
      <c r="BE995" s="344"/>
      <c r="BF995" s="344"/>
      <c r="BG995" s="344"/>
      <c r="BH995" s="344"/>
      <c r="BI995" s="344"/>
      <c r="BJ995" s="344"/>
      <c r="BK995" s="344"/>
      <c r="BL995" s="344"/>
      <c r="BM995" s="344"/>
      <c r="BN995" s="344"/>
      <c r="BO995" s="344"/>
      <c r="BP995" s="344"/>
      <c r="BQ995" s="344"/>
      <c r="BR995" s="344"/>
      <c r="BS995" s="344"/>
      <c r="BT995" s="344"/>
      <c r="BU995" s="344"/>
      <c r="BV995" s="344"/>
      <c r="BW995" s="344"/>
      <c r="BX995" s="344"/>
      <c r="BY995" s="344"/>
      <c r="BZ995" s="344"/>
      <c r="CA995" s="344"/>
      <c r="CB995" s="28"/>
      <c r="CC995" s="28"/>
      <c r="CD995" s="28"/>
      <c r="CE995" s="28"/>
      <c r="CF995" s="28"/>
      <c r="CG995" s="28"/>
      <c r="CH995" s="28"/>
      <c r="CI995" s="28"/>
      <c r="CJ995" s="28"/>
      <c r="CK995" s="28"/>
      <c r="CL995" s="28"/>
      <c r="CM995" s="28"/>
      <c r="CN995" s="28"/>
      <c r="CO995" s="28"/>
      <c r="CP995" s="28"/>
      <c r="CQ995" s="28"/>
      <c r="CR995" s="28"/>
      <c r="CS995" s="28"/>
      <c r="CT995" s="28"/>
      <c r="CU995" s="28"/>
      <c r="CV995" s="28"/>
      <c r="CW995" s="28"/>
    </row>
    <row r="996" spans="1:101" ht="14.25" customHeight="1" x14ac:dyDescent="0.2">
      <c r="A996" s="328"/>
      <c r="B996" s="52">
        <v>0.15946753964922167</v>
      </c>
      <c r="C996" s="330">
        <v>0.39393672274474645</v>
      </c>
      <c r="D996" s="330">
        <v>8.7927269907038148E-3</v>
      </c>
      <c r="E996" s="330">
        <v>1.1196139685351953E-2</v>
      </c>
      <c r="F996" s="331">
        <v>0.78135447338279407</v>
      </c>
      <c r="G996" s="94">
        <v>0.39952943601140256</v>
      </c>
      <c r="H996" s="330">
        <v>0.36835969791405732</v>
      </c>
      <c r="I996" s="330">
        <v>8.5629600731710973E-3</v>
      </c>
      <c r="J996" s="330">
        <v>1</v>
      </c>
      <c r="K996" s="330">
        <v>0.73704953181426802</v>
      </c>
      <c r="L996" s="332">
        <v>9608.4310442780898</v>
      </c>
      <c r="M996" s="330">
        <v>0</v>
      </c>
      <c r="N996" s="330">
        <v>23659.735156222607</v>
      </c>
      <c r="O996" s="330">
        <v>1504.8585779201276</v>
      </c>
      <c r="P996" s="330">
        <v>45803.330703476568</v>
      </c>
      <c r="Q996" s="333">
        <v>93116.838070651007</v>
      </c>
      <c r="R996" s="330">
        <v>26103.066521554392</v>
      </c>
      <c r="S996" s="330">
        <v>9733.717786745885</v>
      </c>
      <c r="T996" s="332">
        <v>0.26327334958398357</v>
      </c>
      <c r="U996" s="330">
        <v>0.86697188184922047</v>
      </c>
      <c r="V996" s="330">
        <v>0.61193404266082418</v>
      </c>
      <c r="W996" s="330">
        <v>0.9093296812733821</v>
      </c>
      <c r="X996" s="330">
        <v>0.96463007489474406</v>
      </c>
      <c r="Y996" s="330">
        <v>0</v>
      </c>
      <c r="Z996" s="331">
        <v>0</v>
      </c>
      <c r="AA996" s="235"/>
      <c r="AB996" s="335">
        <v>93236.066642628983</v>
      </c>
      <c r="AC996" s="336">
        <v>4.5964899399618435</v>
      </c>
      <c r="AD996" s="337">
        <v>81989.677115132916</v>
      </c>
      <c r="AE996" s="336">
        <v>4.6411702609453815</v>
      </c>
      <c r="AF996" s="337">
        <v>11246.389527496067</v>
      </c>
      <c r="AG996" s="338">
        <v>-4.4680320983538024E-2</v>
      </c>
      <c r="AH996" s="235"/>
      <c r="AI996" s="208">
        <f t="shared" si="108"/>
        <v>4273429.3763211221</v>
      </c>
      <c r="AJ996" s="208">
        <f t="shared" si="109"/>
        <v>4327122.070782979</v>
      </c>
      <c r="AK996" s="208">
        <f t="shared" si="110"/>
        <v>-53692.694461857187</v>
      </c>
      <c r="AL996" s="235"/>
      <c r="AM996" s="52">
        <f t="shared" si="86"/>
        <v>0</v>
      </c>
      <c r="AN996" s="52">
        <f t="shared" si="87"/>
        <v>1</v>
      </c>
      <c r="AO996" s="52">
        <f t="shared" si="88"/>
        <v>0</v>
      </c>
      <c r="AP996" s="235"/>
      <c r="AQ996" s="28"/>
      <c r="AR996" s="28"/>
      <c r="AS996" s="28"/>
      <c r="AT996" s="28"/>
      <c r="AU996" s="235"/>
      <c r="AV996" s="360">
        <f t="shared" si="111"/>
        <v>4327122.070782979</v>
      </c>
      <c r="AW996" s="235"/>
      <c r="AX996" s="355"/>
      <c r="AY996" s="344"/>
      <c r="AZ996" s="14">
        <f t="shared" si="113"/>
        <v>11246.389527496067</v>
      </c>
      <c r="BA996" s="14">
        <f t="shared" si="112"/>
        <v>-4.4680320983538024E-2</v>
      </c>
      <c r="BB996" s="14">
        <f t="shared" si="89"/>
        <v>-251707.89465992592</v>
      </c>
      <c r="BC996" s="344"/>
      <c r="BD996" s="344"/>
      <c r="BE996" s="344"/>
      <c r="BF996" s="344"/>
      <c r="BG996" s="344"/>
      <c r="BH996" s="344"/>
      <c r="BI996" s="344"/>
      <c r="BJ996" s="344"/>
      <c r="BK996" s="344"/>
      <c r="BL996" s="344"/>
      <c r="BM996" s="344"/>
      <c r="BN996" s="344"/>
      <c r="BO996" s="344"/>
      <c r="BP996" s="344"/>
      <c r="BQ996" s="344"/>
      <c r="BR996" s="344"/>
      <c r="BS996" s="344"/>
      <c r="BT996" s="344"/>
      <c r="BU996" s="344"/>
      <c r="BV996" s="344"/>
      <c r="BW996" s="344"/>
      <c r="BX996" s="344"/>
      <c r="BY996" s="344"/>
      <c r="BZ996" s="344"/>
      <c r="CA996" s="344"/>
      <c r="CB996" s="28"/>
      <c r="CC996" s="28"/>
      <c r="CD996" s="28"/>
      <c r="CE996" s="28"/>
      <c r="CF996" s="28"/>
      <c r="CG996" s="28"/>
      <c r="CH996" s="28"/>
      <c r="CI996" s="28"/>
      <c r="CJ996" s="28"/>
      <c r="CK996" s="28"/>
      <c r="CL996" s="28"/>
      <c r="CM996" s="28"/>
      <c r="CN996" s="28"/>
      <c r="CO996" s="28"/>
      <c r="CP996" s="28"/>
      <c r="CQ996" s="28"/>
      <c r="CR996" s="28"/>
      <c r="CS996" s="28"/>
      <c r="CT996" s="28"/>
      <c r="CU996" s="28"/>
      <c r="CV996" s="28"/>
      <c r="CW996" s="28"/>
    </row>
    <row r="997" spans="1:101" ht="14.25" customHeight="1" x14ac:dyDescent="0.2">
      <c r="A997" s="328"/>
      <c r="B997" s="52">
        <v>0.14133027964143655</v>
      </c>
      <c r="C997" s="330">
        <v>0.20414685057475046</v>
      </c>
      <c r="D997" s="330">
        <v>1.0970143953081914E-2</v>
      </c>
      <c r="E997" s="330">
        <v>2.1664970354378532E-2</v>
      </c>
      <c r="F997" s="331">
        <v>0.7693857207157333</v>
      </c>
      <c r="G997" s="94">
        <v>0.40736402581799547</v>
      </c>
      <c r="H997" s="330">
        <v>0.92955293215187818</v>
      </c>
      <c r="I997" s="330">
        <v>2.8782841207858345E-2</v>
      </c>
      <c r="J997" s="330">
        <v>0.99987685190172537</v>
      </c>
      <c r="K997" s="330">
        <v>0.77198131599346775</v>
      </c>
      <c r="L997" s="332">
        <v>11437.985083266318</v>
      </c>
      <c r="M997" s="330">
        <v>0</v>
      </c>
      <c r="N997" s="330">
        <v>18357.737681140694</v>
      </c>
      <c r="O997" s="330">
        <v>996.71195468335816</v>
      </c>
      <c r="P997" s="330">
        <v>45597.288612449433</v>
      </c>
      <c r="Q997" s="333">
        <v>82785.629773187669</v>
      </c>
      <c r="R997" s="330">
        <v>30295.909374677009</v>
      </c>
      <c r="S997" s="330">
        <v>7193.594610630611</v>
      </c>
      <c r="T997" s="332">
        <v>0.84654087778322129</v>
      </c>
      <c r="U997" s="330">
        <v>0.97837642911014988</v>
      </c>
      <c r="V997" s="330">
        <v>0.95244503736353014</v>
      </c>
      <c r="W997" s="330">
        <v>0.99812647279592515</v>
      </c>
      <c r="X997" s="330">
        <v>0.49637303479772255</v>
      </c>
      <c r="Y997" s="330">
        <v>0</v>
      </c>
      <c r="Z997" s="331">
        <v>0</v>
      </c>
      <c r="AA997" s="235"/>
      <c r="AB997" s="335">
        <v>71977.050566670543</v>
      </c>
      <c r="AC997" s="336">
        <v>2.4380890512002735</v>
      </c>
      <c r="AD997" s="337">
        <v>72934.811509459294</v>
      </c>
      <c r="AE997" s="336">
        <v>2.7106645193695305</v>
      </c>
      <c r="AF997" s="337">
        <v>-957.76094278875098</v>
      </c>
      <c r="AG997" s="338">
        <v>-0.27257546816925693</v>
      </c>
      <c r="AH997" s="235"/>
      <c r="AI997" s="208">
        <f t="shared" si="108"/>
        <v>2244207.5480735893</v>
      </c>
      <c r="AJ997" s="208">
        <f t="shared" si="109"/>
        <v>2502196.4818915948</v>
      </c>
      <c r="AK997" s="208">
        <f t="shared" si="110"/>
        <v>-257988.93381800532</v>
      </c>
      <c r="AL997" s="235"/>
      <c r="AM997" s="52">
        <f t="shared" si="86"/>
        <v>0</v>
      </c>
      <c r="AN997" s="52">
        <f t="shared" si="87"/>
        <v>1</v>
      </c>
      <c r="AO997" s="52">
        <f t="shared" si="88"/>
        <v>0</v>
      </c>
      <c r="AP997" s="235"/>
      <c r="AQ997" s="28"/>
      <c r="AR997" s="28"/>
      <c r="AS997" s="28"/>
      <c r="AT997" s="28"/>
      <c r="AU997" s="235"/>
      <c r="AV997" s="360">
        <f t="shared" si="111"/>
        <v>2502196.4818915948</v>
      </c>
      <c r="AW997" s="235"/>
      <c r="AX997" s="355"/>
      <c r="AY997" s="344"/>
      <c r="AZ997" s="14">
        <f t="shared" si="113"/>
        <v>-957.76094278875098</v>
      </c>
      <c r="BA997" s="14">
        <f t="shared" si="112"/>
        <v>-0.27257546816925693</v>
      </c>
      <c r="BB997" s="14">
        <f t="shared" si="89"/>
        <v>3513.7459332694793</v>
      </c>
      <c r="BC997" s="344"/>
      <c r="BD997" s="344"/>
      <c r="BE997" s="344"/>
      <c r="BF997" s="344"/>
      <c r="BG997" s="344"/>
      <c r="BH997" s="344"/>
      <c r="BI997" s="344"/>
      <c r="BJ997" s="344"/>
      <c r="BK997" s="344"/>
      <c r="BL997" s="344"/>
      <c r="BM997" s="344"/>
      <c r="BN997" s="344"/>
      <c r="BO997" s="344"/>
      <c r="BP997" s="344"/>
      <c r="BQ997" s="344"/>
      <c r="BR997" s="344"/>
      <c r="BS997" s="344"/>
      <c r="BT997" s="344"/>
      <c r="BU997" s="344"/>
      <c r="BV997" s="344"/>
      <c r="BW997" s="344"/>
      <c r="BX997" s="344"/>
      <c r="BY997" s="344"/>
      <c r="BZ997" s="344"/>
      <c r="CA997" s="344"/>
      <c r="CB997" s="28"/>
      <c r="CC997" s="28"/>
      <c r="CD997" s="28"/>
      <c r="CE997" s="28"/>
      <c r="CF997" s="28"/>
      <c r="CG997" s="28"/>
      <c r="CH997" s="28"/>
      <c r="CI997" s="28"/>
      <c r="CJ997" s="28"/>
      <c r="CK997" s="28"/>
      <c r="CL997" s="28"/>
      <c r="CM997" s="28"/>
      <c r="CN997" s="28"/>
      <c r="CO997" s="28"/>
      <c r="CP997" s="28"/>
      <c r="CQ997" s="28"/>
      <c r="CR997" s="28"/>
      <c r="CS997" s="28"/>
      <c r="CT997" s="28"/>
      <c r="CU997" s="28"/>
      <c r="CV997" s="28"/>
      <c r="CW997" s="28"/>
    </row>
    <row r="998" spans="1:101" ht="14.25" customHeight="1" x14ac:dyDescent="0.2">
      <c r="A998" s="328"/>
      <c r="B998" s="52">
        <v>0.15536676632396615</v>
      </c>
      <c r="C998" s="330">
        <v>1.4991225988590286E-2</v>
      </c>
      <c r="D998" s="330">
        <v>9.1536793489568197E-3</v>
      </c>
      <c r="E998" s="330">
        <v>1.7078689443705053E-2</v>
      </c>
      <c r="F998" s="331">
        <v>0.82344320709146879</v>
      </c>
      <c r="G998" s="94">
        <v>0.36430658866451698</v>
      </c>
      <c r="H998" s="330">
        <v>0.62240345692922106</v>
      </c>
      <c r="I998" s="330">
        <v>2.759730930162263E-2</v>
      </c>
      <c r="J998" s="330">
        <v>0.99999887222960981</v>
      </c>
      <c r="K998" s="330">
        <v>0.76979782775486871</v>
      </c>
      <c r="L998" s="332">
        <v>14137.636108090705</v>
      </c>
      <c r="M998" s="330">
        <v>0</v>
      </c>
      <c r="N998" s="330">
        <v>18236.403232770546</v>
      </c>
      <c r="O998" s="330">
        <v>1010.2750178407986</v>
      </c>
      <c r="P998" s="330">
        <v>28956.056347850568</v>
      </c>
      <c r="Q998" s="333">
        <v>85659.166049674866</v>
      </c>
      <c r="R998" s="330">
        <v>22325.898955712539</v>
      </c>
      <c r="S998" s="330">
        <v>7306.7010641240522</v>
      </c>
      <c r="T998" s="332">
        <v>0.95568726941662718</v>
      </c>
      <c r="U998" s="330">
        <v>0.99949033015383892</v>
      </c>
      <c r="V998" s="330">
        <v>0.65046858254032247</v>
      </c>
      <c r="W998" s="330">
        <v>0.99984890479982824</v>
      </c>
      <c r="X998" s="330">
        <v>0.99882700989243745</v>
      </c>
      <c r="Y998" s="330">
        <v>0</v>
      </c>
      <c r="Z998" s="331">
        <v>0</v>
      </c>
      <c r="AA998" s="235"/>
      <c r="AB998" s="335">
        <v>79035.666845676984</v>
      </c>
      <c r="AC998" s="336">
        <v>5.3319167190093122</v>
      </c>
      <c r="AD998" s="337">
        <v>66989.453935895159</v>
      </c>
      <c r="AE998" s="336">
        <v>4.8129164765500416</v>
      </c>
      <c r="AF998" s="337">
        <v>12046.212909781825</v>
      </c>
      <c r="AG998" s="338">
        <v>0.51900024245927057</v>
      </c>
      <c r="AH998" s="235"/>
      <c r="AI998" s="208">
        <f t="shared" si="108"/>
        <v>4986285.2162131695</v>
      </c>
      <c r="AJ998" s="208">
        <f t="shared" si="109"/>
        <v>4505281.1987866443</v>
      </c>
      <c r="AK998" s="208">
        <f t="shared" si="110"/>
        <v>481004.01742652518</v>
      </c>
      <c r="AL998" s="235"/>
      <c r="AM998" s="52">
        <f t="shared" si="86"/>
        <v>1</v>
      </c>
      <c r="AN998" s="52">
        <f t="shared" si="87"/>
        <v>0</v>
      </c>
      <c r="AO998" s="52">
        <f t="shared" si="88"/>
        <v>1</v>
      </c>
      <c r="AP998" s="235"/>
      <c r="AQ998" s="28"/>
      <c r="AR998" s="28"/>
      <c r="AS998" s="28"/>
      <c r="AT998" s="28"/>
      <c r="AU998" s="235"/>
      <c r="AV998" s="360">
        <f t="shared" si="111"/>
        <v>4986285.2162131695</v>
      </c>
      <c r="AW998" s="235"/>
      <c r="AX998" s="355"/>
      <c r="AY998" s="344"/>
      <c r="AZ998" s="14">
        <f t="shared" si="113"/>
        <v>12046.212909781825</v>
      </c>
      <c r="BA998" s="14">
        <f t="shared" si="112"/>
        <v>0.51900024245927057</v>
      </c>
      <c r="BB998" s="14">
        <f t="shared" si="89"/>
        <v>23210.41865549258</v>
      </c>
      <c r="BC998" s="344"/>
      <c r="BD998" s="344"/>
      <c r="BE998" s="344"/>
      <c r="BF998" s="344"/>
      <c r="BG998" s="344"/>
      <c r="BH998" s="344"/>
      <c r="BI998" s="344"/>
      <c r="BJ998" s="344"/>
      <c r="BK998" s="344"/>
      <c r="BL998" s="344"/>
      <c r="BM998" s="344"/>
      <c r="BN998" s="344"/>
      <c r="BO998" s="344"/>
      <c r="BP998" s="344"/>
      <c r="BQ998" s="344"/>
      <c r="BR998" s="344"/>
      <c r="BS998" s="344"/>
      <c r="BT998" s="344"/>
      <c r="BU998" s="344"/>
      <c r="BV998" s="344"/>
      <c r="BW998" s="344"/>
      <c r="BX998" s="344"/>
      <c r="BY998" s="344"/>
      <c r="BZ998" s="344"/>
      <c r="CA998" s="344"/>
      <c r="CB998" s="28"/>
      <c r="CC998" s="28"/>
      <c r="CD998" s="28"/>
      <c r="CE998" s="28"/>
      <c r="CF998" s="28"/>
      <c r="CG998" s="28"/>
      <c r="CH998" s="28"/>
      <c r="CI998" s="28"/>
      <c r="CJ998" s="28"/>
      <c r="CK998" s="28"/>
      <c r="CL998" s="28"/>
      <c r="CM998" s="28"/>
      <c r="CN998" s="28"/>
      <c r="CO998" s="28"/>
      <c r="CP998" s="28"/>
      <c r="CQ998" s="28"/>
      <c r="CR998" s="28"/>
      <c r="CS998" s="28"/>
      <c r="CT998" s="28"/>
      <c r="CU998" s="28"/>
      <c r="CV998" s="28"/>
      <c r="CW998" s="28"/>
    </row>
    <row r="999" spans="1:101" ht="14.25" customHeight="1" x14ac:dyDescent="0.2">
      <c r="A999" s="328"/>
      <c r="B999" s="52">
        <v>0.19693893280736663</v>
      </c>
      <c r="C999" s="330">
        <v>0.59013231717420056</v>
      </c>
      <c r="D999" s="330">
        <v>1.8660940658343228E-2</v>
      </c>
      <c r="E999" s="330">
        <v>5.4987482292709784E-3</v>
      </c>
      <c r="F999" s="331">
        <v>0.77081179175111336</v>
      </c>
      <c r="G999" s="94">
        <v>0.41282980317511186</v>
      </c>
      <c r="H999" s="330">
        <v>0.82817801573323679</v>
      </c>
      <c r="I999" s="330">
        <v>1.3674498441171886E-2</v>
      </c>
      <c r="J999" s="330">
        <v>0.98984537954813756</v>
      </c>
      <c r="K999" s="330">
        <v>0.77706274558005139</v>
      </c>
      <c r="L999" s="332">
        <v>10468.487219306351</v>
      </c>
      <c r="M999" s="330">
        <v>0</v>
      </c>
      <c r="N999" s="330">
        <v>15096.65443533006</v>
      </c>
      <c r="O999" s="330">
        <v>1168.1512559307321</v>
      </c>
      <c r="P999" s="330">
        <v>37468.690942354195</v>
      </c>
      <c r="Q999" s="333">
        <v>88708.028791068806</v>
      </c>
      <c r="R999" s="330">
        <v>18053.574591992685</v>
      </c>
      <c r="S999" s="330">
        <v>9876.58263852854</v>
      </c>
      <c r="T999" s="332">
        <v>0.99967754642070372</v>
      </c>
      <c r="U999" s="330">
        <v>0.96430689394136593</v>
      </c>
      <c r="V999" s="330">
        <v>0.78862936685135965</v>
      </c>
      <c r="W999" s="330">
        <v>0.95537248381247331</v>
      </c>
      <c r="X999" s="330">
        <v>0.99997486108228528</v>
      </c>
      <c r="Y999" s="330">
        <v>0</v>
      </c>
      <c r="Z999" s="331">
        <v>0</v>
      </c>
      <c r="AA999" s="235"/>
      <c r="AB999" s="335">
        <v>94820.516040056071</v>
      </c>
      <c r="AC999" s="336">
        <v>4.7082191998207614</v>
      </c>
      <c r="AD999" s="337">
        <v>89784.193565564361</v>
      </c>
      <c r="AE999" s="336">
        <v>4.9770787510093601</v>
      </c>
      <c r="AF999" s="337">
        <v>5036.3224744917097</v>
      </c>
      <c r="AG999" s="338">
        <v>-0.26885955118859872</v>
      </c>
      <c r="AH999" s="235"/>
      <c r="AI999" s="208">
        <f t="shared" si="108"/>
        <v>4377987.7237896677</v>
      </c>
      <c r="AJ999" s="208">
        <f t="shared" si="109"/>
        <v>4638440.6198933283</v>
      </c>
      <c r="AK999" s="208">
        <f t="shared" si="110"/>
        <v>-260452.89610366052</v>
      </c>
      <c r="AL999" s="235"/>
      <c r="AM999" s="52">
        <f t="shared" si="86"/>
        <v>0</v>
      </c>
      <c r="AN999" s="52">
        <f t="shared" si="87"/>
        <v>1</v>
      </c>
      <c r="AO999" s="52">
        <f t="shared" si="88"/>
        <v>0</v>
      </c>
      <c r="AP999" s="235"/>
      <c r="AQ999" s="28"/>
      <c r="AR999" s="28"/>
      <c r="AS999" s="28"/>
      <c r="AT999" s="28"/>
      <c r="AU999" s="235"/>
      <c r="AV999" s="360">
        <f t="shared" si="111"/>
        <v>4638440.6198933283</v>
      </c>
      <c r="AW999" s="235"/>
      <c r="AX999" s="355"/>
      <c r="AY999" s="344"/>
      <c r="AZ999" s="14">
        <f t="shared" si="113"/>
        <v>5036.3224744917097</v>
      </c>
      <c r="BA999" s="14">
        <f t="shared" si="112"/>
        <v>-0.26885955118859872</v>
      </c>
      <c r="BB999" s="14">
        <f t="shared" si="89"/>
        <v>-18732.168718673664</v>
      </c>
      <c r="BC999" s="344"/>
      <c r="BD999" s="344"/>
      <c r="BE999" s="344"/>
      <c r="BF999" s="344"/>
      <c r="BG999" s="344"/>
      <c r="BH999" s="344"/>
      <c r="BI999" s="344"/>
      <c r="BJ999" s="344"/>
      <c r="BK999" s="344"/>
      <c r="BL999" s="344"/>
      <c r="BM999" s="344"/>
      <c r="BN999" s="344"/>
      <c r="BO999" s="344"/>
      <c r="BP999" s="344"/>
      <c r="BQ999" s="344"/>
      <c r="BR999" s="344"/>
      <c r="BS999" s="344"/>
      <c r="BT999" s="344"/>
      <c r="BU999" s="344"/>
      <c r="BV999" s="344"/>
      <c r="BW999" s="344"/>
      <c r="BX999" s="344"/>
      <c r="BY999" s="344"/>
      <c r="BZ999" s="344"/>
      <c r="CA999" s="344"/>
      <c r="CB999" s="28"/>
      <c r="CC999" s="28"/>
      <c r="CD999" s="28"/>
      <c r="CE999" s="28"/>
      <c r="CF999" s="28"/>
      <c r="CG999" s="28"/>
      <c r="CH999" s="28"/>
      <c r="CI999" s="28"/>
      <c r="CJ999" s="28"/>
      <c r="CK999" s="28"/>
      <c r="CL999" s="28"/>
      <c r="CM999" s="28"/>
      <c r="CN999" s="28"/>
      <c r="CO999" s="28"/>
      <c r="CP999" s="28"/>
      <c r="CQ999" s="28"/>
      <c r="CR999" s="28"/>
      <c r="CS999" s="28"/>
      <c r="CT999" s="28"/>
      <c r="CU999" s="28"/>
      <c r="CV999" s="28"/>
      <c r="CW999" s="28"/>
    </row>
    <row r="1000" spans="1:101" ht="14.25" customHeight="1" x14ac:dyDescent="0.2">
      <c r="A1000" s="328"/>
      <c r="B1000" s="52">
        <v>0.18731036432428261</v>
      </c>
      <c r="C1000" s="330">
        <v>0.33299416917475833</v>
      </c>
      <c r="D1000" s="330">
        <v>2.4334339104678859E-2</v>
      </c>
      <c r="E1000" s="330">
        <v>1.094843183634219E-2</v>
      </c>
      <c r="F1000" s="331">
        <v>0.79393444408458202</v>
      </c>
      <c r="G1000" s="94">
        <v>0.37053947434734413</v>
      </c>
      <c r="H1000" s="330">
        <v>0.70435456185001555</v>
      </c>
      <c r="I1000" s="330">
        <v>2.487205410450577E-2</v>
      </c>
      <c r="J1000" s="330">
        <v>0.77079632153661637</v>
      </c>
      <c r="K1000" s="330">
        <v>0.77392879614709742</v>
      </c>
      <c r="L1000" s="332">
        <v>13660.158397423713</v>
      </c>
      <c r="M1000" s="330">
        <v>0</v>
      </c>
      <c r="N1000" s="330">
        <v>22250.568209362726</v>
      </c>
      <c r="O1000" s="330">
        <v>1326.9856638667188</v>
      </c>
      <c r="P1000" s="330">
        <v>51391.156706717185</v>
      </c>
      <c r="Q1000" s="333">
        <v>128825.99135152886</v>
      </c>
      <c r="R1000" s="330">
        <v>28860.954246565852</v>
      </c>
      <c r="S1000" s="330">
        <v>11249.757392424342</v>
      </c>
      <c r="T1000" s="332">
        <v>0.94900130559720797</v>
      </c>
      <c r="U1000" s="330">
        <v>0.88984524749403027</v>
      </c>
      <c r="V1000" s="330">
        <v>0.24119771985981564</v>
      </c>
      <c r="W1000" s="330">
        <v>0.99923232202586132</v>
      </c>
      <c r="X1000" s="330">
        <v>0.96591774953014209</v>
      </c>
      <c r="Y1000" s="330">
        <v>0</v>
      </c>
      <c r="Z1000" s="331">
        <v>0</v>
      </c>
      <c r="AA1000" s="235"/>
      <c r="AB1000" s="335">
        <v>112146.48376599065</v>
      </c>
      <c r="AC1000" s="336">
        <v>4.6342182205202729</v>
      </c>
      <c r="AD1000" s="337">
        <v>103067.36424394639</v>
      </c>
      <c r="AE1000" s="336">
        <v>4.7212160079206926</v>
      </c>
      <c r="AF1000" s="337">
        <v>9079.1195220442605</v>
      </c>
      <c r="AG1000" s="338">
        <v>-8.6997787400419746E-2</v>
      </c>
      <c r="AH1000" s="235"/>
      <c r="AI1000" s="208">
        <f t="shared" si="108"/>
        <v>4290360.8257282684</v>
      </c>
      <c r="AJ1000" s="208">
        <f t="shared" si="109"/>
        <v>4382087.8432807121</v>
      </c>
      <c r="AK1000" s="208">
        <f t="shared" si="110"/>
        <v>-91727.017552443023</v>
      </c>
      <c r="AL1000" s="235"/>
      <c r="AM1000" s="52">
        <f t="shared" si="86"/>
        <v>0</v>
      </c>
      <c r="AN1000" s="52">
        <f t="shared" si="87"/>
        <v>1</v>
      </c>
      <c r="AO1000" s="52">
        <f t="shared" si="88"/>
        <v>0</v>
      </c>
      <c r="AP1000" s="235"/>
      <c r="AQ1000" s="28"/>
      <c r="AR1000" s="28"/>
      <c r="AS1000" s="28"/>
      <c r="AT1000" s="28"/>
      <c r="AU1000" s="235"/>
      <c r="AV1000" s="360">
        <f t="shared" si="111"/>
        <v>4382087.8432807121</v>
      </c>
      <c r="AW1000" s="235"/>
      <c r="AX1000" s="355"/>
      <c r="AY1000" s="344"/>
      <c r="AZ1000" s="14">
        <f t="shared" si="113"/>
        <v>9079.1195220442605</v>
      </c>
      <c r="BA1000" s="14">
        <f t="shared" si="112"/>
        <v>-8.6997787400419746E-2</v>
      </c>
      <c r="BB1000" s="14">
        <f t="shared" si="89"/>
        <v>-104360.34976678563</v>
      </c>
      <c r="BC1000" s="344"/>
      <c r="BD1000" s="344"/>
      <c r="BE1000" s="344"/>
      <c r="BF1000" s="344"/>
      <c r="BG1000" s="344"/>
      <c r="BH1000" s="344"/>
      <c r="BI1000" s="344"/>
      <c r="BJ1000" s="344"/>
      <c r="BK1000" s="344"/>
      <c r="BL1000" s="344"/>
      <c r="BM1000" s="344"/>
      <c r="BN1000" s="344"/>
      <c r="BO1000" s="344"/>
      <c r="BP1000" s="344"/>
      <c r="BQ1000" s="344"/>
      <c r="BR1000" s="344"/>
      <c r="BS1000" s="344"/>
      <c r="BT1000" s="344"/>
      <c r="BU1000" s="344"/>
      <c r="BV1000" s="344"/>
      <c r="BW1000" s="344"/>
      <c r="BX1000" s="344"/>
      <c r="BY1000" s="344"/>
      <c r="BZ1000" s="344"/>
      <c r="CA1000" s="344"/>
      <c r="CB1000" s="28"/>
      <c r="CC1000" s="28"/>
      <c r="CD1000" s="28"/>
      <c r="CE1000" s="28"/>
      <c r="CF1000" s="28"/>
      <c r="CG1000" s="28"/>
      <c r="CH1000" s="28"/>
      <c r="CI1000" s="28"/>
      <c r="CJ1000" s="28"/>
      <c r="CK1000" s="28"/>
      <c r="CL1000" s="28"/>
      <c r="CM1000" s="28"/>
      <c r="CN1000" s="28"/>
      <c r="CO1000" s="28"/>
      <c r="CP1000" s="28"/>
      <c r="CQ1000" s="28"/>
      <c r="CR1000" s="28"/>
      <c r="CS1000" s="28"/>
      <c r="CT1000" s="28"/>
      <c r="CU1000" s="28"/>
      <c r="CV1000" s="28"/>
      <c r="CW1000" s="28"/>
    </row>
    <row r="1001" spans="1:101" ht="14.25" customHeight="1" x14ac:dyDescent="0.2">
      <c r="A1001" s="328"/>
      <c r="B1001" s="52">
        <v>0.14023013393245901</v>
      </c>
      <c r="C1001" s="330">
        <v>0.33661853254357665</v>
      </c>
      <c r="D1001" s="330">
        <v>2.1815052961859593E-2</v>
      </c>
      <c r="E1001" s="330">
        <v>1.2763549848447043E-2</v>
      </c>
      <c r="F1001" s="331">
        <v>0.80407599991711787</v>
      </c>
      <c r="G1001" s="94">
        <v>0.41832877630491805</v>
      </c>
      <c r="H1001" s="330">
        <v>0.38762981514559736</v>
      </c>
      <c r="I1001" s="330">
        <v>1.1902190209934049E-2</v>
      </c>
      <c r="J1001" s="330">
        <v>0.99999999999999223</v>
      </c>
      <c r="K1001" s="330">
        <v>0.75040994360298197</v>
      </c>
      <c r="L1001" s="332">
        <v>10448.300953837841</v>
      </c>
      <c r="M1001" s="330">
        <v>0</v>
      </c>
      <c r="N1001" s="330">
        <v>22788.68446627674</v>
      </c>
      <c r="O1001" s="330">
        <v>1153.7884244768184</v>
      </c>
      <c r="P1001" s="330">
        <v>34930.168736370419</v>
      </c>
      <c r="Q1001" s="333">
        <v>82769.61549648353</v>
      </c>
      <c r="R1001" s="330">
        <v>27469.588132578014</v>
      </c>
      <c r="S1001" s="330">
        <v>7816.2806686080239</v>
      </c>
      <c r="T1001" s="332">
        <v>0.69172820040675664</v>
      </c>
      <c r="U1001" s="330">
        <v>0.96039661617474037</v>
      </c>
      <c r="V1001" s="330">
        <v>0.41802874652376371</v>
      </c>
      <c r="W1001" s="330">
        <v>0.95791967439003178</v>
      </c>
      <c r="X1001" s="330">
        <v>0.69516830456387102</v>
      </c>
      <c r="Y1001" s="330">
        <v>0</v>
      </c>
      <c r="Z1001" s="331">
        <v>0</v>
      </c>
      <c r="AA1001" s="235"/>
      <c r="AB1001" s="335">
        <v>79606.769929620437</v>
      </c>
      <c r="AC1001" s="336">
        <v>3.4086257317550102</v>
      </c>
      <c r="AD1001" s="337">
        <v>68572.682079893057</v>
      </c>
      <c r="AE1001" s="336">
        <v>3.2392630624750312</v>
      </c>
      <c r="AF1001" s="337">
        <v>11034.087849727381</v>
      </c>
      <c r="AG1001" s="338">
        <v>0.16936266927997901</v>
      </c>
      <c r="AH1001" s="235"/>
      <c r="AI1001" s="208">
        <f t="shared" si="108"/>
        <v>3158587.6752376393</v>
      </c>
      <c r="AJ1001" s="208">
        <f t="shared" si="109"/>
        <v>3008727.2272713864</v>
      </c>
      <c r="AK1001" s="208">
        <f t="shared" si="110"/>
        <v>149860.44796625269</v>
      </c>
      <c r="AL1001" s="235"/>
      <c r="AM1001" s="52">
        <f t="shared" si="86"/>
        <v>1</v>
      </c>
      <c r="AN1001" s="52">
        <f t="shared" si="87"/>
        <v>0</v>
      </c>
      <c r="AO1001" s="52">
        <f t="shared" si="88"/>
        <v>1</v>
      </c>
      <c r="AP1001" s="235"/>
      <c r="AQ1001" s="28"/>
      <c r="AR1001" s="28"/>
      <c r="AS1001" s="28"/>
      <c r="AT1001" s="28"/>
      <c r="AU1001" s="235"/>
      <c r="AV1001" s="360">
        <f t="shared" si="111"/>
        <v>3158587.6752376393</v>
      </c>
      <c r="AW1001" s="235"/>
      <c r="AX1001" s="355"/>
      <c r="AY1001" s="344"/>
      <c r="AZ1001" s="14">
        <f t="shared" si="113"/>
        <v>11034.087849727381</v>
      </c>
      <c r="BA1001" s="14">
        <f t="shared" si="112"/>
        <v>0.16936266927997901</v>
      </c>
      <c r="BB1001" s="14">
        <f t="shared" si="89"/>
        <v>65150.649175743485</v>
      </c>
      <c r="BC1001" s="344"/>
      <c r="BD1001" s="344"/>
      <c r="BE1001" s="344"/>
      <c r="BF1001" s="344"/>
      <c r="BG1001" s="344"/>
      <c r="BH1001" s="344"/>
      <c r="BI1001" s="344"/>
      <c r="BJ1001" s="344"/>
      <c r="BK1001" s="344"/>
      <c r="BL1001" s="344"/>
      <c r="BM1001" s="344"/>
      <c r="BN1001" s="344"/>
      <c r="BO1001" s="344"/>
      <c r="BP1001" s="344"/>
      <c r="BQ1001" s="344"/>
      <c r="BR1001" s="344"/>
      <c r="BS1001" s="344"/>
      <c r="BT1001" s="344"/>
      <c r="BU1001" s="344"/>
      <c r="BV1001" s="344"/>
      <c r="BW1001" s="344"/>
      <c r="BX1001" s="344"/>
      <c r="BY1001" s="344"/>
      <c r="BZ1001" s="344"/>
      <c r="CA1001" s="344"/>
      <c r="CB1001" s="28"/>
      <c r="CC1001" s="28"/>
      <c r="CD1001" s="28"/>
      <c r="CE1001" s="28"/>
      <c r="CF1001" s="28"/>
      <c r="CG1001" s="28"/>
      <c r="CH1001" s="28"/>
      <c r="CI1001" s="28"/>
      <c r="CJ1001" s="28"/>
      <c r="CK1001" s="28"/>
      <c r="CL1001" s="28"/>
      <c r="CM1001" s="28"/>
      <c r="CN1001" s="28"/>
      <c r="CO1001" s="28"/>
      <c r="CP1001" s="28"/>
      <c r="CQ1001" s="28"/>
      <c r="CR1001" s="28"/>
      <c r="CS1001" s="28"/>
      <c r="CT1001" s="28"/>
      <c r="CU1001" s="28"/>
      <c r="CV1001" s="28"/>
      <c r="CW1001" s="28"/>
    </row>
    <row r="1002" spans="1:101" ht="14.25" customHeight="1" x14ac:dyDescent="0.2">
      <c r="A1002" s="328"/>
      <c r="B1002" s="52">
        <v>0.15242766004200081</v>
      </c>
      <c r="C1002" s="330">
        <v>0.68247745871023691</v>
      </c>
      <c r="D1002" s="330">
        <v>1.8018535330783791E-2</v>
      </c>
      <c r="E1002" s="330">
        <v>7.9693747303580739E-3</v>
      </c>
      <c r="F1002" s="331">
        <v>0.80435016763198086</v>
      </c>
      <c r="G1002" s="94">
        <v>0.38559682090900943</v>
      </c>
      <c r="H1002" s="330">
        <v>0.19367161303766386</v>
      </c>
      <c r="I1002" s="330">
        <v>8.7849880047727435E-3</v>
      </c>
      <c r="J1002" s="330">
        <v>0.9997053559623621</v>
      </c>
      <c r="K1002" s="330">
        <v>0.73668479281058152</v>
      </c>
      <c r="L1002" s="332">
        <v>13608.176454824241</v>
      </c>
      <c r="M1002" s="330">
        <v>0</v>
      </c>
      <c r="N1002" s="330">
        <v>20264.62018276357</v>
      </c>
      <c r="O1002" s="330">
        <v>1130.8863282654027</v>
      </c>
      <c r="P1002" s="330">
        <v>44084.147559483987</v>
      </c>
      <c r="Q1002" s="333">
        <v>78925.96600816607</v>
      </c>
      <c r="R1002" s="330">
        <v>25428.589082948158</v>
      </c>
      <c r="S1002" s="330">
        <v>6156.9633695816392</v>
      </c>
      <c r="T1002" s="332">
        <v>0.72485432689714668</v>
      </c>
      <c r="U1002" s="330">
        <v>0.87755420161097009</v>
      </c>
      <c r="V1002" s="330">
        <v>0.9894660311644814</v>
      </c>
      <c r="W1002" s="330">
        <v>0.80915764383642641</v>
      </c>
      <c r="X1002" s="330">
        <v>0.56066594671430259</v>
      </c>
      <c r="Y1002" s="330">
        <v>0</v>
      </c>
      <c r="Z1002" s="331">
        <v>0</v>
      </c>
      <c r="AA1002" s="235"/>
      <c r="AB1002" s="335">
        <v>69788.893467675254</v>
      </c>
      <c r="AC1002" s="336">
        <v>3.1865015197966082</v>
      </c>
      <c r="AD1002" s="337">
        <v>51536.519177679365</v>
      </c>
      <c r="AE1002" s="336">
        <v>2.7001456099474699</v>
      </c>
      <c r="AF1002" s="337">
        <v>18252.374289995889</v>
      </c>
      <c r="AG1002" s="338">
        <v>0.48635590984913835</v>
      </c>
      <c r="AH1002" s="235"/>
      <c r="AI1002" s="208">
        <f t="shared" si="108"/>
        <v>2957387.5503391023</v>
      </c>
      <c r="AJ1002" s="208">
        <f t="shared" si="109"/>
        <v>2513601.810272417</v>
      </c>
      <c r="AK1002" s="208">
        <f t="shared" si="110"/>
        <v>443785.74006668554</v>
      </c>
      <c r="AL1002" s="235"/>
      <c r="AM1002" s="52">
        <f t="shared" si="86"/>
        <v>1</v>
      </c>
      <c r="AN1002" s="52">
        <f t="shared" si="87"/>
        <v>0</v>
      </c>
      <c r="AO1002" s="52">
        <f t="shared" si="88"/>
        <v>1</v>
      </c>
      <c r="AP1002" s="235"/>
      <c r="AQ1002" s="28"/>
      <c r="AR1002" s="28"/>
      <c r="AS1002" s="28"/>
      <c r="AT1002" s="28"/>
      <c r="AU1002" s="235"/>
      <c r="AV1002" s="360">
        <f t="shared" si="111"/>
        <v>2957387.5503391023</v>
      </c>
      <c r="AW1002" s="235"/>
      <c r="AX1002" s="355"/>
      <c r="AY1002" s="344"/>
      <c r="AZ1002" s="14">
        <f t="shared" si="113"/>
        <v>18252.374289995889</v>
      </c>
      <c r="BA1002" s="14">
        <f t="shared" si="112"/>
        <v>0.48635590984913835</v>
      </c>
      <c r="BB1002" s="14">
        <f t="shared" si="89"/>
        <v>37528.842397859524</v>
      </c>
      <c r="BC1002" s="344"/>
      <c r="BD1002" s="344"/>
      <c r="BE1002" s="344"/>
      <c r="BF1002" s="344"/>
      <c r="BG1002" s="344"/>
      <c r="BH1002" s="344"/>
      <c r="BI1002" s="344"/>
      <c r="BJ1002" s="344"/>
      <c r="BK1002" s="344"/>
      <c r="BL1002" s="344"/>
      <c r="BM1002" s="344"/>
      <c r="BN1002" s="344"/>
      <c r="BO1002" s="344"/>
      <c r="BP1002" s="344"/>
      <c r="BQ1002" s="344"/>
      <c r="BR1002" s="344"/>
      <c r="BS1002" s="344"/>
      <c r="BT1002" s="344"/>
      <c r="BU1002" s="344"/>
      <c r="BV1002" s="344"/>
      <c r="BW1002" s="344"/>
      <c r="BX1002" s="344"/>
      <c r="BY1002" s="344"/>
      <c r="BZ1002" s="344"/>
      <c r="CA1002" s="344"/>
      <c r="CB1002" s="28"/>
      <c r="CC1002" s="28"/>
      <c r="CD1002" s="28"/>
      <c r="CE1002" s="28"/>
      <c r="CF1002" s="28"/>
      <c r="CG1002" s="28"/>
      <c r="CH1002" s="28"/>
      <c r="CI1002" s="28"/>
      <c r="CJ1002" s="28"/>
      <c r="CK1002" s="28"/>
      <c r="CL1002" s="28"/>
      <c r="CM1002" s="28"/>
      <c r="CN1002" s="28"/>
      <c r="CO1002" s="28"/>
      <c r="CP1002" s="28"/>
      <c r="CQ1002" s="28"/>
      <c r="CR1002" s="28"/>
      <c r="CS1002" s="28"/>
      <c r="CT1002" s="28"/>
      <c r="CU1002" s="28"/>
      <c r="CV1002" s="28"/>
      <c r="CW1002" s="28"/>
    </row>
    <row r="1003" spans="1:101" ht="14.25" customHeight="1" x14ac:dyDescent="0.2">
      <c r="A1003" s="328"/>
      <c r="B1003" s="52">
        <v>0.15689101244409398</v>
      </c>
      <c r="C1003" s="330">
        <v>4.1762819785466268E-2</v>
      </c>
      <c r="D1003" s="330">
        <v>1.2024479752267538E-2</v>
      </c>
      <c r="E1003" s="330">
        <v>6.0467934989375206E-3</v>
      </c>
      <c r="F1003" s="331">
        <v>0.7970710974025722</v>
      </c>
      <c r="G1003" s="94">
        <v>0.39460580515998511</v>
      </c>
      <c r="H1003" s="330">
        <v>0.71638505411313402</v>
      </c>
      <c r="I1003" s="330">
        <v>7.4381244828589325E-3</v>
      </c>
      <c r="J1003" s="330">
        <v>0.99999880801852459</v>
      </c>
      <c r="K1003" s="330">
        <v>0.79496205382537588</v>
      </c>
      <c r="L1003" s="332">
        <v>11440.618182370939</v>
      </c>
      <c r="M1003" s="330">
        <v>0</v>
      </c>
      <c r="N1003" s="330">
        <v>14770.655447176545</v>
      </c>
      <c r="O1003" s="330">
        <v>978.72242359638369</v>
      </c>
      <c r="P1003" s="330">
        <v>36682.34236197843</v>
      </c>
      <c r="Q1003" s="333">
        <v>108929.54091302707</v>
      </c>
      <c r="R1003" s="330">
        <v>19232.247498105047</v>
      </c>
      <c r="S1003" s="330">
        <v>6937.4413605433947</v>
      </c>
      <c r="T1003" s="332">
        <v>0.63737421937436489</v>
      </c>
      <c r="U1003" s="330">
        <v>0.99879088596330501</v>
      </c>
      <c r="V1003" s="330">
        <v>0.98589942686327403</v>
      </c>
      <c r="W1003" s="330">
        <v>0.69518942271087136</v>
      </c>
      <c r="X1003" s="330">
        <v>0.99493360860219915</v>
      </c>
      <c r="Y1003" s="330">
        <v>0</v>
      </c>
      <c r="Z1003" s="331">
        <v>0</v>
      </c>
      <c r="AA1003" s="235"/>
      <c r="AB1003" s="335">
        <v>71266.05207377483</v>
      </c>
      <c r="AC1003" s="336">
        <v>4.893360215625286</v>
      </c>
      <c r="AD1003" s="337">
        <v>65438.397709995981</v>
      </c>
      <c r="AE1003" s="336">
        <v>5.0563800217201793</v>
      </c>
      <c r="AF1003" s="337">
        <v>5827.6543637788491</v>
      </c>
      <c r="AG1003" s="338">
        <v>-0.1630198060948933</v>
      </c>
      <c r="AH1003" s="235"/>
      <c r="AI1003" s="208">
        <f t="shared" si="108"/>
        <v>4577426.1527702464</v>
      </c>
      <c r="AJ1003" s="208">
        <f t="shared" si="109"/>
        <v>4738122.6229241742</v>
      </c>
      <c r="AK1003" s="208">
        <f t="shared" si="110"/>
        <v>-160696.47015392748</v>
      </c>
      <c r="AL1003" s="235"/>
      <c r="AM1003" s="52">
        <f t="shared" si="86"/>
        <v>0</v>
      </c>
      <c r="AN1003" s="52">
        <f t="shared" si="87"/>
        <v>1</v>
      </c>
      <c r="AO1003" s="52">
        <f t="shared" si="88"/>
        <v>0</v>
      </c>
      <c r="AP1003" s="235"/>
      <c r="AQ1003" s="28"/>
      <c r="AR1003" s="28"/>
      <c r="AS1003" s="28"/>
      <c r="AT1003" s="28"/>
      <c r="AU1003" s="235"/>
      <c r="AV1003" s="360">
        <f t="shared" si="111"/>
        <v>4738122.6229241742</v>
      </c>
      <c r="AW1003" s="235"/>
      <c r="AX1003" s="355"/>
      <c r="AY1003" s="344"/>
      <c r="AZ1003" s="14">
        <f t="shared" si="113"/>
        <v>5827.6543637788491</v>
      </c>
      <c r="BA1003" s="14">
        <f t="shared" si="112"/>
        <v>-0.1630198060948933</v>
      </c>
      <c r="BB1003" s="14">
        <f t="shared" si="89"/>
        <v>-35748.137010950624</v>
      </c>
      <c r="BC1003" s="344"/>
      <c r="BD1003" s="344"/>
      <c r="BE1003" s="344"/>
      <c r="BF1003" s="344"/>
      <c r="BG1003" s="344"/>
      <c r="BH1003" s="344"/>
      <c r="BI1003" s="344"/>
      <c r="BJ1003" s="344"/>
      <c r="BK1003" s="344"/>
      <c r="BL1003" s="344"/>
      <c r="BM1003" s="344"/>
      <c r="BN1003" s="344"/>
      <c r="BO1003" s="344"/>
      <c r="BP1003" s="344"/>
      <c r="BQ1003" s="344"/>
      <c r="BR1003" s="344"/>
      <c r="BS1003" s="344"/>
      <c r="BT1003" s="344"/>
      <c r="BU1003" s="344"/>
      <c r="BV1003" s="344"/>
      <c r="BW1003" s="344"/>
      <c r="BX1003" s="344"/>
      <c r="BY1003" s="344"/>
      <c r="BZ1003" s="344"/>
      <c r="CA1003" s="344"/>
      <c r="CB1003" s="28"/>
      <c r="CC1003" s="28"/>
      <c r="CD1003" s="28"/>
      <c r="CE1003" s="28"/>
      <c r="CF1003" s="28"/>
      <c r="CG1003" s="28"/>
      <c r="CH1003" s="28"/>
      <c r="CI1003" s="28"/>
      <c r="CJ1003" s="28"/>
      <c r="CK1003" s="28"/>
      <c r="CL1003" s="28"/>
      <c r="CM1003" s="28"/>
      <c r="CN1003" s="28"/>
      <c r="CO1003" s="28"/>
      <c r="CP1003" s="28"/>
      <c r="CQ1003" s="28"/>
      <c r="CR1003" s="28"/>
      <c r="CS1003" s="28"/>
      <c r="CT1003" s="28"/>
      <c r="CU1003" s="28"/>
      <c r="CV1003" s="28"/>
      <c r="CW1003" s="28"/>
    </row>
    <row r="1004" spans="1:101" ht="14.25" customHeight="1" x14ac:dyDescent="0.2">
      <c r="A1004" s="328"/>
      <c r="B1004" s="52">
        <v>0.14695948144859849</v>
      </c>
      <c r="C1004" s="330">
        <v>2.7460404766084016E-2</v>
      </c>
      <c r="D1004" s="330">
        <v>1.4162518203825676E-2</v>
      </c>
      <c r="E1004" s="330">
        <v>4.8938403506464338E-3</v>
      </c>
      <c r="F1004" s="331">
        <v>0.7859975455788859</v>
      </c>
      <c r="G1004" s="94">
        <v>0.35064136602475499</v>
      </c>
      <c r="H1004" s="330">
        <v>0.99447929941150104</v>
      </c>
      <c r="I1004" s="330">
        <v>9.8006812418230324E-3</v>
      </c>
      <c r="J1004" s="330">
        <v>0.99962711923634617</v>
      </c>
      <c r="K1004" s="330">
        <v>0.7849483466544479</v>
      </c>
      <c r="L1004" s="332">
        <v>9013.097094914081</v>
      </c>
      <c r="M1004" s="330">
        <v>0</v>
      </c>
      <c r="N1004" s="330">
        <v>16105.845487206627</v>
      </c>
      <c r="O1004" s="330">
        <v>1252.3644705505728</v>
      </c>
      <c r="P1004" s="330">
        <v>41767.589089782057</v>
      </c>
      <c r="Q1004" s="333">
        <v>89155.021785931749</v>
      </c>
      <c r="R1004" s="330">
        <v>24768.263418330629</v>
      </c>
      <c r="S1004" s="330">
        <v>8460.6933105397729</v>
      </c>
      <c r="T1004" s="332">
        <v>0.92704433482450899</v>
      </c>
      <c r="U1004" s="330">
        <v>0.80552681390146874</v>
      </c>
      <c r="V1004" s="330">
        <v>0.93651537590602663</v>
      </c>
      <c r="W1004" s="330">
        <v>0.90479410648984782</v>
      </c>
      <c r="X1004" s="330">
        <v>0.9815516144355978</v>
      </c>
      <c r="Y1004" s="330">
        <v>0</v>
      </c>
      <c r="Z1004" s="331">
        <v>0</v>
      </c>
      <c r="AA1004" s="235"/>
      <c r="AB1004" s="335">
        <v>80846.83847011425</v>
      </c>
      <c r="AC1004" s="336">
        <v>4.8052448794502061</v>
      </c>
      <c r="AD1004" s="337">
        <v>80767.176325750697</v>
      </c>
      <c r="AE1004" s="336">
        <v>4.8701549433405624</v>
      </c>
      <c r="AF1004" s="337">
        <v>79.662144363552216</v>
      </c>
      <c r="AG1004" s="338">
        <v>-6.4910063890356362E-2</v>
      </c>
      <c r="AH1004" s="235"/>
      <c r="AI1004" s="208">
        <f t="shared" si="108"/>
        <v>4484135.7970075812</v>
      </c>
      <c r="AJ1004" s="208">
        <f t="shared" si="109"/>
        <v>4545880.0198477842</v>
      </c>
      <c r="AK1004" s="208">
        <f t="shared" si="110"/>
        <v>-61744.222840202099</v>
      </c>
      <c r="AL1004" s="235"/>
      <c r="AM1004" s="52">
        <f t="shared" si="86"/>
        <v>0</v>
      </c>
      <c r="AN1004" s="52">
        <f t="shared" si="87"/>
        <v>1</v>
      </c>
      <c r="AO1004" s="52">
        <f t="shared" si="88"/>
        <v>0</v>
      </c>
      <c r="AP1004" s="235"/>
      <c r="AQ1004" s="28"/>
      <c r="AR1004" s="28"/>
      <c r="AS1004" s="28"/>
      <c r="AT1004" s="28"/>
      <c r="AU1004" s="235"/>
      <c r="AV1004" s="360">
        <f t="shared" si="111"/>
        <v>4545880.0198477842</v>
      </c>
      <c r="AW1004" s="235"/>
      <c r="AX1004" s="355"/>
      <c r="AY1004" s="344"/>
      <c r="AZ1004" s="14">
        <f t="shared" si="113"/>
        <v>79.662144363552216</v>
      </c>
      <c r="BA1004" s="14">
        <f t="shared" si="112"/>
        <v>-6.4910063890356362E-2</v>
      </c>
      <c r="BB1004" s="14">
        <f t="shared" si="89"/>
        <v>-1227.269541717206</v>
      </c>
      <c r="BC1004" s="344"/>
      <c r="BD1004" s="344"/>
      <c r="BE1004" s="344"/>
      <c r="BF1004" s="344"/>
      <c r="BG1004" s="344"/>
      <c r="BH1004" s="344"/>
      <c r="BI1004" s="344"/>
      <c r="BJ1004" s="344"/>
      <c r="BK1004" s="344"/>
      <c r="BL1004" s="344"/>
      <c r="BM1004" s="344"/>
      <c r="BN1004" s="344"/>
      <c r="BO1004" s="344"/>
      <c r="BP1004" s="344"/>
      <c r="BQ1004" s="344"/>
      <c r="BR1004" s="344"/>
      <c r="BS1004" s="344"/>
      <c r="BT1004" s="344"/>
      <c r="BU1004" s="344"/>
      <c r="BV1004" s="344"/>
      <c r="BW1004" s="344"/>
      <c r="BX1004" s="344"/>
      <c r="BY1004" s="344"/>
      <c r="BZ1004" s="344"/>
      <c r="CA1004" s="344"/>
      <c r="CB1004" s="28"/>
      <c r="CC1004" s="28"/>
      <c r="CD1004" s="28"/>
      <c r="CE1004" s="28"/>
      <c r="CF1004" s="28"/>
      <c r="CG1004" s="28"/>
      <c r="CH1004" s="28"/>
      <c r="CI1004" s="28"/>
      <c r="CJ1004" s="28"/>
      <c r="CK1004" s="28"/>
      <c r="CL1004" s="28"/>
      <c r="CM1004" s="28"/>
      <c r="CN1004" s="28"/>
      <c r="CO1004" s="28"/>
      <c r="CP1004" s="28"/>
      <c r="CQ1004" s="28"/>
      <c r="CR1004" s="28"/>
      <c r="CS1004" s="28"/>
      <c r="CT1004" s="28"/>
      <c r="CU1004" s="28"/>
      <c r="CV1004" s="28"/>
      <c r="CW1004" s="28"/>
    </row>
    <row r="1005" spans="1:101" ht="14.25" customHeight="1" x14ac:dyDescent="0.2">
      <c r="A1005" s="328"/>
      <c r="B1005" s="52">
        <v>0.17699858244572775</v>
      </c>
      <c r="C1005" s="330">
        <v>0.35021674207344322</v>
      </c>
      <c r="D1005" s="330">
        <v>1.8671649519277467E-2</v>
      </c>
      <c r="E1005" s="330">
        <v>1.6977913701528902E-2</v>
      </c>
      <c r="F1005" s="331">
        <v>0.78545487789274882</v>
      </c>
      <c r="G1005" s="94">
        <v>0.3773419498435383</v>
      </c>
      <c r="H1005" s="330">
        <v>0.24071978542186642</v>
      </c>
      <c r="I1005" s="330">
        <v>1.4051759587237325E-2</v>
      </c>
      <c r="J1005" s="330">
        <v>0.88762750992074313</v>
      </c>
      <c r="K1005" s="330">
        <v>0.76158697142326215</v>
      </c>
      <c r="L1005" s="332">
        <v>17929.802483136304</v>
      </c>
      <c r="M1005" s="330">
        <v>0</v>
      </c>
      <c r="N1005" s="330">
        <v>15431.703064528903</v>
      </c>
      <c r="O1005" s="330">
        <v>940.49563861313823</v>
      </c>
      <c r="P1005" s="330">
        <v>47098.161967868262</v>
      </c>
      <c r="Q1005" s="333">
        <v>115742.76646472509</v>
      </c>
      <c r="R1005" s="330">
        <v>25250.10582775384</v>
      </c>
      <c r="S1005" s="330">
        <v>9863.2756266910947</v>
      </c>
      <c r="T1005" s="332">
        <v>0.98552565137202675</v>
      </c>
      <c r="U1005" s="330">
        <v>0.99903705116865504</v>
      </c>
      <c r="V1005" s="330">
        <v>0.8911498728305185</v>
      </c>
      <c r="W1005" s="330">
        <v>0.99997278076274632</v>
      </c>
      <c r="X1005" s="330">
        <v>0.99883698326700698</v>
      </c>
      <c r="Y1005" s="330">
        <v>0</v>
      </c>
      <c r="Z1005" s="331">
        <v>0</v>
      </c>
      <c r="AA1005" s="235"/>
      <c r="AB1005" s="335">
        <v>103184.03442178007</v>
      </c>
      <c r="AC1005" s="336">
        <v>5.1076026196893523</v>
      </c>
      <c r="AD1005" s="337">
        <v>84181.351954557991</v>
      </c>
      <c r="AE1005" s="336">
        <v>4.8397531623131611</v>
      </c>
      <c r="AF1005" s="337">
        <v>19002.682467222083</v>
      </c>
      <c r="AG1005" s="338">
        <v>0.26784945737619115</v>
      </c>
      <c r="AH1005" s="235"/>
      <c r="AI1005" s="208">
        <f t="shared" si="108"/>
        <v>4749038.4542831043</v>
      </c>
      <c r="AJ1005" s="208">
        <f t="shared" si="109"/>
        <v>4513584.1522429455</v>
      </c>
      <c r="AK1005" s="208">
        <f t="shared" si="110"/>
        <v>235454.30204015953</v>
      </c>
      <c r="AL1005" s="235"/>
      <c r="AM1005" s="52">
        <f t="shared" si="86"/>
        <v>1</v>
      </c>
      <c r="AN1005" s="52">
        <f t="shared" si="87"/>
        <v>0</v>
      </c>
      <c r="AO1005" s="52">
        <f t="shared" si="88"/>
        <v>1</v>
      </c>
      <c r="AP1005" s="235"/>
      <c r="AQ1005" s="28"/>
      <c r="AR1005" s="28"/>
      <c r="AS1005" s="28"/>
      <c r="AT1005" s="28"/>
      <c r="AU1005" s="235"/>
      <c r="AV1005" s="360">
        <f t="shared" si="111"/>
        <v>4749038.4542831043</v>
      </c>
      <c r="AW1005" s="235"/>
      <c r="AX1005" s="355"/>
      <c r="AY1005" s="344"/>
      <c r="AZ1005" s="14">
        <f t="shared" si="113"/>
        <v>19002.682467222083</v>
      </c>
      <c r="BA1005" s="14">
        <f t="shared" si="112"/>
        <v>0.26784945737619115</v>
      </c>
      <c r="BB1005" s="14">
        <f t="shared" si="89"/>
        <v>70945.383475364142</v>
      </c>
      <c r="BC1005" s="344"/>
      <c r="BD1005" s="344"/>
      <c r="BE1005" s="344"/>
      <c r="BF1005" s="344"/>
      <c r="BG1005" s="344"/>
      <c r="BH1005" s="344"/>
      <c r="BI1005" s="344"/>
      <c r="BJ1005" s="344"/>
      <c r="BK1005" s="344"/>
      <c r="BL1005" s="344"/>
      <c r="BM1005" s="344"/>
      <c r="BN1005" s="344"/>
      <c r="BO1005" s="344"/>
      <c r="BP1005" s="344"/>
      <c r="BQ1005" s="344"/>
      <c r="BR1005" s="344"/>
      <c r="BS1005" s="344"/>
      <c r="BT1005" s="344"/>
      <c r="BU1005" s="344"/>
      <c r="BV1005" s="344"/>
      <c r="BW1005" s="344"/>
      <c r="BX1005" s="344"/>
      <c r="BY1005" s="344"/>
      <c r="BZ1005" s="344"/>
      <c r="CA1005" s="344"/>
      <c r="CB1005" s="28"/>
      <c r="CC1005" s="28"/>
      <c r="CD1005" s="28"/>
      <c r="CE1005" s="28"/>
      <c r="CF1005" s="28"/>
      <c r="CG1005" s="28"/>
      <c r="CH1005" s="28"/>
      <c r="CI1005" s="28"/>
      <c r="CJ1005" s="28"/>
      <c r="CK1005" s="28"/>
      <c r="CL1005" s="28"/>
      <c r="CM1005" s="28"/>
      <c r="CN1005" s="28"/>
      <c r="CO1005" s="28"/>
      <c r="CP1005" s="28"/>
      <c r="CQ1005" s="28"/>
      <c r="CR1005" s="28"/>
      <c r="CS1005" s="28"/>
      <c r="CT1005" s="28"/>
      <c r="CU1005" s="28"/>
      <c r="CV1005" s="28"/>
      <c r="CW1005" s="28"/>
    </row>
    <row r="1006" spans="1:101" ht="14.25" customHeight="1" x14ac:dyDescent="0.2">
      <c r="A1006" s="328"/>
      <c r="B1006" s="52">
        <v>0.16722543933730771</v>
      </c>
      <c r="C1006" s="330">
        <v>0.14871814002051933</v>
      </c>
      <c r="D1006" s="330">
        <v>9.4554647035684832E-3</v>
      </c>
      <c r="E1006" s="330">
        <v>1.4259684491732354E-2</v>
      </c>
      <c r="F1006" s="331">
        <v>0.79278035422493853</v>
      </c>
      <c r="G1006" s="94">
        <v>0.41080741975495161</v>
      </c>
      <c r="H1006" s="330">
        <v>0.7089185233288835</v>
      </c>
      <c r="I1006" s="330">
        <v>6.7826639653998525E-3</v>
      </c>
      <c r="J1006" s="330">
        <v>0.99999999826994013</v>
      </c>
      <c r="K1006" s="330">
        <v>0.7345302515754083</v>
      </c>
      <c r="L1006" s="332">
        <v>14970.382123064523</v>
      </c>
      <c r="M1006" s="330">
        <v>0</v>
      </c>
      <c r="N1006" s="330">
        <v>15254.633447563065</v>
      </c>
      <c r="O1006" s="330">
        <v>1218.7244415553864</v>
      </c>
      <c r="P1006" s="330">
        <v>45044.861361227617</v>
      </c>
      <c r="Q1006" s="333">
        <v>57035.396821279872</v>
      </c>
      <c r="R1006" s="330">
        <v>25454.767511177073</v>
      </c>
      <c r="S1006" s="330">
        <v>8698.5618431663843</v>
      </c>
      <c r="T1006" s="332">
        <v>0.37232474179482483</v>
      </c>
      <c r="U1006" s="330">
        <v>0.85270393305410308</v>
      </c>
      <c r="V1006" s="330">
        <v>0.88676843741918776</v>
      </c>
      <c r="W1006" s="330">
        <v>0.93644181093863854</v>
      </c>
      <c r="X1006" s="330">
        <v>0.60339937088371698</v>
      </c>
      <c r="Y1006" s="330">
        <v>0</v>
      </c>
      <c r="Z1006" s="331">
        <v>0</v>
      </c>
      <c r="AA1006" s="235"/>
      <c r="AB1006" s="335">
        <v>89901.869754194791</v>
      </c>
      <c r="AC1006" s="336">
        <v>2.9684106672709425</v>
      </c>
      <c r="AD1006" s="337">
        <v>76766.698261856247</v>
      </c>
      <c r="AE1006" s="336">
        <v>3.0250722064383204</v>
      </c>
      <c r="AF1006" s="337">
        <v>13135.171492338544</v>
      </c>
      <c r="AG1006" s="338">
        <v>-5.6661539167377928E-2</v>
      </c>
      <c r="AH1006" s="235"/>
      <c r="AI1006" s="208">
        <f t="shared" si="108"/>
        <v>2730088.2641532007</v>
      </c>
      <c r="AJ1006" s="208">
        <f t="shared" si="109"/>
        <v>2797051.8978545484</v>
      </c>
      <c r="AK1006" s="208">
        <f t="shared" si="110"/>
        <v>-66963.633701347571</v>
      </c>
      <c r="AL1006" s="235"/>
      <c r="AM1006" s="52">
        <f t="shared" si="86"/>
        <v>0</v>
      </c>
      <c r="AN1006" s="52">
        <f t="shared" si="87"/>
        <v>1</v>
      </c>
      <c r="AO1006" s="52">
        <f t="shared" si="88"/>
        <v>0</v>
      </c>
      <c r="AP1006" s="235"/>
      <c r="AQ1006" s="28"/>
      <c r="AR1006" s="28"/>
      <c r="AS1006" s="28"/>
      <c r="AT1006" s="28"/>
      <c r="AU1006" s="235"/>
      <c r="AV1006" s="360">
        <f t="shared" si="111"/>
        <v>2797051.8978545484</v>
      </c>
      <c r="AW1006" s="235"/>
      <c r="AX1006" s="355"/>
      <c r="AY1006" s="344"/>
      <c r="AZ1006" s="14">
        <f t="shared" si="113"/>
        <v>13135.171492338544</v>
      </c>
      <c r="BA1006" s="14">
        <f t="shared" si="112"/>
        <v>-5.6661539167377928E-2</v>
      </c>
      <c r="BB1006" s="14">
        <f t="shared" si="89"/>
        <v>-231818.12011031518</v>
      </c>
      <c r="BC1006" s="344"/>
      <c r="BD1006" s="344"/>
      <c r="BE1006" s="344"/>
      <c r="BF1006" s="344"/>
      <c r="BG1006" s="344"/>
      <c r="BH1006" s="344"/>
      <c r="BI1006" s="344"/>
      <c r="BJ1006" s="344"/>
      <c r="BK1006" s="344"/>
      <c r="BL1006" s="344"/>
      <c r="BM1006" s="344"/>
      <c r="BN1006" s="344"/>
      <c r="BO1006" s="344"/>
      <c r="BP1006" s="344"/>
      <c r="BQ1006" s="344"/>
      <c r="BR1006" s="344"/>
      <c r="BS1006" s="344"/>
      <c r="BT1006" s="344"/>
      <c r="BU1006" s="344"/>
      <c r="BV1006" s="344"/>
      <c r="BW1006" s="344"/>
      <c r="BX1006" s="344"/>
      <c r="BY1006" s="344"/>
      <c r="BZ1006" s="344"/>
      <c r="CA1006" s="344"/>
      <c r="CB1006" s="28"/>
      <c r="CC1006" s="28"/>
      <c r="CD1006" s="28"/>
      <c r="CE1006" s="28"/>
      <c r="CF1006" s="28"/>
      <c r="CG1006" s="28"/>
      <c r="CH1006" s="28"/>
      <c r="CI1006" s="28"/>
      <c r="CJ1006" s="28"/>
      <c r="CK1006" s="28"/>
      <c r="CL1006" s="28"/>
      <c r="CM1006" s="28"/>
      <c r="CN1006" s="28"/>
      <c r="CO1006" s="28"/>
      <c r="CP1006" s="28"/>
      <c r="CQ1006" s="28"/>
      <c r="CR1006" s="28"/>
      <c r="CS1006" s="28"/>
      <c r="CT1006" s="28"/>
      <c r="CU1006" s="28"/>
      <c r="CV1006" s="28"/>
      <c r="CW1006" s="28"/>
    </row>
    <row r="1007" spans="1:101" ht="14.25" customHeight="1" x14ac:dyDescent="0.2">
      <c r="A1007" s="328"/>
      <c r="B1007" s="52">
        <v>0.15285209259095953</v>
      </c>
      <c r="C1007" s="330">
        <v>0.84482849812877159</v>
      </c>
      <c r="D1007" s="330">
        <v>1.3542506409338484E-2</v>
      </c>
      <c r="E1007" s="330">
        <v>1.9654616531965319E-2</v>
      </c>
      <c r="F1007" s="331">
        <v>0.77776635846933084</v>
      </c>
      <c r="G1007" s="94">
        <v>0.40387057608331267</v>
      </c>
      <c r="H1007" s="330">
        <v>0.23937831193336526</v>
      </c>
      <c r="I1007" s="330">
        <v>1.7834258689793936E-2</v>
      </c>
      <c r="J1007" s="330">
        <v>0.76596264965995486</v>
      </c>
      <c r="K1007" s="330">
        <v>0.80366090120107037</v>
      </c>
      <c r="L1007" s="332">
        <v>9592.5298604436066</v>
      </c>
      <c r="M1007" s="330">
        <v>0</v>
      </c>
      <c r="N1007" s="330">
        <v>19297.845696501376</v>
      </c>
      <c r="O1007" s="330">
        <v>1091.2632732131938</v>
      </c>
      <c r="P1007" s="330">
        <v>46739.53382321613</v>
      </c>
      <c r="Q1007" s="333">
        <v>76463.773643447625</v>
      </c>
      <c r="R1007" s="330">
        <v>25068.652105726636</v>
      </c>
      <c r="S1007" s="330">
        <v>6141.9712961614741</v>
      </c>
      <c r="T1007" s="332">
        <v>0.90511091303030489</v>
      </c>
      <c r="U1007" s="330">
        <v>0.59175438020321969</v>
      </c>
      <c r="V1007" s="330">
        <v>0.85200854566722861</v>
      </c>
      <c r="W1007" s="330">
        <v>0.73983679772533428</v>
      </c>
      <c r="X1007" s="330">
        <v>0.99882745841182907</v>
      </c>
      <c r="Y1007" s="330">
        <v>0</v>
      </c>
      <c r="Z1007" s="331">
        <v>0</v>
      </c>
      <c r="AA1007" s="235"/>
      <c r="AB1007" s="335">
        <v>64420.800836191534</v>
      </c>
      <c r="AC1007" s="336">
        <v>5.1470957182509052</v>
      </c>
      <c r="AD1007" s="337">
        <v>56858.737265832853</v>
      </c>
      <c r="AE1007" s="336">
        <v>5.0162441834930807</v>
      </c>
      <c r="AF1007" s="337">
        <v>7562.0635703586813</v>
      </c>
      <c r="AG1007" s="338">
        <v>0.13085153475782452</v>
      </c>
      <c r="AH1007" s="235"/>
      <c r="AI1007" s="208">
        <f t="shared" si="108"/>
        <v>4825320.1315021683</v>
      </c>
      <c r="AJ1007" s="208">
        <f t="shared" si="109"/>
        <v>4708573.2370525943</v>
      </c>
      <c r="AK1007" s="208">
        <f t="shared" si="110"/>
        <v>116746.89444957461</v>
      </c>
      <c r="AL1007" s="235"/>
      <c r="AM1007" s="52">
        <f t="shared" si="86"/>
        <v>1</v>
      </c>
      <c r="AN1007" s="52">
        <f t="shared" si="87"/>
        <v>0</v>
      </c>
      <c r="AO1007" s="52">
        <f t="shared" si="88"/>
        <v>1</v>
      </c>
      <c r="AP1007" s="235"/>
      <c r="AQ1007" s="28"/>
      <c r="AR1007" s="28"/>
      <c r="AS1007" s="28"/>
      <c r="AT1007" s="28"/>
      <c r="AU1007" s="235"/>
      <c r="AV1007" s="360">
        <f t="shared" si="111"/>
        <v>4825320.1315021683</v>
      </c>
      <c r="AW1007" s="235"/>
      <c r="AX1007" s="355"/>
      <c r="AY1007" s="344"/>
      <c r="AZ1007" s="14">
        <f t="shared" si="113"/>
        <v>7562.0635703586813</v>
      </c>
      <c r="BA1007" s="14">
        <f t="shared" si="112"/>
        <v>0.13085153475782452</v>
      </c>
      <c r="BB1007" s="14">
        <f t="shared" si="89"/>
        <v>57791.172142950301</v>
      </c>
      <c r="BC1007" s="344"/>
      <c r="BD1007" s="344"/>
      <c r="BE1007" s="344"/>
      <c r="BF1007" s="344"/>
      <c r="BG1007" s="344"/>
      <c r="BH1007" s="344"/>
      <c r="BI1007" s="344"/>
      <c r="BJ1007" s="344"/>
      <c r="BK1007" s="344"/>
      <c r="BL1007" s="344"/>
      <c r="BM1007" s="344"/>
      <c r="BN1007" s="344"/>
      <c r="BO1007" s="344"/>
      <c r="BP1007" s="344"/>
      <c r="BQ1007" s="344"/>
      <c r="BR1007" s="344"/>
      <c r="BS1007" s="344"/>
      <c r="BT1007" s="344"/>
      <c r="BU1007" s="344"/>
      <c r="BV1007" s="344"/>
      <c r="BW1007" s="344"/>
      <c r="BX1007" s="344"/>
      <c r="BY1007" s="344"/>
      <c r="BZ1007" s="344"/>
      <c r="CA1007" s="344"/>
      <c r="CB1007" s="28"/>
      <c r="CC1007" s="28"/>
      <c r="CD1007" s="28"/>
      <c r="CE1007" s="28"/>
      <c r="CF1007" s="28"/>
      <c r="CG1007" s="28"/>
      <c r="CH1007" s="28"/>
      <c r="CI1007" s="28"/>
      <c r="CJ1007" s="28"/>
      <c r="CK1007" s="28"/>
      <c r="CL1007" s="28"/>
      <c r="CM1007" s="28"/>
      <c r="CN1007" s="28"/>
      <c r="CO1007" s="28"/>
      <c r="CP1007" s="28"/>
      <c r="CQ1007" s="28"/>
      <c r="CR1007" s="28"/>
      <c r="CS1007" s="28"/>
      <c r="CT1007" s="28"/>
      <c r="CU1007" s="28"/>
      <c r="CV1007" s="28"/>
      <c r="CW1007" s="28"/>
    </row>
    <row r="1008" spans="1:101" ht="14.25" customHeight="1" x14ac:dyDescent="0.2">
      <c r="A1008" s="328"/>
      <c r="B1008" s="52">
        <v>0.18773314561459653</v>
      </c>
      <c r="C1008" s="330">
        <v>9.9402746174127019E-2</v>
      </c>
      <c r="D1008" s="330">
        <v>2.4458514303371981E-2</v>
      </c>
      <c r="E1008" s="330">
        <v>7.1270084552954045E-3</v>
      </c>
      <c r="F1008" s="331">
        <v>0.83031102862992356</v>
      </c>
      <c r="G1008" s="94">
        <v>0.40622005599424549</v>
      </c>
      <c r="H1008" s="330">
        <v>0.44938507294067831</v>
      </c>
      <c r="I1008" s="330">
        <v>3.2480317179843232E-2</v>
      </c>
      <c r="J1008" s="330">
        <v>0.99999999999999978</v>
      </c>
      <c r="K1008" s="330">
        <v>0.80220993972211607</v>
      </c>
      <c r="L1008" s="332">
        <v>15221.840069321528</v>
      </c>
      <c r="M1008" s="330">
        <v>0</v>
      </c>
      <c r="N1008" s="330">
        <v>20427.839583891473</v>
      </c>
      <c r="O1008" s="330">
        <v>766.96678118404816</v>
      </c>
      <c r="P1008" s="330">
        <v>61780.646517179157</v>
      </c>
      <c r="Q1008" s="333">
        <v>116295.17260967256</v>
      </c>
      <c r="R1008" s="330">
        <v>24816.741878819659</v>
      </c>
      <c r="S1008" s="330">
        <v>8506.104105037437</v>
      </c>
      <c r="T1008" s="332">
        <v>0.94270495437982793</v>
      </c>
      <c r="U1008" s="330">
        <v>0.76937870699377042</v>
      </c>
      <c r="V1008" s="330">
        <v>2.5982088922421695E-2</v>
      </c>
      <c r="W1008" s="330">
        <v>0.81521807492745268</v>
      </c>
      <c r="X1008" s="330">
        <v>0.7971419829927886</v>
      </c>
      <c r="Y1008" s="330">
        <v>0</v>
      </c>
      <c r="Z1008" s="331">
        <v>0</v>
      </c>
      <c r="AA1008" s="235"/>
      <c r="AB1008" s="335">
        <v>92157.211276507151</v>
      </c>
      <c r="AC1008" s="336">
        <v>4.006790637265075</v>
      </c>
      <c r="AD1008" s="337">
        <v>80572.827637296723</v>
      </c>
      <c r="AE1008" s="336">
        <v>4.0702212092016561</v>
      </c>
      <c r="AF1008" s="337">
        <v>11584.383639210428</v>
      </c>
      <c r="AG1008" s="338">
        <v>-6.3430571936581082E-2</v>
      </c>
      <c r="AH1008" s="235"/>
      <c r="AI1008" s="208">
        <f t="shared" si="108"/>
        <v>3714293.8941253144</v>
      </c>
      <c r="AJ1008" s="208">
        <f t="shared" si="109"/>
        <v>3786137.3211042765</v>
      </c>
      <c r="AK1008" s="208">
        <f t="shared" si="110"/>
        <v>-71843.426978962452</v>
      </c>
      <c r="AL1008" s="235"/>
      <c r="AM1008" s="52">
        <f t="shared" si="86"/>
        <v>0</v>
      </c>
      <c r="AN1008" s="52">
        <f t="shared" si="87"/>
        <v>1</v>
      </c>
      <c r="AO1008" s="52">
        <f t="shared" si="88"/>
        <v>0</v>
      </c>
      <c r="AP1008" s="235"/>
      <c r="AQ1008" s="28"/>
      <c r="AR1008" s="28"/>
      <c r="AS1008" s="28"/>
      <c r="AT1008" s="28"/>
      <c r="AU1008" s="235"/>
      <c r="AV1008" s="360">
        <f t="shared" si="111"/>
        <v>3786137.3211042765</v>
      </c>
      <c r="AW1008" s="235"/>
      <c r="AX1008" s="355"/>
      <c r="AY1008" s="344"/>
      <c r="AZ1008" s="14">
        <f t="shared" si="113"/>
        <v>11584.383639210428</v>
      </c>
      <c r="BA1008" s="14">
        <f t="shared" si="112"/>
        <v>-6.3430571936581082E-2</v>
      </c>
      <c r="BB1008" s="14">
        <f t="shared" si="89"/>
        <v>-182630.91890126237</v>
      </c>
      <c r="BC1008" s="344"/>
      <c r="BD1008" s="344"/>
      <c r="BE1008" s="344"/>
      <c r="BF1008" s="344"/>
      <c r="BG1008" s="344"/>
      <c r="BH1008" s="344"/>
      <c r="BI1008" s="344"/>
      <c r="BJ1008" s="344"/>
      <c r="BK1008" s="344"/>
      <c r="BL1008" s="344"/>
      <c r="BM1008" s="344"/>
      <c r="BN1008" s="344"/>
      <c r="BO1008" s="344"/>
      <c r="BP1008" s="344"/>
      <c r="BQ1008" s="344"/>
      <c r="BR1008" s="344"/>
      <c r="BS1008" s="344"/>
      <c r="BT1008" s="344"/>
      <c r="BU1008" s="344"/>
      <c r="BV1008" s="344"/>
      <c r="BW1008" s="344"/>
      <c r="BX1008" s="344"/>
      <c r="BY1008" s="344"/>
      <c r="BZ1008" s="344"/>
      <c r="CA1008" s="344"/>
      <c r="CB1008" s="28"/>
      <c r="CC1008" s="28"/>
      <c r="CD1008" s="28"/>
      <c r="CE1008" s="28"/>
      <c r="CF1008" s="28"/>
      <c r="CG1008" s="28"/>
      <c r="CH1008" s="28"/>
      <c r="CI1008" s="28"/>
      <c r="CJ1008" s="28"/>
      <c r="CK1008" s="28"/>
      <c r="CL1008" s="28"/>
      <c r="CM1008" s="28"/>
      <c r="CN1008" s="28"/>
      <c r="CO1008" s="28"/>
      <c r="CP1008" s="28"/>
      <c r="CQ1008" s="28"/>
      <c r="CR1008" s="28"/>
      <c r="CS1008" s="28"/>
      <c r="CT1008" s="28"/>
      <c r="CU1008" s="28"/>
      <c r="CV1008" s="28"/>
      <c r="CW1008" s="28"/>
    </row>
    <row r="1009" spans="1:101" ht="14.25" customHeight="1" x14ac:dyDescent="0.2">
      <c r="A1009" s="328"/>
      <c r="B1009" s="52">
        <v>0.1401668375020575</v>
      </c>
      <c r="C1009" s="330">
        <v>0.70400553028108148</v>
      </c>
      <c r="D1009" s="330">
        <v>1.1491527646095543E-2</v>
      </c>
      <c r="E1009" s="330">
        <v>2.0558369834934531E-2</v>
      </c>
      <c r="F1009" s="331">
        <v>0.8010299995392709</v>
      </c>
      <c r="G1009" s="94">
        <v>0.40189960389006951</v>
      </c>
      <c r="H1009" s="330">
        <v>0.78485469588179324</v>
      </c>
      <c r="I1009" s="330">
        <v>1.6294115148634991E-2</v>
      </c>
      <c r="J1009" s="330">
        <v>0.9999881770118384</v>
      </c>
      <c r="K1009" s="330">
        <v>0.78764172401196919</v>
      </c>
      <c r="L1009" s="332">
        <v>12594.592862294792</v>
      </c>
      <c r="M1009" s="330">
        <v>0</v>
      </c>
      <c r="N1009" s="330">
        <v>13733.481499799685</v>
      </c>
      <c r="O1009" s="330">
        <v>1190.8055070935841</v>
      </c>
      <c r="P1009" s="330">
        <v>31447.454826177702</v>
      </c>
      <c r="Q1009" s="333">
        <v>86707.669181915699</v>
      </c>
      <c r="R1009" s="330">
        <v>24374.630947237136</v>
      </c>
      <c r="S1009" s="330">
        <v>7535.0219551333539</v>
      </c>
      <c r="T1009" s="332">
        <v>0.99755915108262405</v>
      </c>
      <c r="U1009" s="330">
        <v>0.69644072261690904</v>
      </c>
      <c r="V1009" s="330">
        <v>0.96692898031405061</v>
      </c>
      <c r="W1009" s="330">
        <v>0.73179324120370903</v>
      </c>
      <c r="X1009" s="330">
        <v>0.34619328509541325</v>
      </c>
      <c r="Y1009" s="330">
        <v>0</v>
      </c>
      <c r="Z1009" s="331">
        <v>0</v>
      </c>
      <c r="AA1009" s="235"/>
      <c r="AB1009" s="335">
        <v>80079.245000683935</v>
      </c>
      <c r="AC1009" s="336">
        <v>1.7464799369986386</v>
      </c>
      <c r="AD1009" s="337">
        <v>72706.678660961566</v>
      </c>
      <c r="AE1009" s="336">
        <v>1.7186882776821566</v>
      </c>
      <c r="AF1009" s="337">
        <v>7372.5663397223689</v>
      </c>
      <c r="AG1009" s="338">
        <v>2.7791659316481976E-2</v>
      </c>
      <c r="AH1009" s="235"/>
      <c r="AI1009" s="208">
        <f t="shared" si="108"/>
        <v>1579076.6951480226</v>
      </c>
      <c r="AJ1009" s="208">
        <f t="shared" si="109"/>
        <v>1560047.1851370872</v>
      </c>
      <c r="AK1009" s="208">
        <f t="shared" si="110"/>
        <v>19029.510010935508</v>
      </c>
      <c r="AL1009" s="235"/>
      <c r="AM1009" s="52">
        <f t="shared" si="86"/>
        <v>1</v>
      </c>
      <c r="AN1009" s="52">
        <f t="shared" si="87"/>
        <v>0</v>
      </c>
      <c r="AO1009" s="52">
        <f t="shared" si="88"/>
        <v>1</v>
      </c>
      <c r="AP1009" s="235"/>
      <c r="AQ1009" s="28"/>
      <c r="AR1009" s="28"/>
      <c r="AS1009" s="28"/>
      <c r="AT1009" s="28"/>
      <c r="AU1009" s="235"/>
      <c r="AV1009" s="360">
        <f t="shared" si="111"/>
        <v>1579076.6951480226</v>
      </c>
      <c r="AW1009" s="235"/>
      <c r="AX1009" s="355"/>
      <c r="AY1009" s="344"/>
      <c r="AZ1009" s="14">
        <f t="shared" si="113"/>
        <v>7372.5663397223689</v>
      </c>
      <c r="BA1009" s="14">
        <f t="shared" si="112"/>
        <v>2.7791659316481976E-2</v>
      </c>
      <c r="BB1009" s="14">
        <f t="shared" si="89"/>
        <v>265279.81851555128</v>
      </c>
      <c r="BC1009" s="344"/>
      <c r="BD1009" s="344"/>
      <c r="BE1009" s="344"/>
      <c r="BF1009" s="344"/>
      <c r="BG1009" s="344"/>
      <c r="BH1009" s="344"/>
      <c r="BI1009" s="344"/>
      <c r="BJ1009" s="344"/>
      <c r="BK1009" s="344"/>
      <c r="BL1009" s="344"/>
      <c r="BM1009" s="344"/>
      <c r="BN1009" s="344"/>
      <c r="BO1009" s="344"/>
      <c r="BP1009" s="344"/>
      <c r="BQ1009" s="344"/>
      <c r="BR1009" s="344"/>
      <c r="BS1009" s="344"/>
      <c r="BT1009" s="344"/>
      <c r="BU1009" s="344"/>
      <c r="BV1009" s="344"/>
      <c r="BW1009" s="344"/>
      <c r="BX1009" s="344"/>
      <c r="BY1009" s="344"/>
      <c r="BZ1009" s="344"/>
      <c r="CA1009" s="344"/>
      <c r="CB1009" s="28"/>
      <c r="CC1009" s="28"/>
      <c r="CD1009" s="28"/>
      <c r="CE1009" s="28"/>
      <c r="CF1009" s="28"/>
      <c r="CG1009" s="28"/>
      <c r="CH1009" s="28"/>
      <c r="CI1009" s="28"/>
      <c r="CJ1009" s="28"/>
      <c r="CK1009" s="28"/>
      <c r="CL1009" s="28"/>
      <c r="CM1009" s="28"/>
      <c r="CN1009" s="28"/>
      <c r="CO1009" s="28"/>
      <c r="CP1009" s="28"/>
      <c r="CQ1009" s="28"/>
      <c r="CR1009" s="28"/>
      <c r="CS1009" s="28"/>
      <c r="CT1009" s="28"/>
      <c r="CU1009" s="28"/>
      <c r="CV1009" s="28"/>
      <c r="CW1009" s="28"/>
    </row>
    <row r="1010" spans="1:101" ht="14.25" customHeight="1" x14ac:dyDescent="0.2">
      <c r="A1010" s="328"/>
      <c r="B1010" s="52">
        <v>0.16693536659166286</v>
      </c>
      <c r="C1010" s="330">
        <v>0.19601186604506649</v>
      </c>
      <c r="D1010" s="330">
        <v>1.158474432540796E-2</v>
      </c>
      <c r="E1010" s="330">
        <v>2.6236951158424282E-2</v>
      </c>
      <c r="F1010" s="331">
        <v>0.78350113108884967</v>
      </c>
      <c r="G1010" s="94">
        <v>0.41123575105192722</v>
      </c>
      <c r="H1010" s="330">
        <v>0.84666357683264137</v>
      </c>
      <c r="I1010" s="330">
        <v>1.5357617316372715E-2</v>
      </c>
      <c r="J1010" s="330">
        <v>0.66745655623271993</v>
      </c>
      <c r="K1010" s="330">
        <v>0.76981605624221516</v>
      </c>
      <c r="L1010" s="332">
        <v>13933.166205811363</v>
      </c>
      <c r="M1010" s="330">
        <v>0</v>
      </c>
      <c r="N1010" s="330">
        <v>21337.117996072666</v>
      </c>
      <c r="O1010" s="330">
        <v>1027.9442337815617</v>
      </c>
      <c r="P1010" s="330">
        <v>47173.089764607757</v>
      </c>
      <c r="Q1010" s="333">
        <v>77274.968620192914</v>
      </c>
      <c r="R1010" s="330">
        <v>19283.355206484252</v>
      </c>
      <c r="S1010" s="330">
        <v>8301.4616393653978</v>
      </c>
      <c r="T1010" s="332">
        <v>0.86009274865928997</v>
      </c>
      <c r="U1010" s="330">
        <v>0.93040221838812709</v>
      </c>
      <c r="V1010" s="330">
        <v>0.23630520712221434</v>
      </c>
      <c r="W1010" s="330">
        <v>0.9541806460419644</v>
      </c>
      <c r="X1010" s="330">
        <v>0.84235569708274149</v>
      </c>
      <c r="Y1010" s="330">
        <v>0</v>
      </c>
      <c r="Z1010" s="331">
        <v>0</v>
      </c>
      <c r="AA1010" s="235"/>
      <c r="AB1010" s="335">
        <v>84686.785315252506</v>
      </c>
      <c r="AC1010" s="336">
        <v>4.1101544366460532</v>
      </c>
      <c r="AD1010" s="337">
        <v>76413.358763089665</v>
      </c>
      <c r="AE1010" s="336">
        <v>4.1608280696269766</v>
      </c>
      <c r="AF1010" s="337">
        <v>8273.4265521628404</v>
      </c>
      <c r="AG1010" s="338">
        <v>-5.0673632980923422E-2</v>
      </c>
      <c r="AH1010" s="235"/>
      <c r="AI1010" s="208">
        <f t="shared" si="108"/>
        <v>3819959.9294984983</v>
      </c>
      <c r="AJ1010" s="208">
        <f t="shared" si="109"/>
        <v>3876373.307382538</v>
      </c>
      <c r="AK1010" s="208">
        <f t="shared" si="110"/>
        <v>-56413.377884040092</v>
      </c>
      <c r="AL1010" s="235"/>
      <c r="AM1010" s="52">
        <f t="shared" si="86"/>
        <v>0</v>
      </c>
      <c r="AN1010" s="52">
        <f t="shared" si="87"/>
        <v>1</v>
      </c>
      <c r="AO1010" s="52">
        <f t="shared" si="88"/>
        <v>0</v>
      </c>
      <c r="AP1010" s="235"/>
      <c r="AQ1010" s="28"/>
      <c r="AR1010" s="28"/>
      <c r="AS1010" s="28"/>
      <c r="AT1010" s="28"/>
      <c r="AU1010" s="235"/>
      <c r="AV1010" s="360">
        <f t="shared" si="111"/>
        <v>3876373.307382538</v>
      </c>
      <c r="AW1010" s="235"/>
      <c r="AX1010" s="355"/>
      <c r="AY1010" s="344"/>
      <c r="AZ1010" s="14">
        <f t="shared" si="113"/>
        <v>8273.4265521628404</v>
      </c>
      <c r="BA1010" s="14">
        <f t="shared" si="112"/>
        <v>-5.0673632980923422E-2</v>
      </c>
      <c r="BB1010" s="14">
        <f t="shared" si="89"/>
        <v>-163268.86519617515</v>
      </c>
      <c r="BC1010" s="344"/>
      <c r="BD1010" s="344"/>
      <c r="BE1010" s="344"/>
      <c r="BF1010" s="344"/>
      <c r="BG1010" s="344"/>
      <c r="BH1010" s="344"/>
      <c r="BI1010" s="344"/>
      <c r="BJ1010" s="344"/>
      <c r="BK1010" s="344"/>
      <c r="BL1010" s="344"/>
      <c r="BM1010" s="344"/>
      <c r="BN1010" s="344"/>
      <c r="BO1010" s="344"/>
      <c r="BP1010" s="344"/>
      <c r="BQ1010" s="344"/>
      <c r="BR1010" s="344"/>
      <c r="BS1010" s="344"/>
      <c r="BT1010" s="344"/>
      <c r="BU1010" s="344"/>
      <c r="BV1010" s="344"/>
      <c r="BW1010" s="344"/>
      <c r="BX1010" s="344"/>
      <c r="BY1010" s="344"/>
      <c r="BZ1010" s="344"/>
      <c r="CA1010" s="344"/>
      <c r="CB1010" s="28"/>
      <c r="CC1010" s="28"/>
      <c r="CD1010" s="28"/>
      <c r="CE1010" s="28"/>
      <c r="CF1010" s="28"/>
      <c r="CG1010" s="28"/>
      <c r="CH1010" s="28"/>
      <c r="CI1010" s="28"/>
      <c r="CJ1010" s="28"/>
      <c r="CK1010" s="28"/>
      <c r="CL1010" s="28"/>
      <c r="CM1010" s="28"/>
      <c r="CN1010" s="28"/>
      <c r="CO1010" s="28"/>
      <c r="CP1010" s="28"/>
      <c r="CQ1010" s="28"/>
      <c r="CR1010" s="28"/>
      <c r="CS1010" s="28"/>
      <c r="CT1010" s="28"/>
      <c r="CU1010" s="28"/>
      <c r="CV1010" s="28"/>
      <c r="CW1010" s="28"/>
    </row>
    <row r="1011" spans="1:101" ht="14.25" customHeight="1" x14ac:dyDescent="0.2">
      <c r="A1011" s="328"/>
      <c r="B1011" s="52">
        <v>0.18741423118078293</v>
      </c>
      <c r="C1011" s="330">
        <v>0.43167399982558241</v>
      </c>
      <c r="D1011" s="330">
        <v>1.8724322536511129E-2</v>
      </c>
      <c r="E1011" s="330">
        <v>1.1706078513361138E-2</v>
      </c>
      <c r="F1011" s="331">
        <v>0.80125996859496951</v>
      </c>
      <c r="G1011" s="94">
        <v>0.42480166856424861</v>
      </c>
      <c r="H1011" s="330">
        <v>0.43159088222206732</v>
      </c>
      <c r="I1011" s="330">
        <v>9.7473756068145352E-3</v>
      </c>
      <c r="J1011" s="330">
        <v>0.26453640722250316</v>
      </c>
      <c r="K1011" s="330">
        <v>0.78570155533081942</v>
      </c>
      <c r="L1011" s="332">
        <v>11672.551598773241</v>
      </c>
      <c r="M1011" s="330">
        <v>0</v>
      </c>
      <c r="N1011" s="330">
        <v>13337.485031352884</v>
      </c>
      <c r="O1011" s="330">
        <v>889.70909662172676</v>
      </c>
      <c r="P1011" s="330">
        <v>38102.003648367579</v>
      </c>
      <c r="Q1011" s="333">
        <v>75525.674996258487</v>
      </c>
      <c r="R1011" s="330">
        <v>21107.792375115845</v>
      </c>
      <c r="S1011" s="330">
        <v>7178.1960883756192</v>
      </c>
      <c r="T1011" s="332">
        <v>8.311121290778517E-2</v>
      </c>
      <c r="U1011" s="330">
        <v>0.26923995483977237</v>
      </c>
      <c r="V1011" s="330">
        <v>0.69327271017205339</v>
      </c>
      <c r="W1011" s="330">
        <v>3.6091618575973462E-2</v>
      </c>
      <c r="X1011" s="330">
        <v>0.8134286438268733</v>
      </c>
      <c r="Y1011" s="330">
        <v>0</v>
      </c>
      <c r="Z1011" s="331">
        <v>0</v>
      </c>
      <c r="AA1011" s="235"/>
      <c r="AB1011" s="335">
        <v>75535.865709952675</v>
      </c>
      <c r="AC1011" s="336">
        <v>3.937926943697692</v>
      </c>
      <c r="AD1011" s="337">
        <v>65140.229370569788</v>
      </c>
      <c r="AE1011" s="336">
        <v>3.9401546215536527</v>
      </c>
      <c r="AF1011" s="337">
        <v>10395.636339382887</v>
      </c>
      <c r="AG1011" s="338">
        <v>-2.2276778559606747E-3</v>
      </c>
      <c r="AH1011" s="235"/>
      <c r="AI1011" s="208">
        <f t="shared" si="108"/>
        <v>3665494.730802855</v>
      </c>
      <c r="AJ1011" s="208">
        <f t="shared" si="109"/>
        <v>3678006.6611054004</v>
      </c>
      <c r="AK1011" s="208">
        <f t="shared" si="110"/>
        <v>-12511.930302545528</v>
      </c>
      <c r="AL1011" s="235"/>
      <c r="AM1011" s="52">
        <f t="shared" si="86"/>
        <v>0</v>
      </c>
      <c r="AN1011" s="52">
        <f t="shared" si="87"/>
        <v>1</v>
      </c>
      <c r="AO1011" s="52">
        <f t="shared" si="88"/>
        <v>0</v>
      </c>
      <c r="AP1011" s="235"/>
      <c r="AQ1011" s="28"/>
      <c r="AR1011" s="28"/>
      <c r="AS1011" s="28"/>
      <c r="AT1011" s="28"/>
      <c r="AU1011" s="235"/>
      <c r="AV1011" s="360">
        <f t="shared" si="111"/>
        <v>3678006.6611054004</v>
      </c>
      <c r="AW1011" s="235"/>
      <c r="AX1011" s="355"/>
      <c r="AY1011" s="344"/>
      <c r="AZ1011" s="14">
        <f t="shared" si="113"/>
        <v>10395.636339382887</v>
      </c>
      <c r="BA1011" s="14">
        <f t="shared" si="112"/>
        <v>-2.2276778559606747E-3</v>
      </c>
      <c r="BB1011" s="14">
        <f t="shared" si="89"/>
        <v>-4666579.7352911346</v>
      </c>
      <c r="BC1011" s="344"/>
      <c r="BD1011" s="344"/>
      <c r="BE1011" s="344"/>
      <c r="BF1011" s="344"/>
      <c r="BG1011" s="344"/>
      <c r="BH1011" s="344"/>
      <c r="BI1011" s="344"/>
      <c r="BJ1011" s="344"/>
      <c r="BK1011" s="344"/>
      <c r="BL1011" s="344"/>
      <c r="BM1011" s="344"/>
      <c r="BN1011" s="344"/>
      <c r="BO1011" s="344"/>
      <c r="BP1011" s="344"/>
      <c r="BQ1011" s="344"/>
      <c r="BR1011" s="344"/>
      <c r="BS1011" s="344"/>
      <c r="BT1011" s="344"/>
      <c r="BU1011" s="344"/>
      <c r="BV1011" s="344"/>
      <c r="BW1011" s="344"/>
      <c r="BX1011" s="344"/>
      <c r="BY1011" s="344"/>
      <c r="BZ1011" s="344"/>
      <c r="CA1011" s="344"/>
      <c r="CB1011" s="28"/>
      <c r="CC1011" s="28"/>
      <c r="CD1011" s="28"/>
      <c r="CE1011" s="28"/>
      <c r="CF1011" s="28"/>
      <c r="CG1011" s="28"/>
      <c r="CH1011" s="28"/>
      <c r="CI1011" s="28"/>
      <c r="CJ1011" s="28"/>
      <c r="CK1011" s="28"/>
      <c r="CL1011" s="28"/>
      <c r="CM1011" s="28"/>
      <c r="CN1011" s="28"/>
      <c r="CO1011" s="28"/>
      <c r="CP1011" s="28"/>
      <c r="CQ1011" s="28"/>
      <c r="CR1011" s="28"/>
      <c r="CS1011" s="28"/>
      <c r="CT1011" s="28"/>
      <c r="CU1011" s="28"/>
      <c r="CV1011" s="28"/>
      <c r="CW1011" s="28"/>
    </row>
    <row r="1012" spans="1:101" ht="14.25" customHeight="1" x14ac:dyDescent="0.2">
      <c r="A1012" s="328"/>
      <c r="B1012" s="52">
        <v>0.11033143741480647</v>
      </c>
      <c r="C1012" s="330">
        <v>0.64437171813038607</v>
      </c>
      <c r="D1012" s="330">
        <v>1.7611550271979914E-2</v>
      </c>
      <c r="E1012" s="330">
        <v>1.6318372966633299E-2</v>
      </c>
      <c r="F1012" s="331">
        <v>0.82812806276629269</v>
      </c>
      <c r="G1012" s="94">
        <v>0.41600197337252354</v>
      </c>
      <c r="H1012" s="330">
        <v>0.61611540800907472</v>
      </c>
      <c r="I1012" s="330">
        <v>9.7805834663359879E-3</v>
      </c>
      <c r="J1012" s="330">
        <v>0.99491191102752718</v>
      </c>
      <c r="K1012" s="330">
        <v>0.79110303887780931</v>
      </c>
      <c r="L1012" s="332">
        <v>9826.8859740824191</v>
      </c>
      <c r="M1012" s="330">
        <v>0</v>
      </c>
      <c r="N1012" s="330">
        <v>22018.321188164362</v>
      </c>
      <c r="O1012" s="330">
        <v>1200.309236229451</v>
      </c>
      <c r="P1012" s="330">
        <v>41780.734843413637</v>
      </c>
      <c r="Q1012" s="333">
        <v>109236.23408755512</v>
      </c>
      <c r="R1012" s="330">
        <v>22520.894342117965</v>
      </c>
      <c r="S1012" s="330">
        <v>11136.836216211525</v>
      </c>
      <c r="T1012" s="332">
        <v>0.22098834910022561</v>
      </c>
      <c r="U1012" s="330">
        <v>0.88973660865629423</v>
      </c>
      <c r="V1012" s="330">
        <v>0.85452098777704133</v>
      </c>
      <c r="W1012" s="330">
        <v>0.67096566146298597</v>
      </c>
      <c r="X1012" s="330">
        <v>0.88415012329114795</v>
      </c>
      <c r="Y1012" s="330">
        <v>0</v>
      </c>
      <c r="Z1012" s="331">
        <v>0</v>
      </c>
      <c r="AA1012" s="235"/>
      <c r="AB1012" s="335">
        <v>110745.92144417013</v>
      </c>
      <c r="AC1012" s="336">
        <v>4.4300022561017469</v>
      </c>
      <c r="AD1012" s="337">
        <v>101523.13703343696</v>
      </c>
      <c r="AE1012" s="336">
        <v>4.3722677197140269</v>
      </c>
      <c r="AF1012" s="337">
        <v>9222.7844107331766</v>
      </c>
      <c r="AG1012" s="338">
        <v>5.773453638771997E-2</v>
      </c>
      <c r="AH1012" s="235"/>
      <c r="AI1012" s="208">
        <f t="shared" si="108"/>
        <v>4097756.2218524897</v>
      </c>
      <c r="AJ1012" s="208">
        <f t="shared" si="109"/>
        <v>4052131.1966948886</v>
      </c>
      <c r="AK1012" s="208">
        <f t="shared" si="110"/>
        <v>45625.025157600794</v>
      </c>
      <c r="AL1012" s="235"/>
      <c r="AM1012" s="52">
        <f t="shared" si="86"/>
        <v>1</v>
      </c>
      <c r="AN1012" s="52">
        <f t="shared" si="87"/>
        <v>0</v>
      </c>
      <c r="AO1012" s="52">
        <f t="shared" si="88"/>
        <v>1</v>
      </c>
      <c r="AP1012" s="235"/>
      <c r="AQ1012" s="28"/>
      <c r="AR1012" s="28"/>
      <c r="AS1012" s="28"/>
      <c r="AT1012" s="28"/>
      <c r="AU1012" s="235"/>
      <c r="AV1012" s="360">
        <f t="shared" si="111"/>
        <v>4097756.2218524897</v>
      </c>
      <c r="AW1012" s="235"/>
      <c r="AX1012" s="355"/>
      <c r="AY1012" s="344"/>
      <c r="AZ1012" s="14">
        <f t="shared" si="113"/>
        <v>9222.7844107331766</v>
      </c>
      <c r="BA1012" s="14">
        <f t="shared" si="112"/>
        <v>5.773453638771997E-2</v>
      </c>
      <c r="BB1012" s="14">
        <f t="shared" si="89"/>
        <v>159744.66909714107</v>
      </c>
      <c r="BC1012" s="344"/>
      <c r="BD1012" s="344"/>
      <c r="BE1012" s="344"/>
      <c r="BF1012" s="344"/>
      <c r="BG1012" s="344"/>
      <c r="BH1012" s="344"/>
      <c r="BI1012" s="344"/>
      <c r="BJ1012" s="344"/>
      <c r="BK1012" s="344"/>
      <c r="BL1012" s="344"/>
      <c r="BM1012" s="344"/>
      <c r="BN1012" s="344"/>
      <c r="BO1012" s="344"/>
      <c r="BP1012" s="344"/>
      <c r="BQ1012" s="344"/>
      <c r="BR1012" s="344"/>
      <c r="BS1012" s="344"/>
      <c r="BT1012" s="344"/>
      <c r="BU1012" s="344"/>
      <c r="BV1012" s="344"/>
      <c r="BW1012" s="344"/>
      <c r="BX1012" s="344"/>
      <c r="BY1012" s="344"/>
      <c r="BZ1012" s="344"/>
      <c r="CA1012" s="344"/>
      <c r="CB1012" s="28"/>
      <c r="CC1012" s="28"/>
      <c r="CD1012" s="28"/>
      <c r="CE1012" s="28"/>
      <c r="CF1012" s="28"/>
      <c r="CG1012" s="28"/>
      <c r="CH1012" s="28"/>
      <c r="CI1012" s="28"/>
      <c r="CJ1012" s="28"/>
      <c r="CK1012" s="28"/>
      <c r="CL1012" s="28"/>
      <c r="CM1012" s="28"/>
      <c r="CN1012" s="28"/>
      <c r="CO1012" s="28"/>
      <c r="CP1012" s="28"/>
      <c r="CQ1012" s="28"/>
      <c r="CR1012" s="28"/>
      <c r="CS1012" s="28"/>
      <c r="CT1012" s="28"/>
      <c r="CU1012" s="28"/>
      <c r="CV1012" s="28"/>
      <c r="CW1012" s="28"/>
    </row>
    <row r="1013" spans="1:101" ht="14.25" customHeight="1" x14ac:dyDescent="0.2">
      <c r="A1013" s="328"/>
      <c r="B1013" s="52">
        <v>0.18719465492438392</v>
      </c>
      <c r="C1013" s="330">
        <v>0.56126934035035403</v>
      </c>
      <c r="D1013" s="330">
        <v>1.2018520880674934E-2</v>
      </c>
      <c r="E1013" s="330">
        <v>2.473327895811972E-2</v>
      </c>
      <c r="F1013" s="331">
        <v>0.78670810757858178</v>
      </c>
      <c r="G1013" s="94">
        <v>0.40137075078063045</v>
      </c>
      <c r="H1013" s="330">
        <v>0.44861801001573653</v>
      </c>
      <c r="I1013" s="330">
        <v>1.4305101340441353E-2</v>
      </c>
      <c r="J1013" s="330">
        <v>0.99999999979485166</v>
      </c>
      <c r="K1013" s="330">
        <v>0.75499736253170258</v>
      </c>
      <c r="L1013" s="332">
        <v>12893.778957713788</v>
      </c>
      <c r="M1013" s="330">
        <v>0</v>
      </c>
      <c r="N1013" s="330">
        <v>21443.47671881874</v>
      </c>
      <c r="O1013" s="330">
        <v>1323.2202167193611</v>
      </c>
      <c r="P1013" s="330">
        <v>62595.184475475296</v>
      </c>
      <c r="Q1013" s="333">
        <v>91408.23285926925</v>
      </c>
      <c r="R1013" s="330">
        <v>20957.055095309417</v>
      </c>
      <c r="S1013" s="330">
        <v>9770.7839631164934</v>
      </c>
      <c r="T1013" s="332">
        <v>0.99853870011032786</v>
      </c>
      <c r="U1013" s="330">
        <v>0.90274444647216423</v>
      </c>
      <c r="V1013" s="330">
        <v>0.68431273303456752</v>
      </c>
      <c r="W1013" s="330">
        <v>0.95257665124794144</v>
      </c>
      <c r="X1013" s="330">
        <v>0.22715867071406681</v>
      </c>
      <c r="Y1013" s="330">
        <v>0</v>
      </c>
      <c r="Z1013" s="331">
        <v>0</v>
      </c>
      <c r="AA1013" s="235"/>
      <c r="AB1013" s="335">
        <v>98042.037729165037</v>
      </c>
      <c r="AC1013" s="336">
        <v>1.4366046347501873</v>
      </c>
      <c r="AD1013" s="337">
        <v>84488.976872549596</v>
      </c>
      <c r="AE1013" s="336">
        <v>1.1321765740611176</v>
      </c>
      <c r="AF1013" s="337">
        <v>13553.060856615441</v>
      </c>
      <c r="AG1013" s="338">
        <v>0.30442806068906969</v>
      </c>
      <c r="AH1013" s="235"/>
      <c r="AI1013" s="208">
        <f t="shared" si="108"/>
        <v>1266732.365283513</v>
      </c>
      <c r="AJ1013" s="208">
        <f t="shared" si="109"/>
        <v>991078.76848551212</v>
      </c>
      <c r="AK1013" s="208">
        <f t="shared" si="110"/>
        <v>275653.5967980008</v>
      </c>
      <c r="AL1013" s="235"/>
      <c r="AM1013" s="52">
        <f t="shared" si="86"/>
        <v>1</v>
      </c>
      <c r="AN1013" s="52">
        <f t="shared" si="87"/>
        <v>0</v>
      </c>
      <c r="AO1013" s="52">
        <f t="shared" si="88"/>
        <v>1</v>
      </c>
      <c r="AP1013" s="235"/>
      <c r="AQ1013" s="28"/>
      <c r="AR1013" s="28"/>
      <c r="AS1013" s="28"/>
      <c r="AT1013" s="28"/>
      <c r="AU1013" s="235"/>
      <c r="AV1013" s="360">
        <f t="shared" si="111"/>
        <v>1266732.365283513</v>
      </c>
      <c r="AW1013" s="235"/>
      <c r="AX1013" s="355"/>
      <c r="AY1013" s="344"/>
      <c r="AZ1013" s="14">
        <f t="shared" si="113"/>
        <v>13553.060856615441</v>
      </c>
      <c r="BA1013" s="14">
        <f t="shared" si="112"/>
        <v>0.30442806068906969</v>
      </c>
      <c r="BB1013" s="14">
        <f t="shared" si="89"/>
        <v>44519.749020304604</v>
      </c>
      <c r="BC1013" s="344"/>
      <c r="BD1013" s="344"/>
      <c r="BE1013" s="344"/>
      <c r="BF1013" s="344"/>
      <c r="BG1013" s="344"/>
      <c r="BH1013" s="344"/>
      <c r="BI1013" s="344"/>
      <c r="BJ1013" s="344"/>
      <c r="BK1013" s="344"/>
      <c r="BL1013" s="344"/>
      <c r="BM1013" s="344"/>
      <c r="BN1013" s="344"/>
      <c r="BO1013" s="344"/>
      <c r="BP1013" s="344"/>
      <c r="BQ1013" s="344"/>
      <c r="BR1013" s="344"/>
      <c r="BS1013" s="344"/>
      <c r="BT1013" s="344"/>
      <c r="BU1013" s="344"/>
      <c r="BV1013" s="344"/>
      <c r="BW1013" s="344"/>
      <c r="BX1013" s="344"/>
      <c r="BY1013" s="344"/>
      <c r="BZ1013" s="344"/>
      <c r="CA1013" s="344"/>
      <c r="CB1013" s="28"/>
      <c r="CC1013" s="28"/>
      <c r="CD1013" s="28"/>
      <c r="CE1013" s="28"/>
      <c r="CF1013" s="28"/>
      <c r="CG1013" s="28"/>
      <c r="CH1013" s="28"/>
      <c r="CI1013" s="28"/>
      <c r="CJ1013" s="28"/>
      <c r="CK1013" s="28"/>
      <c r="CL1013" s="28"/>
      <c r="CM1013" s="28"/>
      <c r="CN1013" s="28"/>
      <c r="CO1013" s="28"/>
      <c r="CP1013" s="28"/>
      <c r="CQ1013" s="28"/>
      <c r="CR1013" s="28"/>
      <c r="CS1013" s="28"/>
      <c r="CT1013" s="28"/>
      <c r="CU1013" s="28"/>
      <c r="CV1013" s="28"/>
      <c r="CW1013" s="28"/>
    </row>
    <row r="1014" spans="1:101" ht="15" customHeight="1" x14ac:dyDescent="0.2">
      <c r="AY1014" s="345"/>
      <c r="AZ1014" s="345"/>
      <c r="BA1014" s="345"/>
      <c r="BB1014" s="345"/>
      <c r="BC1014" s="345"/>
      <c r="BD1014" s="345"/>
      <c r="BE1014" s="345"/>
      <c r="BF1014" s="345"/>
      <c r="BG1014" s="345"/>
      <c r="BH1014" s="345"/>
      <c r="BI1014" s="345"/>
      <c r="BJ1014" s="345"/>
      <c r="BK1014" s="345"/>
      <c r="BL1014" s="345"/>
      <c r="BM1014" s="345"/>
      <c r="BN1014" s="345"/>
      <c r="BO1014" s="345"/>
      <c r="BP1014" s="345"/>
      <c r="BQ1014" s="345"/>
      <c r="BR1014" s="345"/>
      <c r="BS1014" s="345"/>
      <c r="BT1014" s="345"/>
      <c r="BU1014" s="345"/>
      <c r="BV1014" s="345"/>
      <c r="BW1014" s="345"/>
      <c r="BX1014" s="345"/>
      <c r="BY1014" s="345"/>
      <c r="BZ1014" s="345"/>
      <c r="CA1014" s="345"/>
    </row>
    <row r="1015" spans="1:101" ht="15" customHeight="1" x14ac:dyDescent="0.2">
      <c r="AY1015" s="345"/>
      <c r="AZ1015" s="345"/>
      <c r="BA1015" s="345"/>
      <c r="BB1015" s="345"/>
      <c r="BC1015" s="345"/>
      <c r="BD1015" s="345"/>
      <c r="BE1015" s="345"/>
      <c r="BF1015" s="345"/>
      <c r="BG1015" s="345"/>
      <c r="BH1015" s="345"/>
      <c r="BI1015" s="345"/>
      <c r="BJ1015" s="345"/>
      <c r="BK1015" s="345"/>
      <c r="BL1015" s="345"/>
      <c r="BM1015" s="345"/>
      <c r="BN1015" s="345"/>
      <c r="BO1015" s="345"/>
      <c r="BP1015" s="345"/>
      <c r="BQ1015" s="345"/>
      <c r="BR1015" s="345"/>
      <c r="BS1015" s="345"/>
      <c r="BT1015" s="345"/>
      <c r="BU1015" s="345"/>
      <c r="BV1015" s="345"/>
      <c r="BW1015" s="345"/>
      <c r="BX1015" s="345"/>
      <c r="BY1015" s="345"/>
      <c r="BZ1015" s="345"/>
      <c r="CA1015" s="345"/>
    </row>
    <row r="1016" spans="1:101" ht="15" customHeight="1" x14ac:dyDescent="0.2">
      <c r="AY1016" s="345"/>
      <c r="AZ1016" s="345"/>
      <c r="BA1016" s="345"/>
      <c r="BB1016" s="345"/>
      <c r="BC1016" s="345"/>
      <c r="BD1016" s="345"/>
      <c r="BE1016" s="345"/>
      <c r="BF1016" s="345"/>
      <c r="BG1016" s="345"/>
      <c r="BH1016" s="345"/>
      <c r="BI1016" s="345"/>
      <c r="BJ1016" s="345"/>
      <c r="BK1016" s="345"/>
      <c r="BL1016" s="345"/>
      <c r="BM1016" s="345"/>
      <c r="BN1016" s="345"/>
      <c r="BO1016" s="345"/>
      <c r="BP1016" s="345"/>
      <c r="BQ1016" s="345"/>
      <c r="BR1016" s="345"/>
      <c r="BS1016" s="345"/>
      <c r="BT1016" s="345"/>
      <c r="BU1016" s="345"/>
      <c r="BV1016" s="345"/>
      <c r="BW1016" s="345"/>
      <c r="BX1016" s="345"/>
      <c r="BY1016" s="345"/>
      <c r="BZ1016" s="345"/>
      <c r="CA1016" s="345"/>
    </row>
    <row r="1017" spans="1:101" ht="15" customHeight="1" x14ac:dyDescent="0.2">
      <c r="AY1017" s="345"/>
      <c r="AZ1017" s="345"/>
      <c r="BA1017" s="345"/>
      <c r="BB1017" s="345"/>
      <c r="BC1017" s="345"/>
      <c r="BD1017" s="345"/>
      <c r="BE1017" s="345"/>
      <c r="BF1017" s="345"/>
      <c r="BG1017" s="345"/>
      <c r="BH1017" s="345"/>
      <c r="BI1017" s="345"/>
      <c r="BJ1017" s="345"/>
      <c r="BK1017" s="345"/>
      <c r="BL1017" s="345"/>
      <c r="BM1017" s="345"/>
      <c r="BN1017" s="345"/>
      <c r="BO1017" s="345"/>
      <c r="BP1017" s="345"/>
      <c r="BQ1017" s="345"/>
      <c r="BR1017" s="345"/>
      <c r="BS1017" s="345"/>
      <c r="BT1017" s="345"/>
      <c r="BU1017" s="345"/>
      <c r="BV1017" s="345"/>
      <c r="BW1017" s="345"/>
      <c r="BX1017" s="345"/>
      <c r="BY1017" s="345"/>
      <c r="BZ1017" s="345"/>
      <c r="CA1017" s="345"/>
    </row>
    <row r="1018" spans="1:101" ht="15" customHeight="1" x14ac:dyDescent="0.2">
      <c r="AY1018" s="345"/>
      <c r="AZ1018" s="345"/>
      <c r="BA1018" s="345"/>
      <c r="BB1018" s="345"/>
      <c r="BC1018" s="345"/>
      <c r="BD1018" s="345"/>
      <c r="BE1018" s="345"/>
      <c r="BF1018" s="345"/>
      <c r="BG1018" s="345"/>
      <c r="BH1018" s="345"/>
      <c r="BI1018" s="345"/>
      <c r="BJ1018" s="345"/>
      <c r="BK1018" s="345"/>
      <c r="BL1018" s="345"/>
      <c r="BM1018" s="345"/>
      <c r="BN1018" s="345"/>
      <c r="BO1018" s="345"/>
      <c r="BP1018" s="345"/>
      <c r="BQ1018" s="345"/>
      <c r="BR1018" s="345"/>
      <c r="BS1018" s="345"/>
      <c r="BT1018" s="345"/>
      <c r="BU1018" s="345"/>
      <c r="BV1018" s="345"/>
      <c r="BW1018" s="345"/>
      <c r="BX1018" s="345"/>
      <c r="BY1018" s="345"/>
      <c r="BZ1018" s="345"/>
      <c r="CA1018" s="345"/>
    </row>
    <row r="1019" spans="1:101" ht="15" customHeight="1" x14ac:dyDescent="0.2">
      <c r="AY1019" s="345"/>
      <c r="AZ1019" s="345"/>
      <c r="BA1019" s="345"/>
      <c r="BB1019" s="345"/>
      <c r="BC1019" s="345"/>
      <c r="BD1019" s="345"/>
      <c r="BE1019" s="345"/>
      <c r="BF1019" s="345"/>
      <c r="BG1019" s="345"/>
      <c r="BH1019" s="345"/>
      <c r="BI1019" s="345"/>
      <c r="BJ1019" s="345"/>
      <c r="BK1019" s="345"/>
      <c r="BL1019" s="345"/>
      <c r="BM1019" s="345"/>
      <c r="BN1019" s="345"/>
      <c r="BO1019" s="345"/>
      <c r="BP1019" s="345"/>
      <c r="BQ1019" s="345"/>
      <c r="BR1019" s="345"/>
      <c r="BS1019" s="345"/>
      <c r="BT1019" s="345"/>
      <c r="BU1019" s="345"/>
      <c r="BV1019" s="345"/>
      <c r="BW1019" s="345"/>
      <c r="BX1019" s="345"/>
      <c r="BY1019" s="345"/>
      <c r="BZ1019" s="345"/>
      <c r="CA1019" s="345"/>
    </row>
    <row r="1020" spans="1:101" ht="15" customHeight="1" x14ac:dyDescent="0.2">
      <c r="AY1020" s="345"/>
      <c r="AZ1020" s="345"/>
      <c r="BA1020" s="345"/>
      <c r="BB1020" s="345"/>
      <c r="BC1020" s="345"/>
      <c r="BD1020" s="345"/>
      <c r="BE1020" s="345"/>
      <c r="BF1020" s="345"/>
      <c r="BG1020" s="345"/>
      <c r="BH1020" s="345"/>
      <c r="BI1020" s="345"/>
      <c r="BJ1020" s="345"/>
      <c r="BK1020" s="345"/>
      <c r="BL1020" s="345"/>
      <c r="BM1020" s="345"/>
      <c r="BN1020" s="345"/>
      <c r="BO1020" s="345"/>
      <c r="BP1020" s="345"/>
      <c r="BQ1020" s="345"/>
      <c r="BR1020" s="345"/>
      <c r="BS1020" s="345"/>
      <c r="BT1020" s="345"/>
      <c r="BU1020" s="345"/>
      <c r="BV1020" s="345"/>
      <c r="BW1020" s="345"/>
      <c r="BX1020" s="345"/>
      <c r="BY1020" s="345"/>
      <c r="BZ1020" s="345"/>
      <c r="CA1020" s="345"/>
    </row>
    <row r="1021" spans="1:101" ht="15" customHeight="1" x14ac:dyDescent="0.2">
      <c r="AY1021" s="345"/>
      <c r="AZ1021" s="345"/>
      <c r="BA1021" s="345"/>
      <c r="BB1021" s="345"/>
      <c r="BC1021" s="345"/>
      <c r="BD1021" s="345"/>
      <c r="BE1021" s="345"/>
      <c r="BF1021" s="345"/>
      <c r="BG1021" s="345"/>
      <c r="BH1021" s="345"/>
      <c r="BI1021" s="345"/>
      <c r="BJ1021" s="345"/>
      <c r="BK1021" s="345"/>
      <c r="BL1021" s="345"/>
      <c r="BM1021" s="345"/>
      <c r="BN1021" s="345"/>
      <c r="BO1021" s="345"/>
      <c r="BP1021" s="345"/>
      <c r="BQ1021" s="345"/>
      <c r="BR1021" s="345"/>
      <c r="BS1021" s="345"/>
      <c r="BT1021" s="345"/>
      <c r="BU1021" s="345"/>
      <c r="BV1021" s="345"/>
      <c r="BW1021" s="345"/>
      <c r="BX1021" s="345"/>
      <c r="BY1021" s="345"/>
      <c r="BZ1021" s="345"/>
      <c r="CA1021" s="345"/>
    </row>
    <row r="1022" spans="1:101" ht="15" customHeight="1" x14ac:dyDescent="0.2">
      <c r="AY1022" s="345"/>
      <c r="AZ1022" s="345"/>
      <c r="BA1022" s="345"/>
      <c r="BB1022" s="345"/>
      <c r="BC1022" s="345"/>
      <c r="BD1022" s="345"/>
      <c r="BE1022" s="345"/>
      <c r="BF1022" s="345"/>
      <c r="BG1022" s="345"/>
      <c r="BH1022" s="345"/>
      <c r="BI1022" s="345"/>
      <c r="BJ1022" s="345"/>
      <c r="BK1022" s="345"/>
      <c r="BL1022" s="345"/>
      <c r="BM1022" s="345"/>
      <c r="BN1022" s="345"/>
      <c r="BO1022" s="345"/>
      <c r="BP1022" s="345"/>
      <c r="BQ1022" s="345"/>
      <c r="BR1022" s="345"/>
      <c r="BS1022" s="345"/>
      <c r="BT1022" s="345"/>
      <c r="BU1022" s="345"/>
      <c r="BV1022" s="345"/>
      <c r="BW1022" s="345"/>
      <c r="BX1022" s="345"/>
      <c r="BY1022" s="345"/>
      <c r="BZ1022" s="345"/>
      <c r="CA1022" s="345"/>
    </row>
    <row r="1023" spans="1:101" ht="15" customHeight="1" x14ac:dyDescent="0.2">
      <c r="AY1023" s="345"/>
      <c r="AZ1023" s="345"/>
      <c r="BA1023" s="345"/>
      <c r="BB1023" s="345"/>
      <c r="BC1023" s="345"/>
      <c r="BD1023" s="345"/>
      <c r="BE1023" s="345"/>
      <c r="BF1023" s="345"/>
      <c r="BG1023" s="345"/>
      <c r="BH1023" s="345"/>
      <c r="BI1023" s="345"/>
      <c r="BJ1023" s="345"/>
      <c r="BK1023" s="345"/>
      <c r="BL1023" s="345"/>
      <c r="BM1023" s="345"/>
      <c r="BN1023" s="345"/>
      <c r="BO1023" s="345"/>
      <c r="BP1023" s="345"/>
      <c r="BQ1023" s="345"/>
      <c r="BR1023" s="345"/>
      <c r="BS1023" s="345"/>
      <c r="BT1023" s="345"/>
      <c r="BU1023" s="345"/>
      <c r="BV1023" s="345"/>
      <c r="BW1023" s="345"/>
      <c r="BX1023" s="345"/>
      <c r="BY1023" s="345"/>
      <c r="BZ1023" s="345"/>
      <c r="CA1023" s="345"/>
    </row>
    <row r="1024" spans="1:101" ht="15" customHeight="1" x14ac:dyDescent="0.2">
      <c r="AY1024" s="345"/>
      <c r="AZ1024" s="345"/>
      <c r="BA1024" s="345"/>
      <c r="BB1024" s="345"/>
      <c r="BC1024" s="345"/>
      <c r="BD1024" s="345"/>
      <c r="BE1024" s="345"/>
      <c r="BF1024" s="345"/>
      <c r="BG1024" s="345"/>
      <c r="BH1024" s="345"/>
      <c r="BI1024" s="345"/>
      <c r="BJ1024" s="345"/>
      <c r="BK1024" s="345"/>
      <c r="BL1024" s="345"/>
      <c r="BM1024" s="345"/>
      <c r="BN1024" s="345"/>
      <c r="BO1024" s="345"/>
      <c r="BP1024" s="345"/>
      <c r="BQ1024" s="345"/>
      <c r="BR1024" s="345"/>
      <c r="BS1024" s="345"/>
      <c r="BT1024" s="345"/>
      <c r="BU1024" s="345"/>
      <c r="BV1024" s="345"/>
      <c r="BW1024" s="345"/>
      <c r="BX1024" s="345"/>
      <c r="BY1024" s="345"/>
      <c r="BZ1024" s="345"/>
      <c r="CA1024" s="345"/>
    </row>
    <row r="1025" spans="51:79" ht="15" customHeight="1" x14ac:dyDescent="0.2">
      <c r="AY1025" s="345"/>
      <c r="AZ1025" s="345"/>
      <c r="BA1025" s="345"/>
      <c r="BB1025" s="345"/>
      <c r="BC1025" s="345"/>
      <c r="BD1025" s="345"/>
      <c r="BE1025" s="345"/>
      <c r="BF1025" s="345"/>
      <c r="BG1025" s="345"/>
      <c r="BH1025" s="345"/>
      <c r="BI1025" s="345"/>
      <c r="BJ1025" s="345"/>
      <c r="BK1025" s="345"/>
      <c r="BL1025" s="345"/>
      <c r="BM1025" s="345"/>
      <c r="BN1025" s="345"/>
      <c r="BO1025" s="345"/>
      <c r="BP1025" s="345"/>
      <c r="BQ1025" s="345"/>
      <c r="BR1025" s="345"/>
      <c r="BS1025" s="345"/>
      <c r="BT1025" s="345"/>
      <c r="BU1025" s="345"/>
      <c r="BV1025" s="345"/>
      <c r="BW1025" s="345"/>
      <c r="BX1025" s="345"/>
      <c r="BY1025" s="345"/>
      <c r="BZ1025" s="345"/>
      <c r="CA1025" s="345"/>
    </row>
    <row r="1026" spans="51:79" ht="15" customHeight="1" x14ac:dyDescent="0.2">
      <c r="AY1026" s="345"/>
      <c r="AZ1026" s="345"/>
      <c r="BA1026" s="345"/>
      <c r="BB1026" s="345"/>
      <c r="BC1026" s="345"/>
      <c r="BD1026" s="345"/>
      <c r="BE1026" s="345"/>
      <c r="BF1026" s="345"/>
      <c r="BG1026" s="345"/>
      <c r="BH1026" s="345"/>
      <c r="BI1026" s="345"/>
      <c r="BJ1026" s="345"/>
      <c r="BK1026" s="345"/>
      <c r="BL1026" s="345"/>
      <c r="BM1026" s="345"/>
      <c r="BN1026" s="345"/>
      <c r="BO1026" s="345"/>
      <c r="BP1026" s="345"/>
      <c r="BQ1026" s="345"/>
      <c r="BR1026" s="345"/>
      <c r="BS1026" s="345"/>
      <c r="BT1026" s="345"/>
      <c r="BU1026" s="345"/>
      <c r="BV1026" s="345"/>
      <c r="BW1026" s="345"/>
      <c r="BX1026" s="345"/>
      <c r="BY1026" s="345"/>
      <c r="BZ1026" s="345"/>
      <c r="CA1026" s="345"/>
    </row>
    <row r="1027" spans="51:79" ht="15" customHeight="1" x14ac:dyDescent="0.2">
      <c r="AY1027" s="345"/>
      <c r="AZ1027" s="345"/>
      <c r="BA1027" s="345"/>
      <c r="BB1027" s="345"/>
      <c r="BC1027" s="345"/>
      <c r="BD1027" s="345"/>
      <c r="BE1027" s="345"/>
      <c r="BF1027" s="345"/>
      <c r="BG1027" s="345"/>
      <c r="BH1027" s="345"/>
      <c r="BI1027" s="345"/>
      <c r="BJ1027" s="345"/>
      <c r="BK1027" s="345"/>
      <c r="BL1027" s="345"/>
      <c r="BM1027" s="345"/>
      <c r="BN1027" s="345"/>
      <c r="BO1027" s="345"/>
      <c r="BP1027" s="345"/>
      <c r="BQ1027" s="345"/>
      <c r="BR1027" s="345"/>
      <c r="BS1027" s="345"/>
      <c r="BT1027" s="345"/>
      <c r="BU1027" s="345"/>
      <c r="BV1027" s="345"/>
      <c r="BW1027" s="345"/>
      <c r="BX1027" s="345"/>
      <c r="BY1027" s="345"/>
      <c r="BZ1027" s="345"/>
      <c r="CA1027" s="345"/>
    </row>
    <row r="1028" spans="51:79" ht="15" customHeight="1" x14ac:dyDescent="0.2">
      <c r="AY1028" s="345"/>
      <c r="AZ1028" s="345"/>
      <c r="BA1028" s="345"/>
      <c r="BB1028" s="345"/>
      <c r="BC1028" s="345"/>
      <c r="BD1028" s="345"/>
      <c r="BE1028" s="345"/>
      <c r="BF1028" s="345"/>
      <c r="BG1028" s="345"/>
      <c r="BH1028" s="345"/>
      <c r="BI1028" s="345"/>
      <c r="BJ1028" s="345"/>
      <c r="BK1028" s="345"/>
      <c r="BL1028" s="345"/>
      <c r="BM1028" s="345"/>
      <c r="BN1028" s="345"/>
      <c r="BO1028" s="345"/>
      <c r="BP1028" s="345"/>
      <c r="BQ1028" s="345"/>
      <c r="BR1028" s="345"/>
      <c r="BS1028" s="345"/>
      <c r="BT1028" s="345"/>
      <c r="BU1028" s="345"/>
      <c r="BV1028" s="345"/>
      <c r="BW1028" s="345"/>
      <c r="BX1028" s="345"/>
      <c r="BY1028" s="345"/>
      <c r="BZ1028" s="345"/>
      <c r="CA1028" s="345"/>
    </row>
    <row r="1029" spans="51:79" ht="15" customHeight="1" x14ac:dyDescent="0.2">
      <c r="AY1029" s="345"/>
      <c r="AZ1029" s="345"/>
      <c r="BA1029" s="345"/>
      <c r="BB1029" s="345"/>
      <c r="BC1029" s="345"/>
      <c r="BD1029" s="345"/>
      <c r="BE1029" s="345"/>
      <c r="BF1029" s="345"/>
      <c r="BG1029" s="345"/>
      <c r="BH1029" s="345"/>
      <c r="BI1029" s="345"/>
      <c r="BJ1029" s="345"/>
      <c r="BK1029" s="345"/>
      <c r="BL1029" s="345"/>
      <c r="BM1029" s="345"/>
      <c r="BN1029" s="345"/>
      <c r="BO1029" s="345"/>
      <c r="BP1029" s="345"/>
      <c r="BQ1029" s="345"/>
      <c r="BR1029" s="345"/>
      <c r="BS1029" s="345"/>
      <c r="BT1029" s="345"/>
      <c r="BU1029" s="345"/>
      <c r="BV1029" s="345"/>
      <c r="BW1029" s="345"/>
      <c r="BX1029" s="345"/>
      <c r="BY1029" s="345"/>
      <c r="BZ1029" s="345"/>
      <c r="CA1029" s="345"/>
    </row>
    <row r="1030" spans="51:79" ht="15" customHeight="1" x14ac:dyDescent="0.2">
      <c r="AY1030" s="345"/>
      <c r="AZ1030" s="345"/>
      <c r="BA1030" s="345"/>
      <c r="BB1030" s="345"/>
      <c r="BC1030" s="345"/>
      <c r="BD1030" s="345"/>
      <c r="BE1030" s="345"/>
      <c r="BF1030" s="345"/>
      <c r="BG1030" s="345"/>
      <c r="BH1030" s="345"/>
      <c r="BI1030" s="345"/>
      <c r="BJ1030" s="345"/>
      <c r="BK1030" s="345"/>
      <c r="BL1030" s="345"/>
      <c r="BM1030" s="345"/>
      <c r="BN1030" s="345"/>
      <c r="BO1030" s="345"/>
      <c r="BP1030" s="345"/>
      <c r="BQ1030" s="345"/>
      <c r="BR1030" s="345"/>
      <c r="BS1030" s="345"/>
      <c r="BT1030" s="345"/>
      <c r="BU1030" s="345"/>
      <c r="BV1030" s="345"/>
      <c r="BW1030" s="345"/>
      <c r="BX1030" s="345"/>
      <c r="BY1030" s="345"/>
      <c r="BZ1030" s="345"/>
      <c r="CA1030" s="345"/>
    </row>
    <row r="1031" spans="51:79" ht="15" customHeight="1" x14ac:dyDescent="0.2">
      <c r="AY1031" s="345"/>
      <c r="AZ1031" s="345"/>
      <c r="BA1031" s="345"/>
      <c r="BB1031" s="345"/>
      <c r="BC1031" s="345"/>
      <c r="BD1031" s="345"/>
      <c r="BE1031" s="345"/>
      <c r="BF1031" s="345"/>
      <c r="BG1031" s="345"/>
      <c r="BH1031" s="345"/>
      <c r="BI1031" s="345"/>
      <c r="BJ1031" s="345"/>
      <c r="BK1031" s="345"/>
      <c r="BL1031" s="345"/>
      <c r="BM1031" s="345"/>
      <c r="BN1031" s="345"/>
      <c r="BO1031" s="345"/>
      <c r="BP1031" s="345"/>
      <c r="BQ1031" s="345"/>
      <c r="BR1031" s="345"/>
      <c r="BS1031" s="345"/>
      <c r="BT1031" s="345"/>
      <c r="BU1031" s="345"/>
      <c r="BV1031" s="345"/>
      <c r="BW1031" s="345"/>
      <c r="BX1031" s="345"/>
      <c r="BY1031" s="345"/>
      <c r="BZ1031" s="345"/>
      <c r="CA1031" s="345"/>
    </row>
    <row r="1032" spans="51:79" ht="15" customHeight="1" x14ac:dyDescent="0.2">
      <c r="AY1032" s="345"/>
      <c r="AZ1032" s="345"/>
      <c r="BA1032" s="345"/>
      <c r="BB1032" s="345"/>
      <c r="BC1032" s="345"/>
      <c r="BD1032" s="345"/>
      <c r="BE1032" s="345"/>
      <c r="BF1032" s="345"/>
      <c r="BG1032" s="345"/>
      <c r="BH1032" s="345"/>
      <c r="BI1032" s="345"/>
      <c r="BJ1032" s="345"/>
      <c r="BK1032" s="345"/>
      <c r="BL1032" s="345"/>
      <c r="BM1032" s="345"/>
      <c r="BN1032" s="345"/>
      <c r="BO1032" s="345"/>
      <c r="BP1032" s="345"/>
      <c r="BQ1032" s="345"/>
      <c r="BR1032" s="345"/>
      <c r="BS1032" s="345"/>
      <c r="BT1032" s="345"/>
      <c r="BU1032" s="345"/>
      <c r="BV1032" s="345"/>
      <c r="BW1032" s="345"/>
      <c r="BX1032" s="345"/>
      <c r="BY1032" s="345"/>
      <c r="BZ1032" s="345"/>
      <c r="CA1032" s="345"/>
    </row>
    <row r="1033" spans="51:79" ht="15" customHeight="1" x14ac:dyDescent="0.2">
      <c r="AY1033" s="345"/>
      <c r="AZ1033" s="345"/>
      <c r="BA1033" s="345"/>
      <c r="BB1033" s="345"/>
      <c r="BC1033" s="345"/>
      <c r="BD1033" s="345"/>
      <c r="BE1033" s="345"/>
      <c r="BF1033" s="345"/>
      <c r="BG1033" s="345"/>
      <c r="BH1033" s="345"/>
      <c r="BI1033" s="345"/>
      <c r="BJ1033" s="345"/>
      <c r="BK1033" s="345"/>
      <c r="BL1033" s="345"/>
      <c r="BM1033" s="345"/>
      <c r="BN1033" s="345"/>
      <c r="BO1033" s="345"/>
      <c r="BP1033" s="345"/>
      <c r="BQ1033" s="345"/>
      <c r="BR1033" s="345"/>
      <c r="BS1033" s="345"/>
      <c r="BT1033" s="345"/>
      <c r="BU1033" s="345"/>
      <c r="BV1033" s="345"/>
      <c r="BW1033" s="345"/>
      <c r="BX1033" s="345"/>
      <c r="BY1033" s="345"/>
      <c r="BZ1033" s="345"/>
      <c r="CA1033" s="345"/>
    </row>
    <row r="1034" spans="51:79" ht="15" customHeight="1" x14ac:dyDescent="0.2">
      <c r="AY1034" s="345"/>
      <c r="AZ1034" s="345"/>
      <c r="BA1034" s="345"/>
      <c r="BB1034" s="345"/>
      <c r="BC1034" s="345"/>
      <c r="BD1034" s="345"/>
      <c r="BE1034" s="345"/>
      <c r="BF1034" s="345"/>
      <c r="BG1034" s="345"/>
      <c r="BH1034" s="345"/>
      <c r="BI1034" s="345"/>
      <c r="BJ1034" s="345"/>
      <c r="BK1034" s="345"/>
      <c r="BL1034" s="345"/>
      <c r="BM1034" s="345"/>
      <c r="BN1034" s="345"/>
      <c r="BO1034" s="345"/>
      <c r="BP1034" s="345"/>
      <c r="BQ1034" s="345"/>
      <c r="BR1034" s="345"/>
      <c r="BS1034" s="345"/>
      <c r="BT1034" s="345"/>
      <c r="BU1034" s="345"/>
      <c r="BV1034" s="345"/>
      <c r="BW1034" s="345"/>
      <c r="BX1034" s="345"/>
      <c r="BY1034" s="345"/>
      <c r="BZ1034" s="345"/>
      <c r="CA1034" s="345"/>
    </row>
    <row r="1035" spans="51:79" ht="15" customHeight="1" x14ac:dyDescent="0.2">
      <c r="AY1035" s="345"/>
      <c r="AZ1035" s="345"/>
      <c r="BA1035" s="345"/>
      <c r="BB1035" s="345"/>
      <c r="BC1035" s="345"/>
      <c r="BD1035" s="345"/>
      <c r="BE1035" s="345"/>
      <c r="BF1035" s="345"/>
      <c r="BG1035" s="345"/>
      <c r="BH1035" s="345"/>
      <c r="BI1035" s="345"/>
      <c r="BJ1035" s="345"/>
      <c r="BK1035" s="345"/>
      <c r="BL1035" s="345"/>
      <c r="BM1035" s="345"/>
      <c r="BN1035" s="345"/>
      <c r="BO1035" s="345"/>
      <c r="BP1035" s="345"/>
      <c r="BQ1035" s="345"/>
      <c r="BR1035" s="345"/>
      <c r="BS1035" s="345"/>
      <c r="BT1035" s="345"/>
      <c r="BU1035" s="345"/>
      <c r="BV1035" s="345"/>
      <c r="BW1035" s="345"/>
      <c r="BX1035" s="345"/>
      <c r="BY1035" s="345"/>
      <c r="BZ1035" s="345"/>
      <c r="CA1035" s="345"/>
    </row>
    <row r="1036" spans="51:79" ht="15" customHeight="1" x14ac:dyDescent="0.2">
      <c r="AY1036" s="345"/>
      <c r="AZ1036" s="345"/>
      <c r="BA1036" s="345"/>
      <c r="BB1036" s="345"/>
      <c r="BC1036" s="345"/>
      <c r="BD1036" s="345"/>
      <c r="BE1036" s="345"/>
      <c r="BF1036" s="345"/>
      <c r="BG1036" s="345"/>
      <c r="BH1036" s="345"/>
      <c r="BI1036" s="345"/>
      <c r="BJ1036" s="345"/>
      <c r="BK1036" s="345"/>
      <c r="BL1036" s="345"/>
      <c r="BM1036" s="345"/>
      <c r="BN1036" s="345"/>
      <c r="BO1036" s="345"/>
      <c r="BP1036" s="345"/>
      <c r="BQ1036" s="345"/>
      <c r="BR1036" s="345"/>
      <c r="BS1036" s="345"/>
      <c r="BT1036" s="345"/>
      <c r="BU1036" s="345"/>
      <c r="BV1036" s="345"/>
      <c r="BW1036" s="345"/>
      <c r="BX1036" s="345"/>
      <c r="BY1036" s="345"/>
      <c r="BZ1036" s="345"/>
      <c r="CA1036" s="345"/>
    </row>
    <row r="1037" spans="51:79" ht="15" customHeight="1" x14ac:dyDescent="0.2">
      <c r="AY1037" s="345"/>
      <c r="AZ1037" s="345"/>
      <c r="BA1037" s="345"/>
      <c r="BB1037" s="345"/>
      <c r="BC1037" s="345"/>
      <c r="BD1037" s="345"/>
      <c r="BE1037" s="345"/>
      <c r="BF1037" s="345"/>
      <c r="BG1037" s="345"/>
      <c r="BH1037" s="345"/>
      <c r="BI1037" s="345"/>
      <c r="BJ1037" s="345"/>
      <c r="BK1037" s="345"/>
      <c r="BL1037" s="345"/>
      <c r="BM1037" s="345"/>
      <c r="BN1037" s="345"/>
      <c r="BO1037" s="345"/>
      <c r="BP1037" s="345"/>
      <c r="BQ1037" s="345"/>
      <c r="BR1037" s="345"/>
      <c r="BS1037" s="345"/>
      <c r="BT1037" s="345"/>
      <c r="BU1037" s="345"/>
      <c r="BV1037" s="345"/>
      <c r="BW1037" s="345"/>
      <c r="BX1037" s="345"/>
      <c r="BY1037" s="345"/>
      <c r="BZ1037" s="345"/>
      <c r="CA1037" s="345"/>
    </row>
    <row r="1038" spans="51:79" ht="15" customHeight="1" x14ac:dyDescent="0.2">
      <c r="AY1038" s="345"/>
      <c r="AZ1038" s="345"/>
      <c r="BA1038" s="345"/>
      <c r="BB1038" s="345"/>
      <c r="BC1038" s="345"/>
      <c r="BD1038" s="345"/>
      <c r="BE1038" s="345"/>
      <c r="BF1038" s="345"/>
      <c r="BG1038" s="345"/>
      <c r="BH1038" s="345"/>
      <c r="BI1038" s="345"/>
      <c r="BJ1038" s="345"/>
      <c r="BK1038" s="345"/>
      <c r="BL1038" s="345"/>
      <c r="BM1038" s="345"/>
      <c r="BN1038" s="345"/>
      <c r="BO1038" s="345"/>
      <c r="BP1038" s="345"/>
      <c r="BQ1038" s="345"/>
      <c r="BR1038" s="345"/>
      <c r="BS1038" s="345"/>
      <c r="BT1038" s="345"/>
      <c r="BU1038" s="345"/>
      <c r="BV1038" s="345"/>
      <c r="BW1038" s="345"/>
      <c r="BX1038" s="345"/>
      <c r="BY1038" s="345"/>
      <c r="BZ1038" s="345"/>
      <c r="CA1038" s="345"/>
    </row>
    <row r="1039" spans="51:79" ht="15" customHeight="1" x14ac:dyDescent="0.2">
      <c r="AY1039" s="345"/>
      <c r="AZ1039" s="345"/>
      <c r="BA1039" s="345"/>
      <c r="BB1039" s="345"/>
      <c r="BC1039" s="345"/>
      <c r="BD1039" s="345"/>
      <c r="BE1039" s="345"/>
      <c r="BF1039" s="345"/>
      <c r="BG1039" s="345"/>
      <c r="BH1039" s="345"/>
      <c r="BI1039" s="345"/>
      <c r="BJ1039" s="345"/>
      <c r="BK1039" s="345"/>
      <c r="BL1039" s="345"/>
      <c r="BM1039" s="345"/>
      <c r="BN1039" s="345"/>
      <c r="BO1039" s="345"/>
      <c r="BP1039" s="345"/>
      <c r="BQ1039" s="345"/>
      <c r="BR1039" s="345"/>
      <c r="BS1039" s="345"/>
      <c r="BT1039" s="345"/>
      <c r="BU1039" s="345"/>
      <c r="BV1039" s="345"/>
      <c r="BW1039" s="345"/>
      <c r="BX1039" s="345"/>
      <c r="BY1039" s="345"/>
      <c r="BZ1039" s="345"/>
      <c r="CA1039" s="345"/>
    </row>
    <row r="1040" spans="51:79" ht="15" customHeight="1" x14ac:dyDescent="0.2">
      <c r="AY1040" s="345"/>
      <c r="AZ1040" s="345"/>
      <c r="BA1040" s="345"/>
      <c r="BB1040" s="345"/>
      <c r="BC1040" s="345"/>
      <c r="BD1040" s="345"/>
      <c r="BE1040" s="345"/>
      <c r="BF1040" s="345"/>
      <c r="BG1040" s="345"/>
      <c r="BH1040" s="345"/>
      <c r="BI1040" s="345"/>
      <c r="BJ1040" s="345"/>
      <c r="BK1040" s="345"/>
      <c r="BL1040" s="345"/>
      <c r="BM1040" s="345"/>
      <c r="BN1040" s="345"/>
      <c r="BO1040" s="345"/>
      <c r="BP1040" s="345"/>
      <c r="BQ1040" s="345"/>
      <c r="BR1040" s="345"/>
      <c r="BS1040" s="345"/>
      <c r="BT1040" s="345"/>
      <c r="BU1040" s="345"/>
      <c r="BV1040" s="345"/>
      <c r="BW1040" s="345"/>
      <c r="BX1040" s="345"/>
      <c r="BY1040" s="345"/>
      <c r="BZ1040" s="345"/>
      <c r="CA1040" s="345"/>
    </row>
    <row r="1041" spans="51:79" ht="15" customHeight="1" x14ac:dyDescent="0.2">
      <c r="AY1041" s="345"/>
      <c r="AZ1041" s="345"/>
      <c r="BA1041" s="345"/>
      <c r="BB1041" s="345"/>
      <c r="BC1041" s="345"/>
      <c r="BD1041" s="345"/>
      <c r="BE1041" s="345"/>
      <c r="BF1041" s="345"/>
      <c r="BG1041" s="345"/>
      <c r="BH1041" s="345"/>
      <c r="BI1041" s="345"/>
      <c r="BJ1041" s="345"/>
      <c r="BK1041" s="345"/>
      <c r="BL1041" s="345"/>
      <c r="BM1041" s="345"/>
      <c r="BN1041" s="345"/>
      <c r="BO1041" s="345"/>
      <c r="BP1041" s="345"/>
      <c r="BQ1041" s="345"/>
      <c r="BR1041" s="345"/>
      <c r="BS1041" s="345"/>
      <c r="BT1041" s="345"/>
      <c r="BU1041" s="345"/>
      <c r="BV1041" s="345"/>
      <c r="BW1041" s="345"/>
      <c r="BX1041" s="345"/>
      <c r="BY1041" s="345"/>
      <c r="BZ1041" s="345"/>
      <c r="CA1041" s="345"/>
    </row>
    <row r="1042" spans="51:79" ht="15" customHeight="1" x14ac:dyDescent="0.2">
      <c r="AY1042" s="345"/>
      <c r="AZ1042" s="345"/>
      <c r="BA1042" s="345"/>
      <c r="BB1042" s="345"/>
      <c r="BC1042" s="345"/>
      <c r="BD1042" s="345"/>
      <c r="BE1042" s="345"/>
      <c r="BF1042" s="345"/>
      <c r="BG1042" s="345"/>
      <c r="BH1042" s="345"/>
      <c r="BI1042" s="345"/>
      <c r="BJ1042" s="345"/>
      <c r="BK1042" s="345"/>
      <c r="BL1042" s="345"/>
      <c r="BM1042" s="345"/>
      <c r="BN1042" s="345"/>
      <c r="BO1042" s="345"/>
      <c r="BP1042" s="345"/>
      <c r="BQ1042" s="345"/>
      <c r="BR1042" s="345"/>
      <c r="BS1042" s="345"/>
      <c r="BT1042" s="345"/>
      <c r="BU1042" s="345"/>
      <c r="BV1042" s="345"/>
      <c r="BW1042" s="345"/>
      <c r="BX1042" s="345"/>
      <c r="BY1042" s="345"/>
      <c r="BZ1042" s="345"/>
      <c r="CA1042" s="345"/>
    </row>
    <row r="1043" spans="51:79" ht="15" customHeight="1" x14ac:dyDescent="0.2">
      <c r="AY1043" s="345"/>
      <c r="AZ1043" s="345"/>
      <c r="BA1043" s="345"/>
      <c r="BB1043" s="345"/>
      <c r="BC1043" s="345"/>
      <c r="BD1043" s="345"/>
      <c r="BE1043" s="345"/>
      <c r="BF1043" s="345"/>
      <c r="BG1043" s="345"/>
      <c r="BH1043" s="345"/>
      <c r="BI1043" s="345"/>
      <c r="BJ1043" s="345"/>
      <c r="BK1043" s="345"/>
      <c r="BL1043" s="345"/>
      <c r="BM1043" s="345"/>
      <c r="BN1043" s="345"/>
      <c r="BO1043" s="345"/>
      <c r="BP1043" s="345"/>
      <c r="BQ1043" s="345"/>
      <c r="BR1043" s="345"/>
      <c r="BS1043" s="345"/>
      <c r="BT1043" s="345"/>
      <c r="BU1043" s="345"/>
      <c r="BV1043" s="345"/>
      <c r="BW1043" s="345"/>
      <c r="BX1043" s="345"/>
      <c r="BY1043" s="345"/>
      <c r="BZ1043" s="345"/>
      <c r="CA1043" s="345"/>
    </row>
    <row r="1044" spans="51:79" ht="15" customHeight="1" x14ac:dyDescent="0.2">
      <c r="AY1044" s="345"/>
      <c r="AZ1044" s="345"/>
      <c r="BA1044" s="345"/>
      <c r="BB1044" s="345"/>
      <c r="BC1044" s="345"/>
      <c r="BD1044" s="345"/>
      <c r="BE1044" s="345"/>
      <c r="BF1044" s="345"/>
      <c r="BG1044" s="345"/>
      <c r="BH1044" s="345"/>
      <c r="BI1044" s="345"/>
      <c r="BJ1044" s="345"/>
      <c r="BK1044" s="345"/>
      <c r="BL1044" s="345"/>
      <c r="BM1044" s="345"/>
      <c r="BN1044" s="345"/>
      <c r="BO1044" s="345"/>
      <c r="BP1044" s="345"/>
      <c r="BQ1044" s="345"/>
      <c r="BR1044" s="345"/>
      <c r="BS1044" s="345"/>
      <c r="BT1044" s="345"/>
      <c r="BU1044" s="345"/>
      <c r="BV1044" s="345"/>
      <c r="BW1044" s="345"/>
      <c r="BX1044" s="345"/>
      <c r="BY1044" s="345"/>
      <c r="BZ1044" s="345"/>
      <c r="CA1044" s="345"/>
    </row>
    <row r="1045" spans="51:79" ht="15" customHeight="1" x14ac:dyDescent="0.2">
      <c r="AY1045" s="345"/>
      <c r="AZ1045" s="345"/>
      <c r="BA1045" s="345"/>
      <c r="BB1045" s="345"/>
      <c r="BC1045" s="345"/>
      <c r="BD1045" s="345"/>
      <c r="BE1045" s="345"/>
      <c r="BF1045" s="345"/>
      <c r="BG1045" s="345"/>
      <c r="BH1045" s="345"/>
      <c r="BI1045" s="345"/>
      <c r="BJ1045" s="345"/>
      <c r="BK1045" s="345"/>
      <c r="BL1045" s="345"/>
      <c r="BM1045" s="345"/>
      <c r="BN1045" s="345"/>
      <c r="BO1045" s="345"/>
      <c r="BP1045" s="345"/>
      <c r="BQ1045" s="345"/>
      <c r="BR1045" s="345"/>
      <c r="BS1045" s="345"/>
      <c r="BT1045" s="345"/>
      <c r="BU1045" s="345"/>
      <c r="BV1045" s="345"/>
      <c r="BW1045" s="345"/>
      <c r="BX1045" s="345"/>
      <c r="BY1045" s="345"/>
      <c r="BZ1045" s="345"/>
      <c r="CA1045" s="345"/>
    </row>
    <row r="1046" spans="51:79" ht="15" customHeight="1" x14ac:dyDescent="0.2">
      <c r="AY1046" s="345"/>
      <c r="AZ1046" s="345"/>
      <c r="BA1046" s="345"/>
      <c r="BB1046" s="345"/>
      <c r="BC1046" s="345"/>
      <c r="BD1046" s="345"/>
      <c r="BE1046" s="345"/>
      <c r="BF1046" s="345"/>
      <c r="BG1046" s="345"/>
      <c r="BH1046" s="345"/>
      <c r="BI1046" s="345"/>
      <c r="BJ1046" s="345"/>
      <c r="BK1046" s="345"/>
      <c r="BL1046" s="345"/>
      <c r="BM1046" s="345"/>
      <c r="BN1046" s="345"/>
      <c r="BO1046" s="345"/>
      <c r="BP1046" s="345"/>
      <c r="BQ1046" s="345"/>
      <c r="BR1046" s="345"/>
      <c r="BS1046" s="345"/>
      <c r="BT1046" s="345"/>
      <c r="BU1046" s="345"/>
      <c r="BV1046" s="345"/>
      <c r="BW1046" s="345"/>
      <c r="BX1046" s="345"/>
      <c r="BY1046" s="345"/>
      <c r="BZ1046" s="345"/>
      <c r="CA1046" s="345"/>
    </row>
    <row r="1047" spans="51:79" ht="15" customHeight="1" x14ac:dyDescent="0.2">
      <c r="AY1047" s="345"/>
      <c r="AZ1047" s="345"/>
      <c r="BA1047" s="345"/>
      <c r="BB1047" s="345"/>
      <c r="BC1047" s="345"/>
      <c r="BD1047" s="345"/>
      <c r="BE1047" s="345"/>
      <c r="BF1047" s="345"/>
      <c r="BG1047" s="345"/>
      <c r="BH1047" s="345"/>
      <c r="BI1047" s="345"/>
      <c r="BJ1047" s="345"/>
      <c r="BK1047" s="345"/>
      <c r="BL1047" s="345"/>
      <c r="BM1047" s="345"/>
      <c r="BN1047" s="345"/>
      <c r="BO1047" s="345"/>
      <c r="BP1047" s="345"/>
      <c r="BQ1047" s="345"/>
      <c r="BR1047" s="345"/>
      <c r="BS1047" s="345"/>
      <c r="BT1047" s="345"/>
      <c r="BU1047" s="345"/>
      <c r="BV1047" s="345"/>
      <c r="BW1047" s="345"/>
      <c r="BX1047" s="345"/>
      <c r="BY1047" s="345"/>
      <c r="BZ1047" s="345"/>
      <c r="CA1047" s="345"/>
    </row>
    <row r="1048" spans="51:79" ht="15" customHeight="1" x14ac:dyDescent="0.2">
      <c r="AY1048" s="345"/>
      <c r="AZ1048" s="345"/>
      <c r="BA1048" s="345"/>
      <c r="BB1048" s="345"/>
      <c r="BC1048" s="345"/>
      <c r="BD1048" s="345"/>
      <c r="BE1048" s="345"/>
      <c r="BF1048" s="345"/>
      <c r="BG1048" s="345"/>
      <c r="BH1048" s="345"/>
      <c r="BI1048" s="345"/>
      <c r="BJ1048" s="345"/>
      <c r="BK1048" s="345"/>
      <c r="BL1048" s="345"/>
      <c r="BM1048" s="345"/>
      <c r="BN1048" s="345"/>
      <c r="BO1048" s="345"/>
      <c r="BP1048" s="345"/>
      <c r="BQ1048" s="345"/>
      <c r="BR1048" s="345"/>
      <c r="BS1048" s="345"/>
      <c r="BT1048" s="345"/>
      <c r="BU1048" s="345"/>
      <c r="BV1048" s="345"/>
      <c r="BW1048" s="345"/>
      <c r="BX1048" s="345"/>
      <c r="BY1048" s="345"/>
      <c r="BZ1048" s="345"/>
      <c r="CA1048" s="345"/>
    </row>
    <row r="1049" spans="51:79" ht="15" customHeight="1" x14ac:dyDescent="0.2">
      <c r="AY1049" s="345"/>
      <c r="AZ1049" s="345"/>
      <c r="BA1049" s="345"/>
      <c r="BB1049" s="345"/>
      <c r="BC1049" s="345"/>
      <c r="BD1049" s="345"/>
      <c r="BE1049" s="345"/>
      <c r="BF1049" s="345"/>
      <c r="BG1049" s="345"/>
      <c r="BH1049" s="345"/>
      <c r="BI1049" s="345"/>
      <c r="BJ1049" s="345"/>
      <c r="BK1049" s="345"/>
      <c r="BL1049" s="345"/>
      <c r="BM1049" s="345"/>
      <c r="BN1049" s="345"/>
      <c r="BO1049" s="345"/>
      <c r="BP1049" s="345"/>
      <c r="BQ1049" s="345"/>
      <c r="BR1049" s="345"/>
      <c r="BS1049" s="345"/>
      <c r="BT1049" s="345"/>
      <c r="BU1049" s="345"/>
      <c r="BV1049" s="345"/>
      <c r="BW1049" s="345"/>
      <c r="BX1049" s="345"/>
      <c r="BY1049" s="345"/>
      <c r="BZ1049" s="345"/>
      <c r="CA1049" s="345"/>
    </row>
    <row r="1050" spans="51:79" ht="15" customHeight="1" x14ac:dyDescent="0.2">
      <c r="AY1050" s="345"/>
      <c r="AZ1050" s="345"/>
      <c r="BA1050" s="345"/>
      <c r="BB1050" s="345"/>
      <c r="BC1050" s="345"/>
      <c r="BD1050" s="345"/>
      <c r="BE1050" s="345"/>
      <c r="BF1050" s="345"/>
      <c r="BG1050" s="345"/>
      <c r="BH1050" s="345"/>
      <c r="BI1050" s="345"/>
      <c r="BJ1050" s="345"/>
      <c r="BK1050" s="345"/>
      <c r="BL1050" s="345"/>
      <c r="BM1050" s="345"/>
      <c r="BN1050" s="345"/>
      <c r="BO1050" s="345"/>
      <c r="BP1050" s="345"/>
      <c r="BQ1050" s="345"/>
      <c r="BR1050" s="345"/>
      <c r="BS1050" s="345"/>
      <c r="BT1050" s="345"/>
      <c r="BU1050" s="345"/>
      <c r="BV1050" s="345"/>
      <c r="BW1050" s="345"/>
      <c r="BX1050" s="345"/>
      <c r="BY1050" s="345"/>
      <c r="BZ1050" s="345"/>
      <c r="CA1050" s="345"/>
    </row>
    <row r="1051" spans="51:79" ht="15" customHeight="1" x14ac:dyDescent="0.2">
      <c r="AY1051" s="345"/>
      <c r="AZ1051" s="345"/>
      <c r="BA1051" s="345"/>
      <c r="BB1051" s="345"/>
      <c r="BC1051" s="345"/>
      <c r="BD1051" s="345"/>
      <c r="BE1051" s="345"/>
      <c r="BF1051" s="345"/>
      <c r="BG1051" s="345"/>
      <c r="BH1051" s="345"/>
      <c r="BI1051" s="345"/>
      <c r="BJ1051" s="345"/>
      <c r="BK1051" s="345"/>
      <c r="BL1051" s="345"/>
      <c r="BM1051" s="345"/>
      <c r="BN1051" s="345"/>
      <c r="BO1051" s="345"/>
      <c r="BP1051" s="345"/>
      <c r="BQ1051" s="345"/>
      <c r="BR1051" s="345"/>
      <c r="BS1051" s="345"/>
      <c r="BT1051" s="345"/>
      <c r="BU1051" s="345"/>
      <c r="BV1051" s="345"/>
      <c r="BW1051" s="345"/>
      <c r="BX1051" s="345"/>
      <c r="BY1051" s="345"/>
      <c r="BZ1051" s="345"/>
      <c r="CA1051" s="345"/>
    </row>
    <row r="1052" spans="51:79" ht="15" customHeight="1" x14ac:dyDescent="0.2">
      <c r="AY1052" s="345"/>
      <c r="AZ1052" s="345"/>
      <c r="BA1052" s="345"/>
      <c r="BB1052" s="345"/>
      <c r="BC1052" s="345"/>
      <c r="BD1052" s="345"/>
      <c r="BE1052" s="345"/>
      <c r="BF1052" s="345"/>
      <c r="BG1052" s="345"/>
      <c r="BH1052" s="345"/>
      <c r="BI1052" s="345"/>
      <c r="BJ1052" s="345"/>
      <c r="BK1052" s="345"/>
      <c r="BL1052" s="345"/>
      <c r="BM1052" s="345"/>
      <c r="BN1052" s="345"/>
      <c r="BO1052" s="345"/>
      <c r="BP1052" s="345"/>
      <c r="BQ1052" s="345"/>
      <c r="BR1052" s="345"/>
      <c r="BS1052" s="345"/>
      <c r="BT1052" s="345"/>
      <c r="BU1052" s="345"/>
      <c r="BV1052" s="345"/>
      <c r="BW1052" s="345"/>
      <c r="BX1052" s="345"/>
      <c r="BY1052" s="345"/>
      <c r="BZ1052" s="345"/>
      <c r="CA1052" s="345"/>
    </row>
    <row r="1053" spans="51:79" ht="15" customHeight="1" x14ac:dyDescent="0.2">
      <c r="AY1053" s="345"/>
      <c r="AZ1053" s="345"/>
      <c r="BA1053" s="345"/>
      <c r="BB1053" s="345"/>
      <c r="BC1053" s="345"/>
      <c r="BD1053" s="345"/>
      <c r="BE1053" s="345"/>
      <c r="BF1053" s="345"/>
      <c r="BG1053" s="345"/>
      <c r="BH1053" s="345"/>
      <c r="BI1053" s="345"/>
      <c r="BJ1053" s="345"/>
      <c r="BK1053" s="345"/>
      <c r="BL1053" s="345"/>
      <c r="BM1053" s="345"/>
      <c r="BN1053" s="345"/>
      <c r="BO1053" s="345"/>
      <c r="BP1053" s="345"/>
      <c r="BQ1053" s="345"/>
      <c r="BR1053" s="345"/>
      <c r="BS1053" s="345"/>
      <c r="BT1053" s="345"/>
      <c r="BU1053" s="345"/>
      <c r="BV1053" s="345"/>
      <c r="BW1053" s="345"/>
      <c r="BX1053" s="345"/>
      <c r="BY1053" s="345"/>
      <c r="BZ1053" s="345"/>
      <c r="CA1053" s="345"/>
    </row>
    <row r="1054" spans="51:79" ht="15" customHeight="1" x14ac:dyDescent="0.2">
      <c r="AY1054" s="345"/>
      <c r="AZ1054" s="345"/>
      <c r="BA1054" s="345"/>
      <c r="BB1054" s="345"/>
      <c r="BC1054" s="345"/>
      <c r="BD1054" s="345"/>
      <c r="BE1054" s="345"/>
      <c r="BF1054" s="345"/>
      <c r="BG1054" s="345"/>
      <c r="BH1054" s="345"/>
      <c r="BI1054" s="345"/>
      <c r="BJ1054" s="345"/>
      <c r="BK1054" s="345"/>
      <c r="BL1054" s="345"/>
      <c r="BM1054" s="345"/>
      <c r="BN1054" s="345"/>
      <c r="BO1054" s="345"/>
      <c r="BP1054" s="345"/>
      <c r="BQ1054" s="345"/>
      <c r="BR1054" s="345"/>
      <c r="BS1054" s="345"/>
      <c r="BT1054" s="345"/>
      <c r="BU1054" s="345"/>
      <c r="BV1054" s="345"/>
      <c r="BW1054" s="345"/>
      <c r="BX1054" s="345"/>
      <c r="BY1054" s="345"/>
      <c r="BZ1054" s="345"/>
      <c r="CA1054" s="345"/>
    </row>
    <row r="1055" spans="51:79" ht="15" customHeight="1" x14ac:dyDescent="0.2">
      <c r="AY1055" s="345"/>
      <c r="AZ1055" s="345"/>
      <c r="BA1055" s="345"/>
      <c r="BB1055" s="345"/>
      <c r="BC1055" s="345"/>
      <c r="BD1055" s="345"/>
      <c r="BE1055" s="345"/>
      <c r="BF1055" s="345"/>
      <c r="BG1055" s="345"/>
      <c r="BH1055" s="345"/>
      <c r="BI1055" s="345"/>
      <c r="BJ1055" s="345"/>
      <c r="BK1055" s="345"/>
      <c r="BL1055" s="345"/>
      <c r="BM1055" s="345"/>
      <c r="BN1055" s="345"/>
      <c r="BO1055" s="345"/>
      <c r="BP1055" s="345"/>
      <c r="BQ1055" s="345"/>
      <c r="BR1055" s="345"/>
      <c r="BS1055" s="345"/>
      <c r="BT1055" s="345"/>
      <c r="BU1055" s="345"/>
      <c r="BV1055" s="345"/>
      <c r="BW1055" s="345"/>
      <c r="BX1055" s="345"/>
      <c r="BY1055" s="345"/>
      <c r="BZ1055" s="345"/>
      <c r="CA1055" s="345"/>
    </row>
    <row r="1056" spans="51:79" ht="15" customHeight="1" x14ac:dyDescent="0.2">
      <c r="AY1056" s="345"/>
      <c r="AZ1056" s="345"/>
      <c r="BA1056" s="345"/>
      <c r="BB1056" s="345"/>
      <c r="BC1056" s="345"/>
      <c r="BD1056" s="345"/>
      <c r="BE1056" s="345"/>
      <c r="BF1056" s="345"/>
      <c r="BG1056" s="345"/>
      <c r="BH1056" s="345"/>
      <c r="BI1056" s="345"/>
      <c r="BJ1056" s="345"/>
      <c r="BK1056" s="345"/>
      <c r="BL1056" s="345"/>
      <c r="BM1056" s="345"/>
      <c r="BN1056" s="345"/>
      <c r="BO1056" s="345"/>
      <c r="BP1056" s="345"/>
      <c r="BQ1056" s="345"/>
      <c r="BR1056" s="345"/>
      <c r="BS1056" s="345"/>
      <c r="BT1056" s="345"/>
      <c r="BU1056" s="345"/>
      <c r="BV1056" s="345"/>
      <c r="BW1056" s="345"/>
      <c r="BX1056" s="345"/>
      <c r="BY1056" s="345"/>
      <c r="BZ1056" s="345"/>
      <c r="CA1056" s="345"/>
    </row>
    <row r="1057" spans="51:79" ht="15" customHeight="1" x14ac:dyDescent="0.2">
      <c r="AY1057" s="345"/>
      <c r="AZ1057" s="345"/>
      <c r="BA1057" s="345"/>
      <c r="BB1057" s="345"/>
      <c r="BC1057" s="345"/>
      <c r="BD1057" s="345"/>
      <c r="BE1057" s="345"/>
      <c r="BF1057" s="345"/>
      <c r="BG1057" s="345"/>
      <c r="BH1057" s="345"/>
      <c r="BI1057" s="345"/>
      <c r="BJ1057" s="345"/>
      <c r="BK1057" s="345"/>
      <c r="BL1057" s="345"/>
      <c r="BM1057" s="345"/>
      <c r="BN1057" s="345"/>
      <c r="BO1057" s="345"/>
      <c r="BP1057" s="345"/>
      <c r="BQ1057" s="345"/>
      <c r="BR1057" s="345"/>
      <c r="BS1057" s="345"/>
      <c r="BT1057" s="345"/>
      <c r="BU1057" s="345"/>
      <c r="BV1057" s="345"/>
      <c r="BW1057" s="345"/>
      <c r="BX1057" s="345"/>
      <c r="BY1057" s="345"/>
      <c r="BZ1057" s="345"/>
      <c r="CA1057" s="345"/>
    </row>
    <row r="1058" spans="51:79" ht="15" customHeight="1" x14ac:dyDescent="0.2">
      <c r="AY1058" s="345"/>
      <c r="AZ1058" s="345"/>
      <c r="BA1058" s="345"/>
      <c r="BB1058" s="345"/>
      <c r="BC1058" s="345"/>
      <c r="BD1058" s="345"/>
      <c r="BE1058" s="345"/>
      <c r="BF1058" s="345"/>
      <c r="BG1058" s="345"/>
      <c r="BH1058" s="345"/>
      <c r="BI1058" s="345"/>
      <c r="BJ1058" s="345"/>
      <c r="BK1058" s="345"/>
      <c r="BL1058" s="345"/>
      <c r="BM1058" s="345"/>
      <c r="BN1058" s="345"/>
      <c r="BO1058" s="345"/>
      <c r="BP1058" s="345"/>
      <c r="BQ1058" s="345"/>
      <c r="BR1058" s="345"/>
      <c r="BS1058" s="345"/>
      <c r="BT1058" s="345"/>
      <c r="BU1058" s="345"/>
      <c r="BV1058" s="345"/>
      <c r="BW1058" s="345"/>
      <c r="BX1058" s="345"/>
      <c r="BY1058" s="345"/>
      <c r="BZ1058" s="345"/>
      <c r="CA1058" s="345"/>
    </row>
    <row r="1059" spans="51:79" ht="15" customHeight="1" x14ac:dyDescent="0.2">
      <c r="AY1059" s="345"/>
      <c r="AZ1059" s="345"/>
      <c r="BA1059" s="345"/>
      <c r="BB1059" s="345"/>
      <c r="BC1059" s="345"/>
      <c r="BD1059" s="345"/>
      <c r="BE1059" s="345"/>
      <c r="BF1059" s="345"/>
      <c r="BG1059" s="345"/>
      <c r="BH1059" s="345"/>
      <c r="BI1059" s="345"/>
      <c r="BJ1059" s="345"/>
      <c r="BK1059" s="345"/>
      <c r="BL1059" s="345"/>
      <c r="BM1059" s="345"/>
      <c r="BN1059" s="345"/>
      <c r="BO1059" s="345"/>
      <c r="BP1059" s="345"/>
      <c r="BQ1059" s="345"/>
      <c r="BR1059" s="345"/>
      <c r="BS1059" s="345"/>
      <c r="BT1059" s="345"/>
      <c r="BU1059" s="345"/>
      <c r="BV1059" s="345"/>
      <c r="BW1059" s="345"/>
      <c r="BX1059" s="345"/>
      <c r="BY1059" s="345"/>
      <c r="BZ1059" s="345"/>
      <c r="CA1059" s="345"/>
    </row>
    <row r="1060" spans="51:79" ht="15" customHeight="1" x14ac:dyDescent="0.2">
      <c r="AY1060" s="345"/>
      <c r="AZ1060" s="345"/>
      <c r="BA1060" s="345"/>
      <c r="BB1060" s="345"/>
      <c r="BC1060" s="345"/>
      <c r="BD1060" s="345"/>
      <c r="BE1060" s="345"/>
      <c r="BF1060" s="345"/>
      <c r="BG1060" s="345"/>
      <c r="BH1060" s="345"/>
      <c r="BI1060" s="345"/>
      <c r="BJ1060" s="345"/>
      <c r="BK1060" s="345"/>
      <c r="BL1060" s="345"/>
      <c r="BM1060" s="345"/>
      <c r="BN1060" s="345"/>
      <c r="BO1060" s="345"/>
      <c r="BP1060" s="345"/>
      <c r="BQ1060" s="345"/>
      <c r="BR1060" s="345"/>
      <c r="BS1060" s="345"/>
      <c r="BT1060" s="345"/>
      <c r="BU1060" s="345"/>
      <c r="BV1060" s="345"/>
      <c r="BW1060" s="345"/>
      <c r="BX1060" s="345"/>
      <c r="BY1060" s="345"/>
      <c r="BZ1060" s="345"/>
      <c r="CA1060" s="345"/>
    </row>
    <row r="1061" spans="51:79" ht="15" customHeight="1" x14ac:dyDescent="0.2">
      <c r="AY1061" s="345"/>
      <c r="AZ1061" s="345"/>
      <c r="BA1061" s="345"/>
      <c r="BB1061" s="345"/>
      <c r="BC1061" s="345"/>
      <c r="BD1061" s="345"/>
      <c r="BE1061" s="345"/>
      <c r="BF1061" s="345"/>
      <c r="BG1061" s="345"/>
      <c r="BH1061" s="345"/>
      <c r="BI1061" s="345"/>
      <c r="BJ1061" s="345"/>
      <c r="BK1061" s="345"/>
      <c r="BL1061" s="345"/>
      <c r="BM1061" s="345"/>
      <c r="BN1061" s="345"/>
      <c r="BO1061" s="345"/>
      <c r="BP1061" s="345"/>
      <c r="BQ1061" s="345"/>
      <c r="BR1061" s="345"/>
      <c r="BS1061" s="345"/>
      <c r="BT1061" s="345"/>
      <c r="BU1061" s="345"/>
      <c r="BV1061" s="345"/>
      <c r="BW1061" s="345"/>
      <c r="BX1061" s="345"/>
      <c r="BY1061" s="345"/>
      <c r="BZ1061" s="345"/>
      <c r="CA1061" s="345"/>
    </row>
    <row r="1062" spans="51:79" ht="15" customHeight="1" x14ac:dyDescent="0.2">
      <c r="AY1062" s="345"/>
      <c r="AZ1062" s="345"/>
      <c r="BA1062" s="345"/>
      <c r="BB1062" s="345"/>
      <c r="BC1062" s="345"/>
      <c r="BD1062" s="345"/>
      <c r="BE1062" s="345"/>
      <c r="BF1062" s="345"/>
      <c r="BG1062" s="345"/>
      <c r="BH1062" s="345"/>
      <c r="BI1062" s="345"/>
      <c r="BJ1062" s="345"/>
      <c r="BK1062" s="345"/>
      <c r="BL1062" s="345"/>
      <c r="BM1062" s="345"/>
      <c r="BN1062" s="345"/>
      <c r="BO1062" s="345"/>
      <c r="BP1062" s="345"/>
      <c r="BQ1062" s="345"/>
      <c r="BR1062" s="345"/>
      <c r="BS1062" s="345"/>
      <c r="BT1062" s="345"/>
      <c r="BU1062" s="345"/>
      <c r="BV1062" s="345"/>
      <c r="BW1062" s="345"/>
      <c r="BX1062" s="345"/>
      <c r="BY1062" s="345"/>
      <c r="BZ1062" s="345"/>
      <c r="CA1062" s="345"/>
    </row>
    <row r="1063" spans="51:79" ht="15" customHeight="1" x14ac:dyDescent="0.2">
      <c r="AY1063" s="345"/>
      <c r="AZ1063" s="345"/>
      <c r="BA1063" s="345"/>
      <c r="BB1063" s="345"/>
      <c r="BC1063" s="345"/>
      <c r="BD1063" s="345"/>
      <c r="BE1063" s="345"/>
      <c r="BF1063" s="345"/>
      <c r="BG1063" s="345"/>
      <c r="BH1063" s="345"/>
      <c r="BI1063" s="345"/>
      <c r="BJ1063" s="345"/>
      <c r="BK1063" s="345"/>
      <c r="BL1063" s="345"/>
      <c r="BM1063" s="345"/>
      <c r="BN1063" s="345"/>
      <c r="BO1063" s="345"/>
      <c r="BP1063" s="345"/>
      <c r="BQ1063" s="345"/>
      <c r="BR1063" s="345"/>
      <c r="BS1063" s="345"/>
      <c r="BT1063" s="345"/>
      <c r="BU1063" s="345"/>
      <c r="BV1063" s="345"/>
      <c r="BW1063" s="345"/>
      <c r="BX1063" s="345"/>
      <c r="BY1063" s="345"/>
      <c r="BZ1063" s="345"/>
      <c r="CA1063" s="345"/>
    </row>
    <row r="1064" spans="51:79" ht="15" customHeight="1" x14ac:dyDescent="0.2">
      <c r="AY1064" s="345"/>
      <c r="AZ1064" s="345"/>
      <c r="BA1064" s="345"/>
      <c r="BB1064" s="345"/>
      <c r="BC1064" s="345"/>
      <c r="BD1064" s="345"/>
      <c r="BE1064" s="345"/>
      <c r="BF1064" s="345"/>
      <c r="BG1064" s="345"/>
      <c r="BH1064" s="345"/>
      <c r="BI1064" s="345"/>
      <c r="BJ1064" s="345"/>
      <c r="BK1064" s="345"/>
      <c r="BL1064" s="345"/>
      <c r="BM1064" s="345"/>
      <c r="BN1064" s="345"/>
      <c r="BO1064" s="345"/>
      <c r="BP1064" s="345"/>
      <c r="BQ1064" s="345"/>
      <c r="BR1064" s="345"/>
      <c r="BS1064" s="345"/>
      <c r="BT1064" s="345"/>
      <c r="BU1064" s="345"/>
      <c r="BV1064" s="345"/>
      <c r="BW1064" s="345"/>
      <c r="BX1064" s="345"/>
      <c r="BY1064" s="345"/>
      <c r="BZ1064" s="345"/>
      <c r="CA1064" s="345"/>
    </row>
    <row r="1065" spans="51:79" ht="15" customHeight="1" x14ac:dyDescent="0.2">
      <c r="AY1065" s="345"/>
      <c r="AZ1065" s="345"/>
      <c r="BA1065" s="345"/>
      <c r="BB1065" s="345"/>
      <c r="BC1065" s="345"/>
      <c r="BD1065" s="345"/>
      <c r="BE1065" s="345"/>
      <c r="BF1065" s="345"/>
      <c r="BG1065" s="345"/>
      <c r="BH1065" s="345"/>
      <c r="BI1065" s="345"/>
      <c r="BJ1065" s="345"/>
      <c r="BK1065" s="345"/>
      <c r="BL1065" s="345"/>
      <c r="BM1065" s="345"/>
      <c r="BN1065" s="345"/>
      <c r="BO1065" s="345"/>
      <c r="BP1065" s="345"/>
      <c r="BQ1065" s="345"/>
      <c r="BR1065" s="345"/>
      <c r="BS1065" s="345"/>
      <c r="BT1065" s="345"/>
      <c r="BU1065" s="345"/>
      <c r="BV1065" s="345"/>
      <c r="BW1065" s="345"/>
      <c r="BX1065" s="345"/>
      <c r="BY1065" s="345"/>
      <c r="BZ1065" s="345"/>
      <c r="CA1065" s="345"/>
    </row>
    <row r="1066" spans="51:79" ht="15" customHeight="1" x14ac:dyDescent="0.2">
      <c r="AY1066" s="345"/>
      <c r="AZ1066" s="345"/>
      <c r="BA1066" s="345"/>
      <c r="BB1066" s="345"/>
      <c r="BC1066" s="345"/>
      <c r="BD1066" s="345"/>
      <c r="BE1066" s="345"/>
      <c r="BF1066" s="345"/>
      <c r="BG1066" s="345"/>
      <c r="BH1066" s="345"/>
      <c r="BI1066" s="345"/>
      <c r="BJ1066" s="345"/>
      <c r="BK1066" s="345"/>
      <c r="BL1066" s="345"/>
      <c r="BM1066" s="345"/>
      <c r="BN1066" s="345"/>
      <c r="BO1066" s="345"/>
      <c r="BP1066" s="345"/>
      <c r="BQ1066" s="345"/>
      <c r="BR1066" s="345"/>
      <c r="BS1066" s="345"/>
      <c r="BT1066" s="345"/>
      <c r="BU1066" s="345"/>
      <c r="BV1066" s="345"/>
      <c r="BW1066" s="345"/>
      <c r="BX1066" s="345"/>
      <c r="BY1066" s="345"/>
      <c r="BZ1066" s="345"/>
      <c r="CA1066" s="345"/>
    </row>
    <row r="1067" spans="51:79" ht="15" customHeight="1" x14ac:dyDescent="0.2">
      <c r="AY1067" s="345"/>
      <c r="AZ1067" s="345"/>
      <c r="BA1067" s="345"/>
      <c r="BB1067" s="345"/>
      <c r="BC1067" s="345"/>
      <c r="BD1067" s="345"/>
      <c r="BE1067" s="345"/>
      <c r="BF1067" s="345"/>
      <c r="BG1067" s="345"/>
      <c r="BH1067" s="345"/>
      <c r="BI1067" s="345"/>
      <c r="BJ1067" s="345"/>
      <c r="BK1067" s="345"/>
      <c r="BL1067" s="345"/>
      <c r="BM1067" s="345"/>
      <c r="BN1067" s="345"/>
      <c r="BO1067" s="345"/>
      <c r="BP1067" s="345"/>
      <c r="BQ1067" s="345"/>
      <c r="BR1067" s="345"/>
      <c r="BS1067" s="345"/>
      <c r="BT1067" s="345"/>
      <c r="BU1067" s="345"/>
      <c r="BV1067" s="345"/>
      <c r="BW1067" s="345"/>
      <c r="BX1067" s="345"/>
      <c r="BY1067" s="345"/>
      <c r="BZ1067" s="345"/>
      <c r="CA1067" s="345"/>
    </row>
    <row r="1068" spans="51:79" ht="15" customHeight="1" x14ac:dyDescent="0.2">
      <c r="AY1068" s="345"/>
      <c r="AZ1068" s="345"/>
      <c r="BA1068" s="345"/>
      <c r="BB1068" s="345"/>
      <c r="BC1068" s="345"/>
      <c r="BD1068" s="345"/>
      <c r="BE1068" s="345"/>
      <c r="BF1068" s="345"/>
      <c r="BG1068" s="345"/>
      <c r="BH1068" s="345"/>
      <c r="BI1068" s="345"/>
      <c r="BJ1068" s="345"/>
      <c r="BK1068" s="345"/>
      <c r="BL1068" s="345"/>
      <c r="BM1068" s="345"/>
      <c r="BN1068" s="345"/>
      <c r="BO1068" s="345"/>
      <c r="BP1068" s="345"/>
      <c r="BQ1068" s="345"/>
      <c r="BR1068" s="345"/>
      <c r="BS1068" s="345"/>
      <c r="BT1068" s="345"/>
      <c r="BU1068" s="345"/>
      <c r="BV1068" s="345"/>
      <c r="BW1068" s="345"/>
      <c r="BX1068" s="345"/>
      <c r="BY1068" s="345"/>
      <c r="BZ1068" s="345"/>
      <c r="CA1068" s="345"/>
    </row>
    <row r="1069" spans="51:79" ht="15" customHeight="1" x14ac:dyDescent="0.2">
      <c r="AY1069" s="345"/>
      <c r="AZ1069" s="345"/>
      <c r="BA1069" s="345"/>
      <c r="BB1069" s="345"/>
      <c r="BC1069" s="345"/>
      <c r="BD1069" s="345"/>
      <c r="BE1069" s="345"/>
      <c r="BF1069" s="345"/>
      <c r="BG1069" s="345"/>
      <c r="BH1069" s="345"/>
      <c r="BI1069" s="345"/>
      <c r="BJ1069" s="345"/>
      <c r="BK1069" s="345"/>
      <c r="BL1069" s="345"/>
      <c r="BM1069" s="345"/>
      <c r="BN1069" s="345"/>
      <c r="BO1069" s="345"/>
      <c r="BP1069" s="345"/>
      <c r="BQ1069" s="345"/>
      <c r="BR1069" s="345"/>
      <c r="BS1069" s="345"/>
      <c r="BT1069" s="345"/>
      <c r="BU1069" s="345"/>
      <c r="BV1069" s="345"/>
      <c r="BW1069" s="345"/>
      <c r="BX1069" s="345"/>
      <c r="BY1069" s="345"/>
      <c r="BZ1069" s="345"/>
      <c r="CA1069" s="345"/>
    </row>
    <row r="1070" spans="51:79" ht="15" customHeight="1" x14ac:dyDescent="0.2">
      <c r="AY1070" s="345"/>
      <c r="AZ1070" s="345"/>
      <c r="BA1070" s="345"/>
      <c r="BB1070" s="345"/>
      <c r="BC1070" s="345"/>
      <c r="BD1070" s="345"/>
      <c r="BE1070" s="345"/>
      <c r="BF1070" s="345"/>
      <c r="BG1070" s="345"/>
      <c r="BH1070" s="345"/>
      <c r="BI1070" s="345"/>
      <c r="BJ1070" s="345"/>
      <c r="BK1070" s="345"/>
      <c r="BL1070" s="345"/>
      <c r="BM1070" s="345"/>
      <c r="BN1070" s="345"/>
      <c r="BO1070" s="345"/>
      <c r="BP1070" s="345"/>
      <c r="BQ1070" s="345"/>
      <c r="BR1070" s="345"/>
      <c r="BS1070" s="345"/>
      <c r="BT1070" s="345"/>
      <c r="BU1070" s="345"/>
      <c r="BV1070" s="345"/>
      <c r="BW1070" s="345"/>
      <c r="BX1070" s="345"/>
      <c r="BY1070" s="345"/>
      <c r="BZ1070" s="345"/>
      <c r="CA1070" s="345"/>
    </row>
    <row r="1071" spans="51:79" ht="15" customHeight="1" x14ac:dyDescent="0.2">
      <c r="AY1071" s="345"/>
      <c r="AZ1071" s="345"/>
      <c r="BA1071" s="345"/>
      <c r="BB1071" s="345"/>
      <c r="BC1071" s="345"/>
      <c r="BD1071" s="345"/>
      <c r="BE1071" s="345"/>
      <c r="BF1071" s="345"/>
      <c r="BG1071" s="345"/>
      <c r="BH1071" s="345"/>
      <c r="BI1071" s="345"/>
      <c r="BJ1071" s="345"/>
      <c r="BK1071" s="345"/>
      <c r="BL1071" s="345"/>
      <c r="BM1071" s="345"/>
      <c r="BN1071" s="345"/>
      <c r="BO1071" s="345"/>
      <c r="BP1071" s="345"/>
      <c r="BQ1071" s="345"/>
      <c r="BR1071" s="345"/>
      <c r="BS1071" s="345"/>
      <c r="BT1071" s="345"/>
      <c r="BU1071" s="345"/>
      <c r="BV1071" s="345"/>
      <c r="BW1071" s="345"/>
      <c r="BX1071" s="345"/>
      <c r="BY1071" s="345"/>
      <c r="BZ1071" s="345"/>
      <c r="CA1071" s="345"/>
    </row>
    <row r="1072" spans="51:79" ht="15" customHeight="1" x14ac:dyDescent="0.2">
      <c r="AY1072" s="345"/>
      <c r="AZ1072" s="345"/>
      <c r="BA1072" s="345"/>
      <c r="BB1072" s="345"/>
      <c r="BC1072" s="345"/>
      <c r="BD1072" s="345"/>
      <c r="BE1072" s="345"/>
      <c r="BF1072" s="345"/>
      <c r="BG1072" s="345"/>
      <c r="BH1072" s="345"/>
      <c r="BI1072" s="345"/>
      <c r="BJ1072" s="345"/>
      <c r="BK1072" s="345"/>
      <c r="BL1072" s="345"/>
      <c r="BM1072" s="345"/>
      <c r="BN1072" s="345"/>
      <c r="BO1072" s="345"/>
      <c r="BP1072" s="345"/>
      <c r="BQ1072" s="345"/>
      <c r="BR1072" s="345"/>
      <c r="BS1072" s="345"/>
      <c r="BT1072" s="345"/>
      <c r="BU1072" s="345"/>
      <c r="BV1072" s="345"/>
      <c r="BW1072" s="345"/>
      <c r="BX1072" s="345"/>
      <c r="BY1072" s="345"/>
      <c r="BZ1072" s="345"/>
      <c r="CA1072" s="345"/>
    </row>
    <row r="1073" spans="51:79" ht="15" customHeight="1" x14ac:dyDescent="0.2">
      <c r="AY1073" s="345"/>
      <c r="AZ1073" s="345"/>
      <c r="BA1073" s="345"/>
      <c r="BB1073" s="345"/>
      <c r="BC1073" s="345"/>
      <c r="BD1073" s="345"/>
      <c r="BE1073" s="345"/>
      <c r="BF1073" s="345"/>
      <c r="BG1073" s="345"/>
      <c r="BH1073" s="345"/>
      <c r="BI1073" s="345"/>
      <c r="BJ1073" s="345"/>
      <c r="BK1073" s="345"/>
      <c r="BL1073" s="345"/>
      <c r="BM1073" s="345"/>
      <c r="BN1073" s="345"/>
      <c r="BO1073" s="345"/>
      <c r="BP1073" s="345"/>
      <c r="BQ1073" s="345"/>
      <c r="BR1073" s="345"/>
      <c r="BS1073" s="345"/>
      <c r="BT1073" s="345"/>
      <c r="BU1073" s="345"/>
      <c r="BV1073" s="345"/>
      <c r="BW1073" s="345"/>
      <c r="BX1073" s="345"/>
      <c r="BY1073" s="345"/>
      <c r="BZ1073" s="345"/>
      <c r="CA1073" s="345"/>
    </row>
    <row r="1074" spans="51:79" ht="15" customHeight="1" x14ac:dyDescent="0.2">
      <c r="AY1074" s="345"/>
      <c r="AZ1074" s="345"/>
      <c r="BA1074" s="345"/>
      <c r="BB1074" s="345"/>
      <c r="BC1074" s="345"/>
      <c r="BD1074" s="345"/>
      <c r="BE1074" s="345"/>
      <c r="BF1074" s="345"/>
      <c r="BG1074" s="345"/>
      <c r="BH1074" s="345"/>
      <c r="BI1074" s="345"/>
      <c r="BJ1074" s="345"/>
      <c r="BK1074" s="345"/>
      <c r="BL1074" s="345"/>
      <c r="BM1074" s="345"/>
      <c r="BN1074" s="345"/>
      <c r="BO1074" s="345"/>
      <c r="BP1074" s="345"/>
      <c r="BQ1074" s="345"/>
      <c r="BR1074" s="345"/>
      <c r="BS1074" s="345"/>
      <c r="BT1074" s="345"/>
      <c r="BU1074" s="345"/>
      <c r="BV1074" s="345"/>
      <c r="BW1074" s="345"/>
      <c r="BX1074" s="345"/>
      <c r="BY1074" s="345"/>
      <c r="BZ1074" s="345"/>
      <c r="CA1074" s="345"/>
    </row>
    <row r="1075" spans="51:79" ht="15" customHeight="1" x14ac:dyDescent="0.2">
      <c r="AY1075" s="345"/>
      <c r="AZ1075" s="345"/>
      <c r="BA1075" s="345"/>
      <c r="BB1075" s="345"/>
      <c r="BC1075" s="345"/>
      <c r="BD1075" s="345"/>
      <c r="BE1075" s="345"/>
      <c r="BF1075" s="345"/>
      <c r="BG1075" s="345"/>
      <c r="BH1075" s="345"/>
      <c r="BI1075" s="345"/>
      <c r="BJ1075" s="345"/>
      <c r="BK1075" s="345"/>
      <c r="BL1075" s="345"/>
      <c r="BM1075" s="345"/>
      <c r="BN1075" s="345"/>
      <c r="BO1075" s="345"/>
      <c r="BP1075" s="345"/>
      <c r="BQ1075" s="345"/>
      <c r="BR1075" s="345"/>
      <c r="BS1075" s="345"/>
      <c r="BT1075" s="345"/>
      <c r="BU1075" s="345"/>
      <c r="BV1075" s="345"/>
      <c r="BW1075" s="345"/>
      <c r="BX1075" s="345"/>
      <c r="BY1075" s="345"/>
      <c r="BZ1075" s="345"/>
      <c r="CA1075" s="345"/>
    </row>
    <row r="1076" spans="51:79" ht="15" customHeight="1" x14ac:dyDescent="0.2">
      <c r="AY1076" s="345"/>
      <c r="AZ1076" s="345"/>
      <c r="BA1076" s="345"/>
      <c r="BB1076" s="345"/>
      <c r="BC1076" s="345"/>
      <c r="BD1076" s="345"/>
      <c r="BE1076" s="345"/>
      <c r="BF1076" s="345"/>
      <c r="BG1076" s="345"/>
      <c r="BH1076" s="345"/>
      <c r="BI1076" s="345"/>
      <c r="BJ1076" s="345"/>
      <c r="BK1076" s="345"/>
      <c r="BL1076" s="345"/>
      <c r="BM1076" s="345"/>
      <c r="BN1076" s="345"/>
      <c r="BO1076" s="345"/>
      <c r="BP1076" s="345"/>
      <c r="BQ1076" s="345"/>
      <c r="BR1076" s="345"/>
      <c r="BS1076" s="345"/>
      <c r="BT1076" s="345"/>
      <c r="BU1076" s="345"/>
      <c r="BV1076" s="345"/>
      <c r="BW1076" s="345"/>
      <c r="BX1076" s="345"/>
      <c r="BY1076" s="345"/>
      <c r="BZ1076" s="345"/>
      <c r="CA1076" s="345"/>
    </row>
    <row r="1077" spans="51:79" ht="15" customHeight="1" x14ac:dyDescent="0.2">
      <c r="AY1077" s="345"/>
      <c r="AZ1077" s="345"/>
      <c r="BA1077" s="345"/>
      <c r="BB1077" s="345"/>
      <c r="BC1077" s="345"/>
      <c r="BD1077" s="345"/>
      <c r="BE1077" s="345"/>
      <c r="BF1077" s="345"/>
      <c r="BG1077" s="345"/>
      <c r="BH1077" s="345"/>
      <c r="BI1077" s="345"/>
      <c r="BJ1077" s="345"/>
      <c r="BK1077" s="345"/>
      <c r="BL1077" s="345"/>
      <c r="BM1077" s="345"/>
      <c r="BN1077" s="345"/>
      <c r="BO1077" s="345"/>
      <c r="BP1077" s="345"/>
      <c r="BQ1077" s="345"/>
      <c r="BR1077" s="345"/>
      <c r="BS1077" s="345"/>
      <c r="BT1077" s="345"/>
      <c r="BU1077" s="345"/>
      <c r="BV1077" s="345"/>
      <c r="BW1077" s="345"/>
      <c r="BX1077" s="345"/>
      <c r="BY1077" s="345"/>
      <c r="BZ1077" s="345"/>
      <c r="CA1077" s="345"/>
    </row>
    <row r="1078" spans="51:79" ht="15" customHeight="1" x14ac:dyDescent="0.2">
      <c r="AY1078" s="345"/>
      <c r="AZ1078" s="345"/>
      <c r="BA1078" s="345"/>
      <c r="BB1078" s="345"/>
      <c r="BC1078" s="345"/>
      <c r="BD1078" s="345"/>
      <c r="BE1078" s="345"/>
      <c r="BF1078" s="345"/>
      <c r="BG1078" s="345"/>
      <c r="BH1078" s="345"/>
      <c r="BI1078" s="345"/>
      <c r="BJ1078" s="345"/>
      <c r="BK1078" s="345"/>
      <c r="BL1078" s="345"/>
      <c r="BM1078" s="345"/>
      <c r="BN1078" s="345"/>
      <c r="BO1078" s="345"/>
      <c r="BP1078" s="345"/>
      <c r="BQ1078" s="345"/>
      <c r="BR1078" s="345"/>
      <c r="BS1078" s="345"/>
      <c r="BT1078" s="345"/>
      <c r="BU1078" s="345"/>
      <c r="BV1078" s="345"/>
      <c r="BW1078" s="345"/>
      <c r="BX1078" s="345"/>
      <c r="BY1078" s="345"/>
      <c r="BZ1078" s="345"/>
      <c r="CA1078" s="345"/>
    </row>
    <row r="1079" spans="51:79" ht="15" customHeight="1" x14ac:dyDescent="0.2">
      <c r="AY1079" s="345"/>
      <c r="AZ1079" s="345"/>
      <c r="BA1079" s="345"/>
      <c r="BB1079" s="345"/>
      <c r="BC1079" s="345"/>
      <c r="BD1079" s="345"/>
      <c r="BE1079" s="345"/>
      <c r="BF1079" s="345"/>
      <c r="BG1079" s="345"/>
      <c r="BH1079" s="345"/>
      <c r="BI1079" s="345"/>
      <c r="BJ1079" s="345"/>
      <c r="BK1079" s="345"/>
      <c r="BL1079" s="345"/>
      <c r="BM1079" s="345"/>
      <c r="BN1079" s="345"/>
      <c r="BO1079" s="345"/>
      <c r="BP1079" s="345"/>
      <c r="BQ1079" s="345"/>
      <c r="BR1079" s="345"/>
      <c r="BS1079" s="345"/>
      <c r="BT1079" s="345"/>
      <c r="BU1079" s="345"/>
      <c r="BV1079" s="345"/>
      <c r="BW1079" s="345"/>
      <c r="BX1079" s="345"/>
      <c r="BY1079" s="345"/>
      <c r="BZ1079" s="345"/>
      <c r="CA1079" s="345"/>
    </row>
    <row r="1080" spans="51:79" ht="15" customHeight="1" x14ac:dyDescent="0.2">
      <c r="AY1080" s="345"/>
      <c r="AZ1080" s="345"/>
      <c r="BA1080" s="345"/>
      <c r="BB1080" s="345"/>
      <c r="BC1080" s="345"/>
      <c r="BD1080" s="345"/>
      <c r="BE1080" s="345"/>
      <c r="BF1080" s="345"/>
      <c r="BG1080" s="345"/>
      <c r="BH1080" s="345"/>
      <c r="BI1080" s="345"/>
      <c r="BJ1080" s="345"/>
      <c r="BK1080" s="345"/>
      <c r="BL1080" s="345"/>
      <c r="BM1080" s="345"/>
      <c r="BN1080" s="345"/>
      <c r="BO1080" s="345"/>
      <c r="BP1080" s="345"/>
      <c r="BQ1080" s="345"/>
      <c r="BR1080" s="345"/>
      <c r="BS1080" s="345"/>
      <c r="BT1080" s="345"/>
      <c r="BU1080" s="345"/>
      <c r="BV1080" s="345"/>
      <c r="BW1080" s="345"/>
      <c r="BX1080" s="345"/>
      <c r="BY1080" s="345"/>
      <c r="BZ1080" s="345"/>
      <c r="CA1080" s="345"/>
    </row>
    <row r="1081" spans="51:79" ht="15" customHeight="1" x14ac:dyDescent="0.2">
      <c r="AY1081" s="345"/>
      <c r="AZ1081" s="345"/>
      <c r="BA1081" s="345"/>
      <c r="BB1081" s="345"/>
      <c r="BC1081" s="345"/>
      <c r="BD1081" s="345"/>
      <c r="BE1081" s="345"/>
      <c r="BF1081" s="345"/>
      <c r="BG1081" s="345"/>
      <c r="BH1081" s="345"/>
      <c r="BI1081" s="345"/>
      <c r="BJ1081" s="345"/>
      <c r="BK1081" s="345"/>
      <c r="BL1081" s="345"/>
      <c r="BM1081" s="345"/>
      <c r="BN1081" s="345"/>
      <c r="BO1081" s="345"/>
      <c r="BP1081" s="345"/>
      <c r="BQ1081" s="345"/>
      <c r="BR1081" s="345"/>
      <c r="BS1081" s="345"/>
      <c r="BT1081" s="345"/>
      <c r="BU1081" s="345"/>
      <c r="BV1081" s="345"/>
      <c r="BW1081" s="345"/>
      <c r="BX1081" s="345"/>
      <c r="BY1081" s="345"/>
      <c r="BZ1081" s="345"/>
      <c r="CA1081" s="345"/>
    </row>
    <row r="1082" spans="51:79" ht="15" customHeight="1" x14ac:dyDescent="0.2">
      <c r="AY1082" s="345"/>
      <c r="AZ1082" s="345"/>
      <c r="BA1082" s="345"/>
      <c r="BB1082" s="345"/>
      <c r="BC1082" s="345"/>
      <c r="BD1082" s="345"/>
      <c r="BE1082" s="345"/>
      <c r="BF1082" s="345"/>
      <c r="BG1082" s="345"/>
      <c r="BH1082" s="345"/>
      <c r="BI1082" s="345"/>
      <c r="BJ1082" s="345"/>
      <c r="BK1082" s="345"/>
      <c r="BL1082" s="345"/>
      <c r="BM1082" s="345"/>
      <c r="BN1082" s="345"/>
      <c r="BO1082" s="345"/>
      <c r="BP1082" s="345"/>
      <c r="BQ1082" s="345"/>
      <c r="BR1082" s="345"/>
      <c r="BS1082" s="345"/>
      <c r="BT1082" s="345"/>
      <c r="BU1082" s="345"/>
      <c r="BV1082" s="345"/>
      <c r="BW1082" s="345"/>
      <c r="BX1082" s="345"/>
      <c r="BY1082" s="345"/>
      <c r="BZ1082" s="345"/>
      <c r="CA1082" s="345"/>
    </row>
    <row r="1083" spans="51:79" ht="15" customHeight="1" x14ac:dyDescent="0.2">
      <c r="AY1083" s="345"/>
      <c r="AZ1083" s="345"/>
      <c r="BA1083" s="345"/>
      <c r="BB1083" s="345"/>
      <c r="BC1083" s="345"/>
      <c r="BD1083" s="345"/>
      <c r="BE1083" s="345"/>
      <c r="BF1083" s="345"/>
      <c r="BG1083" s="345"/>
      <c r="BH1083" s="345"/>
      <c r="BI1083" s="345"/>
      <c r="BJ1083" s="345"/>
      <c r="BK1083" s="345"/>
      <c r="BL1083" s="345"/>
      <c r="BM1083" s="345"/>
      <c r="BN1083" s="345"/>
      <c r="BO1083" s="345"/>
      <c r="BP1083" s="345"/>
      <c r="BQ1083" s="345"/>
      <c r="BR1083" s="345"/>
      <c r="BS1083" s="345"/>
      <c r="BT1083" s="345"/>
      <c r="BU1083" s="345"/>
      <c r="BV1083" s="345"/>
      <c r="BW1083" s="345"/>
      <c r="BX1083" s="345"/>
      <c r="BY1083" s="345"/>
      <c r="BZ1083" s="345"/>
      <c r="CA1083" s="345"/>
    </row>
    <row r="1084" spans="51:79" ht="15" customHeight="1" x14ac:dyDescent="0.2">
      <c r="AY1084" s="345"/>
      <c r="AZ1084" s="345"/>
      <c r="BA1084" s="345"/>
      <c r="BB1084" s="345"/>
      <c r="BC1084" s="345"/>
      <c r="BD1084" s="345"/>
      <c r="BE1084" s="345"/>
      <c r="BF1084" s="345"/>
      <c r="BG1084" s="345"/>
      <c r="BH1084" s="345"/>
      <c r="BI1084" s="345"/>
      <c r="BJ1084" s="345"/>
      <c r="BK1084" s="345"/>
      <c r="BL1084" s="345"/>
      <c r="BM1084" s="345"/>
      <c r="BN1084" s="345"/>
      <c r="BO1084" s="345"/>
      <c r="BP1084" s="345"/>
      <c r="BQ1084" s="345"/>
      <c r="BR1084" s="345"/>
      <c r="BS1084" s="345"/>
      <c r="BT1084" s="345"/>
      <c r="BU1084" s="345"/>
      <c r="BV1084" s="345"/>
      <c r="BW1084" s="345"/>
      <c r="BX1084" s="345"/>
      <c r="BY1084" s="345"/>
      <c r="BZ1084" s="345"/>
      <c r="CA1084" s="345"/>
    </row>
    <row r="1085" spans="51:79" ht="15" customHeight="1" x14ac:dyDescent="0.2">
      <c r="AY1085" s="345"/>
      <c r="AZ1085" s="345"/>
      <c r="BA1085" s="345"/>
      <c r="BB1085" s="345"/>
      <c r="BC1085" s="345"/>
      <c r="BD1085" s="345"/>
      <c r="BE1085" s="345"/>
      <c r="BF1085" s="345"/>
      <c r="BG1085" s="345"/>
      <c r="BH1085" s="345"/>
      <c r="BI1085" s="345"/>
      <c r="BJ1085" s="345"/>
      <c r="BK1085" s="345"/>
      <c r="BL1085" s="345"/>
      <c r="BM1085" s="345"/>
      <c r="BN1085" s="345"/>
      <c r="BO1085" s="345"/>
      <c r="BP1085" s="345"/>
      <c r="BQ1085" s="345"/>
      <c r="BR1085" s="345"/>
      <c r="BS1085" s="345"/>
      <c r="BT1085" s="345"/>
      <c r="BU1085" s="345"/>
      <c r="BV1085" s="345"/>
      <c r="BW1085" s="345"/>
      <c r="BX1085" s="345"/>
      <c r="BY1085" s="345"/>
      <c r="BZ1085" s="345"/>
      <c r="CA1085" s="345"/>
    </row>
    <row r="1086" spans="51:79" ht="15" customHeight="1" x14ac:dyDescent="0.2">
      <c r="AY1086" s="345"/>
      <c r="AZ1086" s="345"/>
      <c r="BA1086" s="345"/>
      <c r="BB1086" s="345"/>
      <c r="BC1086" s="345"/>
      <c r="BD1086" s="345"/>
      <c r="BE1086" s="345"/>
      <c r="BF1086" s="345"/>
      <c r="BG1086" s="345"/>
      <c r="BH1086" s="345"/>
      <c r="BI1086" s="345"/>
      <c r="BJ1086" s="345"/>
      <c r="BK1086" s="345"/>
      <c r="BL1086" s="345"/>
      <c r="BM1086" s="345"/>
      <c r="BN1086" s="345"/>
      <c r="BO1086" s="345"/>
      <c r="BP1086" s="345"/>
      <c r="BQ1086" s="345"/>
      <c r="BR1086" s="345"/>
      <c r="BS1086" s="345"/>
      <c r="BT1086" s="345"/>
      <c r="BU1086" s="345"/>
      <c r="BV1086" s="345"/>
      <c r="BW1086" s="345"/>
      <c r="BX1086" s="345"/>
      <c r="BY1086" s="345"/>
      <c r="BZ1086" s="345"/>
      <c r="CA1086" s="345"/>
    </row>
    <row r="1087" spans="51:79" ht="15" customHeight="1" x14ac:dyDescent="0.2">
      <c r="AY1087" s="345"/>
      <c r="AZ1087" s="345"/>
      <c r="BA1087" s="345"/>
      <c r="BB1087" s="345"/>
      <c r="BC1087" s="345"/>
      <c r="BD1087" s="345"/>
      <c r="BE1087" s="345"/>
      <c r="BF1087" s="345"/>
      <c r="BG1087" s="345"/>
      <c r="BH1087" s="345"/>
      <c r="BI1087" s="345"/>
      <c r="BJ1087" s="345"/>
      <c r="BK1087" s="345"/>
      <c r="BL1087" s="345"/>
      <c r="BM1087" s="345"/>
      <c r="BN1087" s="345"/>
      <c r="BO1087" s="345"/>
      <c r="BP1087" s="345"/>
      <c r="BQ1087" s="345"/>
      <c r="BR1087" s="345"/>
      <c r="BS1087" s="345"/>
      <c r="BT1087" s="345"/>
      <c r="BU1087" s="345"/>
      <c r="BV1087" s="345"/>
      <c r="BW1087" s="345"/>
      <c r="BX1087" s="345"/>
      <c r="BY1087" s="345"/>
      <c r="BZ1087" s="345"/>
      <c r="CA1087" s="345"/>
    </row>
    <row r="1088" spans="51:79" ht="15" customHeight="1" x14ac:dyDescent="0.2">
      <c r="AY1088" s="345"/>
      <c r="AZ1088" s="345"/>
      <c r="BA1088" s="345"/>
      <c r="BB1088" s="345"/>
      <c r="BC1088" s="345"/>
      <c r="BD1088" s="345"/>
      <c r="BE1088" s="345"/>
      <c r="BF1088" s="345"/>
      <c r="BG1088" s="345"/>
      <c r="BH1088" s="345"/>
      <c r="BI1088" s="345"/>
      <c r="BJ1088" s="345"/>
      <c r="BK1088" s="345"/>
      <c r="BL1088" s="345"/>
      <c r="BM1088" s="345"/>
      <c r="BN1088" s="345"/>
      <c r="BO1088" s="345"/>
      <c r="BP1088" s="345"/>
      <c r="BQ1088" s="345"/>
      <c r="BR1088" s="345"/>
      <c r="BS1088" s="345"/>
      <c r="BT1088" s="345"/>
      <c r="BU1088" s="345"/>
      <c r="BV1088" s="345"/>
      <c r="BW1088" s="345"/>
      <c r="BX1088" s="345"/>
      <c r="BY1088" s="345"/>
      <c r="BZ1088" s="345"/>
      <c r="CA1088" s="345"/>
    </row>
    <row r="1089" spans="51:79" ht="15" customHeight="1" x14ac:dyDescent="0.2">
      <c r="AY1089" s="345"/>
      <c r="AZ1089" s="345"/>
      <c r="BA1089" s="345"/>
      <c r="BB1089" s="345"/>
      <c r="BC1089" s="345"/>
      <c r="BD1089" s="345"/>
      <c r="BE1089" s="345"/>
      <c r="BF1089" s="345"/>
      <c r="BG1089" s="345"/>
      <c r="BH1089" s="345"/>
      <c r="BI1089" s="345"/>
      <c r="BJ1089" s="345"/>
      <c r="BK1089" s="345"/>
      <c r="BL1089" s="345"/>
      <c r="BM1089" s="345"/>
      <c r="BN1089" s="345"/>
      <c r="BO1089" s="345"/>
      <c r="BP1089" s="345"/>
      <c r="BQ1089" s="345"/>
      <c r="BR1089" s="345"/>
      <c r="BS1089" s="345"/>
      <c r="BT1089" s="345"/>
      <c r="BU1089" s="345"/>
      <c r="BV1089" s="345"/>
      <c r="BW1089" s="345"/>
      <c r="BX1089" s="345"/>
      <c r="BY1089" s="345"/>
      <c r="BZ1089" s="345"/>
      <c r="CA1089" s="345"/>
    </row>
    <row r="1090" spans="51:79" ht="15" customHeight="1" x14ac:dyDescent="0.2">
      <c r="AY1090" s="345"/>
      <c r="AZ1090" s="345"/>
      <c r="BA1090" s="345"/>
      <c r="BB1090" s="345"/>
      <c r="BC1090" s="345"/>
      <c r="BD1090" s="345"/>
      <c r="BE1090" s="345"/>
      <c r="BF1090" s="345"/>
      <c r="BG1090" s="345"/>
      <c r="BH1090" s="345"/>
      <c r="BI1090" s="345"/>
      <c r="BJ1090" s="345"/>
      <c r="BK1090" s="345"/>
      <c r="BL1090" s="345"/>
      <c r="BM1090" s="345"/>
      <c r="BN1090" s="345"/>
      <c r="BO1090" s="345"/>
      <c r="BP1090" s="345"/>
      <c r="BQ1090" s="345"/>
      <c r="BR1090" s="345"/>
      <c r="BS1090" s="345"/>
      <c r="BT1090" s="345"/>
      <c r="BU1090" s="345"/>
      <c r="BV1090" s="345"/>
      <c r="BW1090" s="345"/>
      <c r="BX1090" s="345"/>
      <c r="BY1090" s="345"/>
      <c r="BZ1090" s="345"/>
      <c r="CA1090" s="345"/>
    </row>
    <row r="1091" spans="51:79" ht="15" customHeight="1" x14ac:dyDescent="0.2">
      <c r="AY1091" s="345"/>
      <c r="AZ1091" s="345"/>
      <c r="BA1091" s="345"/>
      <c r="BB1091" s="345"/>
      <c r="BC1091" s="345"/>
      <c r="BD1091" s="345"/>
      <c r="BE1091" s="345"/>
      <c r="BF1091" s="345"/>
      <c r="BG1091" s="345"/>
      <c r="BH1091" s="345"/>
      <c r="BI1091" s="345"/>
      <c r="BJ1091" s="345"/>
      <c r="BK1091" s="345"/>
      <c r="BL1091" s="345"/>
      <c r="BM1091" s="345"/>
      <c r="BN1091" s="345"/>
      <c r="BO1091" s="345"/>
      <c r="BP1091" s="345"/>
      <c r="BQ1091" s="345"/>
      <c r="BR1091" s="345"/>
      <c r="BS1091" s="345"/>
      <c r="BT1091" s="345"/>
      <c r="BU1091" s="345"/>
      <c r="BV1091" s="345"/>
      <c r="BW1091" s="345"/>
      <c r="BX1091" s="345"/>
      <c r="BY1091" s="345"/>
      <c r="BZ1091" s="345"/>
      <c r="CA1091" s="345"/>
    </row>
    <row r="1092" spans="51:79" ht="15" customHeight="1" x14ac:dyDescent="0.2">
      <c r="AY1092" s="345"/>
      <c r="AZ1092" s="345"/>
      <c r="BA1092" s="345"/>
      <c r="BB1092" s="345"/>
      <c r="BC1092" s="345"/>
      <c r="BD1092" s="345"/>
      <c r="BE1092" s="345"/>
      <c r="BF1092" s="345"/>
      <c r="BG1092" s="345"/>
      <c r="BH1092" s="345"/>
      <c r="BI1092" s="345"/>
      <c r="BJ1092" s="345"/>
      <c r="BK1092" s="345"/>
      <c r="BL1092" s="345"/>
      <c r="BM1092" s="345"/>
      <c r="BN1092" s="345"/>
      <c r="BO1092" s="345"/>
      <c r="BP1092" s="345"/>
      <c r="BQ1092" s="345"/>
      <c r="BR1092" s="345"/>
      <c r="BS1092" s="345"/>
      <c r="BT1092" s="345"/>
      <c r="BU1092" s="345"/>
      <c r="BV1092" s="345"/>
      <c r="BW1092" s="345"/>
      <c r="BX1092" s="345"/>
      <c r="BY1092" s="345"/>
      <c r="BZ1092" s="345"/>
      <c r="CA1092" s="345"/>
    </row>
    <row r="1093" spans="51:79" ht="15" customHeight="1" x14ac:dyDescent="0.2">
      <c r="AY1093" s="345"/>
      <c r="AZ1093" s="345"/>
      <c r="BA1093" s="345"/>
      <c r="BB1093" s="345"/>
      <c r="BC1093" s="345"/>
      <c r="BD1093" s="345"/>
      <c r="BE1093" s="345"/>
      <c r="BF1093" s="345"/>
      <c r="BG1093" s="345"/>
      <c r="BH1093" s="345"/>
      <c r="BI1093" s="345"/>
      <c r="BJ1093" s="345"/>
      <c r="BK1093" s="345"/>
      <c r="BL1093" s="345"/>
      <c r="BM1093" s="345"/>
      <c r="BN1093" s="345"/>
      <c r="BO1093" s="345"/>
      <c r="BP1093" s="345"/>
      <c r="BQ1093" s="345"/>
      <c r="BR1093" s="345"/>
      <c r="BS1093" s="345"/>
      <c r="BT1093" s="345"/>
      <c r="BU1093" s="345"/>
      <c r="BV1093" s="345"/>
      <c r="BW1093" s="345"/>
      <c r="BX1093" s="345"/>
      <c r="BY1093" s="345"/>
      <c r="BZ1093" s="345"/>
      <c r="CA1093" s="345"/>
    </row>
    <row r="1094" spans="51:79" ht="15" customHeight="1" x14ac:dyDescent="0.2">
      <c r="AY1094" s="345"/>
      <c r="AZ1094" s="345"/>
      <c r="BA1094" s="345"/>
      <c r="BB1094" s="345"/>
      <c r="BC1094" s="345"/>
      <c r="BD1094" s="345"/>
      <c r="BE1094" s="345"/>
      <c r="BF1094" s="345"/>
      <c r="BG1094" s="345"/>
      <c r="BH1094" s="345"/>
      <c r="BI1094" s="345"/>
      <c r="BJ1094" s="345"/>
      <c r="BK1094" s="345"/>
      <c r="BL1094" s="345"/>
      <c r="BM1094" s="345"/>
      <c r="BN1094" s="345"/>
      <c r="BO1094" s="345"/>
      <c r="BP1094" s="345"/>
      <c r="BQ1094" s="345"/>
      <c r="BR1094" s="345"/>
      <c r="BS1094" s="345"/>
      <c r="BT1094" s="345"/>
      <c r="BU1094" s="345"/>
      <c r="BV1094" s="345"/>
      <c r="BW1094" s="345"/>
      <c r="BX1094" s="345"/>
      <c r="BY1094" s="345"/>
      <c r="BZ1094" s="345"/>
      <c r="CA1094" s="345"/>
    </row>
    <row r="1095" spans="51:79" ht="15" customHeight="1" x14ac:dyDescent="0.2">
      <c r="AY1095" s="345"/>
      <c r="AZ1095" s="345"/>
      <c r="BA1095" s="345"/>
      <c r="BB1095" s="345"/>
      <c r="BC1095" s="345"/>
      <c r="BD1095" s="345"/>
      <c r="BE1095" s="345"/>
      <c r="BF1095" s="345"/>
      <c r="BG1095" s="345"/>
      <c r="BH1095" s="345"/>
      <c r="BI1095" s="345"/>
      <c r="BJ1095" s="345"/>
      <c r="BK1095" s="345"/>
      <c r="BL1095" s="345"/>
      <c r="BM1095" s="345"/>
      <c r="BN1095" s="345"/>
      <c r="BO1095" s="345"/>
      <c r="BP1095" s="345"/>
      <c r="BQ1095" s="345"/>
      <c r="BR1095" s="345"/>
      <c r="BS1095" s="345"/>
      <c r="BT1095" s="345"/>
      <c r="BU1095" s="345"/>
      <c r="BV1095" s="345"/>
      <c r="BW1095" s="345"/>
      <c r="BX1095" s="345"/>
      <c r="BY1095" s="345"/>
      <c r="BZ1095" s="345"/>
      <c r="CA1095" s="345"/>
    </row>
    <row r="1096" spans="51:79" ht="15" customHeight="1" x14ac:dyDescent="0.2">
      <c r="AY1096" s="345"/>
      <c r="AZ1096" s="345"/>
      <c r="BA1096" s="345"/>
      <c r="BB1096" s="345"/>
      <c r="BC1096" s="345"/>
      <c r="BD1096" s="345"/>
      <c r="BE1096" s="345"/>
      <c r="BF1096" s="345"/>
      <c r="BG1096" s="345"/>
      <c r="BH1096" s="345"/>
      <c r="BI1096" s="345"/>
      <c r="BJ1096" s="345"/>
      <c r="BK1096" s="345"/>
      <c r="BL1096" s="345"/>
      <c r="BM1096" s="345"/>
      <c r="BN1096" s="345"/>
      <c r="BO1096" s="345"/>
      <c r="BP1096" s="345"/>
      <c r="BQ1096" s="345"/>
      <c r="BR1096" s="345"/>
      <c r="BS1096" s="345"/>
      <c r="BT1096" s="345"/>
      <c r="BU1096" s="345"/>
      <c r="BV1096" s="345"/>
      <c r="BW1096" s="345"/>
      <c r="BX1096" s="345"/>
      <c r="BY1096" s="345"/>
      <c r="BZ1096" s="345"/>
      <c r="CA1096" s="345"/>
    </row>
    <row r="1097" spans="51:79" ht="15" customHeight="1" x14ac:dyDescent="0.2">
      <c r="AY1097" s="345"/>
      <c r="AZ1097" s="345"/>
      <c r="BA1097" s="345"/>
      <c r="BB1097" s="345"/>
      <c r="BC1097" s="345"/>
      <c r="BD1097" s="345"/>
      <c r="BE1097" s="345"/>
      <c r="BF1097" s="345"/>
      <c r="BG1097" s="345"/>
      <c r="BH1097" s="345"/>
      <c r="BI1097" s="345"/>
      <c r="BJ1097" s="345"/>
      <c r="BK1097" s="345"/>
      <c r="BL1097" s="345"/>
      <c r="BM1097" s="345"/>
      <c r="BN1097" s="345"/>
      <c r="BO1097" s="345"/>
      <c r="BP1097" s="345"/>
      <c r="BQ1097" s="345"/>
      <c r="BR1097" s="345"/>
      <c r="BS1097" s="345"/>
      <c r="BT1097" s="345"/>
      <c r="BU1097" s="345"/>
      <c r="BV1097" s="345"/>
      <c r="BW1097" s="345"/>
      <c r="BX1097" s="345"/>
      <c r="BY1097" s="345"/>
      <c r="BZ1097" s="345"/>
      <c r="CA1097" s="345"/>
    </row>
    <row r="1098" spans="51:79" ht="15" customHeight="1" x14ac:dyDescent="0.2">
      <c r="AY1098" s="345"/>
      <c r="AZ1098" s="345"/>
      <c r="BA1098" s="345"/>
      <c r="BB1098" s="345"/>
      <c r="BC1098" s="345"/>
      <c r="BD1098" s="345"/>
      <c r="BE1098" s="345"/>
      <c r="BF1098" s="345"/>
      <c r="BG1098" s="345"/>
      <c r="BH1098" s="345"/>
      <c r="BI1098" s="345"/>
      <c r="BJ1098" s="345"/>
      <c r="BK1098" s="345"/>
      <c r="BL1098" s="345"/>
      <c r="BM1098" s="345"/>
      <c r="BN1098" s="345"/>
      <c r="BO1098" s="345"/>
      <c r="BP1098" s="345"/>
      <c r="BQ1098" s="345"/>
      <c r="BR1098" s="345"/>
      <c r="BS1098" s="345"/>
      <c r="BT1098" s="345"/>
      <c r="BU1098" s="345"/>
      <c r="BV1098" s="345"/>
      <c r="BW1098" s="345"/>
      <c r="BX1098" s="345"/>
      <c r="BY1098" s="345"/>
      <c r="BZ1098" s="345"/>
      <c r="CA1098" s="345"/>
    </row>
    <row r="1099" spans="51:79" ht="15" customHeight="1" x14ac:dyDescent="0.2">
      <c r="AY1099" s="345"/>
      <c r="AZ1099" s="345"/>
      <c r="BA1099" s="345"/>
      <c r="BB1099" s="345"/>
      <c r="BC1099" s="345"/>
      <c r="BD1099" s="345"/>
      <c r="BE1099" s="345"/>
      <c r="BF1099" s="345"/>
      <c r="BG1099" s="345"/>
      <c r="BH1099" s="345"/>
      <c r="BI1099" s="345"/>
      <c r="BJ1099" s="345"/>
      <c r="BK1099" s="345"/>
      <c r="BL1099" s="345"/>
      <c r="BM1099" s="345"/>
      <c r="BN1099" s="345"/>
      <c r="BO1099" s="345"/>
      <c r="BP1099" s="345"/>
      <c r="BQ1099" s="345"/>
      <c r="BR1099" s="345"/>
      <c r="BS1099" s="345"/>
      <c r="BT1099" s="345"/>
      <c r="BU1099" s="345"/>
      <c r="BV1099" s="345"/>
      <c r="BW1099" s="345"/>
      <c r="BX1099" s="345"/>
      <c r="BY1099" s="345"/>
      <c r="BZ1099" s="345"/>
      <c r="CA1099" s="345"/>
    </row>
    <row r="1100" spans="51:79" ht="15" customHeight="1" x14ac:dyDescent="0.2">
      <c r="AY1100" s="345"/>
      <c r="AZ1100" s="345"/>
      <c r="BA1100" s="345"/>
      <c r="BB1100" s="345"/>
      <c r="BC1100" s="345"/>
      <c r="BD1100" s="345"/>
      <c r="BE1100" s="345"/>
      <c r="BF1100" s="345"/>
      <c r="BG1100" s="345"/>
      <c r="BH1100" s="345"/>
      <c r="BI1100" s="345"/>
      <c r="BJ1100" s="345"/>
      <c r="BK1100" s="345"/>
      <c r="BL1100" s="345"/>
      <c r="BM1100" s="345"/>
      <c r="BN1100" s="345"/>
      <c r="BO1100" s="345"/>
      <c r="BP1100" s="345"/>
      <c r="BQ1100" s="345"/>
      <c r="BR1100" s="345"/>
      <c r="BS1100" s="345"/>
      <c r="BT1100" s="345"/>
      <c r="BU1100" s="345"/>
      <c r="BV1100" s="345"/>
      <c r="BW1100" s="345"/>
      <c r="BX1100" s="345"/>
      <c r="BY1100" s="345"/>
      <c r="BZ1100" s="345"/>
      <c r="CA1100" s="345"/>
    </row>
    <row r="1101" spans="51:79" ht="15" customHeight="1" x14ac:dyDescent="0.2">
      <c r="AY1101" s="345"/>
      <c r="AZ1101" s="345"/>
      <c r="BA1101" s="345"/>
      <c r="BB1101" s="345"/>
      <c r="BC1101" s="345"/>
      <c r="BD1101" s="345"/>
      <c r="BE1101" s="345"/>
      <c r="BF1101" s="345"/>
      <c r="BG1101" s="345"/>
      <c r="BH1101" s="345"/>
      <c r="BI1101" s="345"/>
      <c r="BJ1101" s="345"/>
      <c r="BK1101" s="345"/>
      <c r="BL1101" s="345"/>
      <c r="BM1101" s="345"/>
      <c r="BN1101" s="345"/>
      <c r="BO1101" s="345"/>
      <c r="BP1101" s="345"/>
      <c r="BQ1101" s="345"/>
      <c r="BR1101" s="345"/>
      <c r="BS1101" s="345"/>
      <c r="BT1101" s="345"/>
      <c r="BU1101" s="345"/>
      <c r="BV1101" s="345"/>
      <c r="BW1101" s="345"/>
      <c r="BX1101" s="345"/>
      <c r="BY1101" s="345"/>
      <c r="BZ1101" s="345"/>
      <c r="CA1101" s="345"/>
    </row>
    <row r="1102" spans="51:79" ht="15" customHeight="1" x14ac:dyDescent="0.2">
      <c r="AY1102" s="345"/>
      <c r="AZ1102" s="345"/>
      <c r="BA1102" s="345"/>
      <c r="BB1102" s="345"/>
      <c r="BC1102" s="345"/>
      <c r="BD1102" s="345"/>
      <c r="BE1102" s="345"/>
      <c r="BF1102" s="345"/>
      <c r="BG1102" s="345"/>
      <c r="BH1102" s="345"/>
      <c r="BI1102" s="345"/>
      <c r="BJ1102" s="345"/>
      <c r="BK1102" s="345"/>
      <c r="BL1102" s="345"/>
      <c r="BM1102" s="345"/>
      <c r="BN1102" s="345"/>
      <c r="BO1102" s="345"/>
      <c r="BP1102" s="345"/>
      <c r="BQ1102" s="345"/>
      <c r="BR1102" s="345"/>
      <c r="BS1102" s="345"/>
      <c r="BT1102" s="345"/>
      <c r="BU1102" s="345"/>
      <c r="BV1102" s="345"/>
      <c r="BW1102" s="345"/>
      <c r="BX1102" s="345"/>
      <c r="BY1102" s="345"/>
      <c r="BZ1102" s="345"/>
      <c r="CA1102" s="345"/>
    </row>
    <row r="1103" spans="51:79" ht="15" customHeight="1" x14ac:dyDescent="0.2">
      <c r="AY1103" s="345"/>
      <c r="AZ1103" s="345"/>
      <c r="BA1103" s="345"/>
      <c r="BB1103" s="345"/>
      <c r="BC1103" s="345"/>
      <c r="BD1103" s="345"/>
      <c r="BE1103" s="345"/>
      <c r="BF1103" s="345"/>
      <c r="BG1103" s="345"/>
      <c r="BH1103" s="345"/>
      <c r="BI1103" s="345"/>
      <c r="BJ1103" s="345"/>
      <c r="BK1103" s="345"/>
      <c r="BL1103" s="345"/>
      <c r="BM1103" s="345"/>
      <c r="BN1103" s="345"/>
      <c r="BO1103" s="345"/>
      <c r="BP1103" s="345"/>
      <c r="BQ1103" s="345"/>
      <c r="BR1103" s="345"/>
      <c r="BS1103" s="345"/>
      <c r="BT1103" s="345"/>
      <c r="BU1103" s="345"/>
      <c r="BV1103" s="345"/>
      <c r="BW1103" s="345"/>
      <c r="BX1103" s="345"/>
      <c r="BY1103" s="345"/>
      <c r="BZ1103" s="345"/>
      <c r="CA1103" s="345"/>
    </row>
    <row r="1104" spans="51:79" ht="15" customHeight="1" x14ac:dyDescent="0.2">
      <c r="AY1104" s="345"/>
      <c r="AZ1104" s="345"/>
      <c r="BA1104" s="345"/>
      <c r="BB1104" s="345"/>
      <c r="BC1104" s="345"/>
      <c r="BD1104" s="345"/>
      <c r="BE1104" s="345"/>
      <c r="BF1104" s="345"/>
      <c r="BG1104" s="345"/>
      <c r="BH1104" s="345"/>
      <c r="BI1104" s="345"/>
      <c r="BJ1104" s="345"/>
      <c r="BK1104" s="345"/>
      <c r="BL1104" s="345"/>
      <c r="BM1104" s="345"/>
      <c r="BN1104" s="345"/>
      <c r="BO1104" s="345"/>
      <c r="BP1104" s="345"/>
      <c r="BQ1104" s="345"/>
      <c r="BR1104" s="345"/>
      <c r="BS1104" s="345"/>
      <c r="BT1104" s="345"/>
      <c r="BU1104" s="345"/>
      <c r="BV1104" s="345"/>
      <c r="BW1104" s="345"/>
      <c r="BX1104" s="345"/>
      <c r="BY1104" s="345"/>
      <c r="BZ1104" s="345"/>
      <c r="CA1104" s="345"/>
    </row>
    <row r="1105" spans="51:79" ht="15" customHeight="1" x14ac:dyDescent="0.2">
      <c r="AY1105" s="345"/>
      <c r="AZ1105" s="345"/>
      <c r="BA1105" s="345"/>
      <c r="BB1105" s="345"/>
      <c r="BC1105" s="345"/>
      <c r="BD1105" s="345"/>
      <c r="BE1105" s="345"/>
      <c r="BF1105" s="345"/>
      <c r="BG1105" s="345"/>
      <c r="BH1105" s="345"/>
      <c r="BI1105" s="345"/>
      <c r="BJ1105" s="345"/>
      <c r="BK1105" s="345"/>
      <c r="BL1105" s="345"/>
      <c r="BM1105" s="345"/>
      <c r="BN1105" s="345"/>
      <c r="BO1105" s="345"/>
      <c r="BP1105" s="345"/>
      <c r="BQ1105" s="345"/>
      <c r="BR1105" s="345"/>
      <c r="BS1105" s="345"/>
      <c r="BT1105" s="345"/>
      <c r="BU1105" s="345"/>
      <c r="BV1105" s="345"/>
      <c r="BW1105" s="345"/>
      <c r="BX1105" s="345"/>
      <c r="BY1105" s="345"/>
      <c r="BZ1105" s="345"/>
      <c r="CA1105" s="345"/>
    </row>
    <row r="1106" spans="51:79" ht="15" customHeight="1" x14ac:dyDescent="0.2">
      <c r="AY1106" s="345"/>
      <c r="AZ1106" s="345"/>
      <c r="BA1106" s="345"/>
      <c r="BB1106" s="345"/>
      <c r="BC1106" s="345"/>
      <c r="BD1106" s="345"/>
      <c r="BE1106" s="345"/>
      <c r="BF1106" s="345"/>
      <c r="BG1106" s="345"/>
      <c r="BH1106" s="345"/>
      <c r="BI1106" s="345"/>
      <c r="BJ1106" s="345"/>
      <c r="BK1106" s="345"/>
      <c r="BL1106" s="345"/>
      <c r="BM1106" s="345"/>
      <c r="BN1106" s="345"/>
      <c r="BO1106" s="345"/>
      <c r="BP1106" s="345"/>
      <c r="BQ1106" s="345"/>
      <c r="BR1106" s="345"/>
      <c r="BS1106" s="345"/>
      <c r="BT1106" s="345"/>
      <c r="BU1106" s="345"/>
      <c r="BV1106" s="345"/>
      <c r="BW1106" s="345"/>
      <c r="BX1106" s="345"/>
      <c r="BY1106" s="345"/>
      <c r="BZ1106" s="345"/>
      <c r="CA1106" s="345"/>
    </row>
    <row r="1107" spans="51:79" ht="15" customHeight="1" x14ac:dyDescent="0.2">
      <c r="AY1107" s="345"/>
      <c r="AZ1107" s="345"/>
      <c r="BA1107" s="345"/>
      <c r="BB1107" s="345"/>
      <c r="BC1107" s="345"/>
      <c r="BD1107" s="345"/>
      <c r="BE1107" s="345"/>
      <c r="BF1107" s="345"/>
      <c r="BG1107" s="345"/>
      <c r="BH1107" s="345"/>
      <c r="BI1107" s="345"/>
      <c r="BJ1107" s="345"/>
      <c r="BK1107" s="345"/>
      <c r="BL1107" s="345"/>
      <c r="BM1107" s="345"/>
      <c r="BN1107" s="345"/>
      <c r="BO1107" s="345"/>
      <c r="BP1107" s="345"/>
      <c r="BQ1107" s="345"/>
      <c r="BR1107" s="345"/>
      <c r="BS1107" s="345"/>
      <c r="BT1107" s="345"/>
      <c r="BU1107" s="345"/>
      <c r="BV1107" s="345"/>
      <c r="BW1107" s="345"/>
      <c r="BX1107" s="345"/>
      <c r="BY1107" s="345"/>
      <c r="BZ1107" s="345"/>
      <c r="CA1107" s="345"/>
    </row>
    <row r="1108" spans="51:79" ht="15" customHeight="1" x14ac:dyDescent="0.2">
      <c r="AY1108" s="345"/>
      <c r="AZ1108" s="345"/>
      <c r="BA1108" s="345"/>
      <c r="BB1108" s="345"/>
      <c r="BC1108" s="345"/>
      <c r="BD1108" s="345"/>
      <c r="BE1108" s="345"/>
      <c r="BF1108" s="345"/>
      <c r="BG1108" s="345"/>
      <c r="BH1108" s="345"/>
      <c r="BI1108" s="345"/>
      <c r="BJ1108" s="345"/>
      <c r="BK1108" s="345"/>
      <c r="BL1108" s="345"/>
      <c r="BM1108" s="345"/>
      <c r="BN1108" s="345"/>
      <c r="BO1108" s="345"/>
      <c r="BP1108" s="345"/>
      <c r="BQ1108" s="345"/>
      <c r="BR1108" s="345"/>
      <c r="BS1108" s="345"/>
      <c r="BT1108" s="345"/>
      <c r="BU1108" s="345"/>
      <c r="BV1108" s="345"/>
      <c r="BW1108" s="345"/>
      <c r="BX1108" s="345"/>
      <c r="BY1108" s="345"/>
      <c r="BZ1108" s="345"/>
      <c r="CA1108" s="345"/>
    </row>
    <row r="1109" spans="51:79" ht="15" customHeight="1" x14ac:dyDescent="0.2">
      <c r="AY1109" s="345"/>
      <c r="AZ1109" s="345"/>
      <c r="BA1109" s="345"/>
      <c r="BB1109" s="345"/>
      <c r="BC1109" s="345"/>
      <c r="BD1109" s="345"/>
      <c r="BE1109" s="345"/>
      <c r="BF1109" s="345"/>
      <c r="BG1109" s="345"/>
      <c r="BH1109" s="345"/>
      <c r="BI1109" s="345"/>
      <c r="BJ1109" s="345"/>
      <c r="BK1109" s="345"/>
      <c r="BL1109" s="345"/>
      <c r="BM1109" s="345"/>
      <c r="BN1109" s="345"/>
      <c r="BO1109" s="345"/>
      <c r="BP1109" s="345"/>
      <c r="BQ1109" s="345"/>
      <c r="BR1109" s="345"/>
      <c r="BS1109" s="345"/>
      <c r="BT1109" s="345"/>
      <c r="BU1109" s="345"/>
      <c r="BV1109" s="345"/>
      <c r="BW1109" s="345"/>
      <c r="BX1109" s="345"/>
      <c r="BY1109" s="345"/>
      <c r="BZ1109" s="345"/>
      <c r="CA1109" s="345"/>
    </row>
    <row r="1110" spans="51:79" ht="15" customHeight="1" x14ac:dyDescent="0.2">
      <c r="AY1110" s="345"/>
      <c r="AZ1110" s="345"/>
      <c r="BA1110" s="345"/>
      <c r="BB1110" s="345"/>
      <c r="BC1110" s="345"/>
      <c r="BD1110" s="345"/>
      <c r="BE1110" s="345"/>
      <c r="BF1110" s="345"/>
      <c r="BG1110" s="345"/>
      <c r="BH1110" s="345"/>
      <c r="BI1110" s="345"/>
      <c r="BJ1110" s="345"/>
      <c r="BK1110" s="345"/>
      <c r="BL1110" s="345"/>
      <c r="BM1110" s="345"/>
      <c r="BN1110" s="345"/>
      <c r="BO1110" s="345"/>
      <c r="BP1110" s="345"/>
      <c r="BQ1110" s="345"/>
      <c r="BR1110" s="345"/>
      <c r="BS1110" s="345"/>
      <c r="BT1110" s="345"/>
      <c r="BU1110" s="345"/>
      <c r="BV1110" s="345"/>
      <c r="BW1110" s="345"/>
      <c r="BX1110" s="345"/>
      <c r="BY1110" s="345"/>
      <c r="BZ1110" s="345"/>
      <c r="CA1110" s="345"/>
    </row>
    <row r="1111" spans="51:79" ht="15" customHeight="1" x14ac:dyDescent="0.2">
      <c r="AY1111" s="345"/>
      <c r="AZ1111" s="345"/>
      <c r="BA1111" s="345"/>
      <c r="BB1111" s="345"/>
      <c r="BC1111" s="345"/>
      <c r="BD1111" s="345"/>
      <c r="BE1111" s="345"/>
      <c r="BF1111" s="345"/>
      <c r="BG1111" s="345"/>
      <c r="BH1111" s="345"/>
      <c r="BI1111" s="345"/>
      <c r="BJ1111" s="345"/>
      <c r="BK1111" s="345"/>
      <c r="BL1111" s="345"/>
      <c r="BM1111" s="345"/>
      <c r="BN1111" s="345"/>
      <c r="BO1111" s="345"/>
      <c r="BP1111" s="345"/>
      <c r="BQ1111" s="345"/>
      <c r="BR1111" s="345"/>
      <c r="BS1111" s="345"/>
      <c r="BT1111" s="345"/>
      <c r="BU1111" s="345"/>
      <c r="BV1111" s="345"/>
      <c r="BW1111" s="345"/>
      <c r="BX1111" s="345"/>
      <c r="BY1111" s="345"/>
      <c r="BZ1111" s="345"/>
      <c r="CA1111" s="345"/>
    </row>
    <row r="1112" spans="51:79" ht="15" customHeight="1" x14ac:dyDescent="0.2">
      <c r="AY1112" s="345"/>
      <c r="AZ1112" s="345"/>
      <c r="BA1112" s="345"/>
      <c r="BB1112" s="345"/>
      <c r="BC1112" s="345"/>
      <c r="BD1112" s="345"/>
      <c r="BE1112" s="345"/>
      <c r="BF1112" s="345"/>
      <c r="BG1112" s="345"/>
      <c r="BH1112" s="345"/>
      <c r="BI1112" s="345"/>
      <c r="BJ1112" s="345"/>
      <c r="BK1112" s="345"/>
      <c r="BL1112" s="345"/>
      <c r="BM1112" s="345"/>
      <c r="BN1112" s="345"/>
      <c r="BO1112" s="345"/>
      <c r="BP1112" s="345"/>
      <c r="BQ1112" s="345"/>
      <c r="BR1112" s="345"/>
      <c r="BS1112" s="345"/>
      <c r="BT1112" s="345"/>
      <c r="BU1112" s="345"/>
      <c r="BV1112" s="345"/>
      <c r="BW1112" s="345"/>
      <c r="BX1112" s="345"/>
      <c r="BY1112" s="345"/>
      <c r="BZ1112" s="345"/>
      <c r="CA1112" s="345"/>
    </row>
    <row r="1113" spans="51:79" ht="15" customHeight="1" x14ac:dyDescent="0.2">
      <c r="AY1113" s="345"/>
      <c r="AZ1113" s="345"/>
      <c r="BA1113" s="345"/>
      <c r="BB1113" s="345"/>
      <c r="BC1113" s="345"/>
      <c r="BD1113" s="345"/>
      <c r="BE1113" s="345"/>
      <c r="BF1113" s="345"/>
      <c r="BG1113" s="345"/>
      <c r="BH1113" s="345"/>
      <c r="BI1113" s="345"/>
      <c r="BJ1113" s="345"/>
      <c r="BK1113" s="345"/>
      <c r="BL1113" s="345"/>
      <c r="BM1113" s="345"/>
      <c r="BN1113" s="345"/>
      <c r="BO1113" s="345"/>
      <c r="BP1113" s="345"/>
      <c r="BQ1113" s="345"/>
      <c r="BR1113" s="345"/>
      <c r="BS1113" s="345"/>
      <c r="BT1113" s="345"/>
      <c r="BU1113" s="345"/>
      <c r="BV1113" s="345"/>
      <c r="BW1113" s="345"/>
      <c r="BX1113" s="345"/>
      <c r="BY1113" s="345"/>
      <c r="BZ1113" s="345"/>
      <c r="CA1113" s="345"/>
    </row>
    <row r="1114" spans="51:79" ht="15" customHeight="1" x14ac:dyDescent="0.2">
      <c r="AY1114" s="345"/>
      <c r="AZ1114" s="345"/>
      <c r="BA1114" s="345"/>
      <c r="BB1114" s="345"/>
      <c r="BC1114" s="345"/>
      <c r="BD1114" s="345"/>
      <c r="BE1114" s="345"/>
      <c r="BF1114" s="345"/>
      <c r="BG1114" s="345"/>
      <c r="BH1114" s="345"/>
      <c r="BI1114" s="345"/>
      <c r="BJ1114" s="345"/>
      <c r="BK1114" s="345"/>
      <c r="BL1114" s="345"/>
      <c r="BM1114" s="345"/>
      <c r="BN1114" s="345"/>
      <c r="BO1114" s="345"/>
      <c r="BP1114" s="345"/>
      <c r="BQ1114" s="345"/>
      <c r="BR1114" s="345"/>
      <c r="BS1114" s="345"/>
      <c r="BT1114" s="345"/>
      <c r="BU1114" s="345"/>
      <c r="BV1114" s="345"/>
      <c r="BW1114" s="345"/>
      <c r="BX1114" s="345"/>
      <c r="BY1114" s="345"/>
      <c r="BZ1114" s="345"/>
      <c r="CA1114" s="345"/>
    </row>
    <row r="1115" spans="51:79" ht="15" customHeight="1" x14ac:dyDescent="0.2">
      <c r="AY1115" s="345"/>
      <c r="AZ1115" s="345"/>
      <c r="BA1115" s="345"/>
      <c r="BB1115" s="345"/>
      <c r="BC1115" s="345"/>
      <c r="BD1115" s="345"/>
      <c r="BE1115" s="345"/>
      <c r="BF1115" s="345"/>
      <c r="BG1115" s="345"/>
      <c r="BH1115" s="345"/>
      <c r="BI1115" s="345"/>
      <c r="BJ1115" s="345"/>
      <c r="BK1115" s="345"/>
      <c r="BL1115" s="345"/>
      <c r="BM1115" s="345"/>
      <c r="BN1115" s="345"/>
      <c r="BO1115" s="345"/>
      <c r="BP1115" s="345"/>
      <c r="BQ1115" s="345"/>
      <c r="BR1115" s="345"/>
      <c r="BS1115" s="345"/>
      <c r="BT1115" s="345"/>
      <c r="BU1115" s="345"/>
      <c r="BV1115" s="345"/>
      <c r="BW1115" s="345"/>
      <c r="BX1115" s="345"/>
      <c r="BY1115" s="345"/>
      <c r="BZ1115" s="345"/>
      <c r="CA1115" s="345"/>
    </row>
    <row r="1116" spans="51:79" ht="15" customHeight="1" x14ac:dyDescent="0.2">
      <c r="AY1116" s="345"/>
      <c r="AZ1116" s="345"/>
      <c r="BA1116" s="345"/>
      <c r="BB1116" s="345"/>
      <c r="BC1116" s="345"/>
      <c r="BD1116" s="345"/>
      <c r="BE1116" s="345"/>
      <c r="BF1116" s="345"/>
      <c r="BG1116" s="345"/>
      <c r="BH1116" s="345"/>
      <c r="BI1116" s="345"/>
      <c r="BJ1116" s="345"/>
      <c r="BK1116" s="345"/>
      <c r="BL1116" s="345"/>
      <c r="BM1116" s="345"/>
      <c r="BN1116" s="345"/>
      <c r="BO1116" s="345"/>
      <c r="BP1116" s="345"/>
      <c r="BQ1116" s="345"/>
      <c r="BR1116" s="345"/>
      <c r="BS1116" s="345"/>
      <c r="BT1116" s="345"/>
      <c r="BU1116" s="345"/>
      <c r="BV1116" s="345"/>
      <c r="BW1116" s="345"/>
      <c r="BX1116" s="345"/>
      <c r="BY1116" s="345"/>
      <c r="BZ1116" s="345"/>
      <c r="CA1116" s="345"/>
    </row>
    <row r="1117" spans="51:79" ht="15" customHeight="1" x14ac:dyDescent="0.2">
      <c r="AY1117" s="345"/>
      <c r="AZ1117" s="345"/>
      <c r="BA1117" s="345"/>
      <c r="BB1117" s="345"/>
      <c r="BC1117" s="345"/>
      <c r="BD1117" s="345"/>
      <c r="BE1117" s="345"/>
      <c r="BF1117" s="345"/>
      <c r="BG1117" s="345"/>
      <c r="BH1117" s="345"/>
      <c r="BI1117" s="345"/>
      <c r="BJ1117" s="345"/>
      <c r="BK1117" s="345"/>
      <c r="BL1117" s="345"/>
      <c r="BM1117" s="345"/>
      <c r="BN1117" s="345"/>
      <c r="BO1117" s="345"/>
      <c r="BP1117" s="345"/>
      <c r="BQ1117" s="345"/>
      <c r="BR1117" s="345"/>
      <c r="BS1117" s="345"/>
      <c r="BT1117" s="345"/>
      <c r="BU1117" s="345"/>
      <c r="BV1117" s="345"/>
      <c r="BW1117" s="345"/>
      <c r="BX1117" s="345"/>
      <c r="BY1117" s="345"/>
      <c r="BZ1117" s="345"/>
      <c r="CA1117" s="345"/>
    </row>
    <row r="1118" spans="51:79" ht="15" customHeight="1" x14ac:dyDescent="0.2">
      <c r="AY1118" s="345"/>
      <c r="AZ1118" s="345"/>
      <c r="BA1118" s="345"/>
      <c r="BB1118" s="345"/>
      <c r="BC1118" s="345"/>
      <c r="BD1118" s="345"/>
      <c r="BE1118" s="345"/>
      <c r="BF1118" s="345"/>
      <c r="BG1118" s="345"/>
      <c r="BH1118" s="345"/>
      <c r="BI1118" s="345"/>
      <c r="BJ1118" s="345"/>
      <c r="BK1118" s="345"/>
      <c r="BL1118" s="345"/>
      <c r="BM1118" s="345"/>
      <c r="BN1118" s="345"/>
      <c r="BO1118" s="345"/>
      <c r="BP1118" s="345"/>
      <c r="BQ1118" s="345"/>
      <c r="BR1118" s="345"/>
      <c r="BS1118" s="345"/>
      <c r="BT1118" s="345"/>
      <c r="BU1118" s="345"/>
      <c r="BV1118" s="345"/>
      <c r="BW1118" s="345"/>
      <c r="BX1118" s="345"/>
      <c r="BY1118" s="345"/>
      <c r="BZ1118" s="345"/>
      <c r="CA1118" s="345"/>
    </row>
    <row r="1119" spans="51:79" ht="15" customHeight="1" x14ac:dyDescent="0.2">
      <c r="AY1119" s="345"/>
      <c r="AZ1119" s="345"/>
      <c r="BA1119" s="345"/>
      <c r="BB1119" s="345"/>
      <c r="BC1119" s="345"/>
      <c r="BD1119" s="345"/>
      <c r="BE1119" s="345"/>
      <c r="BF1119" s="345"/>
      <c r="BG1119" s="345"/>
      <c r="BH1119" s="345"/>
      <c r="BI1119" s="345"/>
      <c r="BJ1119" s="345"/>
      <c r="BK1119" s="345"/>
      <c r="BL1119" s="345"/>
      <c r="BM1119" s="345"/>
      <c r="BN1119" s="345"/>
      <c r="BO1119" s="345"/>
      <c r="BP1119" s="345"/>
      <c r="BQ1119" s="345"/>
      <c r="BR1119" s="345"/>
      <c r="BS1119" s="345"/>
      <c r="BT1119" s="345"/>
      <c r="BU1119" s="345"/>
      <c r="BV1119" s="345"/>
      <c r="BW1119" s="345"/>
      <c r="BX1119" s="345"/>
      <c r="BY1119" s="345"/>
      <c r="BZ1119" s="345"/>
      <c r="CA1119" s="345"/>
    </row>
    <row r="1120" spans="51:79" ht="15" customHeight="1" x14ac:dyDescent="0.2">
      <c r="AY1120" s="345"/>
      <c r="AZ1120" s="345"/>
      <c r="BA1120" s="345"/>
      <c r="BB1120" s="345"/>
      <c r="BC1120" s="345"/>
      <c r="BD1120" s="345"/>
      <c r="BE1120" s="345"/>
      <c r="BF1120" s="345"/>
      <c r="BG1120" s="345"/>
      <c r="BH1120" s="345"/>
      <c r="BI1120" s="345"/>
      <c r="BJ1120" s="345"/>
      <c r="BK1120" s="345"/>
      <c r="BL1120" s="345"/>
      <c r="BM1120" s="345"/>
      <c r="BN1120" s="345"/>
      <c r="BO1120" s="345"/>
      <c r="BP1120" s="345"/>
      <c r="BQ1120" s="345"/>
      <c r="BR1120" s="345"/>
      <c r="BS1120" s="345"/>
      <c r="BT1120" s="345"/>
      <c r="BU1120" s="345"/>
      <c r="BV1120" s="345"/>
      <c r="BW1120" s="345"/>
      <c r="BX1120" s="345"/>
      <c r="BY1120" s="345"/>
      <c r="BZ1120" s="345"/>
      <c r="CA1120" s="345"/>
    </row>
    <row r="1121" spans="51:79" ht="15" customHeight="1" x14ac:dyDescent="0.2">
      <c r="AY1121" s="345"/>
      <c r="AZ1121" s="345"/>
      <c r="BA1121" s="345"/>
      <c r="BB1121" s="345"/>
      <c r="BC1121" s="345"/>
      <c r="BD1121" s="345"/>
      <c r="BE1121" s="345"/>
      <c r="BF1121" s="345"/>
      <c r="BG1121" s="345"/>
      <c r="BH1121" s="345"/>
      <c r="BI1121" s="345"/>
      <c r="BJ1121" s="345"/>
      <c r="BK1121" s="345"/>
      <c r="BL1121" s="345"/>
      <c r="BM1121" s="345"/>
      <c r="BN1121" s="345"/>
      <c r="BO1121" s="345"/>
      <c r="BP1121" s="345"/>
      <c r="BQ1121" s="345"/>
      <c r="BR1121" s="345"/>
      <c r="BS1121" s="345"/>
      <c r="BT1121" s="345"/>
      <c r="BU1121" s="345"/>
      <c r="BV1121" s="345"/>
      <c r="BW1121" s="345"/>
      <c r="BX1121" s="345"/>
      <c r="BY1121" s="345"/>
      <c r="BZ1121" s="345"/>
      <c r="CA1121" s="345"/>
    </row>
    <row r="1122" spans="51:79" ht="15" customHeight="1" x14ac:dyDescent="0.2">
      <c r="AY1122" s="345"/>
      <c r="AZ1122" s="345"/>
      <c r="BA1122" s="345"/>
      <c r="BB1122" s="345"/>
      <c r="BC1122" s="345"/>
      <c r="BD1122" s="345"/>
      <c r="BE1122" s="345"/>
      <c r="BF1122" s="345"/>
      <c r="BG1122" s="345"/>
      <c r="BH1122" s="345"/>
      <c r="BI1122" s="345"/>
      <c r="BJ1122" s="345"/>
      <c r="BK1122" s="345"/>
      <c r="BL1122" s="345"/>
      <c r="BM1122" s="345"/>
      <c r="BN1122" s="345"/>
      <c r="BO1122" s="345"/>
      <c r="BP1122" s="345"/>
      <c r="BQ1122" s="345"/>
      <c r="BR1122" s="345"/>
      <c r="BS1122" s="345"/>
      <c r="BT1122" s="345"/>
      <c r="BU1122" s="345"/>
      <c r="BV1122" s="345"/>
      <c r="BW1122" s="345"/>
      <c r="BX1122" s="345"/>
      <c r="BY1122" s="345"/>
      <c r="BZ1122" s="345"/>
      <c r="CA1122" s="345"/>
    </row>
    <row r="1123" spans="51:79" ht="15" customHeight="1" x14ac:dyDescent="0.2">
      <c r="AY1123" s="345"/>
      <c r="AZ1123" s="345"/>
      <c r="BA1123" s="345"/>
      <c r="BB1123" s="345"/>
      <c r="BC1123" s="345"/>
      <c r="BD1123" s="345"/>
      <c r="BE1123" s="345"/>
      <c r="BF1123" s="345"/>
      <c r="BG1123" s="345"/>
      <c r="BH1123" s="345"/>
      <c r="BI1123" s="345"/>
      <c r="BJ1123" s="345"/>
      <c r="BK1123" s="345"/>
      <c r="BL1123" s="345"/>
      <c r="BM1123" s="345"/>
      <c r="BN1123" s="345"/>
      <c r="BO1123" s="345"/>
      <c r="BP1123" s="345"/>
      <c r="BQ1123" s="345"/>
      <c r="BR1123" s="345"/>
      <c r="BS1123" s="345"/>
      <c r="BT1123" s="345"/>
      <c r="BU1123" s="345"/>
      <c r="BV1123" s="345"/>
      <c r="BW1123" s="345"/>
      <c r="BX1123" s="345"/>
      <c r="BY1123" s="345"/>
      <c r="BZ1123" s="345"/>
      <c r="CA1123" s="345"/>
    </row>
    <row r="1124" spans="51:79" ht="15" customHeight="1" x14ac:dyDescent="0.2">
      <c r="AY1124" s="345"/>
      <c r="AZ1124" s="345"/>
      <c r="BA1124" s="345"/>
      <c r="BB1124" s="345"/>
      <c r="BC1124" s="345"/>
      <c r="BD1124" s="345"/>
      <c r="BE1124" s="345"/>
      <c r="BF1124" s="345"/>
      <c r="BG1124" s="345"/>
      <c r="BH1124" s="345"/>
      <c r="BI1124" s="345"/>
      <c r="BJ1124" s="345"/>
      <c r="BK1124" s="345"/>
      <c r="BL1124" s="345"/>
      <c r="BM1124" s="345"/>
      <c r="BN1124" s="345"/>
      <c r="BO1124" s="345"/>
      <c r="BP1124" s="345"/>
      <c r="BQ1124" s="345"/>
      <c r="BR1124" s="345"/>
      <c r="BS1124" s="345"/>
      <c r="BT1124" s="345"/>
      <c r="BU1124" s="345"/>
      <c r="BV1124" s="345"/>
      <c r="BW1124" s="345"/>
      <c r="BX1124" s="345"/>
      <c r="BY1124" s="345"/>
      <c r="BZ1124" s="345"/>
      <c r="CA1124" s="345"/>
    </row>
    <row r="1125" spans="51:79" ht="15" customHeight="1" x14ac:dyDescent="0.2">
      <c r="AY1125" s="345"/>
      <c r="AZ1125" s="345"/>
      <c r="BA1125" s="345"/>
      <c r="BB1125" s="345"/>
      <c r="BC1125" s="345"/>
      <c r="BD1125" s="345"/>
      <c r="BE1125" s="345"/>
      <c r="BF1125" s="345"/>
      <c r="BG1125" s="345"/>
      <c r="BH1125" s="345"/>
      <c r="BI1125" s="345"/>
      <c r="BJ1125" s="345"/>
      <c r="BK1125" s="345"/>
      <c r="BL1125" s="345"/>
      <c r="BM1125" s="345"/>
      <c r="BN1125" s="345"/>
      <c r="BO1125" s="345"/>
      <c r="BP1125" s="345"/>
      <c r="BQ1125" s="345"/>
      <c r="BR1125" s="345"/>
      <c r="BS1125" s="345"/>
      <c r="BT1125" s="345"/>
      <c r="BU1125" s="345"/>
      <c r="BV1125" s="345"/>
      <c r="BW1125" s="345"/>
      <c r="BX1125" s="345"/>
      <c r="BY1125" s="345"/>
      <c r="BZ1125" s="345"/>
      <c r="CA1125" s="345"/>
    </row>
    <row r="1126" spans="51:79" ht="15" customHeight="1" x14ac:dyDescent="0.2">
      <c r="AY1126" s="345"/>
      <c r="AZ1126" s="345"/>
      <c r="BA1126" s="345"/>
      <c r="BB1126" s="345"/>
      <c r="BC1126" s="345"/>
      <c r="BD1126" s="345"/>
      <c r="BE1126" s="345"/>
      <c r="BF1126" s="345"/>
      <c r="BG1126" s="345"/>
      <c r="BH1126" s="345"/>
      <c r="BI1126" s="345"/>
      <c r="BJ1126" s="345"/>
      <c r="BK1126" s="345"/>
      <c r="BL1126" s="345"/>
      <c r="BM1126" s="345"/>
      <c r="BN1126" s="345"/>
      <c r="BO1126" s="345"/>
      <c r="BP1126" s="345"/>
      <c r="BQ1126" s="345"/>
      <c r="BR1126" s="345"/>
      <c r="BS1126" s="345"/>
      <c r="BT1126" s="345"/>
      <c r="BU1126" s="345"/>
      <c r="BV1126" s="345"/>
      <c r="BW1126" s="345"/>
      <c r="BX1126" s="345"/>
      <c r="BY1126" s="345"/>
      <c r="BZ1126" s="345"/>
      <c r="CA1126" s="345"/>
    </row>
    <row r="1127" spans="51:79" ht="15" customHeight="1" x14ac:dyDescent="0.2">
      <c r="AY1127" s="345"/>
      <c r="AZ1127" s="345"/>
      <c r="BA1127" s="345"/>
      <c r="BB1127" s="345"/>
      <c r="BC1127" s="345"/>
      <c r="BD1127" s="345"/>
      <c r="BE1127" s="345"/>
      <c r="BF1127" s="345"/>
      <c r="BG1127" s="345"/>
      <c r="BH1127" s="345"/>
      <c r="BI1127" s="345"/>
      <c r="BJ1127" s="345"/>
      <c r="BK1127" s="345"/>
      <c r="BL1127" s="345"/>
      <c r="BM1127" s="345"/>
      <c r="BN1127" s="345"/>
      <c r="BO1127" s="345"/>
      <c r="BP1127" s="345"/>
      <c r="BQ1127" s="345"/>
      <c r="BR1127" s="345"/>
      <c r="BS1127" s="345"/>
      <c r="BT1127" s="345"/>
      <c r="BU1127" s="345"/>
      <c r="BV1127" s="345"/>
      <c r="BW1127" s="345"/>
      <c r="BX1127" s="345"/>
      <c r="BY1127" s="345"/>
      <c r="BZ1127" s="345"/>
      <c r="CA1127" s="345"/>
    </row>
    <row r="1128" spans="51:79" ht="15" customHeight="1" x14ac:dyDescent="0.2">
      <c r="AY1128" s="345"/>
      <c r="AZ1128" s="345"/>
      <c r="BA1128" s="345"/>
      <c r="BB1128" s="345"/>
      <c r="BC1128" s="345"/>
      <c r="BD1128" s="345"/>
      <c r="BE1128" s="345"/>
      <c r="BF1128" s="345"/>
      <c r="BG1128" s="345"/>
      <c r="BH1128" s="345"/>
      <c r="BI1128" s="345"/>
      <c r="BJ1128" s="345"/>
      <c r="BK1128" s="345"/>
      <c r="BL1128" s="345"/>
      <c r="BM1128" s="345"/>
      <c r="BN1128" s="345"/>
      <c r="BO1128" s="345"/>
      <c r="BP1128" s="345"/>
      <c r="BQ1128" s="345"/>
      <c r="BR1128" s="345"/>
      <c r="BS1128" s="345"/>
      <c r="BT1128" s="345"/>
      <c r="BU1128" s="345"/>
      <c r="BV1128" s="345"/>
      <c r="BW1128" s="345"/>
      <c r="BX1128" s="345"/>
      <c r="BY1128" s="345"/>
      <c r="BZ1128" s="345"/>
      <c r="CA1128" s="345"/>
    </row>
    <row r="1129" spans="51:79" ht="15" customHeight="1" x14ac:dyDescent="0.2">
      <c r="AY1129" s="345"/>
      <c r="AZ1129" s="345"/>
      <c r="BA1129" s="345"/>
      <c r="BB1129" s="345"/>
      <c r="BC1129" s="345"/>
      <c r="BD1129" s="345"/>
      <c r="BE1129" s="345"/>
      <c r="BF1129" s="345"/>
      <c r="BG1129" s="345"/>
      <c r="BH1129" s="345"/>
      <c r="BI1129" s="345"/>
      <c r="BJ1129" s="345"/>
      <c r="BK1129" s="345"/>
      <c r="BL1129" s="345"/>
      <c r="BM1129" s="345"/>
      <c r="BN1129" s="345"/>
      <c r="BO1129" s="345"/>
      <c r="BP1129" s="345"/>
      <c r="BQ1129" s="345"/>
      <c r="BR1129" s="345"/>
      <c r="BS1129" s="345"/>
      <c r="BT1129" s="345"/>
      <c r="BU1129" s="345"/>
      <c r="BV1129" s="345"/>
      <c r="BW1129" s="345"/>
      <c r="BX1129" s="345"/>
      <c r="BY1129" s="345"/>
      <c r="BZ1129" s="345"/>
      <c r="CA1129" s="345"/>
    </row>
    <row r="1130" spans="51:79" ht="15" customHeight="1" x14ac:dyDescent="0.2">
      <c r="AY1130" s="345"/>
      <c r="AZ1130" s="345"/>
      <c r="BA1130" s="345"/>
      <c r="BB1130" s="345"/>
      <c r="BC1130" s="345"/>
      <c r="BD1130" s="345"/>
      <c r="BE1130" s="345"/>
      <c r="BF1130" s="345"/>
      <c r="BG1130" s="345"/>
      <c r="BH1130" s="345"/>
      <c r="BI1130" s="345"/>
      <c r="BJ1130" s="345"/>
      <c r="BK1130" s="345"/>
      <c r="BL1130" s="345"/>
      <c r="BM1130" s="345"/>
      <c r="BN1130" s="345"/>
      <c r="BO1130" s="345"/>
      <c r="BP1130" s="345"/>
      <c r="BQ1130" s="345"/>
      <c r="BR1130" s="345"/>
      <c r="BS1130" s="345"/>
      <c r="BT1130" s="345"/>
      <c r="BU1130" s="345"/>
      <c r="BV1130" s="345"/>
      <c r="BW1130" s="345"/>
      <c r="BX1130" s="345"/>
      <c r="BY1130" s="345"/>
      <c r="BZ1130" s="345"/>
      <c r="CA1130" s="345"/>
    </row>
    <row r="1131" spans="51:79" ht="15" customHeight="1" x14ac:dyDescent="0.2">
      <c r="AY1131" s="345"/>
      <c r="AZ1131" s="345"/>
      <c r="BA1131" s="345"/>
      <c r="BB1131" s="345"/>
      <c r="BC1131" s="345"/>
      <c r="BD1131" s="345"/>
      <c r="BE1131" s="345"/>
      <c r="BF1131" s="345"/>
      <c r="BG1131" s="345"/>
      <c r="BH1131" s="345"/>
      <c r="BI1131" s="345"/>
      <c r="BJ1131" s="345"/>
      <c r="BK1131" s="345"/>
      <c r="BL1131" s="345"/>
      <c r="BM1131" s="345"/>
      <c r="BN1131" s="345"/>
      <c r="BO1131" s="345"/>
      <c r="BP1131" s="345"/>
      <c r="BQ1131" s="345"/>
      <c r="BR1131" s="345"/>
      <c r="BS1131" s="345"/>
      <c r="BT1131" s="345"/>
      <c r="BU1131" s="345"/>
      <c r="BV1131" s="345"/>
      <c r="BW1131" s="345"/>
      <c r="BX1131" s="345"/>
      <c r="BY1131" s="345"/>
      <c r="BZ1131" s="345"/>
      <c r="CA1131" s="345"/>
    </row>
    <row r="1132" spans="51:79" ht="15" customHeight="1" x14ac:dyDescent="0.2">
      <c r="AY1132" s="345"/>
      <c r="AZ1132" s="345"/>
      <c r="BA1132" s="345"/>
      <c r="BB1132" s="345"/>
      <c r="BC1132" s="345"/>
      <c r="BD1132" s="345"/>
      <c r="BE1132" s="345"/>
      <c r="BF1132" s="345"/>
      <c r="BG1132" s="345"/>
      <c r="BH1132" s="345"/>
      <c r="BI1132" s="345"/>
      <c r="BJ1132" s="345"/>
      <c r="BK1132" s="345"/>
      <c r="BL1132" s="345"/>
      <c r="BM1132" s="345"/>
      <c r="BN1132" s="345"/>
      <c r="BO1132" s="345"/>
      <c r="BP1132" s="345"/>
      <c r="BQ1132" s="345"/>
      <c r="BR1132" s="345"/>
      <c r="BS1132" s="345"/>
      <c r="BT1132" s="345"/>
      <c r="BU1132" s="345"/>
      <c r="BV1132" s="345"/>
      <c r="BW1132" s="345"/>
      <c r="BX1132" s="345"/>
      <c r="BY1132" s="345"/>
      <c r="BZ1132" s="345"/>
      <c r="CA1132" s="345"/>
    </row>
    <row r="1133" spans="51:79" ht="15" customHeight="1" x14ac:dyDescent="0.2">
      <c r="AY1133" s="345"/>
      <c r="AZ1133" s="345"/>
      <c r="BA1133" s="345"/>
      <c r="BB1133" s="345"/>
      <c r="BC1133" s="345"/>
      <c r="BD1133" s="345"/>
      <c r="BE1133" s="345"/>
      <c r="BF1133" s="345"/>
      <c r="BG1133" s="345"/>
      <c r="BH1133" s="345"/>
      <c r="BI1133" s="345"/>
      <c r="BJ1133" s="345"/>
      <c r="BK1133" s="345"/>
      <c r="BL1133" s="345"/>
      <c r="BM1133" s="345"/>
      <c r="BN1133" s="345"/>
      <c r="BO1133" s="345"/>
      <c r="BP1133" s="345"/>
      <c r="BQ1133" s="345"/>
      <c r="BR1133" s="345"/>
      <c r="BS1133" s="345"/>
      <c r="BT1133" s="345"/>
      <c r="BU1133" s="345"/>
      <c r="BV1133" s="345"/>
      <c r="BW1133" s="345"/>
      <c r="BX1133" s="345"/>
      <c r="BY1133" s="345"/>
      <c r="BZ1133" s="345"/>
      <c r="CA1133" s="345"/>
    </row>
    <row r="1134" spans="51:79" ht="15" customHeight="1" x14ac:dyDescent="0.2">
      <c r="AY1134" s="345"/>
      <c r="AZ1134" s="345"/>
      <c r="BA1134" s="345"/>
      <c r="BB1134" s="345"/>
      <c r="BC1134" s="345"/>
      <c r="BD1134" s="345"/>
      <c r="BE1134" s="345"/>
      <c r="BF1134" s="345"/>
      <c r="BG1134" s="345"/>
      <c r="BH1134" s="345"/>
      <c r="BI1134" s="345"/>
      <c r="BJ1134" s="345"/>
      <c r="BK1134" s="345"/>
      <c r="BL1134" s="345"/>
      <c r="BM1134" s="345"/>
      <c r="BN1134" s="345"/>
      <c r="BO1134" s="345"/>
      <c r="BP1134" s="345"/>
      <c r="BQ1134" s="345"/>
      <c r="BR1134" s="345"/>
      <c r="BS1134" s="345"/>
      <c r="BT1134" s="345"/>
      <c r="BU1134" s="345"/>
      <c r="BV1134" s="345"/>
      <c r="BW1134" s="345"/>
      <c r="BX1134" s="345"/>
      <c r="BY1134" s="345"/>
      <c r="BZ1134" s="345"/>
      <c r="CA1134" s="345"/>
    </row>
    <row r="1135" spans="51:79" ht="15" customHeight="1" x14ac:dyDescent="0.2">
      <c r="AY1135" s="345"/>
      <c r="AZ1135" s="345"/>
      <c r="BA1135" s="345"/>
      <c r="BB1135" s="345"/>
      <c r="BC1135" s="345"/>
      <c r="BD1135" s="345"/>
      <c r="BE1135" s="345"/>
      <c r="BF1135" s="345"/>
      <c r="BG1135" s="345"/>
      <c r="BH1135" s="345"/>
      <c r="BI1135" s="345"/>
      <c r="BJ1135" s="345"/>
      <c r="BK1135" s="345"/>
      <c r="BL1135" s="345"/>
      <c r="BM1135" s="345"/>
      <c r="BN1135" s="345"/>
      <c r="BO1135" s="345"/>
      <c r="BP1135" s="345"/>
      <c r="BQ1135" s="345"/>
      <c r="BR1135" s="345"/>
      <c r="BS1135" s="345"/>
      <c r="BT1135" s="345"/>
      <c r="BU1135" s="345"/>
      <c r="BV1135" s="345"/>
      <c r="BW1135" s="345"/>
      <c r="BX1135" s="345"/>
      <c r="BY1135" s="345"/>
      <c r="BZ1135" s="345"/>
      <c r="CA1135" s="345"/>
    </row>
    <row r="1136" spans="51:79" ht="15" customHeight="1" x14ac:dyDescent="0.2">
      <c r="AY1136" s="345"/>
      <c r="AZ1136" s="345"/>
      <c r="BA1136" s="345"/>
      <c r="BB1136" s="345"/>
      <c r="BC1136" s="345"/>
      <c r="BD1136" s="345"/>
      <c r="BE1136" s="345"/>
      <c r="BF1136" s="345"/>
      <c r="BG1136" s="345"/>
      <c r="BH1136" s="345"/>
      <c r="BI1136" s="345"/>
      <c r="BJ1136" s="345"/>
      <c r="BK1136" s="345"/>
      <c r="BL1136" s="345"/>
      <c r="BM1136" s="345"/>
      <c r="BN1136" s="345"/>
      <c r="BO1136" s="345"/>
      <c r="BP1136" s="345"/>
      <c r="BQ1136" s="345"/>
      <c r="BR1136" s="345"/>
      <c r="BS1136" s="345"/>
      <c r="BT1136" s="345"/>
      <c r="BU1136" s="345"/>
      <c r="BV1136" s="345"/>
      <c r="BW1136" s="345"/>
      <c r="BX1136" s="345"/>
      <c r="BY1136" s="345"/>
      <c r="BZ1136" s="345"/>
      <c r="CA1136" s="345"/>
    </row>
    <row r="1137" spans="51:79" ht="15" customHeight="1" x14ac:dyDescent="0.2">
      <c r="AY1137" s="345"/>
      <c r="AZ1137" s="345"/>
      <c r="BA1137" s="345"/>
      <c r="BB1137" s="345"/>
      <c r="BC1137" s="345"/>
      <c r="BD1137" s="345"/>
      <c r="BE1137" s="345"/>
      <c r="BF1137" s="345"/>
      <c r="BG1137" s="345"/>
      <c r="BH1137" s="345"/>
      <c r="BI1137" s="345"/>
      <c r="BJ1137" s="345"/>
      <c r="BK1137" s="345"/>
      <c r="BL1137" s="345"/>
      <c r="BM1137" s="345"/>
      <c r="BN1137" s="345"/>
      <c r="BO1137" s="345"/>
      <c r="BP1137" s="345"/>
      <c r="BQ1137" s="345"/>
      <c r="BR1137" s="345"/>
      <c r="BS1137" s="345"/>
      <c r="BT1137" s="345"/>
      <c r="BU1137" s="345"/>
      <c r="BV1137" s="345"/>
      <c r="BW1137" s="345"/>
      <c r="BX1137" s="345"/>
      <c r="BY1137" s="345"/>
      <c r="BZ1137" s="345"/>
      <c r="CA1137" s="345"/>
    </row>
    <row r="1138" spans="51:79" ht="15" customHeight="1" x14ac:dyDescent="0.2">
      <c r="AY1138" s="345"/>
      <c r="AZ1138" s="345"/>
      <c r="BA1138" s="345"/>
      <c r="BB1138" s="345"/>
      <c r="BC1138" s="345"/>
      <c r="BD1138" s="345"/>
      <c r="BE1138" s="345"/>
      <c r="BF1138" s="345"/>
      <c r="BG1138" s="345"/>
      <c r="BH1138" s="345"/>
      <c r="BI1138" s="345"/>
      <c r="BJ1138" s="345"/>
      <c r="BK1138" s="345"/>
      <c r="BL1138" s="345"/>
      <c r="BM1138" s="345"/>
      <c r="BN1138" s="345"/>
      <c r="BO1138" s="345"/>
      <c r="BP1138" s="345"/>
      <c r="BQ1138" s="345"/>
      <c r="BR1138" s="345"/>
      <c r="BS1138" s="345"/>
      <c r="BT1138" s="345"/>
      <c r="BU1138" s="345"/>
      <c r="BV1138" s="345"/>
      <c r="BW1138" s="345"/>
      <c r="BX1138" s="345"/>
      <c r="BY1138" s="345"/>
      <c r="BZ1138" s="345"/>
      <c r="CA1138" s="345"/>
    </row>
    <row r="1139" spans="51:79" ht="15" customHeight="1" x14ac:dyDescent="0.2">
      <c r="AY1139" s="345"/>
      <c r="AZ1139" s="345"/>
      <c r="BA1139" s="345"/>
      <c r="BB1139" s="345"/>
      <c r="BC1139" s="345"/>
      <c r="BD1139" s="345"/>
      <c r="BE1139" s="345"/>
      <c r="BF1139" s="345"/>
      <c r="BG1139" s="345"/>
      <c r="BH1139" s="345"/>
      <c r="BI1139" s="345"/>
      <c r="BJ1139" s="345"/>
      <c r="BK1139" s="345"/>
      <c r="BL1139" s="345"/>
      <c r="BM1139" s="345"/>
      <c r="BN1139" s="345"/>
      <c r="BO1139" s="345"/>
      <c r="BP1139" s="345"/>
      <c r="BQ1139" s="345"/>
      <c r="BR1139" s="345"/>
      <c r="BS1139" s="345"/>
      <c r="BT1139" s="345"/>
      <c r="BU1139" s="345"/>
      <c r="BV1139" s="345"/>
      <c r="BW1139" s="345"/>
      <c r="BX1139" s="345"/>
      <c r="BY1139" s="345"/>
      <c r="BZ1139" s="345"/>
      <c r="CA1139" s="345"/>
    </row>
    <row r="1140" spans="51:79" ht="15" customHeight="1" x14ac:dyDescent="0.2">
      <c r="AY1140" s="345"/>
      <c r="AZ1140" s="345"/>
      <c r="BA1140" s="345"/>
      <c r="BB1140" s="345"/>
      <c r="BC1140" s="345"/>
      <c r="BD1140" s="345"/>
      <c r="BE1140" s="345"/>
      <c r="BF1140" s="345"/>
      <c r="BG1140" s="345"/>
      <c r="BH1140" s="345"/>
      <c r="BI1140" s="345"/>
      <c r="BJ1140" s="345"/>
      <c r="BK1140" s="345"/>
      <c r="BL1140" s="345"/>
      <c r="BM1140" s="345"/>
      <c r="BN1140" s="345"/>
      <c r="BO1140" s="345"/>
      <c r="BP1140" s="345"/>
      <c r="BQ1140" s="345"/>
      <c r="BR1140" s="345"/>
      <c r="BS1140" s="345"/>
      <c r="BT1140" s="345"/>
      <c r="BU1140" s="345"/>
      <c r="BV1140" s="345"/>
      <c r="BW1140" s="345"/>
      <c r="BX1140" s="345"/>
      <c r="BY1140" s="345"/>
      <c r="BZ1140" s="345"/>
      <c r="CA1140" s="345"/>
    </row>
    <row r="1141" spans="51:79" ht="15" customHeight="1" x14ac:dyDescent="0.2">
      <c r="AY1141" s="345"/>
      <c r="AZ1141" s="345"/>
      <c r="BA1141" s="345"/>
      <c r="BB1141" s="345"/>
      <c r="BC1141" s="345"/>
      <c r="BD1141" s="345"/>
      <c r="BE1141" s="345"/>
      <c r="BF1141" s="345"/>
      <c r="BG1141" s="345"/>
      <c r="BH1141" s="345"/>
      <c r="BI1141" s="345"/>
      <c r="BJ1141" s="345"/>
      <c r="BK1141" s="345"/>
      <c r="BL1141" s="345"/>
      <c r="BM1141" s="345"/>
      <c r="BN1141" s="345"/>
      <c r="BO1141" s="345"/>
      <c r="BP1141" s="345"/>
      <c r="BQ1141" s="345"/>
      <c r="BR1141" s="345"/>
      <c r="BS1141" s="345"/>
      <c r="BT1141" s="345"/>
      <c r="BU1141" s="345"/>
      <c r="BV1141" s="345"/>
      <c r="BW1141" s="345"/>
      <c r="BX1141" s="345"/>
      <c r="BY1141" s="345"/>
      <c r="BZ1141" s="345"/>
      <c r="CA1141" s="345"/>
    </row>
    <row r="1142" spans="51:79" ht="15" customHeight="1" x14ac:dyDescent="0.2">
      <c r="AY1142" s="345"/>
      <c r="AZ1142" s="345"/>
      <c r="BA1142" s="345"/>
      <c r="BB1142" s="345"/>
      <c r="BC1142" s="345"/>
      <c r="BD1142" s="345"/>
      <c r="BE1142" s="345"/>
      <c r="BF1142" s="345"/>
      <c r="BG1142" s="345"/>
      <c r="BH1142" s="345"/>
      <c r="BI1142" s="345"/>
      <c r="BJ1142" s="345"/>
      <c r="BK1142" s="345"/>
      <c r="BL1142" s="345"/>
      <c r="BM1142" s="345"/>
      <c r="BN1142" s="345"/>
      <c r="BO1142" s="345"/>
      <c r="BP1142" s="345"/>
      <c r="BQ1142" s="345"/>
      <c r="BR1142" s="345"/>
      <c r="BS1142" s="345"/>
      <c r="BT1142" s="345"/>
      <c r="BU1142" s="345"/>
      <c r="BV1142" s="345"/>
      <c r="BW1142" s="345"/>
      <c r="BX1142" s="345"/>
      <c r="BY1142" s="345"/>
      <c r="BZ1142" s="345"/>
      <c r="CA1142" s="345"/>
    </row>
    <row r="1143" spans="51:79" ht="15" customHeight="1" x14ac:dyDescent="0.2">
      <c r="AY1143" s="345"/>
      <c r="AZ1143" s="345"/>
      <c r="BA1143" s="345"/>
      <c r="BB1143" s="345"/>
      <c r="BC1143" s="345"/>
      <c r="BD1143" s="345"/>
      <c r="BE1143" s="345"/>
      <c r="BF1143" s="345"/>
      <c r="BG1143" s="345"/>
      <c r="BH1143" s="345"/>
      <c r="BI1143" s="345"/>
      <c r="BJ1143" s="345"/>
      <c r="BK1143" s="345"/>
      <c r="BL1143" s="345"/>
      <c r="BM1143" s="345"/>
      <c r="BN1143" s="345"/>
      <c r="BO1143" s="345"/>
      <c r="BP1143" s="345"/>
      <c r="BQ1143" s="345"/>
      <c r="BR1143" s="345"/>
      <c r="BS1143" s="345"/>
      <c r="BT1143" s="345"/>
      <c r="BU1143" s="345"/>
      <c r="BV1143" s="345"/>
      <c r="BW1143" s="345"/>
      <c r="BX1143" s="345"/>
      <c r="BY1143" s="345"/>
      <c r="BZ1143" s="345"/>
      <c r="CA1143" s="345"/>
    </row>
    <row r="1144" spans="51:79" ht="15" customHeight="1" x14ac:dyDescent="0.2">
      <c r="AY1144" s="345"/>
      <c r="AZ1144" s="345"/>
      <c r="BA1144" s="345"/>
      <c r="BB1144" s="345"/>
      <c r="BC1144" s="345"/>
      <c r="BD1144" s="345"/>
      <c r="BE1144" s="345"/>
      <c r="BF1144" s="345"/>
      <c r="BG1144" s="345"/>
      <c r="BH1144" s="345"/>
      <c r="BI1144" s="345"/>
      <c r="BJ1144" s="345"/>
      <c r="BK1144" s="345"/>
      <c r="BL1144" s="345"/>
      <c r="BM1144" s="345"/>
      <c r="BN1144" s="345"/>
      <c r="BO1144" s="345"/>
      <c r="BP1144" s="345"/>
      <c r="BQ1144" s="345"/>
      <c r="BR1144" s="345"/>
      <c r="BS1144" s="345"/>
      <c r="BT1144" s="345"/>
      <c r="BU1144" s="345"/>
      <c r="BV1144" s="345"/>
      <c r="BW1144" s="345"/>
      <c r="BX1144" s="345"/>
      <c r="BY1144" s="345"/>
      <c r="BZ1144" s="345"/>
      <c r="CA1144" s="345"/>
    </row>
    <row r="1145" spans="51:79" ht="15" customHeight="1" x14ac:dyDescent="0.2">
      <c r="AY1145" s="345"/>
      <c r="AZ1145" s="345"/>
      <c r="BA1145" s="345"/>
      <c r="BB1145" s="345"/>
      <c r="BC1145" s="345"/>
      <c r="BD1145" s="345"/>
      <c r="BE1145" s="345"/>
      <c r="BF1145" s="345"/>
      <c r="BG1145" s="345"/>
      <c r="BH1145" s="345"/>
      <c r="BI1145" s="345"/>
      <c r="BJ1145" s="345"/>
      <c r="BK1145" s="345"/>
      <c r="BL1145" s="345"/>
      <c r="BM1145" s="345"/>
      <c r="BN1145" s="345"/>
      <c r="BO1145" s="345"/>
      <c r="BP1145" s="345"/>
      <c r="BQ1145" s="345"/>
      <c r="BR1145" s="345"/>
      <c r="BS1145" s="345"/>
      <c r="BT1145" s="345"/>
      <c r="BU1145" s="345"/>
      <c r="BV1145" s="345"/>
      <c r="BW1145" s="345"/>
      <c r="BX1145" s="345"/>
      <c r="BY1145" s="345"/>
      <c r="BZ1145" s="345"/>
      <c r="CA1145" s="345"/>
    </row>
    <row r="1146" spans="51:79" ht="15" customHeight="1" x14ac:dyDescent="0.2">
      <c r="AY1146" s="345"/>
      <c r="AZ1146" s="345"/>
      <c r="BA1146" s="345"/>
      <c r="BB1146" s="345"/>
      <c r="BC1146" s="345"/>
      <c r="BD1146" s="345"/>
      <c r="BE1146" s="345"/>
      <c r="BF1146" s="345"/>
      <c r="BG1146" s="345"/>
      <c r="BH1146" s="345"/>
      <c r="BI1146" s="345"/>
      <c r="BJ1146" s="345"/>
      <c r="BK1146" s="345"/>
      <c r="BL1146" s="345"/>
      <c r="BM1146" s="345"/>
      <c r="BN1146" s="345"/>
      <c r="BO1146" s="345"/>
      <c r="BP1146" s="345"/>
      <c r="BQ1146" s="345"/>
      <c r="BR1146" s="345"/>
      <c r="BS1146" s="345"/>
      <c r="BT1146" s="345"/>
      <c r="BU1146" s="345"/>
      <c r="BV1146" s="345"/>
      <c r="BW1146" s="345"/>
      <c r="BX1146" s="345"/>
      <c r="BY1146" s="345"/>
      <c r="BZ1146" s="345"/>
      <c r="CA1146" s="345"/>
    </row>
    <row r="1147" spans="51:79" ht="15" customHeight="1" x14ac:dyDescent="0.2">
      <c r="AY1147" s="345"/>
      <c r="AZ1147" s="345"/>
      <c r="BA1147" s="345"/>
      <c r="BB1147" s="345"/>
      <c r="BC1147" s="345"/>
      <c r="BD1147" s="345"/>
      <c r="BE1147" s="345"/>
      <c r="BF1147" s="345"/>
      <c r="BG1147" s="345"/>
      <c r="BH1147" s="345"/>
      <c r="BI1147" s="345"/>
      <c r="BJ1147" s="345"/>
      <c r="BK1147" s="345"/>
      <c r="BL1147" s="345"/>
      <c r="BM1147" s="345"/>
      <c r="BN1147" s="345"/>
      <c r="BO1147" s="345"/>
      <c r="BP1147" s="345"/>
      <c r="BQ1147" s="345"/>
      <c r="BR1147" s="345"/>
      <c r="BS1147" s="345"/>
      <c r="BT1147" s="345"/>
      <c r="BU1147" s="345"/>
      <c r="BV1147" s="345"/>
      <c r="BW1147" s="345"/>
      <c r="BX1147" s="345"/>
      <c r="BY1147" s="345"/>
      <c r="BZ1147" s="345"/>
      <c r="CA1147" s="345"/>
    </row>
    <row r="1148" spans="51:79" ht="15" customHeight="1" x14ac:dyDescent="0.2">
      <c r="AY1148" s="345"/>
      <c r="AZ1148" s="345"/>
      <c r="BA1148" s="345"/>
      <c r="BB1148" s="345"/>
      <c r="BC1148" s="345"/>
      <c r="BD1148" s="345"/>
      <c r="BE1148" s="345"/>
      <c r="BF1148" s="345"/>
      <c r="BG1148" s="345"/>
      <c r="BH1148" s="345"/>
      <c r="BI1148" s="345"/>
      <c r="BJ1148" s="345"/>
      <c r="BK1148" s="345"/>
      <c r="BL1148" s="345"/>
      <c r="BM1148" s="345"/>
      <c r="BN1148" s="345"/>
      <c r="BO1148" s="345"/>
      <c r="BP1148" s="345"/>
      <c r="BQ1148" s="345"/>
      <c r="BR1148" s="345"/>
      <c r="BS1148" s="345"/>
      <c r="BT1148" s="345"/>
      <c r="BU1148" s="345"/>
      <c r="BV1148" s="345"/>
      <c r="BW1148" s="345"/>
      <c r="BX1148" s="345"/>
      <c r="BY1148" s="345"/>
      <c r="BZ1148" s="345"/>
      <c r="CA1148" s="345"/>
    </row>
    <row r="1149" spans="51:79" ht="15" customHeight="1" x14ac:dyDescent="0.2">
      <c r="AY1149" s="345"/>
      <c r="AZ1149" s="345"/>
      <c r="BA1149" s="345"/>
      <c r="BB1149" s="345"/>
      <c r="BC1149" s="345"/>
      <c r="BD1149" s="345"/>
      <c r="BE1149" s="345"/>
      <c r="BF1149" s="345"/>
      <c r="BG1149" s="345"/>
      <c r="BH1149" s="345"/>
      <c r="BI1149" s="345"/>
      <c r="BJ1149" s="345"/>
      <c r="BK1149" s="345"/>
      <c r="BL1149" s="345"/>
      <c r="BM1149" s="345"/>
      <c r="BN1149" s="345"/>
      <c r="BO1149" s="345"/>
      <c r="BP1149" s="345"/>
      <c r="BQ1149" s="345"/>
      <c r="BR1149" s="345"/>
      <c r="BS1149" s="345"/>
      <c r="BT1149" s="345"/>
      <c r="BU1149" s="345"/>
      <c r="BV1149" s="345"/>
      <c r="BW1149" s="345"/>
      <c r="BX1149" s="345"/>
      <c r="BY1149" s="345"/>
      <c r="BZ1149" s="345"/>
      <c r="CA1149" s="345"/>
    </row>
    <row r="1150" spans="51:79" ht="15" customHeight="1" x14ac:dyDescent="0.2">
      <c r="AY1150" s="345"/>
      <c r="AZ1150" s="345"/>
      <c r="BA1150" s="345"/>
      <c r="BB1150" s="345"/>
      <c r="BC1150" s="345"/>
      <c r="BD1150" s="345"/>
      <c r="BE1150" s="345"/>
      <c r="BF1150" s="345"/>
      <c r="BG1150" s="345"/>
      <c r="BH1150" s="345"/>
      <c r="BI1150" s="345"/>
      <c r="BJ1150" s="345"/>
      <c r="BK1150" s="345"/>
      <c r="BL1150" s="345"/>
      <c r="BM1150" s="345"/>
      <c r="BN1150" s="345"/>
      <c r="BO1150" s="345"/>
      <c r="BP1150" s="345"/>
      <c r="BQ1150" s="345"/>
      <c r="BR1150" s="345"/>
      <c r="BS1150" s="345"/>
      <c r="BT1150" s="345"/>
      <c r="BU1150" s="345"/>
      <c r="BV1150" s="345"/>
      <c r="BW1150" s="345"/>
      <c r="BX1150" s="345"/>
      <c r="BY1150" s="345"/>
      <c r="BZ1150" s="345"/>
      <c r="CA1150" s="345"/>
    </row>
    <row r="1151" spans="51:79" ht="15" customHeight="1" x14ac:dyDescent="0.2">
      <c r="AY1151" s="345"/>
      <c r="AZ1151" s="345"/>
      <c r="BA1151" s="345"/>
      <c r="BB1151" s="345"/>
      <c r="BC1151" s="345"/>
      <c r="BD1151" s="345"/>
      <c r="BE1151" s="345"/>
      <c r="BF1151" s="345"/>
      <c r="BG1151" s="345"/>
      <c r="BH1151" s="345"/>
      <c r="BI1151" s="345"/>
      <c r="BJ1151" s="345"/>
      <c r="BK1151" s="345"/>
      <c r="BL1151" s="345"/>
      <c r="BM1151" s="345"/>
      <c r="BN1151" s="345"/>
      <c r="BO1151" s="345"/>
      <c r="BP1151" s="345"/>
      <c r="BQ1151" s="345"/>
      <c r="BR1151" s="345"/>
      <c r="BS1151" s="345"/>
      <c r="BT1151" s="345"/>
      <c r="BU1151" s="345"/>
      <c r="BV1151" s="345"/>
      <c r="BW1151" s="345"/>
      <c r="BX1151" s="345"/>
      <c r="BY1151" s="345"/>
      <c r="BZ1151" s="345"/>
      <c r="CA1151" s="345"/>
    </row>
    <row r="1152" spans="51:79" ht="15" customHeight="1" x14ac:dyDescent="0.2">
      <c r="AY1152" s="345"/>
      <c r="AZ1152" s="345"/>
      <c r="BA1152" s="345"/>
      <c r="BB1152" s="345"/>
      <c r="BC1152" s="345"/>
      <c r="BD1152" s="345"/>
      <c r="BE1152" s="345"/>
      <c r="BF1152" s="345"/>
      <c r="BG1152" s="345"/>
      <c r="BH1152" s="345"/>
      <c r="BI1152" s="345"/>
      <c r="BJ1152" s="345"/>
      <c r="BK1152" s="345"/>
      <c r="BL1152" s="345"/>
      <c r="BM1152" s="345"/>
      <c r="BN1152" s="345"/>
      <c r="BO1152" s="345"/>
      <c r="BP1152" s="345"/>
      <c r="BQ1152" s="345"/>
      <c r="BR1152" s="345"/>
      <c r="BS1152" s="345"/>
      <c r="BT1152" s="345"/>
      <c r="BU1152" s="345"/>
      <c r="BV1152" s="345"/>
      <c r="BW1152" s="345"/>
      <c r="BX1152" s="345"/>
      <c r="BY1152" s="345"/>
      <c r="BZ1152" s="345"/>
      <c r="CA1152" s="345"/>
    </row>
    <row r="1153" spans="51:79" ht="15" customHeight="1" x14ac:dyDescent="0.2">
      <c r="AY1153" s="345"/>
      <c r="AZ1153" s="345"/>
      <c r="BA1153" s="345"/>
      <c r="BB1153" s="345"/>
      <c r="BC1153" s="345"/>
      <c r="BD1153" s="345"/>
      <c r="BE1153" s="345"/>
      <c r="BF1153" s="345"/>
      <c r="BG1153" s="345"/>
      <c r="BH1153" s="345"/>
      <c r="BI1153" s="345"/>
      <c r="BJ1153" s="345"/>
      <c r="BK1153" s="345"/>
      <c r="BL1153" s="345"/>
      <c r="BM1153" s="345"/>
      <c r="BN1153" s="345"/>
      <c r="BO1153" s="345"/>
      <c r="BP1153" s="345"/>
      <c r="BQ1153" s="345"/>
      <c r="BR1153" s="345"/>
      <c r="BS1153" s="345"/>
      <c r="BT1153" s="345"/>
      <c r="BU1153" s="345"/>
      <c r="BV1153" s="345"/>
      <c r="BW1153" s="345"/>
      <c r="BX1153" s="345"/>
      <c r="BY1153" s="345"/>
      <c r="BZ1153" s="345"/>
      <c r="CA1153" s="345"/>
    </row>
    <row r="1154" spans="51:79" ht="15" customHeight="1" x14ac:dyDescent="0.2">
      <c r="AY1154" s="345"/>
      <c r="AZ1154" s="345"/>
      <c r="BA1154" s="345"/>
      <c r="BB1154" s="345"/>
      <c r="BC1154" s="345"/>
      <c r="BD1154" s="345"/>
      <c r="BE1154" s="345"/>
      <c r="BF1154" s="345"/>
      <c r="BG1154" s="345"/>
      <c r="BH1154" s="345"/>
      <c r="BI1154" s="345"/>
      <c r="BJ1154" s="345"/>
      <c r="BK1154" s="345"/>
      <c r="BL1154" s="345"/>
      <c r="BM1154" s="345"/>
      <c r="BN1154" s="345"/>
      <c r="BO1154" s="345"/>
      <c r="BP1154" s="345"/>
      <c r="BQ1154" s="345"/>
      <c r="BR1154" s="345"/>
      <c r="BS1154" s="345"/>
      <c r="BT1154" s="345"/>
      <c r="BU1154" s="345"/>
      <c r="BV1154" s="345"/>
      <c r="BW1154" s="345"/>
      <c r="BX1154" s="345"/>
      <c r="BY1154" s="345"/>
      <c r="BZ1154" s="345"/>
      <c r="CA1154" s="345"/>
    </row>
    <row r="1155" spans="51:79" ht="15" customHeight="1" x14ac:dyDescent="0.2">
      <c r="AY1155" s="345"/>
      <c r="AZ1155" s="345"/>
      <c r="BA1155" s="345"/>
      <c r="BB1155" s="345"/>
      <c r="BC1155" s="345"/>
      <c r="BD1155" s="345"/>
      <c r="BE1155" s="345"/>
      <c r="BF1155" s="345"/>
      <c r="BG1155" s="345"/>
      <c r="BH1155" s="345"/>
      <c r="BI1155" s="345"/>
      <c r="BJ1155" s="345"/>
      <c r="BK1155" s="345"/>
      <c r="BL1155" s="345"/>
      <c r="BM1155" s="345"/>
      <c r="BN1155" s="345"/>
      <c r="BO1155" s="345"/>
      <c r="BP1155" s="345"/>
      <c r="BQ1155" s="345"/>
      <c r="BR1155" s="345"/>
      <c r="BS1155" s="345"/>
      <c r="BT1155" s="345"/>
      <c r="BU1155" s="345"/>
      <c r="BV1155" s="345"/>
      <c r="BW1155" s="345"/>
      <c r="BX1155" s="345"/>
      <c r="BY1155" s="345"/>
      <c r="BZ1155" s="345"/>
      <c r="CA1155" s="345"/>
    </row>
    <row r="1156" spans="51:79" ht="15" customHeight="1" x14ac:dyDescent="0.2">
      <c r="AY1156" s="345"/>
      <c r="AZ1156" s="345"/>
      <c r="BA1156" s="345"/>
      <c r="BB1156" s="345"/>
      <c r="BC1156" s="345"/>
      <c r="BD1156" s="345"/>
      <c r="BE1156" s="345"/>
      <c r="BF1156" s="345"/>
      <c r="BG1156" s="345"/>
      <c r="BH1156" s="345"/>
      <c r="BI1156" s="345"/>
      <c r="BJ1156" s="345"/>
      <c r="BK1156" s="345"/>
      <c r="BL1156" s="345"/>
      <c r="BM1156" s="345"/>
      <c r="BN1156" s="345"/>
      <c r="BO1156" s="345"/>
      <c r="BP1156" s="345"/>
      <c r="BQ1156" s="345"/>
      <c r="BR1156" s="345"/>
      <c r="BS1156" s="345"/>
      <c r="BT1156" s="345"/>
      <c r="BU1156" s="345"/>
      <c r="BV1156" s="345"/>
      <c r="BW1156" s="345"/>
      <c r="BX1156" s="345"/>
      <c r="BY1156" s="345"/>
      <c r="BZ1156" s="345"/>
      <c r="CA1156" s="345"/>
    </row>
    <row r="1157" spans="51:79" ht="15" customHeight="1" x14ac:dyDescent="0.2">
      <c r="AY1157" s="345"/>
      <c r="AZ1157" s="345"/>
      <c r="BA1157" s="345"/>
      <c r="BB1157" s="345"/>
      <c r="BC1157" s="345"/>
      <c r="BD1157" s="345"/>
      <c r="BE1157" s="345"/>
      <c r="BF1157" s="345"/>
      <c r="BG1157" s="345"/>
      <c r="BH1157" s="345"/>
      <c r="BI1157" s="345"/>
      <c r="BJ1157" s="345"/>
      <c r="BK1157" s="345"/>
      <c r="BL1157" s="345"/>
      <c r="BM1157" s="345"/>
      <c r="BN1157" s="345"/>
      <c r="BO1157" s="345"/>
      <c r="BP1157" s="345"/>
      <c r="BQ1157" s="345"/>
      <c r="BR1157" s="345"/>
      <c r="BS1157" s="345"/>
      <c r="BT1157" s="345"/>
      <c r="BU1157" s="345"/>
      <c r="BV1157" s="345"/>
      <c r="BW1157" s="345"/>
      <c r="BX1157" s="345"/>
      <c r="BY1157" s="345"/>
      <c r="BZ1157" s="345"/>
      <c r="CA1157" s="345"/>
    </row>
    <row r="1158" spans="51:79" ht="15" customHeight="1" x14ac:dyDescent="0.2">
      <c r="AY1158" s="345"/>
      <c r="AZ1158" s="345"/>
      <c r="BA1158" s="345"/>
      <c r="BB1158" s="345"/>
      <c r="BC1158" s="345"/>
      <c r="BD1158" s="345"/>
      <c r="BE1158" s="345"/>
      <c r="BF1158" s="345"/>
      <c r="BG1158" s="345"/>
      <c r="BH1158" s="345"/>
      <c r="BI1158" s="345"/>
      <c r="BJ1158" s="345"/>
      <c r="BK1158" s="345"/>
      <c r="BL1158" s="345"/>
      <c r="BM1158" s="345"/>
      <c r="BN1158" s="345"/>
      <c r="BO1158" s="345"/>
      <c r="BP1158" s="345"/>
      <c r="BQ1158" s="345"/>
      <c r="BR1158" s="345"/>
      <c r="BS1158" s="345"/>
      <c r="BT1158" s="345"/>
      <c r="BU1158" s="345"/>
      <c r="BV1158" s="345"/>
      <c r="BW1158" s="345"/>
      <c r="BX1158" s="345"/>
      <c r="BY1158" s="345"/>
      <c r="BZ1158" s="345"/>
      <c r="CA1158" s="345"/>
    </row>
    <row r="1159" spans="51:79" ht="15" customHeight="1" x14ac:dyDescent="0.2">
      <c r="AY1159" s="345"/>
      <c r="AZ1159" s="345"/>
      <c r="BA1159" s="345"/>
      <c r="BB1159" s="345"/>
      <c r="BC1159" s="345"/>
      <c r="BD1159" s="345"/>
      <c r="BE1159" s="345"/>
      <c r="BF1159" s="345"/>
      <c r="BG1159" s="345"/>
      <c r="BH1159" s="345"/>
      <c r="BI1159" s="345"/>
      <c r="BJ1159" s="345"/>
      <c r="BK1159" s="345"/>
      <c r="BL1159" s="345"/>
      <c r="BM1159" s="345"/>
      <c r="BN1159" s="345"/>
      <c r="BO1159" s="345"/>
      <c r="BP1159" s="345"/>
      <c r="BQ1159" s="345"/>
      <c r="BR1159" s="345"/>
      <c r="BS1159" s="345"/>
      <c r="BT1159" s="345"/>
      <c r="BU1159" s="345"/>
      <c r="BV1159" s="345"/>
      <c r="BW1159" s="345"/>
      <c r="BX1159" s="345"/>
      <c r="BY1159" s="345"/>
      <c r="BZ1159" s="345"/>
      <c r="CA1159" s="345"/>
    </row>
    <row r="1160" spans="51:79" ht="15" customHeight="1" x14ac:dyDescent="0.2">
      <c r="AY1160" s="345"/>
      <c r="AZ1160" s="345"/>
      <c r="BA1160" s="345"/>
      <c r="BB1160" s="345"/>
      <c r="BC1160" s="345"/>
      <c r="BD1160" s="345"/>
      <c r="BE1160" s="345"/>
      <c r="BF1160" s="345"/>
      <c r="BG1160" s="345"/>
      <c r="BH1160" s="345"/>
      <c r="BI1160" s="345"/>
      <c r="BJ1160" s="345"/>
      <c r="BK1160" s="345"/>
      <c r="BL1160" s="345"/>
      <c r="BM1160" s="345"/>
      <c r="BN1160" s="345"/>
      <c r="BO1160" s="345"/>
      <c r="BP1160" s="345"/>
      <c r="BQ1160" s="345"/>
      <c r="BR1160" s="345"/>
      <c r="BS1160" s="345"/>
      <c r="BT1160" s="345"/>
      <c r="BU1160" s="345"/>
      <c r="BV1160" s="345"/>
      <c r="BW1160" s="345"/>
      <c r="BX1160" s="345"/>
      <c r="BY1160" s="345"/>
      <c r="BZ1160" s="345"/>
      <c r="CA1160" s="345"/>
    </row>
    <row r="1161" spans="51:79" ht="15" customHeight="1" x14ac:dyDescent="0.2">
      <c r="AY1161" s="345"/>
      <c r="AZ1161" s="345"/>
      <c r="BA1161" s="345"/>
      <c r="BB1161" s="345"/>
      <c r="BC1161" s="345"/>
      <c r="BD1161" s="345"/>
      <c r="BE1161" s="345"/>
      <c r="BF1161" s="345"/>
      <c r="BG1161" s="345"/>
      <c r="BH1161" s="345"/>
      <c r="BI1161" s="345"/>
      <c r="BJ1161" s="345"/>
      <c r="BK1161" s="345"/>
      <c r="BL1161" s="345"/>
      <c r="BM1161" s="345"/>
      <c r="BN1161" s="345"/>
      <c r="BO1161" s="345"/>
      <c r="BP1161" s="345"/>
      <c r="BQ1161" s="345"/>
      <c r="BR1161" s="345"/>
      <c r="BS1161" s="345"/>
      <c r="BT1161" s="345"/>
      <c r="BU1161" s="345"/>
      <c r="BV1161" s="345"/>
      <c r="BW1161" s="345"/>
      <c r="BX1161" s="345"/>
      <c r="BY1161" s="345"/>
      <c r="BZ1161" s="345"/>
      <c r="CA1161" s="345"/>
    </row>
    <row r="1162" spans="51:79" ht="15" customHeight="1" x14ac:dyDescent="0.2">
      <c r="AY1162" s="345"/>
      <c r="AZ1162" s="345"/>
      <c r="BA1162" s="345"/>
      <c r="BB1162" s="345"/>
      <c r="BC1162" s="345"/>
      <c r="BD1162" s="345"/>
      <c r="BE1162" s="345"/>
      <c r="BF1162" s="345"/>
      <c r="BG1162" s="345"/>
      <c r="BH1162" s="345"/>
      <c r="BI1162" s="345"/>
      <c r="BJ1162" s="345"/>
      <c r="BK1162" s="345"/>
      <c r="BL1162" s="345"/>
      <c r="BM1162" s="345"/>
      <c r="BN1162" s="345"/>
      <c r="BO1162" s="345"/>
      <c r="BP1162" s="345"/>
      <c r="BQ1162" s="345"/>
      <c r="BR1162" s="345"/>
      <c r="BS1162" s="345"/>
      <c r="BT1162" s="345"/>
      <c r="BU1162" s="345"/>
      <c r="BV1162" s="345"/>
      <c r="BW1162" s="345"/>
      <c r="BX1162" s="345"/>
      <c r="BY1162" s="345"/>
      <c r="BZ1162" s="345"/>
      <c r="CA1162" s="345"/>
    </row>
    <row r="1163" spans="51:79" ht="15" customHeight="1" x14ac:dyDescent="0.2">
      <c r="AY1163" s="345"/>
      <c r="AZ1163" s="345"/>
      <c r="BA1163" s="345"/>
      <c r="BB1163" s="345"/>
      <c r="BC1163" s="345"/>
      <c r="BD1163" s="345"/>
      <c r="BE1163" s="345"/>
      <c r="BF1163" s="345"/>
      <c r="BG1163" s="345"/>
      <c r="BH1163" s="345"/>
      <c r="BI1163" s="345"/>
      <c r="BJ1163" s="345"/>
      <c r="BK1163" s="345"/>
      <c r="BL1163" s="345"/>
      <c r="BM1163" s="345"/>
      <c r="BN1163" s="345"/>
      <c r="BO1163" s="345"/>
      <c r="BP1163" s="345"/>
      <c r="BQ1163" s="345"/>
      <c r="BR1163" s="345"/>
      <c r="BS1163" s="345"/>
      <c r="BT1163" s="345"/>
      <c r="BU1163" s="345"/>
      <c r="BV1163" s="345"/>
      <c r="BW1163" s="345"/>
      <c r="BX1163" s="345"/>
      <c r="BY1163" s="345"/>
      <c r="BZ1163" s="345"/>
      <c r="CA1163" s="345"/>
    </row>
    <row r="1164" spans="51:79" ht="15" customHeight="1" x14ac:dyDescent="0.2">
      <c r="AY1164" s="345"/>
      <c r="AZ1164" s="345"/>
      <c r="BA1164" s="345"/>
      <c r="BB1164" s="345"/>
      <c r="BC1164" s="345"/>
      <c r="BD1164" s="345"/>
      <c r="BE1164" s="345"/>
      <c r="BF1164" s="345"/>
      <c r="BG1164" s="345"/>
      <c r="BH1164" s="345"/>
      <c r="BI1164" s="345"/>
      <c r="BJ1164" s="345"/>
      <c r="BK1164" s="345"/>
      <c r="BL1164" s="345"/>
      <c r="BM1164" s="345"/>
      <c r="BN1164" s="345"/>
      <c r="BO1164" s="345"/>
      <c r="BP1164" s="345"/>
      <c r="BQ1164" s="345"/>
      <c r="BR1164" s="345"/>
      <c r="BS1164" s="345"/>
      <c r="BT1164" s="345"/>
      <c r="BU1164" s="345"/>
      <c r="BV1164" s="345"/>
      <c r="BW1164" s="345"/>
      <c r="BX1164" s="345"/>
      <c r="BY1164" s="345"/>
      <c r="BZ1164" s="345"/>
      <c r="CA1164" s="345"/>
    </row>
    <row r="1165" spans="51:79" ht="15" customHeight="1" x14ac:dyDescent="0.2">
      <c r="AY1165" s="345"/>
      <c r="AZ1165" s="345"/>
      <c r="BA1165" s="345"/>
      <c r="BB1165" s="345"/>
      <c r="BC1165" s="345"/>
      <c r="BD1165" s="345"/>
      <c r="BE1165" s="345"/>
      <c r="BF1165" s="345"/>
      <c r="BG1165" s="345"/>
      <c r="BH1165" s="345"/>
      <c r="BI1165" s="345"/>
      <c r="BJ1165" s="345"/>
      <c r="BK1165" s="345"/>
      <c r="BL1165" s="345"/>
      <c r="BM1165" s="345"/>
      <c r="BN1165" s="345"/>
      <c r="BO1165" s="345"/>
      <c r="BP1165" s="345"/>
      <c r="BQ1165" s="345"/>
      <c r="BR1165" s="345"/>
      <c r="BS1165" s="345"/>
      <c r="BT1165" s="345"/>
      <c r="BU1165" s="345"/>
      <c r="BV1165" s="345"/>
      <c r="BW1165" s="345"/>
      <c r="BX1165" s="345"/>
      <c r="BY1165" s="345"/>
      <c r="BZ1165" s="345"/>
      <c r="CA1165" s="345"/>
    </row>
    <row r="1166" spans="51:79" ht="15" customHeight="1" x14ac:dyDescent="0.2">
      <c r="AY1166" s="345"/>
      <c r="AZ1166" s="345"/>
      <c r="BA1166" s="345"/>
      <c r="BB1166" s="345"/>
      <c r="BC1166" s="345"/>
      <c r="BD1166" s="345"/>
      <c r="BE1166" s="345"/>
      <c r="BF1166" s="345"/>
      <c r="BG1166" s="345"/>
      <c r="BH1166" s="345"/>
      <c r="BI1166" s="345"/>
      <c r="BJ1166" s="345"/>
      <c r="BK1166" s="345"/>
      <c r="BL1166" s="345"/>
      <c r="BM1166" s="345"/>
      <c r="BN1166" s="345"/>
      <c r="BO1166" s="345"/>
      <c r="BP1166" s="345"/>
      <c r="BQ1166" s="345"/>
      <c r="BR1166" s="345"/>
      <c r="BS1166" s="345"/>
      <c r="BT1166" s="345"/>
      <c r="BU1166" s="345"/>
      <c r="BV1166" s="345"/>
      <c r="BW1166" s="345"/>
      <c r="BX1166" s="345"/>
      <c r="BY1166" s="345"/>
      <c r="BZ1166" s="345"/>
      <c r="CA1166" s="345"/>
    </row>
    <row r="1167" spans="51:79" ht="15" customHeight="1" x14ac:dyDescent="0.2">
      <c r="AY1167" s="345"/>
      <c r="AZ1167" s="345"/>
      <c r="BA1167" s="345"/>
      <c r="BB1167" s="345"/>
      <c r="BC1167" s="345"/>
      <c r="BD1167" s="345"/>
      <c r="BE1167" s="345"/>
      <c r="BF1167" s="345"/>
      <c r="BG1167" s="345"/>
      <c r="BH1167" s="345"/>
      <c r="BI1167" s="345"/>
      <c r="BJ1167" s="345"/>
      <c r="BK1167" s="345"/>
      <c r="BL1167" s="345"/>
      <c r="BM1167" s="345"/>
      <c r="BN1167" s="345"/>
      <c r="BO1167" s="345"/>
      <c r="BP1167" s="345"/>
      <c r="BQ1167" s="345"/>
      <c r="BR1167" s="345"/>
      <c r="BS1167" s="345"/>
      <c r="BT1167" s="345"/>
      <c r="BU1167" s="345"/>
      <c r="BV1167" s="345"/>
      <c r="BW1167" s="345"/>
      <c r="BX1167" s="345"/>
      <c r="BY1167" s="345"/>
      <c r="BZ1167" s="345"/>
      <c r="CA1167" s="345"/>
    </row>
    <row r="1168" spans="51:79" ht="15" customHeight="1" x14ac:dyDescent="0.2">
      <c r="AY1168" s="345"/>
      <c r="AZ1168" s="345"/>
      <c r="BA1168" s="345"/>
      <c r="BB1168" s="345"/>
      <c r="BC1168" s="345"/>
      <c r="BD1168" s="345"/>
      <c r="BE1168" s="345"/>
      <c r="BF1168" s="345"/>
      <c r="BG1168" s="345"/>
      <c r="BH1168" s="345"/>
      <c r="BI1168" s="345"/>
      <c r="BJ1168" s="345"/>
      <c r="BK1168" s="345"/>
      <c r="BL1168" s="345"/>
      <c r="BM1168" s="345"/>
      <c r="BN1168" s="345"/>
      <c r="BO1168" s="345"/>
      <c r="BP1168" s="345"/>
      <c r="BQ1168" s="345"/>
      <c r="BR1168" s="345"/>
      <c r="BS1168" s="345"/>
      <c r="BT1168" s="345"/>
      <c r="BU1168" s="345"/>
      <c r="BV1168" s="345"/>
      <c r="BW1168" s="345"/>
      <c r="BX1168" s="345"/>
      <c r="BY1168" s="345"/>
      <c r="BZ1168" s="345"/>
      <c r="CA1168" s="345"/>
    </row>
    <row r="1169" spans="51:79" ht="15" customHeight="1" x14ac:dyDescent="0.2">
      <c r="AY1169" s="345"/>
      <c r="AZ1169" s="345"/>
      <c r="BA1169" s="345"/>
      <c r="BB1169" s="345"/>
      <c r="BC1169" s="345"/>
      <c r="BD1169" s="345"/>
      <c r="BE1169" s="345"/>
      <c r="BF1169" s="345"/>
      <c r="BG1169" s="345"/>
      <c r="BH1169" s="345"/>
      <c r="BI1169" s="345"/>
      <c r="BJ1169" s="345"/>
      <c r="BK1169" s="345"/>
      <c r="BL1169" s="345"/>
      <c r="BM1169" s="345"/>
      <c r="BN1169" s="345"/>
      <c r="BO1169" s="345"/>
      <c r="BP1169" s="345"/>
      <c r="BQ1169" s="345"/>
      <c r="BR1169" s="345"/>
      <c r="BS1169" s="345"/>
      <c r="BT1169" s="345"/>
      <c r="BU1169" s="345"/>
      <c r="BV1169" s="345"/>
      <c r="BW1169" s="345"/>
      <c r="BX1169" s="345"/>
      <c r="BY1169" s="345"/>
      <c r="BZ1169" s="345"/>
      <c r="CA1169" s="345"/>
    </row>
    <row r="1170" spans="51:79" ht="15" customHeight="1" x14ac:dyDescent="0.2">
      <c r="AY1170" s="345"/>
      <c r="AZ1170" s="345"/>
      <c r="BA1170" s="345"/>
      <c r="BB1170" s="345"/>
      <c r="BC1170" s="345"/>
      <c r="BD1170" s="345"/>
      <c r="BE1170" s="345"/>
      <c r="BF1170" s="345"/>
      <c r="BG1170" s="345"/>
      <c r="BH1170" s="345"/>
      <c r="BI1170" s="345"/>
      <c r="BJ1170" s="345"/>
      <c r="BK1170" s="345"/>
      <c r="BL1170" s="345"/>
      <c r="BM1170" s="345"/>
      <c r="BN1170" s="345"/>
      <c r="BO1170" s="345"/>
      <c r="BP1170" s="345"/>
      <c r="BQ1170" s="345"/>
      <c r="BR1170" s="345"/>
      <c r="BS1170" s="345"/>
      <c r="BT1170" s="345"/>
      <c r="BU1170" s="345"/>
      <c r="BV1170" s="345"/>
      <c r="BW1170" s="345"/>
      <c r="BX1170" s="345"/>
      <c r="BY1170" s="345"/>
      <c r="BZ1170" s="345"/>
      <c r="CA1170" s="345"/>
    </row>
    <row r="1171" spans="51:79" ht="15" customHeight="1" x14ac:dyDescent="0.2">
      <c r="AY1171" s="345"/>
      <c r="AZ1171" s="345"/>
      <c r="BA1171" s="345"/>
      <c r="BB1171" s="345"/>
      <c r="BC1171" s="345"/>
      <c r="BD1171" s="345"/>
      <c r="BE1171" s="345"/>
      <c r="BF1171" s="345"/>
      <c r="BG1171" s="345"/>
      <c r="BH1171" s="345"/>
      <c r="BI1171" s="345"/>
      <c r="BJ1171" s="345"/>
      <c r="BK1171" s="345"/>
      <c r="BL1171" s="345"/>
      <c r="BM1171" s="345"/>
      <c r="BN1171" s="345"/>
      <c r="BO1171" s="345"/>
      <c r="BP1171" s="345"/>
      <c r="BQ1171" s="345"/>
      <c r="BR1171" s="345"/>
      <c r="BS1171" s="345"/>
      <c r="BT1171" s="345"/>
      <c r="BU1171" s="345"/>
      <c r="BV1171" s="345"/>
      <c r="BW1171" s="345"/>
      <c r="BX1171" s="345"/>
      <c r="BY1171" s="345"/>
      <c r="BZ1171" s="345"/>
      <c r="CA1171" s="345"/>
    </row>
    <row r="1172" spans="51:79" ht="15" customHeight="1" x14ac:dyDescent="0.2">
      <c r="AY1172" s="345"/>
      <c r="AZ1172" s="345"/>
      <c r="BA1172" s="345"/>
      <c r="BB1172" s="345"/>
      <c r="BC1172" s="345"/>
      <c r="BD1172" s="345"/>
      <c r="BE1172" s="345"/>
      <c r="BF1172" s="345"/>
      <c r="BG1172" s="345"/>
      <c r="BH1172" s="345"/>
      <c r="BI1172" s="345"/>
      <c r="BJ1172" s="345"/>
      <c r="BK1172" s="345"/>
      <c r="BL1172" s="345"/>
      <c r="BM1172" s="345"/>
      <c r="BN1172" s="345"/>
      <c r="BO1172" s="345"/>
      <c r="BP1172" s="345"/>
      <c r="BQ1172" s="345"/>
      <c r="BR1172" s="345"/>
      <c r="BS1172" s="345"/>
      <c r="BT1172" s="345"/>
      <c r="BU1172" s="345"/>
      <c r="BV1172" s="345"/>
      <c r="BW1172" s="345"/>
      <c r="BX1172" s="345"/>
      <c r="BY1172" s="345"/>
      <c r="BZ1172" s="345"/>
      <c r="CA1172" s="345"/>
    </row>
    <row r="1173" spans="51:79" ht="15" customHeight="1" x14ac:dyDescent="0.2">
      <c r="AY1173" s="345"/>
      <c r="AZ1173" s="345"/>
      <c r="BA1173" s="345"/>
      <c r="BB1173" s="345"/>
      <c r="BC1173" s="345"/>
      <c r="BD1173" s="345"/>
      <c r="BE1173" s="345"/>
      <c r="BF1173" s="345"/>
      <c r="BG1173" s="345"/>
      <c r="BH1173" s="345"/>
      <c r="BI1173" s="345"/>
      <c r="BJ1173" s="345"/>
      <c r="BK1173" s="345"/>
      <c r="BL1173" s="345"/>
      <c r="BM1173" s="345"/>
      <c r="BN1173" s="345"/>
      <c r="BO1173" s="345"/>
      <c r="BP1173" s="345"/>
      <c r="BQ1173" s="345"/>
      <c r="BR1173" s="345"/>
      <c r="BS1173" s="345"/>
      <c r="BT1173" s="345"/>
      <c r="BU1173" s="345"/>
      <c r="BV1173" s="345"/>
      <c r="BW1173" s="345"/>
      <c r="BX1173" s="345"/>
      <c r="BY1173" s="345"/>
      <c r="BZ1173" s="345"/>
      <c r="CA1173" s="345"/>
    </row>
    <row r="1174" spans="51:79" ht="15" customHeight="1" x14ac:dyDescent="0.2">
      <c r="AY1174" s="345"/>
      <c r="AZ1174" s="345"/>
      <c r="BA1174" s="345"/>
      <c r="BB1174" s="345"/>
      <c r="BC1174" s="345"/>
      <c r="BD1174" s="345"/>
      <c r="BE1174" s="345"/>
      <c r="BF1174" s="345"/>
      <c r="BG1174" s="345"/>
      <c r="BH1174" s="345"/>
      <c r="BI1174" s="345"/>
      <c r="BJ1174" s="345"/>
      <c r="BK1174" s="345"/>
      <c r="BL1174" s="345"/>
      <c r="BM1174" s="345"/>
      <c r="BN1174" s="345"/>
      <c r="BO1174" s="345"/>
      <c r="BP1174" s="345"/>
      <c r="BQ1174" s="345"/>
      <c r="BR1174" s="345"/>
      <c r="BS1174" s="345"/>
      <c r="BT1174" s="345"/>
      <c r="BU1174" s="345"/>
      <c r="BV1174" s="345"/>
      <c r="BW1174" s="345"/>
      <c r="BX1174" s="345"/>
      <c r="BY1174" s="345"/>
      <c r="BZ1174" s="345"/>
      <c r="CA1174" s="345"/>
    </row>
    <row r="1175" spans="51:79" ht="15" customHeight="1" x14ac:dyDescent="0.2">
      <c r="AY1175" s="345"/>
      <c r="AZ1175" s="345"/>
      <c r="BA1175" s="345"/>
      <c r="BB1175" s="345"/>
      <c r="BC1175" s="345"/>
      <c r="BD1175" s="345"/>
      <c r="BE1175" s="345"/>
      <c r="BF1175" s="345"/>
      <c r="BG1175" s="345"/>
      <c r="BH1175" s="345"/>
      <c r="BI1175" s="345"/>
      <c r="BJ1175" s="345"/>
      <c r="BK1175" s="345"/>
      <c r="BL1175" s="345"/>
      <c r="BM1175" s="345"/>
      <c r="BN1175" s="345"/>
      <c r="BO1175" s="345"/>
      <c r="BP1175" s="345"/>
      <c r="BQ1175" s="345"/>
      <c r="BR1175" s="345"/>
      <c r="BS1175" s="345"/>
      <c r="BT1175" s="345"/>
      <c r="BU1175" s="345"/>
      <c r="BV1175" s="345"/>
      <c r="BW1175" s="345"/>
      <c r="BX1175" s="345"/>
      <c r="BY1175" s="345"/>
      <c r="BZ1175" s="345"/>
      <c r="CA1175" s="345"/>
    </row>
    <row r="1176" spans="51:79" ht="15" customHeight="1" x14ac:dyDescent="0.2">
      <c r="AY1176" s="345"/>
      <c r="AZ1176" s="345"/>
      <c r="BA1176" s="345"/>
      <c r="BB1176" s="345"/>
      <c r="BC1176" s="345"/>
      <c r="BD1176" s="345"/>
      <c r="BE1176" s="345"/>
      <c r="BF1176" s="345"/>
      <c r="BG1176" s="345"/>
      <c r="BH1176" s="345"/>
      <c r="BI1176" s="345"/>
      <c r="BJ1176" s="345"/>
      <c r="BK1176" s="345"/>
      <c r="BL1176" s="345"/>
      <c r="BM1176" s="345"/>
      <c r="BN1176" s="345"/>
      <c r="BO1176" s="345"/>
      <c r="BP1176" s="345"/>
      <c r="BQ1176" s="345"/>
      <c r="BR1176" s="345"/>
      <c r="BS1176" s="345"/>
      <c r="BT1176" s="345"/>
      <c r="BU1176" s="345"/>
      <c r="BV1176" s="345"/>
      <c r="BW1176" s="345"/>
      <c r="BX1176" s="345"/>
      <c r="BY1176" s="345"/>
      <c r="BZ1176" s="345"/>
      <c r="CA1176" s="345"/>
    </row>
    <row r="1177" spans="51:79" ht="15" customHeight="1" x14ac:dyDescent="0.2">
      <c r="AY1177" s="345"/>
      <c r="AZ1177" s="345"/>
      <c r="BA1177" s="345"/>
      <c r="BB1177" s="345"/>
      <c r="BC1177" s="345"/>
      <c r="BD1177" s="345"/>
      <c r="BE1177" s="345"/>
      <c r="BF1177" s="345"/>
      <c r="BG1177" s="345"/>
      <c r="BH1177" s="345"/>
      <c r="BI1177" s="345"/>
      <c r="BJ1177" s="345"/>
      <c r="BK1177" s="345"/>
      <c r="BL1177" s="345"/>
      <c r="BM1177" s="345"/>
      <c r="BN1177" s="345"/>
      <c r="BO1177" s="345"/>
      <c r="BP1177" s="345"/>
      <c r="BQ1177" s="345"/>
      <c r="BR1177" s="345"/>
      <c r="BS1177" s="345"/>
      <c r="BT1177" s="345"/>
      <c r="BU1177" s="345"/>
      <c r="BV1177" s="345"/>
      <c r="BW1177" s="345"/>
      <c r="BX1177" s="345"/>
      <c r="BY1177" s="345"/>
      <c r="BZ1177" s="345"/>
      <c r="CA1177" s="345"/>
    </row>
    <row r="1178" spans="51:79" ht="15" customHeight="1" x14ac:dyDescent="0.2">
      <c r="AY1178" s="345"/>
      <c r="AZ1178" s="345"/>
      <c r="BA1178" s="345"/>
      <c r="BB1178" s="345"/>
      <c r="BC1178" s="345"/>
      <c r="BD1178" s="345"/>
      <c r="BE1178" s="345"/>
      <c r="BF1178" s="345"/>
      <c r="BG1178" s="345"/>
      <c r="BH1178" s="345"/>
      <c r="BI1178" s="345"/>
      <c r="BJ1178" s="345"/>
      <c r="BK1178" s="345"/>
      <c r="BL1178" s="345"/>
      <c r="BM1178" s="345"/>
      <c r="BN1178" s="345"/>
      <c r="BO1178" s="345"/>
      <c r="BP1178" s="345"/>
      <c r="BQ1178" s="345"/>
      <c r="BR1178" s="345"/>
      <c r="BS1178" s="345"/>
      <c r="BT1178" s="345"/>
      <c r="BU1178" s="345"/>
      <c r="BV1178" s="345"/>
      <c r="BW1178" s="345"/>
      <c r="BX1178" s="345"/>
      <c r="BY1178" s="345"/>
      <c r="BZ1178" s="345"/>
      <c r="CA1178" s="345"/>
    </row>
    <row r="1179" spans="51:79" ht="15" customHeight="1" x14ac:dyDescent="0.2">
      <c r="AY1179" s="345"/>
      <c r="AZ1179" s="345"/>
      <c r="BA1179" s="345"/>
      <c r="BB1179" s="345"/>
      <c r="BC1179" s="345"/>
      <c r="BD1179" s="345"/>
      <c r="BE1179" s="345"/>
      <c r="BF1179" s="345"/>
      <c r="BG1179" s="345"/>
      <c r="BH1179" s="345"/>
      <c r="BI1179" s="345"/>
      <c r="BJ1179" s="345"/>
      <c r="BK1179" s="345"/>
      <c r="BL1179" s="345"/>
      <c r="BM1179" s="345"/>
      <c r="BN1179" s="345"/>
      <c r="BO1179" s="345"/>
      <c r="BP1179" s="345"/>
      <c r="BQ1179" s="345"/>
      <c r="BR1179" s="345"/>
      <c r="BS1179" s="345"/>
      <c r="BT1179" s="345"/>
      <c r="BU1179" s="345"/>
      <c r="BV1179" s="345"/>
      <c r="BW1179" s="345"/>
      <c r="BX1179" s="345"/>
      <c r="BY1179" s="345"/>
      <c r="BZ1179" s="345"/>
      <c r="CA1179" s="345"/>
    </row>
    <row r="1180" spans="51:79" ht="15" customHeight="1" x14ac:dyDescent="0.2">
      <c r="AY1180" s="345"/>
      <c r="AZ1180" s="345"/>
      <c r="BA1180" s="345"/>
      <c r="BB1180" s="345"/>
      <c r="BC1180" s="345"/>
      <c r="BD1180" s="345"/>
      <c r="BE1180" s="345"/>
      <c r="BF1180" s="345"/>
      <c r="BG1180" s="345"/>
      <c r="BH1180" s="345"/>
      <c r="BI1180" s="345"/>
      <c r="BJ1180" s="345"/>
      <c r="BK1180" s="345"/>
      <c r="BL1180" s="345"/>
      <c r="BM1180" s="345"/>
      <c r="BN1180" s="345"/>
      <c r="BO1180" s="345"/>
      <c r="BP1180" s="345"/>
      <c r="BQ1180" s="345"/>
      <c r="BR1180" s="345"/>
      <c r="BS1180" s="345"/>
      <c r="BT1180" s="345"/>
      <c r="BU1180" s="345"/>
      <c r="BV1180" s="345"/>
      <c r="BW1180" s="345"/>
      <c r="BX1180" s="345"/>
      <c r="BY1180" s="345"/>
      <c r="BZ1180" s="345"/>
      <c r="CA1180" s="345"/>
    </row>
    <row r="1181" spans="51:79" ht="15" customHeight="1" x14ac:dyDescent="0.2">
      <c r="AY1181" s="345"/>
      <c r="AZ1181" s="345"/>
      <c r="BA1181" s="345"/>
      <c r="BB1181" s="345"/>
      <c r="BC1181" s="345"/>
      <c r="BD1181" s="345"/>
      <c r="BE1181" s="345"/>
      <c r="BF1181" s="345"/>
      <c r="BG1181" s="345"/>
      <c r="BH1181" s="345"/>
      <c r="BI1181" s="345"/>
      <c r="BJ1181" s="345"/>
      <c r="BK1181" s="345"/>
      <c r="BL1181" s="345"/>
      <c r="BM1181" s="345"/>
      <c r="BN1181" s="345"/>
      <c r="BO1181" s="345"/>
      <c r="BP1181" s="345"/>
      <c r="BQ1181" s="345"/>
      <c r="BR1181" s="345"/>
      <c r="BS1181" s="345"/>
      <c r="BT1181" s="345"/>
      <c r="BU1181" s="345"/>
      <c r="BV1181" s="345"/>
      <c r="BW1181" s="345"/>
      <c r="BX1181" s="345"/>
      <c r="BY1181" s="345"/>
      <c r="BZ1181" s="345"/>
      <c r="CA1181" s="345"/>
    </row>
    <row r="1182" spans="51:79" ht="15" customHeight="1" x14ac:dyDescent="0.2">
      <c r="AY1182" s="345"/>
      <c r="AZ1182" s="345"/>
      <c r="BA1182" s="345"/>
      <c r="BB1182" s="345"/>
      <c r="BC1182" s="345"/>
      <c r="BD1182" s="345"/>
      <c r="BE1182" s="345"/>
      <c r="BF1182" s="345"/>
      <c r="BG1182" s="345"/>
      <c r="BH1182" s="345"/>
      <c r="BI1182" s="345"/>
      <c r="BJ1182" s="345"/>
      <c r="BK1182" s="345"/>
      <c r="BL1182" s="345"/>
      <c r="BM1182" s="345"/>
      <c r="BN1182" s="345"/>
      <c r="BO1182" s="345"/>
      <c r="BP1182" s="345"/>
      <c r="BQ1182" s="345"/>
      <c r="BR1182" s="345"/>
      <c r="BS1182" s="345"/>
      <c r="BT1182" s="345"/>
      <c r="BU1182" s="345"/>
      <c r="BV1182" s="345"/>
      <c r="BW1182" s="345"/>
      <c r="BX1182" s="345"/>
      <c r="BY1182" s="345"/>
      <c r="BZ1182" s="345"/>
      <c r="CA1182" s="345"/>
    </row>
    <row r="1183" spans="51:79" ht="15" customHeight="1" x14ac:dyDescent="0.2">
      <c r="AY1183" s="345"/>
      <c r="AZ1183" s="345"/>
      <c r="BA1183" s="345"/>
      <c r="BB1183" s="345"/>
      <c r="BC1183" s="345"/>
      <c r="BD1183" s="345"/>
      <c r="BE1183" s="345"/>
      <c r="BF1183" s="345"/>
      <c r="BG1183" s="345"/>
      <c r="BH1183" s="345"/>
      <c r="BI1183" s="345"/>
      <c r="BJ1183" s="345"/>
      <c r="BK1183" s="345"/>
      <c r="BL1183" s="345"/>
      <c r="BM1183" s="345"/>
      <c r="BN1183" s="345"/>
      <c r="BO1183" s="345"/>
      <c r="BP1183" s="345"/>
      <c r="BQ1183" s="345"/>
      <c r="BR1183" s="345"/>
      <c r="BS1183" s="345"/>
      <c r="BT1183" s="345"/>
      <c r="BU1183" s="345"/>
      <c r="BV1183" s="345"/>
      <c r="BW1183" s="345"/>
      <c r="BX1183" s="345"/>
      <c r="BY1183" s="345"/>
      <c r="BZ1183" s="345"/>
      <c r="CA1183" s="345"/>
    </row>
    <row r="1184" spans="51:79" ht="15" customHeight="1" x14ac:dyDescent="0.2">
      <c r="AY1184" s="345"/>
      <c r="AZ1184" s="345"/>
      <c r="BA1184" s="345"/>
      <c r="BB1184" s="345"/>
      <c r="BC1184" s="345"/>
      <c r="BD1184" s="345"/>
      <c r="BE1184" s="345"/>
      <c r="BF1184" s="345"/>
      <c r="BG1184" s="345"/>
      <c r="BH1184" s="345"/>
      <c r="BI1184" s="345"/>
      <c r="BJ1184" s="345"/>
      <c r="BK1184" s="345"/>
      <c r="BL1184" s="345"/>
      <c r="BM1184" s="345"/>
      <c r="BN1184" s="345"/>
      <c r="BO1184" s="345"/>
      <c r="BP1184" s="345"/>
      <c r="BQ1184" s="345"/>
      <c r="BR1184" s="345"/>
      <c r="BS1184" s="345"/>
      <c r="BT1184" s="345"/>
      <c r="BU1184" s="345"/>
      <c r="BV1184" s="345"/>
      <c r="BW1184" s="345"/>
      <c r="BX1184" s="345"/>
      <c r="BY1184" s="345"/>
      <c r="BZ1184" s="345"/>
      <c r="CA1184" s="345"/>
    </row>
    <row r="1185" spans="51:79" ht="15" customHeight="1" x14ac:dyDescent="0.2">
      <c r="AY1185" s="345"/>
      <c r="AZ1185" s="345"/>
      <c r="BA1185" s="345"/>
      <c r="BB1185" s="345"/>
      <c r="BC1185" s="345"/>
      <c r="BD1185" s="345"/>
      <c r="BE1185" s="345"/>
      <c r="BF1185" s="345"/>
      <c r="BG1185" s="345"/>
      <c r="BH1185" s="345"/>
      <c r="BI1185" s="345"/>
      <c r="BJ1185" s="345"/>
      <c r="BK1185" s="345"/>
      <c r="BL1185" s="345"/>
      <c r="BM1185" s="345"/>
      <c r="BN1185" s="345"/>
      <c r="BO1185" s="345"/>
      <c r="BP1185" s="345"/>
      <c r="BQ1185" s="345"/>
      <c r="BR1185" s="345"/>
      <c r="BS1185" s="345"/>
      <c r="BT1185" s="345"/>
      <c r="BU1185" s="345"/>
      <c r="BV1185" s="345"/>
      <c r="BW1185" s="345"/>
      <c r="BX1185" s="345"/>
      <c r="BY1185" s="345"/>
      <c r="BZ1185" s="345"/>
      <c r="CA1185" s="345"/>
    </row>
    <row r="1186" spans="51:79" ht="15" customHeight="1" x14ac:dyDescent="0.2">
      <c r="AY1186" s="345"/>
      <c r="AZ1186" s="345"/>
      <c r="BA1186" s="345"/>
      <c r="BB1186" s="345"/>
      <c r="BC1186" s="345"/>
      <c r="BD1186" s="345"/>
      <c r="BE1186" s="345"/>
      <c r="BF1186" s="345"/>
      <c r="BG1186" s="345"/>
      <c r="BH1186" s="345"/>
      <c r="BI1186" s="345"/>
      <c r="BJ1186" s="345"/>
      <c r="BK1186" s="345"/>
      <c r="BL1186" s="345"/>
      <c r="BM1186" s="345"/>
      <c r="BN1186" s="345"/>
      <c r="BO1186" s="345"/>
      <c r="BP1186" s="345"/>
      <c r="BQ1186" s="345"/>
      <c r="BR1186" s="345"/>
      <c r="BS1186" s="345"/>
      <c r="BT1186" s="345"/>
      <c r="BU1186" s="345"/>
      <c r="BV1186" s="345"/>
      <c r="BW1186" s="345"/>
      <c r="BX1186" s="345"/>
      <c r="BY1186" s="345"/>
      <c r="BZ1186" s="345"/>
      <c r="CA1186" s="345"/>
    </row>
    <row r="1187" spans="51:79" ht="15" customHeight="1" x14ac:dyDescent="0.2">
      <c r="AY1187" s="345"/>
      <c r="AZ1187" s="345"/>
      <c r="BA1187" s="345"/>
      <c r="BB1187" s="345"/>
      <c r="BC1187" s="345"/>
      <c r="BD1187" s="345"/>
      <c r="BE1187" s="345"/>
      <c r="BF1187" s="345"/>
      <c r="BG1187" s="345"/>
      <c r="BH1187" s="345"/>
      <c r="BI1187" s="345"/>
      <c r="BJ1187" s="345"/>
      <c r="BK1187" s="345"/>
      <c r="BL1187" s="345"/>
      <c r="BM1187" s="345"/>
      <c r="BN1187" s="345"/>
      <c r="BO1187" s="345"/>
      <c r="BP1187" s="345"/>
      <c r="BQ1187" s="345"/>
      <c r="BR1187" s="345"/>
      <c r="BS1187" s="345"/>
      <c r="BT1187" s="345"/>
      <c r="BU1187" s="345"/>
      <c r="BV1187" s="345"/>
      <c r="BW1187" s="345"/>
      <c r="BX1187" s="345"/>
      <c r="BY1187" s="345"/>
      <c r="BZ1187" s="345"/>
      <c r="CA1187" s="345"/>
    </row>
    <row r="1188" spans="51:79" ht="15" customHeight="1" x14ac:dyDescent="0.2">
      <c r="AY1188" s="345"/>
      <c r="AZ1188" s="345"/>
      <c r="BA1188" s="345"/>
      <c r="BB1188" s="345"/>
      <c r="BC1188" s="345"/>
      <c r="BD1188" s="345"/>
      <c r="BE1188" s="345"/>
      <c r="BF1188" s="345"/>
      <c r="BG1188" s="345"/>
      <c r="BH1188" s="345"/>
      <c r="BI1188" s="345"/>
      <c r="BJ1188" s="345"/>
      <c r="BK1188" s="345"/>
      <c r="BL1188" s="345"/>
      <c r="BM1188" s="345"/>
      <c r="BN1188" s="345"/>
      <c r="BO1188" s="345"/>
      <c r="BP1188" s="345"/>
      <c r="BQ1188" s="345"/>
      <c r="BR1188" s="345"/>
      <c r="BS1188" s="345"/>
      <c r="BT1188" s="345"/>
      <c r="BU1188" s="345"/>
      <c r="BV1188" s="345"/>
      <c r="BW1188" s="345"/>
      <c r="BX1188" s="345"/>
      <c r="BY1188" s="345"/>
      <c r="BZ1188" s="345"/>
      <c r="CA1188" s="345"/>
    </row>
    <row r="1189" spans="51:79" ht="15" customHeight="1" x14ac:dyDescent="0.2">
      <c r="AY1189" s="345"/>
      <c r="AZ1189" s="345"/>
      <c r="BA1189" s="345"/>
      <c r="BB1189" s="345"/>
      <c r="BC1189" s="345"/>
      <c r="BD1189" s="345"/>
      <c r="BE1189" s="345"/>
      <c r="BF1189" s="345"/>
      <c r="BG1189" s="345"/>
      <c r="BH1189" s="345"/>
      <c r="BI1189" s="345"/>
      <c r="BJ1189" s="345"/>
      <c r="BK1189" s="345"/>
      <c r="BL1189" s="345"/>
      <c r="BM1189" s="345"/>
      <c r="BN1189" s="345"/>
      <c r="BO1189" s="345"/>
      <c r="BP1189" s="345"/>
      <c r="BQ1189" s="345"/>
      <c r="BR1189" s="345"/>
      <c r="BS1189" s="345"/>
      <c r="BT1189" s="345"/>
      <c r="BU1189" s="345"/>
      <c r="BV1189" s="345"/>
      <c r="BW1189" s="345"/>
      <c r="BX1189" s="345"/>
      <c r="BY1189" s="345"/>
      <c r="BZ1189" s="345"/>
      <c r="CA1189" s="345"/>
    </row>
    <row r="1190" spans="51:79" ht="15" customHeight="1" x14ac:dyDescent="0.2">
      <c r="AY1190" s="345"/>
      <c r="AZ1190" s="345"/>
      <c r="BA1190" s="345"/>
      <c r="BB1190" s="345"/>
      <c r="BC1190" s="345"/>
      <c r="BD1190" s="345"/>
      <c r="BE1190" s="345"/>
      <c r="BF1190" s="345"/>
      <c r="BG1190" s="345"/>
      <c r="BH1190" s="345"/>
      <c r="BI1190" s="345"/>
      <c r="BJ1190" s="345"/>
      <c r="BK1190" s="345"/>
      <c r="BL1190" s="345"/>
      <c r="BM1190" s="345"/>
      <c r="BN1190" s="345"/>
      <c r="BO1190" s="345"/>
      <c r="BP1190" s="345"/>
      <c r="BQ1190" s="345"/>
      <c r="BR1190" s="345"/>
      <c r="BS1190" s="345"/>
      <c r="BT1190" s="345"/>
      <c r="BU1190" s="345"/>
      <c r="BV1190" s="345"/>
      <c r="BW1190" s="345"/>
      <c r="BX1190" s="345"/>
      <c r="BY1190" s="345"/>
      <c r="BZ1190" s="345"/>
      <c r="CA1190" s="345"/>
    </row>
    <row r="1191" spans="51:79" ht="15" customHeight="1" x14ac:dyDescent="0.2">
      <c r="AY1191" s="345"/>
      <c r="AZ1191" s="345"/>
      <c r="BA1191" s="345"/>
      <c r="BB1191" s="345"/>
      <c r="BC1191" s="345"/>
      <c r="BD1191" s="345"/>
      <c r="BE1191" s="345"/>
      <c r="BF1191" s="345"/>
      <c r="BG1191" s="345"/>
      <c r="BH1191" s="345"/>
      <c r="BI1191" s="345"/>
      <c r="BJ1191" s="345"/>
      <c r="BK1191" s="345"/>
      <c r="BL1191" s="345"/>
      <c r="BM1191" s="345"/>
      <c r="BN1191" s="345"/>
      <c r="BO1191" s="345"/>
      <c r="BP1191" s="345"/>
      <c r="BQ1191" s="345"/>
      <c r="BR1191" s="345"/>
      <c r="BS1191" s="345"/>
      <c r="BT1191" s="345"/>
      <c r="BU1191" s="345"/>
      <c r="BV1191" s="345"/>
      <c r="BW1191" s="345"/>
      <c r="BX1191" s="345"/>
      <c r="BY1191" s="345"/>
      <c r="BZ1191" s="345"/>
      <c r="CA1191" s="345"/>
    </row>
    <row r="1192" spans="51:79" ht="15" customHeight="1" x14ac:dyDescent="0.2">
      <c r="AY1192" s="345"/>
      <c r="AZ1192" s="345"/>
      <c r="BA1192" s="345"/>
      <c r="BB1192" s="345"/>
      <c r="BC1192" s="345"/>
      <c r="BD1192" s="345"/>
      <c r="BE1192" s="345"/>
      <c r="BF1192" s="345"/>
      <c r="BG1192" s="345"/>
      <c r="BH1192" s="345"/>
      <c r="BI1192" s="345"/>
      <c r="BJ1192" s="345"/>
      <c r="BK1192" s="345"/>
      <c r="BL1192" s="345"/>
      <c r="BM1192" s="345"/>
      <c r="BN1192" s="345"/>
      <c r="BO1192" s="345"/>
      <c r="BP1192" s="345"/>
      <c r="BQ1192" s="345"/>
      <c r="BR1192" s="345"/>
      <c r="BS1192" s="345"/>
      <c r="BT1192" s="345"/>
      <c r="BU1192" s="345"/>
      <c r="BV1192" s="345"/>
      <c r="BW1192" s="345"/>
      <c r="BX1192" s="345"/>
      <c r="BY1192" s="345"/>
      <c r="BZ1192" s="345"/>
      <c r="CA1192" s="345"/>
    </row>
    <row r="1193" spans="51:79" ht="15" customHeight="1" x14ac:dyDescent="0.2">
      <c r="AY1193" s="345"/>
      <c r="AZ1193" s="345"/>
      <c r="BA1193" s="345"/>
      <c r="BB1193" s="345"/>
      <c r="BC1193" s="345"/>
      <c r="BD1193" s="345"/>
      <c r="BE1193" s="345"/>
      <c r="BF1193" s="345"/>
      <c r="BG1193" s="345"/>
      <c r="BH1193" s="345"/>
      <c r="BI1193" s="345"/>
      <c r="BJ1193" s="345"/>
      <c r="BK1193" s="345"/>
      <c r="BL1193" s="345"/>
      <c r="BM1193" s="345"/>
      <c r="BN1193" s="345"/>
      <c r="BO1193" s="345"/>
      <c r="BP1193" s="345"/>
      <c r="BQ1193" s="345"/>
      <c r="BR1193" s="345"/>
      <c r="BS1193" s="345"/>
      <c r="BT1193" s="345"/>
      <c r="BU1193" s="345"/>
      <c r="BV1193" s="345"/>
      <c r="BW1193" s="345"/>
      <c r="BX1193" s="345"/>
      <c r="BY1193" s="345"/>
      <c r="BZ1193" s="345"/>
      <c r="CA1193" s="345"/>
    </row>
    <row r="1194" spans="51:79" ht="15" customHeight="1" x14ac:dyDescent="0.2">
      <c r="AY1194" s="345"/>
      <c r="AZ1194" s="345"/>
      <c r="BA1194" s="345"/>
      <c r="BB1194" s="345"/>
      <c r="BC1194" s="345"/>
      <c r="BD1194" s="345"/>
      <c r="BE1194" s="345"/>
      <c r="BF1194" s="345"/>
      <c r="BG1194" s="345"/>
      <c r="BH1194" s="345"/>
      <c r="BI1194" s="345"/>
      <c r="BJ1194" s="345"/>
      <c r="BK1194" s="345"/>
      <c r="BL1194" s="345"/>
      <c r="BM1194" s="345"/>
      <c r="BN1194" s="345"/>
      <c r="BO1194" s="345"/>
      <c r="BP1194" s="345"/>
      <c r="BQ1194" s="345"/>
      <c r="BR1194" s="345"/>
      <c r="BS1194" s="345"/>
      <c r="BT1194" s="345"/>
      <c r="BU1194" s="345"/>
      <c r="BV1194" s="345"/>
      <c r="BW1194" s="345"/>
      <c r="BX1194" s="345"/>
      <c r="BY1194" s="345"/>
      <c r="BZ1194" s="345"/>
      <c r="CA1194" s="345"/>
    </row>
    <row r="1195" spans="51:79" ht="15" customHeight="1" x14ac:dyDescent="0.2">
      <c r="AY1195" s="345"/>
      <c r="AZ1195" s="345"/>
      <c r="BA1195" s="345"/>
      <c r="BB1195" s="345"/>
      <c r="BC1195" s="345"/>
      <c r="BD1195" s="345"/>
      <c r="BE1195" s="345"/>
      <c r="BF1195" s="345"/>
      <c r="BG1195" s="345"/>
      <c r="BH1195" s="345"/>
      <c r="BI1195" s="345"/>
      <c r="BJ1195" s="345"/>
      <c r="BK1195" s="345"/>
      <c r="BL1195" s="345"/>
      <c r="BM1195" s="345"/>
      <c r="BN1195" s="345"/>
      <c r="BO1195" s="345"/>
      <c r="BP1195" s="345"/>
      <c r="BQ1195" s="345"/>
      <c r="BR1195" s="345"/>
      <c r="BS1195" s="345"/>
      <c r="BT1195" s="345"/>
      <c r="BU1195" s="345"/>
      <c r="BV1195" s="345"/>
      <c r="BW1195" s="345"/>
      <c r="BX1195" s="345"/>
      <c r="BY1195" s="345"/>
      <c r="BZ1195" s="345"/>
      <c r="CA1195" s="345"/>
    </row>
    <row r="1196" spans="51:79" ht="15" customHeight="1" x14ac:dyDescent="0.2">
      <c r="AY1196" s="345"/>
      <c r="AZ1196" s="345"/>
      <c r="BA1196" s="345"/>
      <c r="BB1196" s="345"/>
      <c r="BC1196" s="345"/>
      <c r="BD1196" s="345"/>
      <c r="BE1196" s="345"/>
      <c r="BF1196" s="345"/>
      <c r="BG1196" s="345"/>
      <c r="BH1196" s="345"/>
      <c r="BI1196" s="345"/>
      <c r="BJ1196" s="345"/>
      <c r="BK1196" s="345"/>
      <c r="BL1196" s="345"/>
      <c r="BM1196" s="345"/>
      <c r="BN1196" s="345"/>
      <c r="BO1196" s="345"/>
      <c r="BP1196" s="345"/>
      <c r="BQ1196" s="345"/>
      <c r="BR1196" s="345"/>
      <c r="BS1196" s="345"/>
      <c r="BT1196" s="345"/>
      <c r="BU1196" s="345"/>
      <c r="BV1196" s="345"/>
      <c r="BW1196" s="345"/>
      <c r="BX1196" s="345"/>
      <c r="BY1196" s="345"/>
      <c r="BZ1196" s="345"/>
      <c r="CA1196" s="345"/>
    </row>
    <row r="1197" spans="51:79" ht="15" customHeight="1" x14ac:dyDescent="0.2">
      <c r="AY1197" s="345"/>
      <c r="AZ1197" s="345"/>
      <c r="BA1197" s="345"/>
      <c r="BB1197" s="345"/>
      <c r="BC1197" s="345"/>
      <c r="BD1197" s="345"/>
      <c r="BE1197" s="345"/>
      <c r="BF1197" s="345"/>
      <c r="BG1197" s="345"/>
      <c r="BH1197" s="345"/>
      <c r="BI1197" s="345"/>
      <c r="BJ1197" s="345"/>
      <c r="BK1197" s="345"/>
      <c r="BL1197" s="345"/>
      <c r="BM1197" s="345"/>
      <c r="BN1197" s="345"/>
      <c r="BO1197" s="345"/>
      <c r="BP1197" s="345"/>
      <c r="BQ1197" s="345"/>
      <c r="BR1197" s="345"/>
      <c r="BS1197" s="345"/>
      <c r="BT1197" s="345"/>
      <c r="BU1197" s="345"/>
      <c r="BV1197" s="345"/>
      <c r="BW1197" s="345"/>
      <c r="BX1197" s="345"/>
      <c r="BY1197" s="345"/>
      <c r="BZ1197" s="345"/>
      <c r="CA1197" s="345"/>
    </row>
    <row r="1198" spans="51:79" ht="15" customHeight="1" x14ac:dyDescent="0.2">
      <c r="AY1198" s="345"/>
      <c r="AZ1198" s="345"/>
      <c r="BA1198" s="345"/>
      <c r="BB1198" s="345"/>
      <c r="BC1198" s="345"/>
      <c r="BD1198" s="345"/>
      <c r="BE1198" s="345"/>
      <c r="BF1198" s="345"/>
      <c r="BG1198" s="345"/>
      <c r="BH1198" s="345"/>
      <c r="BI1198" s="345"/>
      <c r="BJ1198" s="345"/>
      <c r="BK1198" s="345"/>
      <c r="BL1198" s="345"/>
      <c r="BM1198" s="345"/>
      <c r="BN1198" s="345"/>
      <c r="BO1198" s="345"/>
      <c r="BP1198" s="345"/>
      <c r="BQ1198" s="345"/>
      <c r="BR1198" s="345"/>
      <c r="BS1198" s="345"/>
      <c r="BT1198" s="345"/>
      <c r="BU1198" s="345"/>
      <c r="BV1198" s="345"/>
      <c r="BW1198" s="345"/>
      <c r="BX1198" s="345"/>
      <c r="BY1198" s="345"/>
      <c r="BZ1198" s="345"/>
      <c r="CA1198" s="345"/>
    </row>
    <row r="1199" spans="51:79" ht="15" customHeight="1" x14ac:dyDescent="0.2">
      <c r="AY1199" s="345"/>
      <c r="AZ1199" s="345"/>
      <c r="BA1199" s="345"/>
      <c r="BB1199" s="345"/>
      <c r="BC1199" s="345"/>
      <c r="BD1199" s="345"/>
      <c r="BE1199" s="345"/>
      <c r="BF1199" s="345"/>
      <c r="BG1199" s="345"/>
      <c r="BH1199" s="345"/>
      <c r="BI1199" s="345"/>
      <c r="BJ1199" s="345"/>
      <c r="BK1199" s="345"/>
      <c r="BL1199" s="345"/>
      <c r="BM1199" s="345"/>
      <c r="BN1199" s="345"/>
      <c r="BO1199" s="345"/>
      <c r="BP1199" s="345"/>
      <c r="BQ1199" s="345"/>
      <c r="BR1199" s="345"/>
      <c r="BS1199" s="345"/>
      <c r="BT1199" s="345"/>
      <c r="BU1199" s="345"/>
      <c r="BV1199" s="345"/>
      <c r="BW1199" s="345"/>
      <c r="BX1199" s="345"/>
      <c r="BY1199" s="345"/>
      <c r="BZ1199" s="345"/>
      <c r="CA1199" s="345"/>
    </row>
    <row r="1200" spans="51:79" ht="15" customHeight="1" x14ac:dyDescent="0.2">
      <c r="AY1200" s="345"/>
      <c r="AZ1200" s="345"/>
      <c r="BA1200" s="345"/>
      <c r="BB1200" s="345"/>
      <c r="BC1200" s="345"/>
      <c r="BD1200" s="345"/>
      <c r="BE1200" s="345"/>
      <c r="BF1200" s="345"/>
      <c r="BG1200" s="345"/>
      <c r="BH1200" s="345"/>
      <c r="BI1200" s="345"/>
      <c r="BJ1200" s="345"/>
      <c r="BK1200" s="345"/>
      <c r="BL1200" s="345"/>
      <c r="BM1200" s="345"/>
      <c r="BN1200" s="345"/>
      <c r="BO1200" s="345"/>
      <c r="BP1200" s="345"/>
      <c r="BQ1200" s="345"/>
      <c r="BR1200" s="345"/>
      <c r="BS1200" s="345"/>
      <c r="BT1200" s="345"/>
      <c r="BU1200" s="345"/>
      <c r="BV1200" s="345"/>
      <c r="BW1200" s="345"/>
      <c r="BX1200" s="345"/>
      <c r="BY1200" s="345"/>
      <c r="BZ1200" s="345"/>
      <c r="CA1200" s="345"/>
    </row>
    <row r="1201" spans="51:79" ht="15" customHeight="1" x14ac:dyDescent="0.2">
      <c r="AY1201" s="345"/>
      <c r="AZ1201" s="345"/>
      <c r="BA1201" s="345"/>
      <c r="BB1201" s="345"/>
      <c r="BC1201" s="345"/>
      <c r="BD1201" s="345"/>
      <c r="BE1201" s="345"/>
      <c r="BF1201" s="345"/>
      <c r="BG1201" s="345"/>
      <c r="BH1201" s="345"/>
      <c r="BI1201" s="345"/>
      <c r="BJ1201" s="345"/>
      <c r="BK1201" s="345"/>
      <c r="BL1201" s="345"/>
      <c r="BM1201" s="345"/>
      <c r="BN1201" s="345"/>
      <c r="BO1201" s="345"/>
      <c r="BP1201" s="345"/>
      <c r="BQ1201" s="345"/>
      <c r="BR1201" s="345"/>
      <c r="BS1201" s="345"/>
      <c r="BT1201" s="345"/>
      <c r="BU1201" s="345"/>
      <c r="BV1201" s="345"/>
      <c r="BW1201" s="345"/>
      <c r="BX1201" s="345"/>
      <c r="BY1201" s="345"/>
      <c r="BZ1201" s="345"/>
      <c r="CA1201" s="345"/>
    </row>
    <row r="1202" spans="51:79" ht="15" customHeight="1" x14ac:dyDescent="0.2">
      <c r="AY1202" s="345"/>
      <c r="AZ1202" s="345"/>
      <c r="BA1202" s="345"/>
      <c r="BB1202" s="345"/>
      <c r="BC1202" s="345"/>
      <c r="BD1202" s="345"/>
      <c r="BE1202" s="345"/>
      <c r="BF1202" s="345"/>
      <c r="BG1202" s="345"/>
      <c r="BH1202" s="345"/>
      <c r="BI1202" s="345"/>
      <c r="BJ1202" s="345"/>
      <c r="BK1202" s="345"/>
      <c r="BL1202" s="345"/>
      <c r="BM1202" s="345"/>
      <c r="BN1202" s="345"/>
      <c r="BO1202" s="345"/>
      <c r="BP1202" s="345"/>
      <c r="BQ1202" s="345"/>
      <c r="BR1202" s="345"/>
      <c r="BS1202" s="345"/>
      <c r="BT1202" s="345"/>
      <c r="BU1202" s="345"/>
      <c r="BV1202" s="345"/>
      <c r="BW1202" s="345"/>
      <c r="BX1202" s="345"/>
      <c r="BY1202" s="345"/>
      <c r="BZ1202" s="345"/>
      <c r="CA1202" s="345"/>
    </row>
    <row r="1203" spans="51:79" ht="15" customHeight="1" x14ac:dyDescent="0.2">
      <c r="AY1203" s="345"/>
      <c r="AZ1203" s="345"/>
      <c r="BA1203" s="345"/>
      <c r="BB1203" s="345"/>
      <c r="BC1203" s="345"/>
      <c r="BD1203" s="345"/>
      <c r="BE1203" s="345"/>
      <c r="BF1203" s="345"/>
      <c r="BG1203" s="345"/>
      <c r="BH1203" s="345"/>
      <c r="BI1203" s="345"/>
      <c r="BJ1203" s="345"/>
      <c r="BK1203" s="345"/>
      <c r="BL1203" s="345"/>
      <c r="BM1203" s="345"/>
      <c r="BN1203" s="345"/>
      <c r="BO1203" s="345"/>
      <c r="BP1203" s="345"/>
      <c r="BQ1203" s="345"/>
      <c r="BR1203" s="345"/>
      <c r="BS1203" s="345"/>
      <c r="BT1203" s="345"/>
      <c r="BU1203" s="345"/>
      <c r="BV1203" s="345"/>
      <c r="BW1203" s="345"/>
      <c r="BX1203" s="345"/>
      <c r="BY1203" s="345"/>
      <c r="BZ1203" s="345"/>
      <c r="CA1203" s="345"/>
    </row>
    <row r="1204" spans="51:79" ht="15" customHeight="1" x14ac:dyDescent="0.2">
      <c r="AY1204" s="345"/>
      <c r="AZ1204" s="345"/>
      <c r="BA1204" s="345"/>
      <c r="BB1204" s="345"/>
      <c r="BC1204" s="345"/>
      <c r="BD1204" s="345"/>
      <c r="BE1204" s="345"/>
      <c r="BF1204" s="345"/>
      <c r="BG1204" s="345"/>
      <c r="BH1204" s="345"/>
      <c r="BI1204" s="345"/>
      <c r="BJ1204" s="345"/>
      <c r="BK1204" s="345"/>
      <c r="BL1204" s="345"/>
      <c r="BM1204" s="345"/>
      <c r="BN1204" s="345"/>
      <c r="BO1204" s="345"/>
      <c r="BP1204" s="345"/>
      <c r="BQ1204" s="345"/>
      <c r="BR1204" s="345"/>
      <c r="BS1204" s="345"/>
      <c r="BT1204" s="345"/>
      <c r="BU1204" s="345"/>
      <c r="BV1204" s="345"/>
      <c r="BW1204" s="345"/>
      <c r="BX1204" s="345"/>
      <c r="BY1204" s="345"/>
      <c r="BZ1204" s="345"/>
      <c r="CA1204" s="345"/>
    </row>
    <row r="1205" spans="51:79" ht="15" customHeight="1" x14ac:dyDescent="0.2">
      <c r="AY1205" s="345"/>
      <c r="AZ1205" s="345"/>
      <c r="BA1205" s="345"/>
      <c r="BB1205" s="345"/>
      <c r="BC1205" s="345"/>
      <c r="BD1205" s="345"/>
      <c r="BE1205" s="345"/>
      <c r="BF1205" s="345"/>
      <c r="BG1205" s="345"/>
      <c r="BH1205" s="345"/>
      <c r="BI1205" s="345"/>
      <c r="BJ1205" s="345"/>
      <c r="BK1205" s="345"/>
      <c r="BL1205" s="345"/>
      <c r="BM1205" s="345"/>
      <c r="BN1205" s="345"/>
      <c r="BO1205" s="345"/>
      <c r="BP1205" s="345"/>
      <c r="BQ1205" s="345"/>
      <c r="BR1205" s="345"/>
      <c r="BS1205" s="345"/>
      <c r="BT1205" s="345"/>
      <c r="BU1205" s="345"/>
      <c r="BV1205" s="345"/>
      <c r="BW1205" s="345"/>
      <c r="BX1205" s="345"/>
      <c r="BY1205" s="345"/>
      <c r="BZ1205" s="345"/>
      <c r="CA1205" s="345"/>
    </row>
    <row r="1206" spans="51:79" ht="15" customHeight="1" x14ac:dyDescent="0.2">
      <c r="AY1206" s="345"/>
      <c r="AZ1206" s="345"/>
      <c r="BA1206" s="345"/>
      <c r="BB1206" s="345"/>
      <c r="BC1206" s="345"/>
      <c r="BD1206" s="345"/>
      <c r="BE1206" s="345"/>
      <c r="BF1206" s="345"/>
      <c r="BG1206" s="345"/>
      <c r="BH1206" s="345"/>
      <c r="BI1206" s="345"/>
      <c r="BJ1206" s="345"/>
      <c r="BK1206" s="345"/>
      <c r="BL1206" s="345"/>
      <c r="BM1206" s="345"/>
      <c r="BN1206" s="345"/>
      <c r="BO1206" s="345"/>
      <c r="BP1206" s="345"/>
      <c r="BQ1206" s="345"/>
      <c r="BR1206" s="345"/>
      <c r="BS1206" s="345"/>
      <c r="BT1206" s="345"/>
      <c r="BU1206" s="345"/>
      <c r="BV1206" s="345"/>
      <c r="BW1206" s="345"/>
      <c r="BX1206" s="345"/>
      <c r="BY1206" s="345"/>
      <c r="BZ1206" s="345"/>
      <c r="CA1206" s="345"/>
    </row>
  </sheetData>
  <mergeCells count="9">
    <mergeCell ref="AD10:AE10"/>
    <mergeCell ref="AF10:AG10"/>
    <mergeCell ref="B4:K5"/>
    <mergeCell ref="B10:F10"/>
    <mergeCell ref="G10:K10"/>
    <mergeCell ref="L10:S10"/>
    <mergeCell ref="T10:X10"/>
    <mergeCell ref="Y10:Z10"/>
    <mergeCell ref="AB10:AC10"/>
  </mergeCells>
  <pageMargins left="0.7" right="0.7" top="0.75" bottom="0.75" header="0" footer="0"/>
  <pageSetup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H1001"/>
  <sheetViews>
    <sheetView workbookViewId="0">
      <selection activeCell="K59" sqref="K59"/>
    </sheetView>
  </sheetViews>
  <sheetFormatPr defaultColWidth="12.625" defaultRowHeight="15" customHeight="1" x14ac:dyDescent="0.2"/>
  <cols>
    <col min="1" max="2" width="12.5" customWidth="1"/>
    <col min="3" max="6" width="8.625" customWidth="1"/>
    <col min="7" max="7" width="9.5" customWidth="1"/>
    <col min="8" max="26" width="8.625" customWidth="1"/>
  </cols>
  <sheetData>
    <row r="1" spans="1:8" ht="14.25" customHeight="1" x14ac:dyDescent="0.2">
      <c r="A1" s="254" t="s">
        <v>306</v>
      </c>
      <c r="B1" s="254" t="s">
        <v>307</v>
      </c>
      <c r="C1" s="254" t="s">
        <v>308</v>
      </c>
      <c r="D1" s="254" t="s">
        <v>309</v>
      </c>
      <c r="F1" s="254" t="s">
        <v>310</v>
      </c>
      <c r="G1" s="254"/>
    </row>
    <row r="2" spans="1:8" ht="14.25" customHeight="1" x14ac:dyDescent="0.25">
      <c r="A2" s="3">
        <v>7484.5278171828249</v>
      </c>
      <c r="B2" s="3">
        <v>0.22149919049102951</v>
      </c>
      <c r="C2" s="254">
        <f t="shared" ref="C2:C256" si="0">B2*$G$2</f>
        <v>22149.919049102951</v>
      </c>
      <c r="D2" s="255">
        <f t="shared" ref="D2:D256" si="1">IF(A2&gt;C2,1,0)</f>
        <v>0</v>
      </c>
      <c r="F2" s="254" t="s">
        <v>311</v>
      </c>
      <c r="G2" s="254">
        <v>100000</v>
      </c>
      <c r="H2" s="254"/>
    </row>
    <row r="3" spans="1:8" ht="14.25" customHeight="1" x14ac:dyDescent="0.25">
      <c r="A3" s="3">
        <v>8476.8871539667307</v>
      </c>
      <c r="B3" s="3">
        <v>0.28057588775356335</v>
      </c>
      <c r="C3" s="254">
        <f t="shared" si="0"/>
        <v>28057.588775356333</v>
      </c>
      <c r="D3" s="255">
        <f t="shared" si="1"/>
        <v>0</v>
      </c>
      <c r="E3" s="254" t="s">
        <v>312</v>
      </c>
      <c r="G3" s="254"/>
    </row>
    <row r="4" spans="1:8" ht="14.25" customHeight="1" x14ac:dyDescent="0.25">
      <c r="A4" s="3">
        <v>14362.443605216598</v>
      </c>
      <c r="B4" s="3">
        <v>4.3231566134606381E-2</v>
      </c>
      <c r="C4" s="254">
        <f t="shared" si="0"/>
        <v>4323.1566134606383</v>
      </c>
      <c r="D4" s="255">
        <f t="shared" si="1"/>
        <v>1</v>
      </c>
      <c r="E4" s="255">
        <f>AVERAGE(D2:D1001)</f>
        <v>0.496</v>
      </c>
      <c r="G4" s="254"/>
    </row>
    <row r="5" spans="1:8" ht="14.25" customHeight="1" x14ac:dyDescent="0.25">
      <c r="A5" s="3">
        <v>6258.6336547531319</v>
      </c>
      <c r="B5" s="3">
        <v>-4.4928382803302913E-2</v>
      </c>
      <c r="C5" s="254">
        <f t="shared" si="0"/>
        <v>-4492.8382803302911</v>
      </c>
      <c r="D5" s="255">
        <f t="shared" si="1"/>
        <v>1</v>
      </c>
    </row>
    <row r="6" spans="1:8" ht="14.25" customHeight="1" x14ac:dyDescent="0.25">
      <c r="A6" s="3">
        <v>2422.5160702610374</v>
      </c>
      <c r="B6" s="3">
        <v>0.13879604089330444</v>
      </c>
      <c r="C6" s="254">
        <f t="shared" si="0"/>
        <v>13879.604089330443</v>
      </c>
      <c r="D6" s="255">
        <f t="shared" si="1"/>
        <v>0</v>
      </c>
    </row>
    <row r="7" spans="1:8" ht="14.25" customHeight="1" x14ac:dyDescent="0.25">
      <c r="A7" s="3">
        <v>8297.3738656155401</v>
      </c>
      <c r="B7" s="3">
        <v>-0.1963928849517258</v>
      </c>
      <c r="C7" s="254">
        <f t="shared" si="0"/>
        <v>-19639.288495172579</v>
      </c>
      <c r="D7" s="255">
        <f t="shared" si="1"/>
        <v>1</v>
      </c>
    </row>
    <row r="8" spans="1:8" ht="14.25" customHeight="1" x14ac:dyDescent="0.25">
      <c r="A8" s="3">
        <v>9389.0696676428197</v>
      </c>
      <c r="B8" s="3">
        <v>-0.12390687105903275</v>
      </c>
      <c r="C8" s="254">
        <f t="shared" si="0"/>
        <v>-12390.687105903275</v>
      </c>
      <c r="D8" s="255">
        <f t="shared" si="1"/>
        <v>1</v>
      </c>
    </row>
    <row r="9" spans="1:8" ht="14.25" customHeight="1" x14ac:dyDescent="0.25">
      <c r="A9" s="3">
        <v>7974.4001817195967</v>
      </c>
      <c r="B9" s="3">
        <v>0.22145033938414471</v>
      </c>
      <c r="C9" s="254">
        <f t="shared" si="0"/>
        <v>22145.033938414472</v>
      </c>
      <c r="D9" s="255">
        <f t="shared" si="1"/>
        <v>0</v>
      </c>
    </row>
    <row r="10" spans="1:8" ht="14.25" customHeight="1" x14ac:dyDescent="0.25">
      <c r="A10" s="3">
        <v>13366.809086830421</v>
      </c>
      <c r="B10" s="3">
        <v>-0.29140234264702425</v>
      </c>
      <c r="C10" s="254">
        <f t="shared" si="0"/>
        <v>-29140.234264702423</v>
      </c>
      <c r="D10" s="255">
        <f t="shared" si="1"/>
        <v>1</v>
      </c>
    </row>
    <row r="11" spans="1:8" ht="14.25" customHeight="1" x14ac:dyDescent="0.25">
      <c r="A11" s="3">
        <v>-867.5497968600539</v>
      </c>
      <c r="B11" s="3">
        <v>4.7411395284753688E-2</v>
      </c>
      <c r="C11" s="254">
        <f t="shared" si="0"/>
        <v>4741.1395284753689</v>
      </c>
      <c r="D11" s="255">
        <f t="shared" si="1"/>
        <v>0</v>
      </c>
    </row>
    <row r="12" spans="1:8" ht="14.25" customHeight="1" x14ac:dyDescent="0.25">
      <c r="A12" s="3">
        <v>9598.7649709168545</v>
      </c>
      <c r="B12" s="3">
        <v>-0.14256175676561389</v>
      </c>
      <c r="C12" s="254">
        <f t="shared" si="0"/>
        <v>-14256.175676561388</v>
      </c>
      <c r="D12" s="255">
        <f t="shared" si="1"/>
        <v>1</v>
      </c>
    </row>
    <row r="13" spans="1:8" ht="14.25" customHeight="1" x14ac:dyDescent="0.25">
      <c r="A13" s="3">
        <v>9298.6221293899289</v>
      </c>
      <c r="B13" s="3">
        <v>6.0866563521496442E-2</v>
      </c>
      <c r="C13" s="254">
        <f t="shared" si="0"/>
        <v>6086.6563521496446</v>
      </c>
      <c r="D13" s="255">
        <f t="shared" si="1"/>
        <v>1</v>
      </c>
    </row>
    <row r="14" spans="1:8" ht="14.25" customHeight="1" x14ac:dyDescent="0.25">
      <c r="A14" s="3">
        <v>1959.4000157815608</v>
      </c>
      <c r="B14" s="3">
        <v>4.8497345471991693E-2</v>
      </c>
      <c r="C14" s="254">
        <f t="shared" si="0"/>
        <v>4849.7345471991694</v>
      </c>
      <c r="D14" s="255">
        <f t="shared" si="1"/>
        <v>0</v>
      </c>
    </row>
    <row r="15" spans="1:8" ht="14.25" customHeight="1" x14ac:dyDescent="0.25">
      <c r="A15" s="3">
        <v>7166.399004810206</v>
      </c>
      <c r="B15" s="3">
        <v>-0.1172526317413034</v>
      </c>
      <c r="C15" s="254">
        <f t="shared" si="0"/>
        <v>-11725.263174130341</v>
      </c>
      <c r="D15" s="255">
        <f t="shared" si="1"/>
        <v>1</v>
      </c>
    </row>
    <row r="16" spans="1:8" ht="14.25" customHeight="1" x14ac:dyDescent="0.25">
      <c r="A16" s="3">
        <v>15210.841622788852</v>
      </c>
      <c r="B16" s="3">
        <v>9.6767510084958097E-2</v>
      </c>
      <c r="C16" s="254">
        <f t="shared" si="0"/>
        <v>9676.7510084958103</v>
      </c>
      <c r="D16" s="255">
        <f t="shared" si="1"/>
        <v>1</v>
      </c>
    </row>
    <row r="17" spans="1:4" ht="14.25" customHeight="1" x14ac:dyDescent="0.25">
      <c r="A17" s="3">
        <v>16249.52828939732</v>
      </c>
      <c r="B17" s="3">
        <v>0.43069843664100782</v>
      </c>
      <c r="C17" s="254">
        <f t="shared" si="0"/>
        <v>43069.843664100779</v>
      </c>
      <c r="D17" s="255">
        <f t="shared" si="1"/>
        <v>0</v>
      </c>
    </row>
    <row r="18" spans="1:4" ht="14.25" customHeight="1" x14ac:dyDescent="0.25">
      <c r="A18" s="3">
        <v>-1488.8047418837814</v>
      </c>
      <c r="B18" s="3">
        <v>4.8518129147416822E-3</v>
      </c>
      <c r="C18" s="254">
        <f t="shared" si="0"/>
        <v>485.18129147416823</v>
      </c>
      <c r="D18" s="255">
        <f t="shared" si="1"/>
        <v>0</v>
      </c>
    </row>
    <row r="19" spans="1:4" ht="14.25" customHeight="1" x14ac:dyDescent="0.25">
      <c r="A19" s="3">
        <v>843.71900516080495</v>
      </c>
      <c r="B19" s="3">
        <v>0.5712625247321883</v>
      </c>
      <c r="C19" s="254">
        <f t="shared" si="0"/>
        <v>57126.252473218832</v>
      </c>
      <c r="D19" s="255">
        <f t="shared" si="1"/>
        <v>0</v>
      </c>
    </row>
    <row r="20" spans="1:4" ht="14.25" customHeight="1" x14ac:dyDescent="0.25">
      <c r="A20" s="3">
        <v>8297.842686389602</v>
      </c>
      <c r="B20" s="3">
        <v>-0.1254141643280513</v>
      </c>
      <c r="C20" s="254">
        <f t="shared" si="0"/>
        <v>-12541.41643280513</v>
      </c>
      <c r="D20" s="255">
        <f t="shared" si="1"/>
        <v>1</v>
      </c>
    </row>
    <row r="21" spans="1:4" ht="14.25" customHeight="1" x14ac:dyDescent="0.25">
      <c r="A21" s="3">
        <v>13790.023438536737</v>
      </c>
      <c r="B21" s="3">
        <v>-0.17967418611351649</v>
      </c>
      <c r="C21" s="254">
        <f t="shared" si="0"/>
        <v>-17967.418611351648</v>
      </c>
      <c r="D21" s="255">
        <f t="shared" si="1"/>
        <v>1</v>
      </c>
    </row>
    <row r="22" spans="1:4" ht="14.25" customHeight="1" x14ac:dyDescent="0.25">
      <c r="A22" s="3">
        <v>5865.1384164707415</v>
      </c>
      <c r="B22" s="3">
        <v>0.31927720127492654</v>
      </c>
      <c r="C22" s="254">
        <f t="shared" si="0"/>
        <v>31927.720127492652</v>
      </c>
      <c r="D22" s="255">
        <f t="shared" si="1"/>
        <v>0</v>
      </c>
    </row>
    <row r="23" spans="1:4" ht="14.25" customHeight="1" x14ac:dyDescent="0.25">
      <c r="A23" s="3">
        <v>12236.441579134131</v>
      </c>
      <c r="B23" s="3">
        <v>0.43980533653876641</v>
      </c>
      <c r="C23" s="254">
        <f t="shared" si="0"/>
        <v>43980.533653876642</v>
      </c>
      <c r="D23" s="255">
        <f t="shared" si="1"/>
        <v>0</v>
      </c>
    </row>
    <row r="24" spans="1:4" ht="14.25" customHeight="1" x14ac:dyDescent="0.25">
      <c r="A24" s="3">
        <v>7637.0849058120511</v>
      </c>
      <c r="B24" s="3">
        <v>-0.24261162774808653</v>
      </c>
      <c r="C24" s="254">
        <f t="shared" si="0"/>
        <v>-24261.162774808654</v>
      </c>
      <c r="D24" s="255">
        <f t="shared" si="1"/>
        <v>1</v>
      </c>
    </row>
    <row r="25" spans="1:4" ht="14.25" customHeight="1" x14ac:dyDescent="0.25">
      <c r="A25" s="3">
        <v>3596.088799143341</v>
      </c>
      <c r="B25" s="3">
        <v>-0.17978668833361833</v>
      </c>
      <c r="C25" s="254">
        <f t="shared" si="0"/>
        <v>-17978.668833361833</v>
      </c>
      <c r="D25" s="255">
        <f t="shared" si="1"/>
        <v>1</v>
      </c>
    </row>
    <row r="26" spans="1:4" ht="14.25" customHeight="1" x14ac:dyDescent="0.25">
      <c r="A26" s="3">
        <v>-2085.2525506818056</v>
      </c>
      <c r="B26" s="3">
        <v>-0.12291092520126812</v>
      </c>
      <c r="C26" s="254">
        <f t="shared" si="0"/>
        <v>-12291.092520126811</v>
      </c>
      <c r="D26" s="255">
        <f t="shared" si="1"/>
        <v>1</v>
      </c>
    </row>
    <row r="27" spans="1:4" ht="14.25" customHeight="1" x14ac:dyDescent="0.25">
      <c r="A27" s="3">
        <v>424.46186998997291</v>
      </c>
      <c r="B27" s="3">
        <v>0.17864075835307247</v>
      </c>
      <c r="C27" s="254">
        <f t="shared" si="0"/>
        <v>17864.075835307249</v>
      </c>
      <c r="D27" s="255">
        <f t="shared" si="1"/>
        <v>0</v>
      </c>
    </row>
    <row r="28" spans="1:4" ht="14.25" customHeight="1" x14ac:dyDescent="0.25">
      <c r="A28" s="3">
        <v>5568.8563153848227</v>
      </c>
      <c r="B28" s="3">
        <v>0.16274413505783714</v>
      </c>
      <c r="C28" s="254">
        <f t="shared" si="0"/>
        <v>16274.413505783714</v>
      </c>
      <c r="D28" s="255">
        <f t="shared" si="1"/>
        <v>0</v>
      </c>
    </row>
    <row r="29" spans="1:4" ht="14.25" customHeight="1" x14ac:dyDescent="0.25">
      <c r="A29" s="3">
        <v>17365.706897496173</v>
      </c>
      <c r="B29" s="3">
        <v>0.10389218713183568</v>
      </c>
      <c r="C29" s="254">
        <f t="shared" si="0"/>
        <v>10389.218713183567</v>
      </c>
      <c r="D29" s="255">
        <f t="shared" si="1"/>
        <v>1</v>
      </c>
    </row>
    <row r="30" spans="1:4" ht="14.25" customHeight="1" x14ac:dyDescent="0.25">
      <c r="A30" s="3">
        <v>3733.6915417813507</v>
      </c>
      <c r="B30" s="3">
        <v>0.1077612986448897</v>
      </c>
      <c r="C30" s="254">
        <f t="shared" si="0"/>
        <v>10776.12986448897</v>
      </c>
      <c r="D30" s="255">
        <f t="shared" si="1"/>
        <v>0</v>
      </c>
    </row>
    <row r="31" spans="1:4" ht="14.25" customHeight="1" x14ac:dyDescent="0.25">
      <c r="A31" s="3">
        <v>-2453.0977481304435</v>
      </c>
      <c r="B31" s="3">
        <v>0.16773934717366767</v>
      </c>
      <c r="C31" s="254">
        <f t="shared" si="0"/>
        <v>16773.934717366767</v>
      </c>
      <c r="D31" s="255">
        <f t="shared" si="1"/>
        <v>0</v>
      </c>
    </row>
    <row r="32" spans="1:4" ht="14.25" customHeight="1" x14ac:dyDescent="0.25">
      <c r="A32" s="3">
        <v>11765.231119624783</v>
      </c>
      <c r="B32" s="3">
        <v>0.14406375614452049</v>
      </c>
      <c r="C32" s="254">
        <f t="shared" si="0"/>
        <v>14406.37561445205</v>
      </c>
      <c r="D32" s="255">
        <f t="shared" si="1"/>
        <v>0</v>
      </c>
    </row>
    <row r="33" spans="1:4" ht="14.25" customHeight="1" x14ac:dyDescent="0.25">
      <c r="A33" s="3">
        <v>-858.86840397760534</v>
      </c>
      <c r="B33" s="3">
        <v>3.256238512940568E-2</v>
      </c>
      <c r="C33" s="254">
        <f t="shared" si="0"/>
        <v>3256.2385129405679</v>
      </c>
      <c r="D33" s="255">
        <f t="shared" si="1"/>
        <v>0</v>
      </c>
    </row>
    <row r="34" spans="1:4" ht="14.25" customHeight="1" x14ac:dyDescent="0.25">
      <c r="A34" s="3">
        <v>4201.7881713506868</v>
      </c>
      <c r="B34" s="3">
        <v>-6.6994175806550871E-2</v>
      </c>
      <c r="C34" s="254">
        <f t="shared" si="0"/>
        <v>-6699.4175806550875</v>
      </c>
      <c r="D34" s="255">
        <f t="shared" si="1"/>
        <v>1</v>
      </c>
    </row>
    <row r="35" spans="1:4" ht="14.25" customHeight="1" x14ac:dyDescent="0.25">
      <c r="A35" s="3">
        <v>4312.9674916839576</v>
      </c>
      <c r="B35" s="3">
        <v>0.2134218803804715</v>
      </c>
      <c r="C35" s="254">
        <f t="shared" si="0"/>
        <v>21342.188038047148</v>
      </c>
      <c r="D35" s="255">
        <f t="shared" si="1"/>
        <v>0</v>
      </c>
    </row>
    <row r="36" spans="1:4" ht="14.25" customHeight="1" x14ac:dyDescent="0.25">
      <c r="A36" s="3">
        <v>14951.894958763471</v>
      </c>
      <c r="B36" s="3">
        <v>0.10294338054003949</v>
      </c>
      <c r="C36" s="254">
        <f t="shared" si="0"/>
        <v>10294.338054003949</v>
      </c>
      <c r="D36" s="255">
        <f t="shared" si="1"/>
        <v>1</v>
      </c>
    </row>
    <row r="37" spans="1:4" ht="14.25" customHeight="1" x14ac:dyDescent="0.25">
      <c r="A37" s="3">
        <v>10247.066801332752</v>
      </c>
      <c r="B37" s="3">
        <v>-0.24932539724879904</v>
      </c>
      <c r="C37" s="254">
        <f t="shared" si="0"/>
        <v>-24932.539724879905</v>
      </c>
      <c r="D37" s="255">
        <f t="shared" si="1"/>
        <v>1</v>
      </c>
    </row>
    <row r="38" spans="1:4" ht="14.25" customHeight="1" x14ac:dyDescent="0.25">
      <c r="A38" s="3">
        <v>10696.423342319322</v>
      </c>
      <c r="B38" s="3">
        <v>0.34394121486088025</v>
      </c>
      <c r="C38" s="254">
        <f t="shared" si="0"/>
        <v>34394.121486088028</v>
      </c>
      <c r="D38" s="255">
        <f t="shared" si="1"/>
        <v>0</v>
      </c>
    </row>
    <row r="39" spans="1:4" ht="14.25" customHeight="1" x14ac:dyDescent="0.25">
      <c r="A39" s="3">
        <v>-738.02578756462026</v>
      </c>
      <c r="B39" s="3">
        <v>8.1835471875079557E-2</v>
      </c>
      <c r="C39" s="254">
        <f t="shared" si="0"/>
        <v>8183.5471875079556</v>
      </c>
      <c r="D39" s="255">
        <f t="shared" si="1"/>
        <v>0</v>
      </c>
    </row>
    <row r="40" spans="1:4" ht="14.25" customHeight="1" x14ac:dyDescent="0.25">
      <c r="A40" s="3">
        <v>1061.2240482581983</v>
      </c>
      <c r="B40" s="3">
        <v>0.43469446603819817</v>
      </c>
      <c r="C40" s="254">
        <f t="shared" si="0"/>
        <v>43469.446603819815</v>
      </c>
      <c r="D40" s="255">
        <f t="shared" si="1"/>
        <v>0</v>
      </c>
    </row>
    <row r="41" spans="1:4" ht="14.25" customHeight="1" x14ac:dyDescent="0.25">
      <c r="A41" s="3">
        <v>6330.1494537787221</v>
      </c>
      <c r="B41" s="3">
        <v>3.6518308752783168E-2</v>
      </c>
      <c r="C41" s="254">
        <f t="shared" si="0"/>
        <v>3651.8308752783169</v>
      </c>
      <c r="D41" s="255">
        <f t="shared" si="1"/>
        <v>1</v>
      </c>
    </row>
    <row r="42" spans="1:4" ht="14.25" customHeight="1" x14ac:dyDescent="0.25">
      <c r="A42" s="3">
        <v>5178.0279537907845</v>
      </c>
      <c r="B42" s="3">
        <v>5.2375092677693802E-2</v>
      </c>
      <c r="C42" s="254">
        <f t="shared" si="0"/>
        <v>5237.5092677693801</v>
      </c>
      <c r="D42" s="255">
        <f t="shared" si="1"/>
        <v>0</v>
      </c>
    </row>
    <row r="43" spans="1:4" ht="14.25" customHeight="1" x14ac:dyDescent="0.25">
      <c r="A43" s="3">
        <v>10608.189481544512</v>
      </c>
      <c r="B43" s="3">
        <v>0.32187865980095998</v>
      </c>
      <c r="C43" s="254">
        <f t="shared" si="0"/>
        <v>32187.865980095998</v>
      </c>
      <c r="D43" s="255">
        <f t="shared" si="1"/>
        <v>0</v>
      </c>
    </row>
    <row r="44" spans="1:4" ht="14.25" customHeight="1" x14ac:dyDescent="0.25">
      <c r="A44" s="3">
        <v>12720.258589863857</v>
      </c>
      <c r="B44" s="3">
        <v>-2.1747863375051413E-2</v>
      </c>
      <c r="C44" s="254">
        <f t="shared" si="0"/>
        <v>-2174.7863375051411</v>
      </c>
      <c r="D44" s="255">
        <f t="shared" si="1"/>
        <v>1</v>
      </c>
    </row>
    <row r="45" spans="1:4" ht="14.25" customHeight="1" x14ac:dyDescent="0.25">
      <c r="A45" s="3">
        <v>10770.838193777061</v>
      </c>
      <c r="B45" s="3">
        <v>-0.27129586037816456</v>
      </c>
      <c r="C45" s="254">
        <f t="shared" si="0"/>
        <v>-27129.586037816454</v>
      </c>
      <c r="D45" s="255">
        <f t="shared" si="1"/>
        <v>1</v>
      </c>
    </row>
    <row r="46" spans="1:4" ht="14.25" customHeight="1" x14ac:dyDescent="0.25">
      <c r="A46" s="3">
        <v>8989.1750389100343</v>
      </c>
      <c r="B46" s="3">
        <v>0.18289646734212872</v>
      </c>
      <c r="C46" s="254">
        <f t="shared" si="0"/>
        <v>18289.646734212871</v>
      </c>
      <c r="D46" s="255">
        <f t="shared" si="1"/>
        <v>0</v>
      </c>
    </row>
    <row r="47" spans="1:4" ht="14.25" customHeight="1" x14ac:dyDescent="0.25">
      <c r="A47" s="3">
        <v>6185.0214524450421</v>
      </c>
      <c r="B47" s="3">
        <v>6.8526674734516124E-2</v>
      </c>
      <c r="C47" s="254">
        <f t="shared" si="0"/>
        <v>6852.6674734516128</v>
      </c>
      <c r="D47" s="255">
        <f t="shared" si="1"/>
        <v>0</v>
      </c>
    </row>
    <row r="48" spans="1:4" ht="14.25" customHeight="1" x14ac:dyDescent="0.25">
      <c r="A48" s="3">
        <v>6625.9570417586947</v>
      </c>
      <c r="B48" s="3">
        <v>5.7594489074081157E-2</v>
      </c>
      <c r="C48" s="254">
        <f t="shared" si="0"/>
        <v>5759.4489074081157</v>
      </c>
      <c r="D48" s="255">
        <f t="shared" si="1"/>
        <v>1</v>
      </c>
    </row>
    <row r="49" spans="1:4" ht="14.25" customHeight="1" x14ac:dyDescent="0.25">
      <c r="A49" s="3">
        <v>15243.173063844661</v>
      </c>
      <c r="B49" s="3">
        <v>6.856738514576266E-2</v>
      </c>
      <c r="C49" s="254">
        <f t="shared" si="0"/>
        <v>6856.7385145762664</v>
      </c>
      <c r="D49" s="255">
        <f t="shared" si="1"/>
        <v>1</v>
      </c>
    </row>
    <row r="50" spans="1:4" ht="14.25" customHeight="1" x14ac:dyDescent="0.25">
      <c r="A50" s="3">
        <v>7627.9713672025173</v>
      </c>
      <c r="B50" s="3">
        <v>0.3784965474111277</v>
      </c>
      <c r="C50" s="254">
        <f t="shared" si="0"/>
        <v>37849.654741112769</v>
      </c>
      <c r="D50" s="255">
        <f t="shared" si="1"/>
        <v>0</v>
      </c>
    </row>
    <row r="51" spans="1:4" ht="14.25" customHeight="1" x14ac:dyDescent="0.25">
      <c r="A51" s="3">
        <v>6341.3145943500858</v>
      </c>
      <c r="B51" s="3">
        <v>0.22582337903191774</v>
      </c>
      <c r="C51" s="254">
        <f t="shared" si="0"/>
        <v>22582.337903191772</v>
      </c>
      <c r="D51" s="255">
        <f t="shared" si="1"/>
        <v>0</v>
      </c>
    </row>
    <row r="52" spans="1:4" ht="14.25" customHeight="1" x14ac:dyDescent="0.25">
      <c r="A52" s="3">
        <v>-2299.0851088634445</v>
      </c>
      <c r="B52" s="3">
        <v>0.29145807857992745</v>
      </c>
      <c r="C52" s="254">
        <f t="shared" si="0"/>
        <v>29145.807857992746</v>
      </c>
      <c r="D52" s="255">
        <f t="shared" si="1"/>
        <v>0</v>
      </c>
    </row>
    <row r="53" spans="1:4" ht="14.25" customHeight="1" x14ac:dyDescent="0.25">
      <c r="A53" s="3">
        <v>7323.7477832984223</v>
      </c>
      <c r="B53" s="3">
        <v>0.5886518803640779</v>
      </c>
      <c r="C53" s="254">
        <f t="shared" si="0"/>
        <v>58865.188036407788</v>
      </c>
      <c r="D53" s="255">
        <f t="shared" si="1"/>
        <v>0</v>
      </c>
    </row>
    <row r="54" spans="1:4" ht="14.25" customHeight="1" x14ac:dyDescent="0.25">
      <c r="A54" s="3">
        <v>7743.1702762479908</v>
      </c>
      <c r="B54" s="3">
        <v>9.8682740940716274E-2</v>
      </c>
      <c r="C54" s="254">
        <f t="shared" si="0"/>
        <v>9868.2740940716267</v>
      </c>
      <c r="D54" s="255">
        <f t="shared" si="1"/>
        <v>0</v>
      </c>
    </row>
    <row r="55" spans="1:4" ht="14.25" customHeight="1" x14ac:dyDescent="0.25">
      <c r="A55" s="3">
        <v>13872.690667848772</v>
      </c>
      <c r="B55" s="3">
        <v>-3.9526867605376714E-2</v>
      </c>
      <c r="C55" s="254">
        <f t="shared" si="0"/>
        <v>-3952.6867605376715</v>
      </c>
      <c r="D55" s="255">
        <f t="shared" si="1"/>
        <v>1</v>
      </c>
    </row>
    <row r="56" spans="1:4" ht="14.25" customHeight="1" x14ac:dyDescent="0.25">
      <c r="A56" s="3">
        <v>10710.361203746572</v>
      </c>
      <c r="B56" s="3">
        <v>0.1616217684780783</v>
      </c>
      <c r="C56" s="254">
        <f t="shared" si="0"/>
        <v>16162.17684780783</v>
      </c>
      <c r="D56" s="255">
        <f t="shared" si="1"/>
        <v>0</v>
      </c>
    </row>
    <row r="57" spans="1:4" ht="14.25" customHeight="1" x14ac:dyDescent="0.25">
      <c r="A57" s="3">
        <v>10452.071939025882</v>
      </c>
      <c r="B57" s="3">
        <v>0.27942750932911342</v>
      </c>
      <c r="C57" s="254">
        <f t="shared" si="0"/>
        <v>27942.750932911342</v>
      </c>
      <c r="D57" s="255">
        <f t="shared" si="1"/>
        <v>0</v>
      </c>
    </row>
    <row r="58" spans="1:4" ht="14.25" customHeight="1" x14ac:dyDescent="0.25">
      <c r="A58" s="3">
        <v>10476.142167388054</v>
      </c>
      <c r="B58" s="3">
        <v>0.17901415958352151</v>
      </c>
      <c r="C58" s="254">
        <f t="shared" si="0"/>
        <v>17901.41595835215</v>
      </c>
      <c r="D58" s="255">
        <f t="shared" si="1"/>
        <v>0</v>
      </c>
    </row>
    <row r="59" spans="1:4" ht="14.25" customHeight="1" x14ac:dyDescent="0.25">
      <c r="A59" s="3">
        <v>5535.9428419695469</v>
      </c>
      <c r="B59" s="3">
        <v>0.2909143238922367</v>
      </c>
      <c r="C59" s="254">
        <f t="shared" si="0"/>
        <v>29091.432389223672</v>
      </c>
      <c r="D59" s="255">
        <f t="shared" si="1"/>
        <v>0</v>
      </c>
    </row>
    <row r="60" spans="1:4" ht="14.25" customHeight="1" x14ac:dyDescent="0.25">
      <c r="A60" s="3">
        <v>1344.5168477628613</v>
      </c>
      <c r="B60" s="3">
        <v>-3.7903982919792245E-2</v>
      </c>
      <c r="C60" s="254">
        <f t="shared" si="0"/>
        <v>-3790.3982919792247</v>
      </c>
      <c r="D60" s="255">
        <f t="shared" si="1"/>
        <v>1</v>
      </c>
    </row>
    <row r="61" spans="1:4" ht="14.25" customHeight="1" x14ac:dyDescent="0.25">
      <c r="A61" s="3">
        <v>1479.6134761208232</v>
      </c>
      <c r="B61" s="3">
        <v>-4.1947085709873044E-2</v>
      </c>
      <c r="C61" s="254">
        <f t="shared" si="0"/>
        <v>-4194.7085709873045</v>
      </c>
      <c r="D61" s="255">
        <f t="shared" si="1"/>
        <v>1</v>
      </c>
    </row>
    <row r="62" spans="1:4" ht="14.25" customHeight="1" x14ac:dyDescent="0.25">
      <c r="A62" s="3">
        <v>4151.6375339574879</v>
      </c>
      <c r="B62" s="3">
        <v>0.34908155108980354</v>
      </c>
      <c r="C62" s="254">
        <f t="shared" si="0"/>
        <v>34908.155108980354</v>
      </c>
      <c r="D62" s="255">
        <f t="shared" si="1"/>
        <v>0</v>
      </c>
    </row>
    <row r="63" spans="1:4" ht="14.25" customHeight="1" x14ac:dyDescent="0.25">
      <c r="A63" s="3">
        <v>7702.2364771942084</v>
      </c>
      <c r="B63" s="3">
        <v>1.8771264361601148E-2</v>
      </c>
      <c r="C63" s="254">
        <f t="shared" si="0"/>
        <v>1877.1264361601147</v>
      </c>
      <c r="D63" s="255">
        <f t="shared" si="1"/>
        <v>1</v>
      </c>
    </row>
    <row r="64" spans="1:4" ht="14.25" customHeight="1" x14ac:dyDescent="0.25">
      <c r="A64" s="3">
        <v>7091.8857887657796</v>
      </c>
      <c r="B64" s="3">
        <v>0.16337013340597473</v>
      </c>
      <c r="C64" s="254">
        <f t="shared" si="0"/>
        <v>16337.013340597472</v>
      </c>
      <c r="D64" s="255">
        <f t="shared" si="1"/>
        <v>0</v>
      </c>
    </row>
    <row r="65" spans="1:4" ht="14.25" customHeight="1" x14ac:dyDescent="0.25">
      <c r="A65" s="3">
        <v>15160.423822075907</v>
      </c>
      <c r="B65" s="3">
        <v>0.15801367557003054</v>
      </c>
      <c r="C65" s="254">
        <f t="shared" si="0"/>
        <v>15801.367557003054</v>
      </c>
      <c r="D65" s="255">
        <f t="shared" si="1"/>
        <v>0</v>
      </c>
    </row>
    <row r="66" spans="1:4" ht="14.25" customHeight="1" x14ac:dyDescent="0.25">
      <c r="A66" s="3">
        <v>-410.94766470817558</v>
      </c>
      <c r="B66" s="3">
        <v>-9.8828210363402391E-2</v>
      </c>
      <c r="C66" s="254">
        <f t="shared" si="0"/>
        <v>-9882.8210363402395</v>
      </c>
      <c r="D66" s="255">
        <f t="shared" si="1"/>
        <v>1</v>
      </c>
    </row>
    <row r="67" spans="1:4" ht="14.25" customHeight="1" x14ac:dyDescent="0.25">
      <c r="A67" s="3">
        <v>10613.830558418129</v>
      </c>
      <c r="B67" s="3">
        <v>6.2682532662119428E-3</v>
      </c>
      <c r="C67" s="254">
        <f t="shared" si="0"/>
        <v>626.82532662119434</v>
      </c>
      <c r="D67" s="255">
        <f t="shared" si="1"/>
        <v>1</v>
      </c>
    </row>
    <row r="68" spans="1:4" ht="14.25" customHeight="1" x14ac:dyDescent="0.25">
      <c r="A68" s="3">
        <v>1896.1262569284445</v>
      </c>
      <c r="B68" s="3">
        <v>0.23553921624740815</v>
      </c>
      <c r="C68" s="254">
        <f t="shared" si="0"/>
        <v>23553.921624740815</v>
      </c>
      <c r="D68" s="255">
        <f t="shared" si="1"/>
        <v>0</v>
      </c>
    </row>
    <row r="69" spans="1:4" ht="14.25" customHeight="1" x14ac:dyDescent="0.25">
      <c r="A69" s="3">
        <v>2676.5151505378599</v>
      </c>
      <c r="B69" s="3">
        <v>0.29017025664581553</v>
      </c>
      <c r="C69" s="254">
        <f t="shared" si="0"/>
        <v>29017.025664581553</v>
      </c>
      <c r="D69" s="255">
        <f t="shared" si="1"/>
        <v>0</v>
      </c>
    </row>
    <row r="70" spans="1:4" ht="14.25" customHeight="1" x14ac:dyDescent="0.25">
      <c r="A70" s="3">
        <v>8533.4306472095559</v>
      </c>
      <c r="B70" s="3">
        <v>-0.29859760903667931</v>
      </c>
      <c r="C70" s="254">
        <f t="shared" si="0"/>
        <v>-29859.760903667931</v>
      </c>
      <c r="D70" s="255">
        <f t="shared" si="1"/>
        <v>1</v>
      </c>
    </row>
    <row r="71" spans="1:4" ht="14.25" customHeight="1" x14ac:dyDescent="0.25">
      <c r="A71" s="3">
        <v>6986.3141412784898</v>
      </c>
      <c r="B71" s="3">
        <v>0.35051133576057802</v>
      </c>
      <c r="C71" s="254">
        <f t="shared" si="0"/>
        <v>35051.1335760578</v>
      </c>
      <c r="D71" s="255">
        <f t="shared" si="1"/>
        <v>0</v>
      </c>
    </row>
    <row r="72" spans="1:4" ht="14.25" customHeight="1" x14ac:dyDescent="0.25">
      <c r="A72" s="3">
        <v>8731.7070745072924</v>
      </c>
      <c r="B72" s="3">
        <v>-0.24241975433798568</v>
      </c>
      <c r="C72" s="254">
        <f t="shared" si="0"/>
        <v>-24241.975433798569</v>
      </c>
      <c r="D72" s="255">
        <f t="shared" si="1"/>
        <v>1</v>
      </c>
    </row>
    <row r="73" spans="1:4" ht="14.25" customHeight="1" x14ac:dyDescent="0.25">
      <c r="A73" s="3">
        <v>7340.9682582341338</v>
      </c>
      <c r="B73" s="3">
        <v>0.40269583416718957</v>
      </c>
      <c r="C73" s="254">
        <f t="shared" si="0"/>
        <v>40269.583416718961</v>
      </c>
      <c r="D73" s="255">
        <f t="shared" si="1"/>
        <v>0</v>
      </c>
    </row>
    <row r="74" spans="1:4" ht="14.25" customHeight="1" x14ac:dyDescent="0.25">
      <c r="A74" s="3">
        <v>6447.1194504608284</v>
      </c>
      <c r="B74" s="3">
        <v>0.49400001299851581</v>
      </c>
      <c r="C74" s="254">
        <f t="shared" si="0"/>
        <v>49400.001299851581</v>
      </c>
      <c r="D74" s="255">
        <f t="shared" si="1"/>
        <v>0</v>
      </c>
    </row>
    <row r="75" spans="1:4" ht="14.25" customHeight="1" x14ac:dyDescent="0.25">
      <c r="A75" s="3">
        <v>13943.592943639189</v>
      </c>
      <c r="B75" s="3">
        <v>-0.10340455271578175</v>
      </c>
      <c r="C75" s="254">
        <f t="shared" si="0"/>
        <v>-10340.455271578176</v>
      </c>
      <c r="D75" s="255">
        <f t="shared" si="1"/>
        <v>1</v>
      </c>
    </row>
    <row r="76" spans="1:4" ht="14.25" customHeight="1" x14ac:dyDescent="0.25">
      <c r="A76" s="3">
        <v>5353.0824171970016</v>
      </c>
      <c r="B76" s="3">
        <v>7.4030356487318372E-2</v>
      </c>
      <c r="C76" s="254">
        <f t="shared" si="0"/>
        <v>7403.0356487318368</v>
      </c>
      <c r="D76" s="255">
        <f t="shared" si="1"/>
        <v>0</v>
      </c>
    </row>
    <row r="77" spans="1:4" ht="14.25" customHeight="1" x14ac:dyDescent="0.25">
      <c r="A77" s="3">
        <v>-2664.915843812516</v>
      </c>
      <c r="B77" s="3">
        <v>0.46988524851802893</v>
      </c>
      <c r="C77" s="254">
        <f t="shared" si="0"/>
        <v>46988.524851802897</v>
      </c>
      <c r="D77" s="255">
        <f t="shared" si="1"/>
        <v>0</v>
      </c>
    </row>
    <row r="78" spans="1:4" ht="14.25" customHeight="1" x14ac:dyDescent="0.25">
      <c r="A78" s="3">
        <v>1921.9081388429768</v>
      </c>
      <c r="B78" s="3">
        <v>-0.13086037240326975</v>
      </c>
      <c r="C78" s="254">
        <f t="shared" si="0"/>
        <v>-13086.037240326976</v>
      </c>
      <c r="D78" s="255">
        <f t="shared" si="1"/>
        <v>1</v>
      </c>
    </row>
    <row r="79" spans="1:4" ht="14.25" customHeight="1" x14ac:dyDescent="0.25">
      <c r="A79" s="3">
        <v>9378.6517188414655</v>
      </c>
      <c r="B79" s="3">
        <v>7.2274665303145857E-3</v>
      </c>
      <c r="C79" s="254">
        <f t="shared" si="0"/>
        <v>722.74665303145855</v>
      </c>
      <c r="D79" s="255">
        <f t="shared" si="1"/>
        <v>1</v>
      </c>
    </row>
    <row r="80" spans="1:4" ht="14.25" customHeight="1" x14ac:dyDescent="0.25">
      <c r="A80" s="3">
        <v>2423.4009818710329</v>
      </c>
      <c r="B80" s="3">
        <v>0.26557175015341161</v>
      </c>
      <c r="C80" s="254">
        <f t="shared" si="0"/>
        <v>26557.175015341159</v>
      </c>
      <c r="D80" s="255">
        <f t="shared" si="1"/>
        <v>0</v>
      </c>
    </row>
    <row r="81" spans="1:4" ht="14.25" customHeight="1" x14ac:dyDescent="0.25">
      <c r="A81" s="3">
        <v>3895.7663429720706</v>
      </c>
      <c r="B81" s="3">
        <v>-5.8221530513648201E-2</v>
      </c>
      <c r="C81" s="254">
        <f t="shared" si="0"/>
        <v>-5822.1530513648204</v>
      </c>
      <c r="D81" s="255">
        <f t="shared" si="1"/>
        <v>1</v>
      </c>
    </row>
    <row r="82" spans="1:4" ht="14.25" customHeight="1" x14ac:dyDescent="0.25">
      <c r="A82" s="3">
        <v>7089.2520671420061</v>
      </c>
      <c r="B82" s="3">
        <v>4.7007835966471845E-2</v>
      </c>
      <c r="C82" s="254">
        <f t="shared" si="0"/>
        <v>4700.7835966471848</v>
      </c>
      <c r="D82" s="255">
        <f t="shared" si="1"/>
        <v>1</v>
      </c>
    </row>
    <row r="83" spans="1:4" ht="14.25" customHeight="1" x14ac:dyDescent="0.25">
      <c r="A83" s="3">
        <v>11962.673073351209</v>
      </c>
      <c r="B83" s="3">
        <v>0.21940737400203969</v>
      </c>
      <c r="C83" s="254">
        <f t="shared" si="0"/>
        <v>21940.737400203969</v>
      </c>
      <c r="D83" s="255">
        <f t="shared" si="1"/>
        <v>0</v>
      </c>
    </row>
    <row r="84" spans="1:4" ht="14.25" customHeight="1" x14ac:dyDescent="0.25">
      <c r="A84" s="3">
        <v>7941.1804211659401</v>
      </c>
      <c r="B84" s="3">
        <v>0.16703383033806096</v>
      </c>
      <c r="C84" s="254">
        <f t="shared" si="0"/>
        <v>16703.383033806098</v>
      </c>
      <c r="D84" s="255">
        <f t="shared" si="1"/>
        <v>0</v>
      </c>
    </row>
    <row r="85" spans="1:4" ht="14.25" customHeight="1" x14ac:dyDescent="0.25">
      <c r="A85" s="3">
        <v>2091.9536267237418</v>
      </c>
      <c r="B85" s="3">
        <v>0.44473003409950262</v>
      </c>
      <c r="C85" s="254">
        <f t="shared" si="0"/>
        <v>44473.003409950259</v>
      </c>
      <c r="D85" s="255">
        <f t="shared" si="1"/>
        <v>0</v>
      </c>
    </row>
    <row r="86" spans="1:4" ht="14.25" customHeight="1" x14ac:dyDescent="0.25">
      <c r="A86" s="3">
        <v>4725.0267551109282</v>
      </c>
      <c r="B86" s="3">
        <v>0.16222935943941175</v>
      </c>
      <c r="C86" s="254">
        <f t="shared" si="0"/>
        <v>16222.935943941175</v>
      </c>
      <c r="D86" s="255">
        <f t="shared" si="1"/>
        <v>0</v>
      </c>
    </row>
    <row r="87" spans="1:4" ht="14.25" customHeight="1" x14ac:dyDescent="0.25">
      <c r="A87" s="3">
        <v>5553.1822135345719</v>
      </c>
      <c r="B87" s="3">
        <v>0.26715376168128113</v>
      </c>
      <c r="C87" s="254">
        <f t="shared" si="0"/>
        <v>26715.376168128114</v>
      </c>
      <c r="D87" s="255">
        <f t="shared" si="1"/>
        <v>0</v>
      </c>
    </row>
    <row r="88" spans="1:4" ht="14.25" customHeight="1" x14ac:dyDescent="0.25">
      <c r="A88" s="3">
        <v>6843.7730441756576</v>
      </c>
      <c r="B88" s="3">
        <v>0.47268318913274943</v>
      </c>
      <c r="C88" s="254">
        <f t="shared" si="0"/>
        <v>47268.318913274939</v>
      </c>
      <c r="D88" s="255">
        <f t="shared" si="1"/>
        <v>0</v>
      </c>
    </row>
    <row r="89" spans="1:4" ht="14.25" customHeight="1" x14ac:dyDescent="0.25">
      <c r="A89" s="3">
        <v>4219.1724421831095</v>
      </c>
      <c r="B89" s="3">
        <v>8.5619274331211859E-2</v>
      </c>
      <c r="C89" s="254">
        <f t="shared" si="0"/>
        <v>8561.9274331211855</v>
      </c>
      <c r="D89" s="255">
        <f t="shared" si="1"/>
        <v>0</v>
      </c>
    </row>
    <row r="90" spans="1:4" ht="14.25" customHeight="1" x14ac:dyDescent="0.25">
      <c r="A90" s="3">
        <v>9173.0378731723613</v>
      </c>
      <c r="B90" s="3">
        <v>9.9212141705749435E-2</v>
      </c>
      <c r="C90" s="254">
        <f t="shared" si="0"/>
        <v>9921.2141705749436</v>
      </c>
      <c r="D90" s="255">
        <f t="shared" si="1"/>
        <v>0</v>
      </c>
    </row>
    <row r="91" spans="1:4" ht="14.25" customHeight="1" x14ac:dyDescent="0.25">
      <c r="A91" s="3">
        <v>14010.273007291602</v>
      </c>
      <c r="B91" s="3">
        <v>0.12865980003850175</v>
      </c>
      <c r="C91" s="254">
        <f t="shared" si="0"/>
        <v>12865.980003850174</v>
      </c>
      <c r="D91" s="255">
        <f t="shared" si="1"/>
        <v>1</v>
      </c>
    </row>
    <row r="92" spans="1:4" ht="14.25" customHeight="1" x14ac:dyDescent="0.25">
      <c r="A92" s="3">
        <v>9804.8078741256322</v>
      </c>
      <c r="B92" s="3">
        <v>0.26767717622568499</v>
      </c>
      <c r="C92" s="254">
        <f t="shared" si="0"/>
        <v>26767.7176225685</v>
      </c>
      <c r="D92" s="255">
        <f t="shared" si="1"/>
        <v>0</v>
      </c>
    </row>
    <row r="93" spans="1:4" ht="14.25" customHeight="1" x14ac:dyDescent="0.25">
      <c r="A93" s="3">
        <v>6447.5962422856101</v>
      </c>
      <c r="B93" s="3">
        <v>0.21109263827596336</v>
      </c>
      <c r="C93" s="254">
        <f t="shared" si="0"/>
        <v>21109.263827596336</v>
      </c>
      <c r="D93" s="255">
        <f t="shared" si="1"/>
        <v>0</v>
      </c>
    </row>
    <row r="94" spans="1:4" ht="14.25" customHeight="1" x14ac:dyDescent="0.25">
      <c r="A94" s="3">
        <v>2576.8492764368129</v>
      </c>
      <c r="B94" s="3">
        <v>0.15616559018155485</v>
      </c>
      <c r="C94" s="254">
        <f t="shared" si="0"/>
        <v>15616.559018155485</v>
      </c>
      <c r="D94" s="255">
        <f t="shared" si="1"/>
        <v>0</v>
      </c>
    </row>
    <row r="95" spans="1:4" ht="14.25" customHeight="1" x14ac:dyDescent="0.25">
      <c r="A95" s="3">
        <v>4679.4826022322377</v>
      </c>
      <c r="B95" s="3">
        <v>0.41627943923003041</v>
      </c>
      <c r="C95" s="254">
        <f t="shared" si="0"/>
        <v>41627.94392300304</v>
      </c>
      <c r="D95" s="255">
        <f t="shared" si="1"/>
        <v>0</v>
      </c>
    </row>
    <row r="96" spans="1:4" ht="14.25" customHeight="1" x14ac:dyDescent="0.25">
      <c r="A96" s="3">
        <v>-1382.1704604737461</v>
      </c>
      <c r="B96" s="3">
        <v>3.0803204677380069E-2</v>
      </c>
      <c r="C96" s="254">
        <f t="shared" si="0"/>
        <v>3080.3204677380068</v>
      </c>
      <c r="D96" s="255">
        <f t="shared" si="1"/>
        <v>0</v>
      </c>
    </row>
    <row r="97" spans="1:4" ht="14.25" customHeight="1" x14ac:dyDescent="0.25">
      <c r="A97" s="3">
        <v>9347.3131201601573</v>
      </c>
      <c r="B97" s="3">
        <v>2.9394669039292776E-2</v>
      </c>
      <c r="C97" s="254">
        <f t="shared" si="0"/>
        <v>2939.4669039292776</v>
      </c>
      <c r="D97" s="255">
        <f t="shared" si="1"/>
        <v>1</v>
      </c>
    </row>
    <row r="98" spans="1:4" ht="14.25" customHeight="1" x14ac:dyDescent="0.25">
      <c r="A98" s="3">
        <v>7266.5884280599639</v>
      </c>
      <c r="B98" s="3">
        <v>-0.30636572664365236</v>
      </c>
      <c r="C98" s="254">
        <f t="shared" si="0"/>
        <v>-30636.572664365234</v>
      </c>
      <c r="D98" s="255">
        <f t="shared" si="1"/>
        <v>1</v>
      </c>
    </row>
    <row r="99" spans="1:4" ht="14.25" customHeight="1" x14ac:dyDescent="0.25">
      <c r="A99" s="3">
        <v>3020.8587342511164</v>
      </c>
      <c r="B99" s="3">
        <v>-0.11199868794228962</v>
      </c>
      <c r="C99" s="254">
        <f t="shared" si="0"/>
        <v>-11199.868794228962</v>
      </c>
      <c r="D99" s="255">
        <f t="shared" si="1"/>
        <v>1</v>
      </c>
    </row>
    <row r="100" spans="1:4" ht="14.25" customHeight="1" x14ac:dyDescent="0.25">
      <c r="A100" s="3">
        <v>4764.9207213574118</v>
      </c>
      <c r="B100" s="3">
        <v>6.1539469867226582E-2</v>
      </c>
      <c r="C100" s="254">
        <f t="shared" si="0"/>
        <v>6153.946986722658</v>
      </c>
      <c r="D100" s="255">
        <f t="shared" si="1"/>
        <v>0</v>
      </c>
    </row>
    <row r="101" spans="1:4" ht="14.25" customHeight="1" x14ac:dyDescent="0.25">
      <c r="A101" s="3">
        <v>13801.388841766078</v>
      </c>
      <c r="B101" s="3">
        <v>-0.20112842388822694</v>
      </c>
      <c r="C101" s="254">
        <f t="shared" si="0"/>
        <v>-20112.842388822693</v>
      </c>
      <c r="D101" s="255">
        <f t="shared" si="1"/>
        <v>1</v>
      </c>
    </row>
    <row r="102" spans="1:4" ht="14.25" customHeight="1" x14ac:dyDescent="0.25">
      <c r="A102" s="3">
        <v>7829.7444122485176</v>
      </c>
      <c r="B102" s="3">
        <v>7.3349144053713289E-2</v>
      </c>
      <c r="C102" s="254">
        <f t="shared" si="0"/>
        <v>7334.9144053713289</v>
      </c>
      <c r="D102" s="255">
        <f t="shared" si="1"/>
        <v>1</v>
      </c>
    </row>
    <row r="103" spans="1:4" ht="14.25" customHeight="1" x14ac:dyDescent="0.25">
      <c r="A103" s="3">
        <v>9711.3179497937817</v>
      </c>
      <c r="B103" s="3">
        <v>0.3408242693359127</v>
      </c>
      <c r="C103" s="254">
        <f t="shared" si="0"/>
        <v>34082.426933591269</v>
      </c>
      <c r="D103" s="255">
        <f t="shared" si="1"/>
        <v>0</v>
      </c>
    </row>
    <row r="104" spans="1:4" ht="14.25" customHeight="1" x14ac:dyDescent="0.25">
      <c r="A104" s="3">
        <v>7949.8040310328433</v>
      </c>
      <c r="B104" s="3">
        <v>0.12266395173159061</v>
      </c>
      <c r="C104" s="254">
        <f t="shared" si="0"/>
        <v>12266.395173159062</v>
      </c>
      <c r="D104" s="255">
        <f t="shared" si="1"/>
        <v>0</v>
      </c>
    </row>
    <row r="105" spans="1:4" ht="14.25" customHeight="1" x14ac:dyDescent="0.25">
      <c r="A105" s="3">
        <v>-859.95748479609756</v>
      </c>
      <c r="B105" s="3">
        <v>4.2351790629017838E-2</v>
      </c>
      <c r="C105" s="254">
        <f t="shared" si="0"/>
        <v>4235.1790629017842</v>
      </c>
      <c r="D105" s="255">
        <f t="shared" si="1"/>
        <v>0</v>
      </c>
    </row>
    <row r="106" spans="1:4" ht="14.25" customHeight="1" x14ac:dyDescent="0.25">
      <c r="A106" s="3">
        <v>12281.862783304896</v>
      </c>
      <c r="B106" s="3">
        <v>-0.22721901569444269</v>
      </c>
      <c r="C106" s="254">
        <f t="shared" si="0"/>
        <v>-22721.901569444268</v>
      </c>
      <c r="D106" s="255">
        <f t="shared" si="1"/>
        <v>1</v>
      </c>
    </row>
    <row r="107" spans="1:4" ht="14.25" customHeight="1" x14ac:dyDescent="0.25">
      <c r="A107" s="3">
        <v>8847.1503781041829</v>
      </c>
      <c r="B107" s="3">
        <v>-7.9983118121601304E-2</v>
      </c>
      <c r="C107" s="254">
        <f t="shared" si="0"/>
        <v>-7998.3118121601301</v>
      </c>
      <c r="D107" s="255">
        <f t="shared" si="1"/>
        <v>1</v>
      </c>
    </row>
    <row r="108" spans="1:4" ht="14.25" customHeight="1" x14ac:dyDescent="0.25">
      <c r="A108" s="3">
        <v>10773.765685298866</v>
      </c>
      <c r="B108" s="3">
        <v>0.55920399395398079</v>
      </c>
      <c r="C108" s="254">
        <f t="shared" si="0"/>
        <v>55920.399395398083</v>
      </c>
      <c r="D108" s="255">
        <f t="shared" si="1"/>
        <v>0</v>
      </c>
    </row>
    <row r="109" spans="1:4" ht="14.25" customHeight="1" x14ac:dyDescent="0.25">
      <c r="A109" s="3">
        <v>6062.1950154315855</v>
      </c>
      <c r="B109" s="3">
        <v>-9.9164194161393215E-2</v>
      </c>
      <c r="C109" s="254">
        <f t="shared" si="0"/>
        <v>-9916.4194161393207</v>
      </c>
      <c r="D109" s="255">
        <f t="shared" si="1"/>
        <v>1</v>
      </c>
    </row>
    <row r="110" spans="1:4" ht="14.25" customHeight="1" x14ac:dyDescent="0.25">
      <c r="A110" s="3">
        <v>1243.2267774869833</v>
      </c>
      <c r="B110" s="3">
        <v>0.77442757811470919</v>
      </c>
      <c r="C110" s="254">
        <f t="shared" si="0"/>
        <v>77442.757811470918</v>
      </c>
      <c r="D110" s="255">
        <f t="shared" si="1"/>
        <v>0</v>
      </c>
    </row>
    <row r="111" spans="1:4" ht="14.25" customHeight="1" x14ac:dyDescent="0.25">
      <c r="A111" s="3">
        <v>14546.586475818141</v>
      </c>
      <c r="B111" s="3">
        <v>0.36400120128630231</v>
      </c>
      <c r="C111" s="254">
        <f t="shared" si="0"/>
        <v>36400.120128630231</v>
      </c>
      <c r="D111" s="255">
        <f t="shared" si="1"/>
        <v>0</v>
      </c>
    </row>
    <row r="112" spans="1:4" ht="14.25" customHeight="1" x14ac:dyDescent="0.25">
      <c r="A112" s="3">
        <v>10140.407788282537</v>
      </c>
      <c r="B112" s="3">
        <v>0.4163404895971019</v>
      </c>
      <c r="C112" s="254">
        <f t="shared" si="0"/>
        <v>41634.048959710191</v>
      </c>
      <c r="D112" s="255">
        <f t="shared" si="1"/>
        <v>0</v>
      </c>
    </row>
    <row r="113" spans="1:4" ht="14.25" customHeight="1" x14ac:dyDescent="0.25">
      <c r="A113" s="3">
        <v>2874.1211426765149</v>
      </c>
      <c r="B113" s="3">
        <v>0.23564355792285463</v>
      </c>
      <c r="C113" s="254">
        <f t="shared" si="0"/>
        <v>23564.355792285463</v>
      </c>
      <c r="D113" s="255">
        <f t="shared" si="1"/>
        <v>0</v>
      </c>
    </row>
    <row r="114" spans="1:4" ht="14.25" customHeight="1" x14ac:dyDescent="0.25">
      <c r="A114" s="3">
        <v>6564.9334630557132</v>
      </c>
      <c r="B114" s="3">
        <v>0.21745251070528626</v>
      </c>
      <c r="C114" s="254">
        <f t="shared" si="0"/>
        <v>21745.251070528626</v>
      </c>
      <c r="D114" s="255">
        <f t="shared" si="1"/>
        <v>0</v>
      </c>
    </row>
    <row r="115" spans="1:4" ht="14.25" customHeight="1" x14ac:dyDescent="0.25">
      <c r="A115" s="3">
        <v>-1121.1528390711755</v>
      </c>
      <c r="B115" s="3">
        <v>-0.12106519477706168</v>
      </c>
      <c r="C115" s="254">
        <f t="shared" si="0"/>
        <v>-12106.519477706168</v>
      </c>
      <c r="D115" s="255">
        <f t="shared" si="1"/>
        <v>1</v>
      </c>
    </row>
    <row r="116" spans="1:4" ht="14.25" customHeight="1" x14ac:dyDescent="0.25">
      <c r="A116" s="3">
        <v>14617.002797873269</v>
      </c>
      <c r="B116" s="3">
        <v>0.2447224975251161</v>
      </c>
      <c r="C116" s="254">
        <f t="shared" si="0"/>
        <v>24472.249752511609</v>
      </c>
      <c r="D116" s="255">
        <f t="shared" si="1"/>
        <v>0</v>
      </c>
    </row>
    <row r="117" spans="1:4" ht="14.25" customHeight="1" x14ac:dyDescent="0.25">
      <c r="A117" s="3">
        <v>-3316.5362940360646</v>
      </c>
      <c r="B117" s="3">
        <v>9.4134676986204369E-2</v>
      </c>
      <c r="C117" s="254">
        <f t="shared" si="0"/>
        <v>9413.4676986204377</v>
      </c>
      <c r="D117" s="255">
        <f t="shared" si="1"/>
        <v>0</v>
      </c>
    </row>
    <row r="118" spans="1:4" ht="14.25" customHeight="1" x14ac:dyDescent="0.25">
      <c r="A118" s="3">
        <v>10825.581722713512</v>
      </c>
      <c r="B118" s="3">
        <v>0.95483317650567212</v>
      </c>
      <c r="C118" s="254">
        <f t="shared" si="0"/>
        <v>95483.317650567216</v>
      </c>
      <c r="D118" s="255">
        <f t="shared" si="1"/>
        <v>0</v>
      </c>
    </row>
    <row r="119" spans="1:4" ht="14.25" customHeight="1" x14ac:dyDescent="0.25">
      <c r="A119" s="3">
        <v>10237.453813297267</v>
      </c>
      <c r="B119" s="3">
        <v>0.11962779723364325</v>
      </c>
      <c r="C119" s="254">
        <f t="shared" si="0"/>
        <v>11962.779723364325</v>
      </c>
      <c r="D119" s="255">
        <f t="shared" si="1"/>
        <v>0</v>
      </c>
    </row>
    <row r="120" spans="1:4" ht="14.25" customHeight="1" x14ac:dyDescent="0.25">
      <c r="A120" s="3">
        <v>10840.77493488125</v>
      </c>
      <c r="B120" s="3">
        <v>-6.9797476130823988E-2</v>
      </c>
      <c r="C120" s="254">
        <f t="shared" si="0"/>
        <v>-6979.7476130823989</v>
      </c>
      <c r="D120" s="255">
        <f t="shared" si="1"/>
        <v>1</v>
      </c>
    </row>
    <row r="121" spans="1:4" ht="14.25" customHeight="1" x14ac:dyDescent="0.25">
      <c r="A121" s="3">
        <v>1945.6094378863345</v>
      </c>
      <c r="B121" s="3">
        <v>0.11763423116606253</v>
      </c>
      <c r="C121" s="254">
        <f t="shared" si="0"/>
        <v>11763.423116606253</v>
      </c>
      <c r="D121" s="255">
        <f t="shared" si="1"/>
        <v>0</v>
      </c>
    </row>
    <row r="122" spans="1:4" ht="14.25" customHeight="1" x14ac:dyDescent="0.25">
      <c r="A122" s="3">
        <v>9034.8098141266237</v>
      </c>
      <c r="B122" s="3">
        <v>-0.10110587458634512</v>
      </c>
      <c r="C122" s="254">
        <f t="shared" si="0"/>
        <v>-10110.587458634513</v>
      </c>
      <c r="D122" s="255">
        <f t="shared" si="1"/>
        <v>1</v>
      </c>
    </row>
    <row r="123" spans="1:4" ht="14.25" customHeight="1" x14ac:dyDescent="0.25">
      <c r="A123" s="3">
        <v>10301.510357396837</v>
      </c>
      <c r="B123" s="3">
        <v>3.5484066625257604E-2</v>
      </c>
      <c r="C123" s="254">
        <f t="shared" si="0"/>
        <v>3548.4066625257606</v>
      </c>
      <c r="D123" s="255">
        <f t="shared" si="1"/>
        <v>1</v>
      </c>
    </row>
    <row r="124" spans="1:4" ht="14.25" customHeight="1" x14ac:dyDescent="0.25">
      <c r="A124" s="3">
        <v>13942.389454165139</v>
      </c>
      <c r="B124" s="3">
        <v>0.25436891524528682</v>
      </c>
      <c r="C124" s="254">
        <f t="shared" si="0"/>
        <v>25436.891524528681</v>
      </c>
      <c r="D124" s="255">
        <f t="shared" si="1"/>
        <v>0</v>
      </c>
    </row>
    <row r="125" spans="1:4" ht="14.25" customHeight="1" x14ac:dyDescent="0.25">
      <c r="A125" s="3">
        <v>12249.697092992086</v>
      </c>
      <c r="B125" s="3">
        <v>0.38127317592100113</v>
      </c>
      <c r="C125" s="254">
        <f t="shared" si="0"/>
        <v>38127.317592100109</v>
      </c>
      <c r="D125" s="255">
        <f t="shared" si="1"/>
        <v>0</v>
      </c>
    </row>
    <row r="126" spans="1:4" ht="14.25" customHeight="1" x14ac:dyDescent="0.25">
      <c r="A126" s="3">
        <v>-2923.6535065680509</v>
      </c>
      <c r="B126" s="3">
        <v>0.31470732882588148</v>
      </c>
      <c r="C126" s="254">
        <f t="shared" si="0"/>
        <v>31470.732882588149</v>
      </c>
      <c r="D126" s="255">
        <f t="shared" si="1"/>
        <v>0</v>
      </c>
    </row>
    <row r="127" spans="1:4" ht="14.25" customHeight="1" x14ac:dyDescent="0.25">
      <c r="A127" s="3">
        <v>12175.392176301146</v>
      </c>
      <c r="B127" s="3">
        <v>-7.4924743406777683E-2</v>
      </c>
      <c r="C127" s="254">
        <f t="shared" si="0"/>
        <v>-7492.4743406777679</v>
      </c>
      <c r="D127" s="255">
        <f t="shared" si="1"/>
        <v>1</v>
      </c>
    </row>
    <row r="128" spans="1:4" ht="14.25" customHeight="1" x14ac:dyDescent="0.25">
      <c r="A128" s="3">
        <v>5958.2955874218605</v>
      </c>
      <c r="B128" s="3">
        <v>0.15489845399948321</v>
      </c>
      <c r="C128" s="254">
        <f t="shared" si="0"/>
        <v>15489.845399948321</v>
      </c>
      <c r="D128" s="255">
        <f t="shared" si="1"/>
        <v>0</v>
      </c>
    </row>
    <row r="129" spans="1:4" ht="14.25" customHeight="1" x14ac:dyDescent="0.25">
      <c r="A129" s="3">
        <v>16627.453160182617</v>
      </c>
      <c r="B129" s="3">
        <v>0.38661927755615011</v>
      </c>
      <c r="C129" s="254">
        <f t="shared" si="0"/>
        <v>38661.927755615012</v>
      </c>
      <c r="D129" s="255">
        <f t="shared" si="1"/>
        <v>0</v>
      </c>
    </row>
    <row r="130" spans="1:4" ht="14.25" customHeight="1" x14ac:dyDescent="0.25">
      <c r="A130" s="3">
        <v>7787.3725755474588</v>
      </c>
      <c r="B130" s="3">
        <v>0.45425674448648001</v>
      </c>
      <c r="C130" s="254">
        <f t="shared" si="0"/>
        <v>45425.674448648002</v>
      </c>
      <c r="D130" s="255">
        <f t="shared" si="1"/>
        <v>0</v>
      </c>
    </row>
    <row r="131" spans="1:4" ht="14.25" customHeight="1" x14ac:dyDescent="0.25">
      <c r="A131" s="3">
        <v>4393.5898370452269</v>
      </c>
      <c r="B131" s="3">
        <v>0.19121795811917575</v>
      </c>
      <c r="C131" s="254">
        <f t="shared" si="0"/>
        <v>19121.795811917575</v>
      </c>
      <c r="D131" s="255">
        <f t="shared" si="1"/>
        <v>0</v>
      </c>
    </row>
    <row r="132" spans="1:4" ht="14.25" customHeight="1" x14ac:dyDescent="0.25">
      <c r="A132" s="3">
        <v>8576.3815485753294</v>
      </c>
      <c r="B132" s="3">
        <v>0.75994219651183736</v>
      </c>
      <c r="C132" s="254">
        <f t="shared" si="0"/>
        <v>75994.219651183739</v>
      </c>
      <c r="D132" s="255">
        <f t="shared" si="1"/>
        <v>0</v>
      </c>
    </row>
    <row r="133" spans="1:4" ht="14.25" customHeight="1" x14ac:dyDescent="0.25">
      <c r="A133" s="3">
        <v>3509.0922798415268</v>
      </c>
      <c r="B133" s="3">
        <v>-0.26816934411135063</v>
      </c>
      <c r="C133" s="254">
        <f t="shared" si="0"/>
        <v>-26816.934411135062</v>
      </c>
      <c r="D133" s="255">
        <f t="shared" si="1"/>
        <v>1</v>
      </c>
    </row>
    <row r="134" spans="1:4" ht="14.25" customHeight="1" x14ac:dyDescent="0.25">
      <c r="A134" s="3">
        <v>6793.1000385728694</v>
      </c>
      <c r="B134" s="3">
        <v>-4.4895754806455912E-2</v>
      </c>
      <c r="C134" s="254">
        <f t="shared" si="0"/>
        <v>-4489.5754806455916</v>
      </c>
      <c r="D134" s="255">
        <f t="shared" si="1"/>
        <v>1</v>
      </c>
    </row>
    <row r="135" spans="1:4" ht="14.25" customHeight="1" x14ac:dyDescent="0.25">
      <c r="A135" s="3">
        <v>-9142.1406852685905</v>
      </c>
      <c r="B135" s="3">
        <v>4.849778137209082E-2</v>
      </c>
      <c r="C135" s="254">
        <f t="shared" si="0"/>
        <v>4849.7781372090822</v>
      </c>
      <c r="D135" s="255">
        <f t="shared" si="1"/>
        <v>0</v>
      </c>
    </row>
    <row r="136" spans="1:4" ht="14.25" customHeight="1" x14ac:dyDescent="0.25">
      <c r="A136" s="3">
        <v>7685.406034737869</v>
      </c>
      <c r="B136" s="3">
        <v>-7.4248425651584071E-3</v>
      </c>
      <c r="C136" s="254">
        <f t="shared" si="0"/>
        <v>-742.48425651584068</v>
      </c>
      <c r="D136" s="255">
        <f t="shared" si="1"/>
        <v>1</v>
      </c>
    </row>
    <row r="137" spans="1:4" ht="14.25" customHeight="1" x14ac:dyDescent="0.25">
      <c r="A137" s="3">
        <v>5777.3990604768769</v>
      </c>
      <c r="B137" s="3">
        <v>-6.5305044037535787E-2</v>
      </c>
      <c r="C137" s="254">
        <f t="shared" si="0"/>
        <v>-6530.504403753579</v>
      </c>
      <c r="D137" s="255">
        <f t="shared" si="1"/>
        <v>1</v>
      </c>
    </row>
    <row r="138" spans="1:4" ht="14.25" customHeight="1" x14ac:dyDescent="0.25">
      <c r="A138" s="3">
        <v>-78.751192471638205</v>
      </c>
      <c r="B138" s="3">
        <v>0.5673134425776365</v>
      </c>
      <c r="C138" s="254">
        <f t="shared" si="0"/>
        <v>56731.344257763652</v>
      </c>
      <c r="D138" s="255">
        <f t="shared" si="1"/>
        <v>0</v>
      </c>
    </row>
    <row r="139" spans="1:4" ht="14.25" customHeight="1" x14ac:dyDescent="0.25">
      <c r="A139" s="3">
        <v>3387.5656195604533</v>
      </c>
      <c r="B139" s="3">
        <v>0.17508619552439231</v>
      </c>
      <c r="C139" s="254">
        <f t="shared" si="0"/>
        <v>17508.619552439231</v>
      </c>
      <c r="D139" s="255">
        <f t="shared" si="1"/>
        <v>0</v>
      </c>
    </row>
    <row r="140" spans="1:4" ht="14.25" customHeight="1" x14ac:dyDescent="0.25">
      <c r="A140" s="3">
        <v>3941.545346448067</v>
      </c>
      <c r="B140" s="3">
        <v>7.0462432727740776E-2</v>
      </c>
      <c r="C140" s="254">
        <f t="shared" si="0"/>
        <v>7046.2432727740779</v>
      </c>
      <c r="D140" s="255">
        <f t="shared" si="1"/>
        <v>0</v>
      </c>
    </row>
    <row r="141" spans="1:4" ht="14.25" customHeight="1" x14ac:dyDescent="0.25">
      <c r="A141" s="3">
        <v>9201.8312220041626</v>
      </c>
      <c r="B141" s="3">
        <v>-8.1461694159812303E-3</v>
      </c>
      <c r="C141" s="254">
        <f t="shared" si="0"/>
        <v>-814.61694159812305</v>
      </c>
      <c r="D141" s="255">
        <f t="shared" si="1"/>
        <v>1</v>
      </c>
    </row>
    <row r="142" spans="1:4" ht="14.25" customHeight="1" x14ac:dyDescent="0.25">
      <c r="A142" s="3">
        <v>10096.155638424127</v>
      </c>
      <c r="B142" s="3">
        <v>0.23329025796479858</v>
      </c>
      <c r="C142" s="254">
        <f t="shared" si="0"/>
        <v>23329.025796479858</v>
      </c>
      <c r="D142" s="255">
        <f t="shared" si="1"/>
        <v>0</v>
      </c>
    </row>
    <row r="143" spans="1:4" ht="14.25" customHeight="1" x14ac:dyDescent="0.25">
      <c r="A143" s="3">
        <v>10536.610691040871</v>
      </c>
      <c r="B143" s="3">
        <v>-5.6510938655754073E-2</v>
      </c>
      <c r="C143" s="254">
        <f t="shared" si="0"/>
        <v>-5651.0938655754071</v>
      </c>
      <c r="D143" s="255">
        <f t="shared" si="1"/>
        <v>1</v>
      </c>
    </row>
    <row r="144" spans="1:4" ht="14.25" customHeight="1" x14ac:dyDescent="0.25">
      <c r="A144" s="3">
        <v>12793.629408293156</v>
      </c>
      <c r="B144" s="3">
        <v>-9.6450137272715286E-2</v>
      </c>
      <c r="C144" s="254">
        <f t="shared" si="0"/>
        <v>-9645.0137272715292</v>
      </c>
      <c r="D144" s="255">
        <f t="shared" si="1"/>
        <v>1</v>
      </c>
    </row>
    <row r="145" spans="1:4" ht="14.25" customHeight="1" x14ac:dyDescent="0.25">
      <c r="A145" s="3">
        <v>9584.6174167928111</v>
      </c>
      <c r="B145" s="3">
        <v>1.4442833642225761E-2</v>
      </c>
      <c r="C145" s="254">
        <f t="shared" si="0"/>
        <v>1444.283364222576</v>
      </c>
      <c r="D145" s="255">
        <f t="shared" si="1"/>
        <v>1</v>
      </c>
    </row>
    <row r="146" spans="1:4" ht="14.25" customHeight="1" x14ac:dyDescent="0.25">
      <c r="A146" s="3">
        <v>545.26808985410025</v>
      </c>
      <c r="B146" s="3">
        <v>-0.13608562410878611</v>
      </c>
      <c r="C146" s="254">
        <f t="shared" si="0"/>
        <v>-13608.562410878611</v>
      </c>
      <c r="D146" s="255">
        <f t="shared" si="1"/>
        <v>1</v>
      </c>
    </row>
    <row r="147" spans="1:4" ht="14.25" customHeight="1" x14ac:dyDescent="0.25">
      <c r="A147" s="3">
        <v>9242.8637099292973</v>
      </c>
      <c r="B147" s="3">
        <v>0.33390737525356817</v>
      </c>
      <c r="C147" s="254">
        <f t="shared" si="0"/>
        <v>33390.737525356817</v>
      </c>
      <c r="D147" s="255">
        <f t="shared" si="1"/>
        <v>0</v>
      </c>
    </row>
    <row r="148" spans="1:4" ht="14.25" customHeight="1" x14ac:dyDescent="0.25">
      <c r="A148" s="3">
        <v>1509.1824310983939</v>
      </c>
      <c r="B148" s="3">
        <v>0.40613355492290903</v>
      </c>
      <c r="C148" s="254">
        <f t="shared" si="0"/>
        <v>40613.355492290902</v>
      </c>
      <c r="D148" s="255">
        <f t="shared" si="1"/>
        <v>0</v>
      </c>
    </row>
    <row r="149" spans="1:4" ht="14.25" customHeight="1" x14ac:dyDescent="0.25">
      <c r="A149" s="3">
        <v>9007.9721979748283</v>
      </c>
      <c r="B149" s="3">
        <v>-0.124268093916581</v>
      </c>
      <c r="C149" s="254">
        <f t="shared" si="0"/>
        <v>-12426.8093916581</v>
      </c>
      <c r="D149" s="255">
        <f t="shared" si="1"/>
        <v>1</v>
      </c>
    </row>
    <row r="150" spans="1:4" ht="14.25" customHeight="1" x14ac:dyDescent="0.25">
      <c r="A150" s="3">
        <v>6659.6576968070294</v>
      </c>
      <c r="B150" s="3">
        <v>-4.922388323887894E-2</v>
      </c>
      <c r="C150" s="254">
        <f t="shared" si="0"/>
        <v>-4922.3883238878943</v>
      </c>
      <c r="D150" s="255">
        <f t="shared" si="1"/>
        <v>1</v>
      </c>
    </row>
    <row r="151" spans="1:4" ht="14.25" customHeight="1" x14ac:dyDescent="0.25">
      <c r="A151" s="3">
        <v>6755.5483017613878</v>
      </c>
      <c r="B151" s="3">
        <v>0.39326449424107768</v>
      </c>
      <c r="C151" s="254">
        <f t="shared" si="0"/>
        <v>39326.44942410777</v>
      </c>
      <c r="D151" s="255">
        <f t="shared" si="1"/>
        <v>0</v>
      </c>
    </row>
    <row r="152" spans="1:4" ht="14.25" customHeight="1" x14ac:dyDescent="0.25">
      <c r="A152" s="3">
        <v>15417.502835899853</v>
      </c>
      <c r="B152" s="3">
        <v>-5.1772682165460715E-3</v>
      </c>
      <c r="C152" s="254">
        <f t="shared" si="0"/>
        <v>-517.72682165460719</v>
      </c>
      <c r="D152" s="255">
        <f t="shared" si="1"/>
        <v>1</v>
      </c>
    </row>
    <row r="153" spans="1:4" ht="14.25" customHeight="1" x14ac:dyDescent="0.25">
      <c r="A153" s="3">
        <v>12279.789259613404</v>
      </c>
      <c r="B153" s="3">
        <v>0.15119242390466159</v>
      </c>
      <c r="C153" s="254">
        <f t="shared" si="0"/>
        <v>15119.242390466159</v>
      </c>
      <c r="D153" s="255">
        <f t="shared" si="1"/>
        <v>0</v>
      </c>
    </row>
    <row r="154" spans="1:4" ht="14.25" customHeight="1" x14ac:dyDescent="0.25">
      <c r="A154" s="3">
        <v>8779.2660629844322</v>
      </c>
      <c r="B154" s="3">
        <v>-5.7660935865456509E-2</v>
      </c>
      <c r="C154" s="254">
        <f t="shared" si="0"/>
        <v>-5766.0935865456504</v>
      </c>
      <c r="D154" s="255">
        <f t="shared" si="1"/>
        <v>1</v>
      </c>
    </row>
    <row r="155" spans="1:4" ht="14.25" customHeight="1" x14ac:dyDescent="0.25">
      <c r="A155" s="3">
        <v>5725.0479161278199</v>
      </c>
      <c r="B155" s="3">
        <v>8.7946264121359086E-2</v>
      </c>
      <c r="C155" s="254">
        <f t="shared" si="0"/>
        <v>8794.626412135909</v>
      </c>
      <c r="D155" s="255">
        <f t="shared" si="1"/>
        <v>0</v>
      </c>
    </row>
    <row r="156" spans="1:4" ht="14.25" customHeight="1" x14ac:dyDescent="0.25">
      <c r="A156" s="3">
        <v>-108.67095048002375</v>
      </c>
      <c r="B156" s="3">
        <v>2.9132673404910214E-2</v>
      </c>
      <c r="C156" s="254">
        <f t="shared" si="0"/>
        <v>2913.2673404910215</v>
      </c>
      <c r="D156" s="255">
        <f t="shared" si="1"/>
        <v>0</v>
      </c>
    </row>
    <row r="157" spans="1:4" ht="14.25" customHeight="1" x14ac:dyDescent="0.25">
      <c r="A157" s="3">
        <v>18451.731011287906</v>
      </c>
      <c r="B157" s="3">
        <v>8.3288411830848563E-3</v>
      </c>
      <c r="C157" s="254">
        <f t="shared" si="0"/>
        <v>832.88411830848565</v>
      </c>
      <c r="D157" s="255">
        <f t="shared" si="1"/>
        <v>1</v>
      </c>
    </row>
    <row r="158" spans="1:4" ht="14.25" customHeight="1" x14ac:dyDescent="0.25">
      <c r="A158" s="3">
        <v>10460.647777064194</v>
      </c>
      <c r="B158" s="3">
        <v>-3.2071709585479447E-4</v>
      </c>
      <c r="C158" s="254">
        <f t="shared" si="0"/>
        <v>-32.071709585479447</v>
      </c>
      <c r="D158" s="255">
        <f t="shared" si="1"/>
        <v>1</v>
      </c>
    </row>
    <row r="159" spans="1:4" ht="14.25" customHeight="1" x14ac:dyDescent="0.25">
      <c r="A159" s="3">
        <v>7834.2508915477883</v>
      </c>
      <c r="B159" s="3">
        <v>-0.2389012677577167</v>
      </c>
      <c r="C159" s="254">
        <f t="shared" si="0"/>
        <v>-23890.126775771671</v>
      </c>
      <c r="D159" s="255">
        <f t="shared" si="1"/>
        <v>1</v>
      </c>
    </row>
    <row r="160" spans="1:4" ht="14.25" customHeight="1" x14ac:dyDescent="0.25">
      <c r="A160" s="3">
        <v>8802.3913962644438</v>
      </c>
      <c r="B160" s="3">
        <v>0.16213136271510598</v>
      </c>
      <c r="C160" s="254">
        <f t="shared" si="0"/>
        <v>16213.136271510597</v>
      </c>
      <c r="D160" s="255">
        <f t="shared" si="1"/>
        <v>0</v>
      </c>
    </row>
    <row r="161" spans="1:4" ht="14.25" customHeight="1" x14ac:dyDescent="0.25">
      <c r="A161" s="3">
        <v>7921.8129814023705</v>
      </c>
      <c r="B161" s="3">
        <v>0.11932530800240126</v>
      </c>
      <c r="C161" s="254">
        <f t="shared" si="0"/>
        <v>11932.530800240127</v>
      </c>
      <c r="D161" s="255">
        <f t="shared" si="1"/>
        <v>0</v>
      </c>
    </row>
    <row r="162" spans="1:4" ht="14.25" customHeight="1" x14ac:dyDescent="0.25">
      <c r="A162" s="3">
        <v>4545.1024772181845</v>
      </c>
      <c r="B162" s="3">
        <v>0.15616476055980044</v>
      </c>
      <c r="C162" s="254">
        <f t="shared" si="0"/>
        <v>15616.476055980043</v>
      </c>
      <c r="D162" s="255">
        <f t="shared" si="1"/>
        <v>0</v>
      </c>
    </row>
    <row r="163" spans="1:4" ht="14.25" customHeight="1" x14ac:dyDescent="0.25">
      <c r="A163" s="3">
        <v>6322.33943125722</v>
      </c>
      <c r="B163" s="3">
        <v>-0.43963124040533186</v>
      </c>
      <c r="C163" s="254">
        <f t="shared" si="0"/>
        <v>-43963.124040533185</v>
      </c>
      <c r="D163" s="255">
        <f t="shared" si="1"/>
        <v>1</v>
      </c>
    </row>
    <row r="164" spans="1:4" ht="14.25" customHeight="1" x14ac:dyDescent="0.25">
      <c r="A164" s="3">
        <v>12852.565557160226</v>
      </c>
      <c r="B164" s="3">
        <v>0.1448937208346428</v>
      </c>
      <c r="C164" s="254">
        <f t="shared" si="0"/>
        <v>14489.372083464281</v>
      </c>
      <c r="D164" s="255">
        <f t="shared" si="1"/>
        <v>0</v>
      </c>
    </row>
    <row r="165" spans="1:4" ht="14.25" customHeight="1" x14ac:dyDescent="0.25">
      <c r="A165" s="3">
        <v>5818.477847059512</v>
      </c>
      <c r="B165" s="3">
        <v>0.11984208422745635</v>
      </c>
      <c r="C165" s="254">
        <f t="shared" si="0"/>
        <v>11984.208422745634</v>
      </c>
      <c r="D165" s="255">
        <f t="shared" si="1"/>
        <v>0</v>
      </c>
    </row>
    <row r="166" spans="1:4" ht="14.25" customHeight="1" x14ac:dyDescent="0.25">
      <c r="A166" s="3">
        <v>10399.51440681448</v>
      </c>
      <c r="B166" s="3">
        <v>0.16028995035463423</v>
      </c>
      <c r="C166" s="254">
        <f t="shared" si="0"/>
        <v>16028.995035463422</v>
      </c>
      <c r="D166" s="255">
        <f t="shared" si="1"/>
        <v>0</v>
      </c>
    </row>
    <row r="167" spans="1:4" ht="14.25" customHeight="1" x14ac:dyDescent="0.25">
      <c r="A167" s="3">
        <v>14553.880383232608</v>
      </c>
      <c r="B167" s="3">
        <v>-0.41738972628134752</v>
      </c>
      <c r="C167" s="254">
        <f t="shared" si="0"/>
        <v>-41738.972628134754</v>
      </c>
      <c r="D167" s="255">
        <f t="shared" si="1"/>
        <v>1</v>
      </c>
    </row>
    <row r="168" spans="1:4" ht="14.25" customHeight="1" x14ac:dyDescent="0.25">
      <c r="A168" s="3">
        <v>10021.499638184352</v>
      </c>
      <c r="B168" s="3">
        <v>0.31910095580580622</v>
      </c>
      <c r="C168" s="254">
        <f t="shared" si="0"/>
        <v>31910.095580580622</v>
      </c>
      <c r="D168" s="255">
        <f t="shared" si="1"/>
        <v>0</v>
      </c>
    </row>
    <row r="169" spans="1:4" ht="14.25" customHeight="1" x14ac:dyDescent="0.25">
      <c r="A169" s="3">
        <v>3409.8728697502956</v>
      </c>
      <c r="B169" s="3">
        <v>0.13906744488586009</v>
      </c>
      <c r="C169" s="254">
        <f t="shared" si="0"/>
        <v>13906.74448858601</v>
      </c>
      <c r="D169" s="255">
        <f t="shared" si="1"/>
        <v>0</v>
      </c>
    </row>
    <row r="170" spans="1:4" ht="14.25" customHeight="1" x14ac:dyDescent="0.25">
      <c r="A170" s="3">
        <v>6783.4803643160049</v>
      </c>
      <c r="B170" s="3">
        <v>0.22406143642163007</v>
      </c>
      <c r="C170" s="254">
        <f t="shared" si="0"/>
        <v>22406.143642163006</v>
      </c>
      <c r="D170" s="255">
        <f t="shared" si="1"/>
        <v>0</v>
      </c>
    </row>
    <row r="171" spans="1:4" ht="14.25" customHeight="1" x14ac:dyDescent="0.25">
      <c r="A171" s="3">
        <v>11074.200535514341</v>
      </c>
      <c r="B171" s="3">
        <v>-0.27558301544945518</v>
      </c>
      <c r="C171" s="254">
        <f t="shared" si="0"/>
        <v>-27558.30154494552</v>
      </c>
      <c r="D171" s="255">
        <f t="shared" si="1"/>
        <v>1</v>
      </c>
    </row>
    <row r="172" spans="1:4" ht="14.25" customHeight="1" x14ac:dyDescent="0.25">
      <c r="A172" s="3">
        <v>3822.9980303315388</v>
      </c>
      <c r="B172" s="3">
        <v>-6.6371969646050744E-2</v>
      </c>
      <c r="C172" s="254">
        <f t="shared" si="0"/>
        <v>-6637.1969646050748</v>
      </c>
      <c r="D172" s="255">
        <f t="shared" si="1"/>
        <v>1</v>
      </c>
    </row>
    <row r="173" spans="1:4" ht="14.25" customHeight="1" x14ac:dyDescent="0.25">
      <c r="A173" s="3">
        <v>9744.8090973113794</v>
      </c>
      <c r="B173" s="3">
        <v>0.19787954622949777</v>
      </c>
      <c r="C173" s="254">
        <f t="shared" si="0"/>
        <v>19787.954622949776</v>
      </c>
      <c r="D173" s="255">
        <f t="shared" si="1"/>
        <v>0</v>
      </c>
    </row>
    <row r="174" spans="1:4" ht="14.25" customHeight="1" x14ac:dyDescent="0.25">
      <c r="A174" s="3">
        <v>15324.042028411568</v>
      </c>
      <c r="B174" s="3">
        <v>0.27977125638408507</v>
      </c>
      <c r="C174" s="254">
        <f t="shared" si="0"/>
        <v>27977.125638408506</v>
      </c>
      <c r="D174" s="255">
        <f t="shared" si="1"/>
        <v>0</v>
      </c>
    </row>
    <row r="175" spans="1:4" ht="14.25" customHeight="1" x14ac:dyDescent="0.25">
      <c r="A175" s="3">
        <v>10389.49881129805</v>
      </c>
      <c r="B175" s="3">
        <v>0.2161872920342911</v>
      </c>
      <c r="C175" s="254">
        <f t="shared" si="0"/>
        <v>21618.729203429109</v>
      </c>
      <c r="D175" s="255">
        <f t="shared" si="1"/>
        <v>0</v>
      </c>
    </row>
    <row r="176" spans="1:4" ht="14.25" customHeight="1" x14ac:dyDescent="0.25">
      <c r="A176" s="3">
        <v>2194.8974347314506</v>
      </c>
      <c r="B176" s="3">
        <v>0.16139188952745709</v>
      </c>
      <c r="C176" s="254">
        <f t="shared" si="0"/>
        <v>16139.18895274571</v>
      </c>
      <c r="D176" s="255">
        <f t="shared" si="1"/>
        <v>0</v>
      </c>
    </row>
    <row r="177" spans="1:4" ht="14.25" customHeight="1" x14ac:dyDescent="0.25">
      <c r="A177" s="3">
        <v>8383.2233267100673</v>
      </c>
      <c r="B177" s="3">
        <v>0.13906042734479596</v>
      </c>
      <c r="C177" s="254">
        <f t="shared" si="0"/>
        <v>13906.042734479595</v>
      </c>
      <c r="D177" s="255">
        <f t="shared" si="1"/>
        <v>0</v>
      </c>
    </row>
    <row r="178" spans="1:4" ht="14.25" customHeight="1" x14ac:dyDescent="0.25">
      <c r="A178" s="3">
        <v>-1086.1874618955335</v>
      </c>
      <c r="B178" s="3">
        <v>8.9722697921911898E-2</v>
      </c>
      <c r="C178" s="254">
        <f t="shared" si="0"/>
        <v>8972.2697921911895</v>
      </c>
      <c r="D178" s="255">
        <f t="shared" si="1"/>
        <v>0</v>
      </c>
    </row>
    <row r="179" spans="1:4" ht="14.25" customHeight="1" x14ac:dyDescent="0.25">
      <c r="A179" s="3">
        <v>18038.848637255142</v>
      </c>
      <c r="B179" s="3">
        <v>0.57021062447046811</v>
      </c>
      <c r="C179" s="254">
        <f t="shared" si="0"/>
        <v>57021.06244704681</v>
      </c>
      <c r="D179" s="255">
        <f t="shared" si="1"/>
        <v>0</v>
      </c>
    </row>
    <row r="180" spans="1:4" ht="14.25" customHeight="1" x14ac:dyDescent="0.25">
      <c r="A180" s="3">
        <v>9791.4076063411339</v>
      </c>
      <c r="B180" s="3">
        <v>2.9592321493149054E-2</v>
      </c>
      <c r="C180" s="254">
        <f t="shared" si="0"/>
        <v>2959.2321493149052</v>
      </c>
      <c r="D180" s="255">
        <f t="shared" si="1"/>
        <v>1</v>
      </c>
    </row>
    <row r="181" spans="1:4" ht="14.25" customHeight="1" x14ac:dyDescent="0.25">
      <c r="A181" s="3">
        <v>8279.8015575152313</v>
      </c>
      <c r="B181" s="3">
        <v>0.26617566305882434</v>
      </c>
      <c r="C181" s="254">
        <f t="shared" si="0"/>
        <v>26617.566305882436</v>
      </c>
      <c r="D181" s="255">
        <f t="shared" si="1"/>
        <v>0</v>
      </c>
    </row>
    <row r="182" spans="1:4" ht="14.25" customHeight="1" x14ac:dyDescent="0.25">
      <c r="A182" s="3">
        <v>7793.5223018365068</v>
      </c>
      <c r="B182" s="3">
        <v>0.36142481717715391</v>
      </c>
      <c r="C182" s="254">
        <f t="shared" si="0"/>
        <v>36142.481717715389</v>
      </c>
      <c r="D182" s="255">
        <f t="shared" si="1"/>
        <v>0</v>
      </c>
    </row>
    <row r="183" spans="1:4" ht="14.25" customHeight="1" x14ac:dyDescent="0.25">
      <c r="A183" s="3">
        <v>6535.3310039027419</v>
      </c>
      <c r="B183" s="3">
        <v>-0.10322849460802042</v>
      </c>
      <c r="C183" s="254">
        <f t="shared" si="0"/>
        <v>-10322.849460802041</v>
      </c>
      <c r="D183" s="255">
        <f t="shared" si="1"/>
        <v>1</v>
      </c>
    </row>
    <row r="184" spans="1:4" ht="14.25" customHeight="1" x14ac:dyDescent="0.25">
      <c r="A184" s="3">
        <v>5022.3369897415978</v>
      </c>
      <c r="B184" s="3">
        <v>0.10885717232809111</v>
      </c>
      <c r="C184" s="254">
        <f t="shared" si="0"/>
        <v>10885.717232809111</v>
      </c>
      <c r="D184" s="255">
        <f t="shared" si="1"/>
        <v>0</v>
      </c>
    </row>
    <row r="185" spans="1:4" ht="14.25" customHeight="1" x14ac:dyDescent="0.25">
      <c r="A185" s="3">
        <v>10778.687816084544</v>
      </c>
      <c r="B185" s="3">
        <v>9.9278461765452408E-2</v>
      </c>
      <c r="C185" s="254">
        <f t="shared" si="0"/>
        <v>9927.8461765452412</v>
      </c>
      <c r="D185" s="255">
        <f t="shared" si="1"/>
        <v>1</v>
      </c>
    </row>
    <row r="186" spans="1:4" ht="14.25" customHeight="1" x14ac:dyDescent="0.25">
      <c r="A186" s="3">
        <v>6580.8639571567182</v>
      </c>
      <c r="B186" s="3">
        <v>1.6096320088422544E-2</v>
      </c>
      <c r="C186" s="254">
        <f t="shared" si="0"/>
        <v>1609.6320088422544</v>
      </c>
      <c r="D186" s="255">
        <f t="shared" si="1"/>
        <v>1</v>
      </c>
    </row>
    <row r="187" spans="1:4" ht="14.25" customHeight="1" x14ac:dyDescent="0.25">
      <c r="A187" s="3">
        <v>6212.5910961949994</v>
      </c>
      <c r="B187" s="3">
        <v>-0.44489325306912408</v>
      </c>
      <c r="C187" s="254">
        <f t="shared" si="0"/>
        <v>-44489.325306912411</v>
      </c>
      <c r="D187" s="255">
        <f t="shared" si="1"/>
        <v>1</v>
      </c>
    </row>
    <row r="188" spans="1:4" ht="14.25" customHeight="1" x14ac:dyDescent="0.25">
      <c r="A188" s="3">
        <v>6204.2101404675414</v>
      </c>
      <c r="B188" s="3">
        <v>-0.10833598257331678</v>
      </c>
      <c r="C188" s="254">
        <f t="shared" si="0"/>
        <v>-10833.598257331678</v>
      </c>
      <c r="D188" s="255">
        <f t="shared" si="1"/>
        <v>1</v>
      </c>
    </row>
    <row r="189" spans="1:4" ht="14.25" customHeight="1" x14ac:dyDescent="0.25">
      <c r="A189" s="3">
        <v>11375.964447595987</v>
      </c>
      <c r="B189" s="3">
        <v>-7.9736130624194157E-2</v>
      </c>
      <c r="C189" s="254">
        <f t="shared" si="0"/>
        <v>-7973.6130624194157</v>
      </c>
      <c r="D189" s="255">
        <f t="shared" si="1"/>
        <v>1</v>
      </c>
    </row>
    <row r="190" spans="1:4" ht="14.25" customHeight="1" x14ac:dyDescent="0.25">
      <c r="A190" s="3">
        <v>14187.008149880719</v>
      </c>
      <c r="B190" s="3">
        <v>-8.9509499941748949E-2</v>
      </c>
      <c r="C190" s="254">
        <f t="shared" si="0"/>
        <v>-8950.9499941748945</v>
      </c>
      <c r="D190" s="255">
        <f t="shared" si="1"/>
        <v>1</v>
      </c>
    </row>
    <row r="191" spans="1:4" ht="14.25" customHeight="1" x14ac:dyDescent="0.25">
      <c r="A191" s="3">
        <v>-1745.3868405279427</v>
      </c>
      <c r="B191" s="3">
        <v>9.1158004644750157E-2</v>
      </c>
      <c r="C191" s="254">
        <f t="shared" si="0"/>
        <v>9115.8004644750163</v>
      </c>
      <c r="D191" s="255">
        <f t="shared" si="1"/>
        <v>0</v>
      </c>
    </row>
    <row r="192" spans="1:4" ht="14.25" customHeight="1" x14ac:dyDescent="0.25">
      <c r="A192" s="3">
        <v>4180.7891847956562</v>
      </c>
      <c r="B192" s="3">
        <v>0.19748981379964681</v>
      </c>
      <c r="C192" s="254">
        <f t="shared" si="0"/>
        <v>19748.98137996468</v>
      </c>
      <c r="D192" s="255">
        <f t="shared" si="1"/>
        <v>0</v>
      </c>
    </row>
    <row r="193" spans="1:4" ht="14.25" customHeight="1" x14ac:dyDescent="0.25">
      <c r="A193" s="3">
        <v>4896.6922975535708</v>
      </c>
      <c r="B193" s="3">
        <v>-0.27506109215876595</v>
      </c>
      <c r="C193" s="254">
        <f t="shared" si="0"/>
        <v>-27506.109215876597</v>
      </c>
      <c r="D193" s="255">
        <f t="shared" si="1"/>
        <v>1</v>
      </c>
    </row>
    <row r="194" spans="1:4" ht="14.25" customHeight="1" x14ac:dyDescent="0.25">
      <c r="A194" s="3">
        <v>-762.00566518981941</v>
      </c>
      <c r="B194" s="3">
        <v>-0.25627447169470274</v>
      </c>
      <c r="C194" s="254">
        <f t="shared" si="0"/>
        <v>-25627.447169470273</v>
      </c>
      <c r="D194" s="255">
        <f t="shared" si="1"/>
        <v>1</v>
      </c>
    </row>
    <row r="195" spans="1:4" ht="14.25" customHeight="1" x14ac:dyDescent="0.25">
      <c r="A195" s="3">
        <v>13713.223913903137</v>
      </c>
      <c r="B195" s="3">
        <v>0.24104485514684826</v>
      </c>
      <c r="C195" s="254">
        <f t="shared" si="0"/>
        <v>24104.485514684824</v>
      </c>
      <c r="D195" s="255">
        <f t="shared" si="1"/>
        <v>0</v>
      </c>
    </row>
    <row r="196" spans="1:4" ht="14.25" customHeight="1" x14ac:dyDescent="0.25">
      <c r="A196" s="3">
        <v>11838.188374742604</v>
      </c>
      <c r="B196" s="3">
        <v>-0.15926041237307498</v>
      </c>
      <c r="C196" s="254">
        <f t="shared" si="0"/>
        <v>-15926.041237307498</v>
      </c>
      <c r="D196" s="255">
        <f t="shared" si="1"/>
        <v>1</v>
      </c>
    </row>
    <row r="197" spans="1:4" ht="14.25" customHeight="1" x14ac:dyDescent="0.25">
      <c r="A197" s="3">
        <v>2694.6470880719062</v>
      </c>
      <c r="B197" s="3">
        <v>-7.2433240940324328E-2</v>
      </c>
      <c r="C197" s="254">
        <f t="shared" si="0"/>
        <v>-7243.3240940324331</v>
      </c>
      <c r="D197" s="255">
        <f t="shared" si="1"/>
        <v>1</v>
      </c>
    </row>
    <row r="198" spans="1:4" ht="14.25" customHeight="1" x14ac:dyDescent="0.25">
      <c r="A198" s="3">
        <v>14611.455069611227</v>
      </c>
      <c r="B198" s="3">
        <v>0.10568971995444487</v>
      </c>
      <c r="C198" s="254">
        <f t="shared" si="0"/>
        <v>10568.971995444486</v>
      </c>
      <c r="D198" s="255">
        <f t="shared" si="1"/>
        <v>1</v>
      </c>
    </row>
    <row r="199" spans="1:4" ht="14.25" customHeight="1" x14ac:dyDescent="0.25">
      <c r="A199" s="3">
        <v>5396.1742429300211</v>
      </c>
      <c r="B199" s="3">
        <v>-0.28029382766506927</v>
      </c>
      <c r="C199" s="254">
        <f t="shared" si="0"/>
        <v>-28029.382766506926</v>
      </c>
      <c r="D199" s="255">
        <f t="shared" si="1"/>
        <v>1</v>
      </c>
    </row>
    <row r="200" spans="1:4" ht="14.25" customHeight="1" x14ac:dyDescent="0.25">
      <c r="A200" s="3">
        <v>15037.889601503302</v>
      </c>
      <c r="B200" s="3">
        <v>0.38286639183912419</v>
      </c>
      <c r="C200" s="254">
        <f t="shared" si="0"/>
        <v>38286.639183912419</v>
      </c>
      <c r="D200" s="255">
        <f t="shared" si="1"/>
        <v>0</v>
      </c>
    </row>
    <row r="201" spans="1:4" ht="14.25" customHeight="1" x14ac:dyDescent="0.25">
      <c r="A201" s="3">
        <v>5926.2182944706437</v>
      </c>
      <c r="B201" s="3">
        <v>-0.22181099930591808</v>
      </c>
      <c r="C201" s="254">
        <f t="shared" si="0"/>
        <v>-22181.099930591809</v>
      </c>
      <c r="D201" s="255">
        <f t="shared" si="1"/>
        <v>1</v>
      </c>
    </row>
    <row r="202" spans="1:4" ht="14.25" customHeight="1" x14ac:dyDescent="0.25">
      <c r="A202" s="3">
        <v>12934.354771817583</v>
      </c>
      <c r="B202" s="3">
        <v>-0.14050278682631695</v>
      </c>
      <c r="C202" s="254">
        <f t="shared" si="0"/>
        <v>-14050.278682631695</v>
      </c>
      <c r="D202" s="255">
        <f t="shared" si="1"/>
        <v>1</v>
      </c>
    </row>
    <row r="203" spans="1:4" ht="14.25" customHeight="1" x14ac:dyDescent="0.25">
      <c r="A203" s="3">
        <v>8402.8658804336883</v>
      </c>
      <c r="B203" s="3">
        <v>0.20799421753241853</v>
      </c>
      <c r="C203" s="254">
        <f t="shared" si="0"/>
        <v>20799.421753241855</v>
      </c>
      <c r="D203" s="255">
        <f t="shared" si="1"/>
        <v>0</v>
      </c>
    </row>
    <row r="204" spans="1:4" ht="14.25" customHeight="1" x14ac:dyDescent="0.25">
      <c r="A204" s="3">
        <v>15016.327584109917</v>
      </c>
      <c r="B204" s="3">
        <v>0.21312416718680627</v>
      </c>
      <c r="C204" s="254">
        <f t="shared" si="0"/>
        <v>21312.416718680626</v>
      </c>
      <c r="D204" s="255">
        <f t="shared" si="1"/>
        <v>0</v>
      </c>
    </row>
    <row r="205" spans="1:4" ht="14.25" customHeight="1" x14ac:dyDescent="0.25">
      <c r="A205" s="3">
        <v>3903.4178804232506</v>
      </c>
      <c r="B205" s="3">
        <v>0.34996279639198935</v>
      </c>
      <c r="C205" s="254">
        <f t="shared" si="0"/>
        <v>34996.279639198932</v>
      </c>
      <c r="D205" s="255">
        <f t="shared" si="1"/>
        <v>0</v>
      </c>
    </row>
    <row r="206" spans="1:4" ht="14.25" customHeight="1" x14ac:dyDescent="0.25">
      <c r="A206" s="3">
        <v>8028.0035730452437</v>
      </c>
      <c r="B206" s="3">
        <v>0.15266642730918734</v>
      </c>
      <c r="C206" s="254">
        <f t="shared" si="0"/>
        <v>15266.642730918733</v>
      </c>
      <c r="D206" s="255">
        <f t="shared" si="1"/>
        <v>0</v>
      </c>
    </row>
    <row r="207" spans="1:4" ht="14.25" customHeight="1" x14ac:dyDescent="0.25">
      <c r="A207" s="3">
        <v>-2911.6356336105673</v>
      </c>
      <c r="B207" s="3">
        <v>0.35985317985390841</v>
      </c>
      <c r="C207" s="254">
        <f t="shared" si="0"/>
        <v>35985.317985390844</v>
      </c>
      <c r="D207" s="255">
        <f t="shared" si="1"/>
        <v>0</v>
      </c>
    </row>
    <row r="208" spans="1:4" ht="14.25" customHeight="1" x14ac:dyDescent="0.25">
      <c r="A208" s="3">
        <v>2216.9010563364718</v>
      </c>
      <c r="B208" s="3">
        <v>0.16948093570518674</v>
      </c>
      <c r="C208" s="254">
        <f t="shared" si="0"/>
        <v>16948.093570518675</v>
      </c>
      <c r="D208" s="255">
        <f t="shared" si="1"/>
        <v>0</v>
      </c>
    </row>
    <row r="209" spans="1:4" ht="14.25" customHeight="1" x14ac:dyDescent="0.25">
      <c r="A209" s="3">
        <v>2264.5190117676684</v>
      </c>
      <c r="B209" s="3">
        <v>-0.30115810915211294</v>
      </c>
      <c r="C209" s="254">
        <f t="shared" si="0"/>
        <v>-30115.810915211296</v>
      </c>
      <c r="D209" s="255">
        <f t="shared" si="1"/>
        <v>1</v>
      </c>
    </row>
    <row r="210" spans="1:4" ht="14.25" customHeight="1" x14ac:dyDescent="0.25">
      <c r="A210" s="3">
        <v>4543.5776858741883</v>
      </c>
      <c r="B210" s="3">
        <v>6.6950898229420908E-3</v>
      </c>
      <c r="C210" s="254">
        <f t="shared" si="0"/>
        <v>669.50898229420909</v>
      </c>
      <c r="D210" s="255">
        <f t="shared" si="1"/>
        <v>1</v>
      </c>
    </row>
    <row r="211" spans="1:4" ht="14.25" customHeight="1" x14ac:dyDescent="0.25">
      <c r="A211" s="3">
        <v>-5336.8628692050261</v>
      </c>
      <c r="B211" s="3">
        <v>0.41898559395668578</v>
      </c>
      <c r="C211" s="254">
        <f t="shared" si="0"/>
        <v>41898.559395668577</v>
      </c>
      <c r="D211" s="255">
        <f t="shared" si="1"/>
        <v>0</v>
      </c>
    </row>
    <row r="212" spans="1:4" ht="14.25" customHeight="1" x14ac:dyDescent="0.25">
      <c r="A212" s="3">
        <v>1377.2490068808111</v>
      </c>
      <c r="B212" s="3">
        <v>-0.21349022264680073</v>
      </c>
      <c r="C212" s="254">
        <f t="shared" si="0"/>
        <v>-21349.022264680072</v>
      </c>
      <c r="D212" s="255">
        <f t="shared" si="1"/>
        <v>1</v>
      </c>
    </row>
    <row r="213" spans="1:4" ht="14.25" customHeight="1" x14ac:dyDescent="0.25">
      <c r="A213" s="3">
        <v>10288.646532973267</v>
      </c>
      <c r="B213" s="3">
        <v>-0.2089016146331768</v>
      </c>
      <c r="C213" s="254">
        <f t="shared" si="0"/>
        <v>-20890.16146331768</v>
      </c>
      <c r="D213" s="255">
        <f t="shared" si="1"/>
        <v>1</v>
      </c>
    </row>
    <row r="214" spans="1:4" ht="14.25" customHeight="1" x14ac:dyDescent="0.25">
      <c r="A214" s="3">
        <v>2596.8664797897654</v>
      </c>
      <c r="B214" s="3">
        <v>0.19551239015070143</v>
      </c>
      <c r="C214" s="254">
        <f t="shared" si="0"/>
        <v>19551.239015070143</v>
      </c>
      <c r="D214" s="255">
        <f t="shared" si="1"/>
        <v>0</v>
      </c>
    </row>
    <row r="215" spans="1:4" ht="14.25" customHeight="1" x14ac:dyDescent="0.25">
      <c r="A215" s="3">
        <v>7613.9220810368206</v>
      </c>
      <c r="B215" s="3">
        <v>0.53229574921898348</v>
      </c>
      <c r="C215" s="254">
        <f t="shared" si="0"/>
        <v>53229.574921898347</v>
      </c>
      <c r="D215" s="255">
        <f t="shared" si="1"/>
        <v>0</v>
      </c>
    </row>
    <row r="216" spans="1:4" ht="14.25" customHeight="1" x14ac:dyDescent="0.25">
      <c r="A216" s="3">
        <v>10256.090082450755</v>
      </c>
      <c r="B216" s="3">
        <v>-4.5116273959044717E-2</v>
      </c>
      <c r="C216" s="254">
        <f t="shared" si="0"/>
        <v>-4511.627395904472</v>
      </c>
      <c r="D216" s="255">
        <f t="shared" si="1"/>
        <v>1</v>
      </c>
    </row>
    <row r="217" spans="1:4" ht="14.25" customHeight="1" x14ac:dyDescent="0.25">
      <c r="A217" s="3">
        <v>4148.8836968413452</v>
      </c>
      <c r="B217" s="3">
        <v>-0.23879172238395097</v>
      </c>
      <c r="C217" s="254">
        <f t="shared" si="0"/>
        <v>-23879.172238395098</v>
      </c>
      <c r="D217" s="255">
        <f t="shared" si="1"/>
        <v>1</v>
      </c>
    </row>
    <row r="218" spans="1:4" ht="14.25" customHeight="1" x14ac:dyDescent="0.25">
      <c r="A218" s="3">
        <v>10492.805319081177</v>
      </c>
      <c r="B218" s="3">
        <v>-4.1772624200239861E-2</v>
      </c>
      <c r="C218" s="254">
        <f t="shared" si="0"/>
        <v>-4177.2624200239861</v>
      </c>
      <c r="D218" s="255">
        <f t="shared" si="1"/>
        <v>1</v>
      </c>
    </row>
    <row r="219" spans="1:4" ht="14.25" customHeight="1" x14ac:dyDescent="0.25">
      <c r="A219" s="3">
        <v>4187.1264793676819</v>
      </c>
      <c r="B219" s="3">
        <v>-0.23343799072682181</v>
      </c>
      <c r="C219" s="254">
        <f t="shared" si="0"/>
        <v>-23343.799072682181</v>
      </c>
      <c r="D219" s="255">
        <f t="shared" si="1"/>
        <v>1</v>
      </c>
    </row>
    <row r="220" spans="1:4" ht="14.25" customHeight="1" x14ac:dyDescent="0.25">
      <c r="A220" s="3">
        <v>8245.141712397075</v>
      </c>
      <c r="B220" s="3">
        <v>6.1747268327513538E-2</v>
      </c>
      <c r="C220" s="254">
        <f t="shared" si="0"/>
        <v>6174.7268327513539</v>
      </c>
      <c r="D220" s="255">
        <f t="shared" si="1"/>
        <v>1</v>
      </c>
    </row>
    <row r="221" spans="1:4" ht="14.25" customHeight="1" x14ac:dyDescent="0.25">
      <c r="A221" s="3">
        <v>8406.5738779375897</v>
      </c>
      <c r="B221" s="3">
        <v>-0.26077820863580614</v>
      </c>
      <c r="C221" s="254">
        <f t="shared" si="0"/>
        <v>-26077.820863580615</v>
      </c>
      <c r="D221" s="255">
        <f t="shared" si="1"/>
        <v>1</v>
      </c>
    </row>
    <row r="222" spans="1:4" ht="14.25" customHeight="1" x14ac:dyDescent="0.25">
      <c r="A222" s="3">
        <v>5880.0677365660667</v>
      </c>
      <c r="B222" s="3">
        <v>0.22171944353616779</v>
      </c>
      <c r="C222" s="254">
        <f t="shared" si="0"/>
        <v>22171.944353616778</v>
      </c>
      <c r="D222" s="255">
        <f t="shared" si="1"/>
        <v>0</v>
      </c>
    </row>
    <row r="223" spans="1:4" ht="14.25" customHeight="1" x14ac:dyDescent="0.25">
      <c r="A223" s="3">
        <v>10822.347513854402</v>
      </c>
      <c r="B223" s="3">
        <v>-2.224565260600242E-2</v>
      </c>
      <c r="C223" s="254">
        <f t="shared" si="0"/>
        <v>-2224.5652606002418</v>
      </c>
      <c r="D223" s="255">
        <f t="shared" si="1"/>
        <v>1</v>
      </c>
    </row>
    <row r="224" spans="1:4" ht="14.25" customHeight="1" x14ac:dyDescent="0.25">
      <c r="A224" s="3">
        <v>-1118.7757731652528</v>
      </c>
      <c r="B224" s="3">
        <v>5.3561553791303673E-3</v>
      </c>
      <c r="C224" s="254">
        <f t="shared" si="0"/>
        <v>535.61553791303675</v>
      </c>
      <c r="D224" s="255">
        <f t="shared" si="1"/>
        <v>0</v>
      </c>
    </row>
    <row r="225" spans="1:4" ht="14.25" customHeight="1" x14ac:dyDescent="0.25">
      <c r="A225" s="3">
        <v>11587.912513118885</v>
      </c>
      <c r="B225" s="3">
        <v>4.2852567220923898E-2</v>
      </c>
      <c r="C225" s="254">
        <f t="shared" si="0"/>
        <v>4285.2567220923902</v>
      </c>
      <c r="D225" s="255">
        <f t="shared" si="1"/>
        <v>1</v>
      </c>
    </row>
    <row r="226" spans="1:4" ht="14.25" customHeight="1" x14ac:dyDescent="0.25">
      <c r="A226" s="3">
        <v>3282.7347519137111</v>
      </c>
      <c r="B226" s="3">
        <v>-0.16083340710571692</v>
      </c>
      <c r="C226" s="254">
        <f t="shared" si="0"/>
        <v>-16083.340710571692</v>
      </c>
      <c r="D226" s="255">
        <f t="shared" si="1"/>
        <v>1</v>
      </c>
    </row>
    <row r="227" spans="1:4" ht="14.25" customHeight="1" x14ac:dyDescent="0.25">
      <c r="A227" s="3">
        <v>10969.288081431499</v>
      </c>
      <c r="B227" s="3">
        <v>-0.2298590507393099</v>
      </c>
      <c r="C227" s="254">
        <f t="shared" si="0"/>
        <v>-22985.90507393099</v>
      </c>
      <c r="D227" s="255">
        <f t="shared" si="1"/>
        <v>1</v>
      </c>
    </row>
    <row r="228" spans="1:4" ht="14.25" customHeight="1" x14ac:dyDescent="0.25">
      <c r="A228" s="3">
        <v>8839.8498248326505</v>
      </c>
      <c r="B228" s="3">
        <v>0.22577190462926811</v>
      </c>
      <c r="C228" s="254">
        <f t="shared" si="0"/>
        <v>22577.19046292681</v>
      </c>
      <c r="D228" s="255">
        <f t="shared" si="1"/>
        <v>0</v>
      </c>
    </row>
    <row r="229" spans="1:4" ht="14.25" customHeight="1" x14ac:dyDescent="0.25">
      <c r="A229" s="3">
        <v>8699.1098227857437</v>
      </c>
      <c r="B229" s="3">
        <v>0.24714318490536358</v>
      </c>
      <c r="C229" s="254">
        <f t="shared" si="0"/>
        <v>24714.318490536356</v>
      </c>
      <c r="D229" s="255">
        <f t="shared" si="1"/>
        <v>0</v>
      </c>
    </row>
    <row r="230" spans="1:4" ht="14.25" customHeight="1" x14ac:dyDescent="0.25">
      <c r="A230" s="3">
        <v>3292.3625842912879</v>
      </c>
      <c r="B230" s="3">
        <v>-1.5485132007550195E-2</v>
      </c>
      <c r="C230" s="254">
        <f t="shared" si="0"/>
        <v>-1548.5132007550196</v>
      </c>
      <c r="D230" s="255">
        <f t="shared" si="1"/>
        <v>1</v>
      </c>
    </row>
    <row r="231" spans="1:4" ht="14.25" customHeight="1" x14ac:dyDescent="0.25">
      <c r="A231" s="3">
        <v>2070.2757650546555</v>
      </c>
      <c r="B231" s="3">
        <v>0.1430265553229062</v>
      </c>
      <c r="C231" s="254">
        <f t="shared" si="0"/>
        <v>14302.655532290621</v>
      </c>
      <c r="D231" s="255">
        <f t="shared" si="1"/>
        <v>0</v>
      </c>
    </row>
    <row r="232" spans="1:4" ht="14.25" customHeight="1" x14ac:dyDescent="0.25">
      <c r="A232" s="3">
        <v>6878.8643077965098</v>
      </c>
      <c r="B232" s="3">
        <v>0.20532809427654852</v>
      </c>
      <c r="C232" s="254">
        <f t="shared" si="0"/>
        <v>20532.809427654851</v>
      </c>
      <c r="D232" s="255">
        <f t="shared" si="1"/>
        <v>0</v>
      </c>
    </row>
    <row r="233" spans="1:4" ht="14.25" customHeight="1" x14ac:dyDescent="0.25">
      <c r="A233" s="3">
        <v>3997.0588642466464</v>
      </c>
      <c r="B233" s="3">
        <v>0.18140717968349218</v>
      </c>
      <c r="C233" s="254">
        <f t="shared" si="0"/>
        <v>18140.717968349218</v>
      </c>
      <c r="D233" s="255">
        <f t="shared" si="1"/>
        <v>0</v>
      </c>
    </row>
    <row r="234" spans="1:4" ht="14.25" customHeight="1" x14ac:dyDescent="0.25">
      <c r="A234" s="3">
        <v>7422.0113386457087</v>
      </c>
      <c r="B234" s="3">
        <v>0.12068806096806139</v>
      </c>
      <c r="C234" s="254">
        <f t="shared" si="0"/>
        <v>12068.80609680614</v>
      </c>
      <c r="D234" s="255">
        <f t="shared" si="1"/>
        <v>0</v>
      </c>
    </row>
    <row r="235" spans="1:4" ht="14.25" customHeight="1" x14ac:dyDescent="0.25">
      <c r="A235" s="3">
        <v>-225.41351841595315</v>
      </c>
      <c r="B235" s="3">
        <v>-0.35343133577687968</v>
      </c>
      <c r="C235" s="254">
        <f t="shared" si="0"/>
        <v>-35343.133577687971</v>
      </c>
      <c r="D235" s="255">
        <f t="shared" si="1"/>
        <v>1</v>
      </c>
    </row>
    <row r="236" spans="1:4" ht="14.25" customHeight="1" x14ac:dyDescent="0.25">
      <c r="A236" s="3">
        <v>10376.349948889765</v>
      </c>
      <c r="B236" s="3">
        <v>-4.3507059026685058E-2</v>
      </c>
      <c r="C236" s="254">
        <f t="shared" si="0"/>
        <v>-4350.7059026685056</v>
      </c>
      <c r="D236" s="255">
        <f t="shared" si="1"/>
        <v>1</v>
      </c>
    </row>
    <row r="237" spans="1:4" ht="14.25" customHeight="1" x14ac:dyDescent="0.25">
      <c r="A237" s="3">
        <v>5066.2580185628904</v>
      </c>
      <c r="B237" s="3">
        <v>-7.4834548326322636E-2</v>
      </c>
      <c r="C237" s="254">
        <f t="shared" si="0"/>
        <v>-7483.4548326322638</v>
      </c>
      <c r="D237" s="255">
        <f t="shared" si="1"/>
        <v>1</v>
      </c>
    </row>
    <row r="238" spans="1:4" ht="14.25" customHeight="1" x14ac:dyDescent="0.25">
      <c r="A238" s="3">
        <v>4341.4852153758984</v>
      </c>
      <c r="B238" s="3">
        <v>0.16634523573870874</v>
      </c>
      <c r="C238" s="254">
        <f t="shared" si="0"/>
        <v>16634.523573870872</v>
      </c>
      <c r="D238" s="255">
        <f t="shared" si="1"/>
        <v>0</v>
      </c>
    </row>
    <row r="239" spans="1:4" ht="14.25" customHeight="1" x14ac:dyDescent="0.25">
      <c r="A239" s="3">
        <v>6023.4356529858342</v>
      </c>
      <c r="B239" s="3">
        <v>3.4750921517432865E-2</v>
      </c>
      <c r="C239" s="254">
        <f t="shared" si="0"/>
        <v>3475.0921517432866</v>
      </c>
      <c r="D239" s="255">
        <f t="shared" si="1"/>
        <v>1</v>
      </c>
    </row>
    <row r="240" spans="1:4" ht="14.25" customHeight="1" x14ac:dyDescent="0.25">
      <c r="A240" s="3">
        <v>7709.893589059182</v>
      </c>
      <c r="B240" s="3">
        <v>-8.6378289801024133E-2</v>
      </c>
      <c r="C240" s="254">
        <f t="shared" si="0"/>
        <v>-8637.828980102413</v>
      </c>
      <c r="D240" s="255">
        <f t="shared" si="1"/>
        <v>1</v>
      </c>
    </row>
    <row r="241" spans="1:4" ht="14.25" customHeight="1" x14ac:dyDescent="0.25">
      <c r="A241" s="3">
        <v>6597.0560392823681</v>
      </c>
      <c r="B241" s="3">
        <v>0.18124544214761418</v>
      </c>
      <c r="C241" s="254">
        <f t="shared" si="0"/>
        <v>18124.544214761419</v>
      </c>
      <c r="D241" s="255">
        <f t="shared" si="1"/>
        <v>0</v>
      </c>
    </row>
    <row r="242" spans="1:4" ht="14.25" customHeight="1" x14ac:dyDescent="0.25">
      <c r="A242" s="3">
        <v>9118.3092153857142</v>
      </c>
      <c r="B242" s="3">
        <v>0.148774981680035</v>
      </c>
      <c r="C242" s="254">
        <f t="shared" si="0"/>
        <v>14877.4981680035</v>
      </c>
      <c r="D242" s="255">
        <f t="shared" si="1"/>
        <v>0</v>
      </c>
    </row>
    <row r="243" spans="1:4" ht="14.25" customHeight="1" x14ac:dyDescent="0.25">
      <c r="A243" s="3">
        <v>12224.253025625003</v>
      </c>
      <c r="B243" s="3">
        <v>0.3856109266637775</v>
      </c>
      <c r="C243" s="254">
        <f t="shared" si="0"/>
        <v>38561.09266637775</v>
      </c>
      <c r="D243" s="255">
        <f t="shared" si="1"/>
        <v>0</v>
      </c>
    </row>
    <row r="244" spans="1:4" ht="14.25" customHeight="1" x14ac:dyDescent="0.25">
      <c r="A244" s="3">
        <v>2683.6283465665911</v>
      </c>
      <c r="B244" s="3">
        <v>0.3048819048026874</v>
      </c>
      <c r="C244" s="254">
        <f t="shared" si="0"/>
        <v>30488.190480268739</v>
      </c>
      <c r="D244" s="255">
        <f t="shared" si="1"/>
        <v>0</v>
      </c>
    </row>
    <row r="245" spans="1:4" ht="14.25" customHeight="1" x14ac:dyDescent="0.25">
      <c r="A245" s="3">
        <v>2150.7008744613559</v>
      </c>
      <c r="B245" s="3">
        <v>0.12336200601176062</v>
      </c>
      <c r="C245" s="254">
        <f t="shared" si="0"/>
        <v>12336.200601176062</v>
      </c>
      <c r="D245" s="255">
        <f t="shared" si="1"/>
        <v>0</v>
      </c>
    </row>
    <row r="246" spans="1:4" ht="14.25" customHeight="1" x14ac:dyDescent="0.25">
      <c r="A246" s="3">
        <v>1482.0080056113802</v>
      </c>
      <c r="B246" s="3">
        <v>-2.400255999310863E-2</v>
      </c>
      <c r="C246" s="254">
        <f t="shared" si="0"/>
        <v>-2400.255999310863</v>
      </c>
      <c r="D246" s="255">
        <f t="shared" si="1"/>
        <v>1</v>
      </c>
    </row>
    <row r="247" spans="1:4" ht="14.25" customHeight="1" x14ac:dyDescent="0.25">
      <c r="A247" s="3">
        <v>5448.4875767531485</v>
      </c>
      <c r="B247" s="3">
        <v>-0.27858529254605924</v>
      </c>
      <c r="C247" s="254">
        <f t="shared" si="0"/>
        <v>-27858.529254605925</v>
      </c>
      <c r="D247" s="255">
        <f t="shared" si="1"/>
        <v>1</v>
      </c>
    </row>
    <row r="248" spans="1:4" ht="14.25" customHeight="1" x14ac:dyDescent="0.25">
      <c r="A248" s="3">
        <v>3598.3997043814234</v>
      </c>
      <c r="B248" s="3">
        <v>-1.6065035404632777E-2</v>
      </c>
      <c r="C248" s="254">
        <f t="shared" si="0"/>
        <v>-1606.5035404632777</v>
      </c>
      <c r="D248" s="255">
        <f t="shared" si="1"/>
        <v>1</v>
      </c>
    </row>
    <row r="249" spans="1:4" ht="14.25" customHeight="1" x14ac:dyDescent="0.25">
      <c r="A249" s="3">
        <v>-413.81586178687576</v>
      </c>
      <c r="B249" s="3">
        <v>-0.17742707933008761</v>
      </c>
      <c r="C249" s="254">
        <f t="shared" si="0"/>
        <v>-17742.707933008762</v>
      </c>
      <c r="D249" s="255">
        <f t="shared" si="1"/>
        <v>1</v>
      </c>
    </row>
    <row r="250" spans="1:4" ht="14.25" customHeight="1" x14ac:dyDescent="0.25">
      <c r="A250" s="3">
        <v>3482.682521667477</v>
      </c>
      <c r="B250" s="3">
        <v>-2.7287625969991458E-2</v>
      </c>
      <c r="C250" s="254">
        <f t="shared" si="0"/>
        <v>-2728.7625969991459</v>
      </c>
      <c r="D250" s="255">
        <f t="shared" si="1"/>
        <v>1</v>
      </c>
    </row>
    <row r="251" spans="1:4" ht="14.25" customHeight="1" x14ac:dyDescent="0.25">
      <c r="A251" s="3">
        <v>-195.49487419421348</v>
      </c>
      <c r="B251" s="3">
        <v>-1.9409488459303237E-2</v>
      </c>
      <c r="C251" s="254">
        <f t="shared" si="0"/>
        <v>-1940.9488459303236</v>
      </c>
      <c r="D251" s="255">
        <f t="shared" si="1"/>
        <v>1</v>
      </c>
    </row>
    <row r="252" spans="1:4" ht="14.25" customHeight="1" x14ac:dyDescent="0.25">
      <c r="A252" s="3">
        <v>3476.4148428731278</v>
      </c>
      <c r="B252" s="3">
        <v>0.1984945422934854</v>
      </c>
      <c r="C252" s="254">
        <f t="shared" si="0"/>
        <v>19849.454229348539</v>
      </c>
      <c r="D252" s="255">
        <f t="shared" si="1"/>
        <v>0</v>
      </c>
    </row>
    <row r="253" spans="1:4" ht="14.25" customHeight="1" x14ac:dyDescent="0.25">
      <c r="A253" s="3">
        <v>12629.484870603563</v>
      </c>
      <c r="B253" s="3">
        <v>0.15725333278915254</v>
      </c>
      <c r="C253" s="254">
        <f t="shared" si="0"/>
        <v>15725.333278915254</v>
      </c>
      <c r="D253" s="255">
        <f t="shared" si="1"/>
        <v>0</v>
      </c>
    </row>
    <row r="254" spans="1:4" ht="14.25" customHeight="1" x14ac:dyDescent="0.25">
      <c r="A254" s="3">
        <v>18402.508570956008</v>
      </c>
      <c r="B254" s="3">
        <v>-6.7186157253802392E-2</v>
      </c>
      <c r="C254" s="254">
        <f t="shared" si="0"/>
        <v>-6718.6157253802394</v>
      </c>
      <c r="D254" s="255">
        <f t="shared" si="1"/>
        <v>1</v>
      </c>
    </row>
    <row r="255" spans="1:4" ht="14.25" customHeight="1" x14ac:dyDescent="0.25">
      <c r="A255" s="3">
        <v>1975.9353483419181</v>
      </c>
      <c r="B255" s="3">
        <v>8.384377264633347E-2</v>
      </c>
      <c r="C255" s="254">
        <f t="shared" si="0"/>
        <v>8384.3772646333473</v>
      </c>
      <c r="D255" s="255">
        <f t="shared" si="1"/>
        <v>0</v>
      </c>
    </row>
    <row r="256" spans="1:4" ht="14.25" customHeight="1" x14ac:dyDescent="0.25">
      <c r="A256" s="3">
        <v>5519.6213940289308</v>
      </c>
      <c r="B256" s="3">
        <v>-0.16704220902349087</v>
      </c>
      <c r="C256" s="254">
        <f t="shared" si="0"/>
        <v>-16704.220902349087</v>
      </c>
      <c r="D256" s="255">
        <f t="shared" si="1"/>
        <v>1</v>
      </c>
    </row>
    <row r="257" spans="1:4" ht="14.25" customHeight="1" x14ac:dyDescent="0.25">
      <c r="A257" s="3">
        <v>7298.5990229886957</v>
      </c>
      <c r="B257" s="3">
        <v>0.50174028048156893</v>
      </c>
      <c r="C257" s="254">
        <f t="shared" ref="C257:C511" si="2">B257*$G$2</f>
        <v>50174.028048156892</v>
      </c>
      <c r="D257" s="255">
        <f t="shared" ref="D257:D511" si="3">IF(A257&gt;C257,1,0)</f>
        <v>0</v>
      </c>
    </row>
    <row r="258" spans="1:4" ht="14.25" customHeight="1" x14ac:dyDescent="0.25">
      <c r="A258" s="3">
        <v>4800.8304464058965</v>
      </c>
      <c r="B258" s="3">
        <v>0.10824601061140848</v>
      </c>
      <c r="C258" s="254">
        <f t="shared" si="2"/>
        <v>10824.601061140849</v>
      </c>
      <c r="D258" s="255">
        <f t="shared" si="3"/>
        <v>0</v>
      </c>
    </row>
    <row r="259" spans="1:4" ht="14.25" customHeight="1" x14ac:dyDescent="0.25">
      <c r="A259" s="3">
        <v>2058.5769986443775</v>
      </c>
      <c r="B259" s="3">
        <v>0.30180090589614483</v>
      </c>
      <c r="C259" s="254">
        <f t="shared" si="2"/>
        <v>30180.090589614483</v>
      </c>
      <c r="D259" s="255">
        <f t="shared" si="3"/>
        <v>0</v>
      </c>
    </row>
    <row r="260" spans="1:4" ht="14.25" customHeight="1" x14ac:dyDescent="0.25">
      <c r="A260" s="3">
        <v>4473.4232631928171</v>
      </c>
      <c r="B260" s="3">
        <v>-0.16646445516279229</v>
      </c>
      <c r="C260" s="254">
        <f t="shared" si="2"/>
        <v>-16646.445516279229</v>
      </c>
      <c r="D260" s="255">
        <f t="shared" si="3"/>
        <v>1</v>
      </c>
    </row>
    <row r="261" spans="1:4" ht="14.25" customHeight="1" x14ac:dyDescent="0.25">
      <c r="A261" s="3">
        <v>8396.102733631953</v>
      </c>
      <c r="B261" s="3">
        <v>2.8080103190515557E-2</v>
      </c>
      <c r="C261" s="254">
        <f t="shared" si="2"/>
        <v>2808.0103190515556</v>
      </c>
      <c r="D261" s="255">
        <f t="shared" si="3"/>
        <v>1</v>
      </c>
    </row>
    <row r="262" spans="1:4" ht="14.25" customHeight="1" x14ac:dyDescent="0.25">
      <c r="A262" s="3">
        <v>-300.96901805912057</v>
      </c>
      <c r="B262" s="3">
        <v>4.4916607069494852E-2</v>
      </c>
      <c r="C262" s="254">
        <f t="shared" si="2"/>
        <v>4491.6607069494848</v>
      </c>
      <c r="D262" s="255">
        <f t="shared" si="3"/>
        <v>0</v>
      </c>
    </row>
    <row r="263" spans="1:4" ht="14.25" customHeight="1" x14ac:dyDescent="0.25">
      <c r="A263" s="3">
        <v>9307.9668902812409</v>
      </c>
      <c r="B263" s="3">
        <v>-0.13404232258964965</v>
      </c>
      <c r="C263" s="254">
        <f t="shared" si="2"/>
        <v>-13404.232258964965</v>
      </c>
      <c r="D263" s="255">
        <f t="shared" si="3"/>
        <v>1</v>
      </c>
    </row>
    <row r="264" spans="1:4" ht="14.25" customHeight="1" x14ac:dyDescent="0.25">
      <c r="A264" s="3">
        <v>13823.334180760037</v>
      </c>
      <c r="B264" s="3">
        <v>1.97567869554931E-2</v>
      </c>
      <c r="C264" s="254">
        <f t="shared" si="2"/>
        <v>1975.6786955493101</v>
      </c>
      <c r="D264" s="255">
        <f t="shared" si="3"/>
        <v>1</v>
      </c>
    </row>
    <row r="265" spans="1:4" ht="14.25" customHeight="1" x14ac:dyDescent="0.25">
      <c r="A265" s="3">
        <v>14400.490358120252</v>
      </c>
      <c r="B265" s="3">
        <v>-0.19342284492809014</v>
      </c>
      <c r="C265" s="254">
        <f t="shared" si="2"/>
        <v>-19342.284492809013</v>
      </c>
      <c r="D265" s="255">
        <f t="shared" si="3"/>
        <v>1</v>
      </c>
    </row>
    <row r="266" spans="1:4" ht="14.25" customHeight="1" x14ac:dyDescent="0.25">
      <c r="A266" s="3">
        <v>6786.7383013981744</v>
      </c>
      <c r="B266" s="3">
        <v>0.17447571822719787</v>
      </c>
      <c r="C266" s="254">
        <f t="shared" si="2"/>
        <v>17447.571822719787</v>
      </c>
      <c r="D266" s="255">
        <f t="shared" si="3"/>
        <v>0</v>
      </c>
    </row>
    <row r="267" spans="1:4" ht="14.25" customHeight="1" x14ac:dyDescent="0.25">
      <c r="A267" s="3">
        <v>9439.6474542878786</v>
      </c>
      <c r="B267" s="3">
        <v>-7.9523373431525268E-2</v>
      </c>
      <c r="C267" s="254">
        <f t="shared" si="2"/>
        <v>-7952.337343152527</v>
      </c>
      <c r="D267" s="255">
        <f t="shared" si="3"/>
        <v>1</v>
      </c>
    </row>
    <row r="268" spans="1:4" ht="14.25" customHeight="1" x14ac:dyDescent="0.25">
      <c r="A268" s="3">
        <v>9878.8497332020415</v>
      </c>
      <c r="B268" s="3">
        <v>0.13394793831029039</v>
      </c>
      <c r="C268" s="254">
        <f t="shared" si="2"/>
        <v>13394.793831029039</v>
      </c>
      <c r="D268" s="255">
        <f t="shared" si="3"/>
        <v>0</v>
      </c>
    </row>
    <row r="269" spans="1:4" ht="14.25" customHeight="1" x14ac:dyDescent="0.25">
      <c r="A269" s="3">
        <v>4345.511502717025</v>
      </c>
      <c r="B269" s="3">
        <v>0.36630317642433807</v>
      </c>
      <c r="C269" s="254">
        <f t="shared" si="2"/>
        <v>36630.317642433809</v>
      </c>
      <c r="D269" s="255">
        <f t="shared" si="3"/>
        <v>0</v>
      </c>
    </row>
    <row r="270" spans="1:4" ht="14.25" customHeight="1" x14ac:dyDescent="0.25">
      <c r="A270" s="3">
        <v>9225.0723364988662</v>
      </c>
      <c r="B270" s="3">
        <v>0.26709380114504144</v>
      </c>
      <c r="C270" s="254">
        <f t="shared" si="2"/>
        <v>26709.380114504143</v>
      </c>
      <c r="D270" s="255">
        <f t="shared" si="3"/>
        <v>0</v>
      </c>
    </row>
    <row r="271" spans="1:4" ht="14.25" customHeight="1" x14ac:dyDescent="0.25">
      <c r="A271" s="3">
        <v>4525.1897885321814</v>
      </c>
      <c r="B271" s="3">
        <v>0.32411980792500295</v>
      </c>
      <c r="C271" s="254">
        <f t="shared" si="2"/>
        <v>32411.980792500293</v>
      </c>
      <c r="D271" s="255">
        <f t="shared" si="3"/>
        <v>0</v>
      </c>
    </row>
    <row r="272" spans="1:4" ht="14.25" customHeight="1" x14ac:dyDescent="0.25">
      <c r="A272" s="3">
        <v>6703.0576950725226</v>
      </c>
      <c r="B272" s="3">
        <v>-3.9056820397371794E-2</v>
      </c>
      <c r="C272" s="254">
        <f t="shared" si="2"/>
        <v>-3905.6820397371794</v>
      </c>
      <c r="D272" s="255">
        <f t="shared" si="3"/>
        <v>1</v>
      </c>
    </row>
    <row r="273" spans="1:4" ht="14.25" customHeight="1" x14ac:dyDescent="0.25">
      <c r="A273" s="3">
        <v>8271.590672821374</v>
      </c>
      <c r="B273" s="3">
        <v>2.8251639705649589E-2</v>
      </c>
      <c r="C273" s="254">
        <f t="shared" si="2"/>
        <v>2825.1639705649591</v>
      </c>
      <c r="D273" s="255">
        <f t="shared" si="3"/>
        <v>1</v>
      </c>
    </row>
    <row r="274" spans="1:4" ht="14.25" customHeight="1" x14ac:dyDescent="0.25">
      <c r="A274" s="3">
        <v>4838.8252106613727</v>
      </c>
      <c r="B274" s="3">
        <v>-2.2509442171678495E-2</v>
      </c>
      <c r="C274" s="254">
        <f t="shared" si="2"/>
        <v>-2250.9442171678497</v>
      </c>
      <c r="D274" s="255">
        <f t="shared" si="3"/>
        <v>1</v>
      </c>
    </row>
    <row r="275" spans="1:4" ht="14.25" customHeight="1" x14ac:dyDescent="0.25">
      <c r="A275" s="3">
        <v>5640.5350172301987</v>
      </c>
      <c r="B275" s="3">
        <v>-0.19114435813912678</v>
      </c>
      <c r="C275" s="254">
        <f t="shared" si="2"/>
        <v>-19114.435813912678</v>
      </c>
      <c r="D275" s="255">
        <f t="shared" si="3"/>
        <v>1</v>
      </c>
    </row>
    <row r="276" spans="1:4" ht="14.25" customHeight="1" x14ac:dyDescent="0.25">
      <c r="A276" s="3">
        <v>11631.700858828408</v>
      </c>
      <c r="B276" s="3">
        <v>-0.48828767163536457</v>
      </c>
      <c r="C276" s="254">
        <f t="shared" si="2"/>
        <v>-48828.76716353646</v>
      </c>
      <c r="D276" s="255">
        <f t="shared" si="3"/>
        <v>1</v>
      </c>
    </row>
    <row r="277" spans="1:4" ht="14.25" customHeight="1" x14ac:dyDescent="0.25">
      <c r="A277" s="3">
        <v>6983.6274635758455</v>
      </c>
      <c r="B277" s="3">
        <v>0.24962102202630065</v>
      </c>
      <c r="C277" s="254">
        <f t="shared" si="2"/>
        <v>24962.102202630067</v>
      </c>
      <c r="D277" s="255">
        <f t="shared" si="3"/>
        <v>0</v>
      </c>
    </row>
    <row r="278" spans="1:4" ht="14.25" customHeight="1" x14ac:dyDescent="0.25">
      <c r="A278" s="3">
        <v>9537.6376355517641</v>
      </c>
      <c r="B278" s="3">
        <v>4.9165607425683433E-2</v>
      </c>
      <c r="C278" s="254">
        <f t="shared" si="2"/>
        <v>4916.5607425683429</v>
      </c>
      <c r="D278" s="255">
        <f t="shared" si="3"/>
        <v>1</v>
      </c>
    </row>
    <row r="279" spans="1:4" ht="14.25" customHeight="1" x14ac:dyDescent="0.25">
      <c r="A279" s="3">
        <v>14270.163817636247</v>
      </c>
      <c r="B279" s="3">
        <v>0.13716415518710801</v>
      </c>
      <c r="C279" s="254">
        <f t="shared" si="2"/>
        <v>13716.415518710801</v>
      </c>
      <c r="D279" s="255">
        <f t="shared" si="3"/>
        <v>1</v>
      </c>
    </row>
    <row r="280" spans="1:4" ht="14.25" customHeight="1" x14ac:dyDescent="0.25">
      <c r="A280" s="3">
        <v>8682.5870385116214</v>
      </c>
      <c r="B280" s="3">
        <v>-0.15624909770036632</v>
      </c>
      <c r="C280" s="254">
        <f t="shared" si="2"/>
        <v>-15624.909770036633</v>
      </c>
      <c r="D280" s="255">
        <f t="shared" si="3"/>
        <v>1</v>
      </c>
    </row>
    <row r="281" spans="1:4" ht="14.25" customHeight="1" x14ac:dyDescent="0.25">
      <c r="A281" s="3">
        <v>6565.854045704793</v>
      </c>
      <c r="B281" s="3">
        <v>1.9168855238596905E-2</v>
      </c>
      <c r="C281" s="254">
        <f t="shared" si="2"/>
        <v>1916.8855238596905</v>
      </c>
      <c r="D281" s="255">
        <f t="shared" si="3"/>
        <v>1</v>
      </c>
    </row>
    <row r="282" spans="1:4" ht="14.25" customHeight="1" x14ac:dyDescent="0.25">
      <c r="A282" s="3">
        <v>11632.41832605291</v>
      </c>
      <c r="B282" s="3">
        <v>-5.8146910675738184E-4</v>
      </c>
      <c r="C282" s="254">
        <f t="shared" si="2"/>
        <v>-58.146910675738184</v>
      </c>
      <c r="D282" s="255">
        <f t="shared" si="3"/>
        <v>1</v>
      </c>
    </row>
    <row r="283" spans="1:4" ht="14.25" customHeight="1" x14ac:dyDescent="0.25">
      <c r="A283" s="3">
        <v>8807.4976679200408</v>
      </c>
      <c r="B283" s="3">
        <v>7.90234727262078E-2</v>
      </c>
      <c r="C283" s="254">
        <f t="shared" si="2"/>
        <v>7902.3472726207801</v>
      </c>
      <c r="D283" s="255">
        <f t="shared" si="3"/>
        <v>1</v>
      </c>
    </row>
    <row r="284" spans="1:4" ht="14.25" customHeight="1" x14ac:dyDescent="0.25">
      <c r="A284" s="3">
        <v>18894.345593168335</v>
      </c>
      <c r="B284" s="3">
        <v>-4.9395651625983916E-2</v>
      </c>
      <c r="C284" s="254">
        <f t="shared" si="2"/>
        <v>-4939.5651625983919</v>
      </c>
      <c r="D284" s="255">
        <f t="shared" si="3"/>
        <v>1</v>
      </c>
    </row>
    <row r="285" spans="1:4" ht="14.25" customHeight="1" x14ac:dyDescent="0.25">
      <c r="A285" s="3">
        <v>6320.1582297405694</v>
      </c>
      <c r="B285" s="3">
        <v>0.27599061871763575</v>
      </c>
      <c r="C285" s="254">
        <f t="shared" si="2"/>
        <v>27599.061871763573</v>
      </c>
      <c r="D285" s="255">
        <f t="shared" si="3"/>
        <v>0</v>
      </c>
    </row>
    <row r="286" spans="1:4" ht="14.25" customHeight="1" x14ac:dyDescent="0.25">
      <c r="A286" s="3">
        <v>10607.469675556582</v>
      </c>
      <c r="B286" s="3">
        <v>8.5207117484931705E-3</v>
      </c>
      <c r="C286" s="254">
        <f t="shared" si="2"/>
        <v>852.071174849317</v>
      </c>
      <c r="D286" s="255">
        <f t="shared" si="3"/>
        <v>1</v>
      </c>
    </row>
    <row r="287" spans="1:4" ht="14.25" customHeight="1" x14ac:dyDescent="0.25">
      <c r="A287" s="3">
        <v>11343.731828616787</v>
      </c>
      <c r="B287" s="3">
        <v>0.18686962827121656</v>
      </c>
      <c r="C287" s="254">
        <f t="shared" si="2"/>
        <v>18686.962827121657</v>
      </c>
      <c r="D287" s="255">
        <f t="shared" si="3"/>
        <v>0</v>
      </c>
    </row>
    <row r="288" spans="1:4" ht="14.25" customHeight="1" x14ac:dyDescent="0.25">
      <c r="A288" s="3">
        <v>897.72228367334174</v>
      </c>
      <c r="B288" s="3">
        <v>0.19084272105548505</v>
      </c>
      <c r="C288" s="254">
        <f t="shared" si="2"/>
        <v>19084.272105548505</v>
      </c>
      <c r="D288" s="255">
        <f t="shared" si="3"/>
        <v>0</v>
      </c>
    </row>
    <row r="289" spans="1:4" ht="14.25" customHeight="1" x14ac:dyDescent="0.25">
      <c r="A289" s="3">
        <v>3119.7933395217551</v>
      </c>
      <c r="B289" s="3">
        <v>-1.1827070957706631E-2</v>
      </c>
      <c r="C289" s="254">
        <f t="shared" si="2"/>
        <v>-1182.707095770663</v>
      </c>
      <c r="D289" s="255">
        <f t="shared" si="3"/>
        <v>1</v>
      </c>
    </row>
    <row r="290" spans="1:4" ht="14.25" customHeight="1" x14ac:dyDescent="0.25">
      <c r="A290" s="3">
        <v>10264.56343204838</v>
      </c>
      <c r="B290" s="3">
        <v>-5.1502989043987979E-2</v>
      </c>
      <c r="C290" s="254">
        <f t="shared" si="2"/>
        <v>-5150.2989043987982</v>
      </c>
      <c r="D290" s="255">
        <f t="shared" si="3"/>
        <v>1</v>
      </c>
    </row>
    <row r="291" spans="1:4" ht="14.25" customHeight="1" x14ac:dyDescent="0.25">
      <c r="A291" s="3">
        <v>8958.034468057027</v>
      </c>
      <c r="B291" s="3">
        <v>0.3575823293228142</v>
      </c>
      <c r="C291" s="254">
        <f t="shared" si="2"/>
        <v>35758.232932281418</v>
      </c>
      <c r="D291" s="255">
        <f t="shared" si="3"/>
        <v>0</v>
      </c>
    </row>
    <row r="292" spans="1:4" ht="14.25" customHeight="1" x14ac:dyDescent="0.25">
      <c r="A292" s="3">
        <v>9427.3597404801258</v>
      </c>
      <c r="B292" s="3">
        <v>-1.0496853598137373E-2</v>
      </c>
      <c r="C292" s="254">
        <f t="shared" si="2"/>
        <v>-1049.6853598137373</v>
      </c>
      <c r="D292" s="255">
        <f t="shared" si="3"/>
        <v>1</v>
      </c>
    </row>
    <row r="293" spans="1:4" ht="14.25" customHeight="1" x14ac:dyDescent="0.25">
      <c r="A293" s="3">
        <v>8566.8491195636452</v>
      </c>
      <c r="B293" s="3">
        <v>-0.16786338791512673</v>
      </c>
      <c r="C293" s="254">
        <f t="shared" si="2"/>
        <v>-16786.338791512673</v>
      </c>
      <c r="D293" s="255">
        <f t="shared" si="3"/>
        <v>1</v>
      </c>
    </row>
    <row r="294" spans="1:4" ht="14.25" customHeight="1" x14ac:dyDescent="0.25">
      <c r="A294" s="3">
        <v>9428.2927329815138</v>
      </c>
      <c r="B294" s="3">
        <v>6.0389650753581492E-2</v>
      </c>
      <c r="C294" s="254">
        <f t="shared" si="2"/>
        <v>6038.9650753581491</v>
      </c>
      <c r="D294" s="255">
        <f t="shared" si="3"/>
        <v>1</v>
      </c>
    </row>
    <row r="295" spans="1:4" ht="14.25" customHeight="1" x14ac:dyDescent="0.25">
      <c r="A295" s="3">
        <v>6264.5543716128595</v>
      </c>
      <c r="B295" s="3">
        <v>0.53990214613932475</v>
      </c>
      <c r="C295" s="254">
        <f t="shared" si="2"/>
        <v>53990.214613932476</v>
      </c>
      <c r="D295" s="255">
        <f t="shared" si="3"/>
        <v>0</v>
      </c>
    </row>
    <row r="296" spans="1:4" ht="14.25" customHeight="1" x14ac:dyDescent="0.25">
      <c r="A296" s="3">
        <v>12999.91286410638</v>
      </c>
      <c r="B296" s="3">
        <v>2.3347893202211978E-2</v>
      </c>
      <c r="C296" s="254">
        <f t="shared" si="2"/>
        <v>2334.7893202211976</v>
      </c>
      <c r="D296" s="255">
        <f t="shared" si="3"/>
        <v>1</v>
      </c>
    </row>
    <row r="297" spans="1:4" ht="14.25" customHeight="1" x14ac:dyDescent="0.25">
      <c r="A297" s="3">
        <v>14821.823891054431</v>
      </c>
      <c r="B297" s="3">
        <v>3.8235831571518053E-2</v>
      </c>
      <c r="C297" s="254">
        <f t="shared" si="2"/>
        <v>3823.5831571518052</v>
      </c>
      <c r="D297" s="255">
        <f t="shared" si="3"/>
        <v>1</v>
      </c>
    </row>
    <row r="298" spans="1:4" ht="14.25" customHeight="1" x14ac:dyDescent="0.25">
      <c r="A298" s="3">
        <v>2711.7176947184344</v>
      </c>
      <c r="B298" s="3">
        <v>-1.1931160484755399E-2</v>
      </c>
      <c r="C298" s="254">
        <f t="shared" si="2"/>
        <v>-1193.1160484755399</v>
      </c>
      <c r="D298" s="255">
        <f t="shared" si="3"/>
        <v>1</v>
      </c>
    </row>
    <row r="299" spans="1:4" ht="14.25" customHeight="1" x14ac:dyDescent="0.25">
      <c r="A299" s="3">
        <v>3676.3705157351797</v>
      </c>
      <c r="B299" s="3">
        <v>0.6439724370491291</v>
      </c>
      <c r="C299" s="254">
        <f t="shared" si="2"/>
        <v>64397.243704912908</v>
      </c>
      <c r="D299" s="255">
        <f t="shared" si="3"/>
        <v>0</v>
      </c>
    </row>
    <row r="300" spans="1:4" ht="14.25" customHeight="1" x14ac:dyDescent="0.25">
      <c r="A300" s="3">
        <v>6595.6514364275063</v>
      </c>
      <c r="B300" s="3">
        <v>0.44520415756867782</v>
      </c>
      <c r="C300" s="254">
        <f t="shared" si="2"/>
        <v>44520.415756867784</v>
      </c>
      <c r="D300" s="255">
        <f t="shared" si="3"/>
        <v>0</v>
      </c>
    </row>
    <row r="301" spans="1:4" ht="14.25" customHeight="1" x14ac:dyDescent="0.25">
      <c r="A301" s="3">
        <v>16274.057006698626</v>
      </c>
      <c r="B301" s="3">
        <v>-0.1467710661625663</v>
      </c>
      <c r="C301" s="254">
        <f t="shared" si="2"/>
        <v>-14677.106616256629</v>
      </c>
      <c r="D301" s="255">
        <f t="shared" si="3"/>
        <v>1</v>
      </c>
    </row>
    <row r="302" spans="1:4" ht="14.25" customHeight="1" x14ac:dyDescent="0.25">
      <c r="A302" s="3">
        <v>3088.1194983590831</v>
      </c>
      <c r="B302" s="3">
        <v>0.61374345861645452</v>
      </c>
      <c r="C302" s="254">
        <f t="shared" si="2"/>
        <v>61374.345861645452</v>
      </c>
      <c r="D302" s="255">
        <f t="shared" si="3"/>
        <v>0</v>
      </c>
    </row>
    <row r="303" spans="1:4" ht="14.25" customHeight="1" x14ac:dyDescent="0.25">
      <c r="A303" s="3">
        <v>6659.1171032213315</v>
      </c>
      <c r="B303" s="3">
        <v>-0.19354202015327893</v>
      </c>
      <c r="C303" s="254">
        <f t="shared" si="2"/>
        <v>-19354.202015327894</v>
      </c>
      <c r="D303" s="255">
        <f t="shared" si="3"/>
        <v>1</v>
      </c>
    </row>
    <row r="304" spans="1:4" ht="14.25" customHeight="1" x14ac:dyDescent="0.25">
      <c r="A304" s="3">
        <v>4347.0008865093914</v>
      </c>
      <c r="B304" s="3">
        <v>0.25656420842096805</v>
      </c>
      <c r="C304" s="254">
        <f t="shared" si="2"/>
        <v>25656.420842096806</v>
      </c>
      <c r="D304" s="255">
        <f t="shared" si="3"/>
        <v>0</v>
      </c>
    </row>
    <row r="305" spans="1:4" ht="14.25" customHeight="1" x14ac:dyDescent="0.25">
      <c r="A305" s="3">
        <v>6180.0021200454648</v>
      </c>
      <c r="B305" s="3">
        <v>6.5515384121781484E-2</v>
      </c>
      <c r="C305" s="254">
        <f t="shared" si="2"/>
        <v>6551.5384121781481</v>
      </c>
      <c r="D305" s="255">
        <f t="shared" si="3"/>
        <v>0</v>
      </c>
    </row>
    <row r="306" spans="1:4" ht="14.25" customHeight="1" x14ac:dyDescent="0.25">
      <c r="A306" s="3">
        <v>5015.4358654170501</v>
      </c>
      <c r="B306" s="3">
        <v>0.19250570666251354</v>
      </c>
      <c r="C306" s="254">
        <f t="shared" si="2"/>
        <v>19250.570666251355</v>
      </c>
      <c r="D306" s="255">
        <f t="shared" si="3"/>
        <v>0</v>
      </c>
    </row>
    <row r="307" spans="1:4" ht="14.25" customHeight="1" x14ac:dyDescent="0.25">
      <c r="A307" s="3">
        <v>-4221.661265277944</v>
      </c>
      <c r="B307" s="3">
        <v>0.1211149413036039</v>
      </c>
      <c r="C307" s="254">
        <f t="shared" si="2"/>
        <v>12111.49413036039</v>
      </c>
      <c r="D307" s="255">
        <f t="shared" si="3"/>
        <v>0</v>
      </c>
    </row>
    <row r="308" spans="1:4" ht="14.25" customHeight="1" x14ac:dyDescent="0.25">
      <c r="A308" s="3">
        <v>2077.6093647268062</v>
      </c>
      <c r="B308" s="3">
        <v>6.106946556368964E-2</v>
      </c>
      <c r="C308" s="254">
        <f t="shared" si="2"/>
        <v>6106.9465563689637</v>
      </c>
      <c r="D308" s="255">
        <f t="shared" si="3"/>
        <v>0</v>
      </c>
    </row>
    <row r="309" spans="1:4" ht="14.25" customHeight="1" x14ac:dyDescent="0.25">
      <c r="A309" s="3">
        <v>-4343.7860922407272</v>
      </c>
      <c r="B309" s="3">
        <v>0.18118102072258901</v>
      </c>
      <c r="C309" s="254">
        <f t="shared" si="2"/>
        <v>18118.102072258902</v>
      </c>
      <c r="D309" s="255">
        <f t="shared" si="3"/>
        <v>0</v>
      </c>
    </row>
    <row r="310" spans="1:4" ht="14.25" customHeight="1" x14ac:dyDescent="0.25">
      <c r="A310" s="3">
        <v>4887.0905690030704</v>
      </c>
      <c r="B310" s="3">
        <v>0.21705532585754295</v>
      </c>
      <c r="C310" s="254">
        <f t="shared" si="2"/>
        <v>21705.532585754296</v>
      </c>
      <c r="D310" s="255">
        <f t="shared" si="3"/>
        <v>0</v>
      </c>
    </row>
    <row r="311" spans="1:4" ht="14.25" customHeight="1" x14ac:dyDescent="0.25">
      <c r="A311" s="3">
        <v>14793.797265489302</v>
      </c>
      <c r="B311" s="3">
        <v>0.21834693230978264</v>
      </c>
      <c r="C311" s="254">
        <f t="shared" si="2"/>
        <v>21834.693230978264</v>
      </c>
      <c r="D311" s="255">
        <f t="shared" si="3"/>
        <v>0</v>
      </c>
    </row>
    <row r="312" spans="1:4" ht="14.25" customHeight="1" x14ac:dyDescent="0.25">
      <c r="A312" s="3">
        <v>3355.3959865980578</v>
      </c>
      <c r="B312" s="3">
        <v>0.20562739269348063</v>
      </c>
      <c r="C312" s="254">
        <f t="shared" si="2"/>
        <v>20562.739269348061</v>
      </c>
      <c r="D312" s="255">
        <f t="shared" si="3"/>
        <v>0</v>
      </c>
    </row>
    <row r="313" spans="1:4" ht="14.25" customHeight="1" x14ac:dyDescent="0.25">
      <c r="A313" s="3">
        <v>8158.8487142818631</v>
      </c>
      <c r="B313" s="3">
        <v>3.7821533702258492E-2</v>
      </c>
      <c r="C313" s="254">
        <f t="shared" si="2"/>
        <v>3782.1533702258494</v>
      </c>
      <c r="D313" s="255">
        <f t="shared" si="3"/>
        <v>1</v>
      </c>
    </row>
    <row r="314" spans="1:4" ht="14.25" customHeight="1" x14ac:dyDescent="0.25">
      <c r="A314" s="3">
        <v>3106.7547956279159</v>
      </c>
      <c r="B314" s="3">
        <v>-9.7164581416412599E-2</v>
      </c>
      <c r="C314" s="254">
        <f t="shared" si="2"/>
        <v>-9716.4581416412602</v>
      </c>
      <c r="D314" s="255">
        <f t="shared" si="3"/>
        <v>1</v>
      </c>
    </row>
    <row r="315" spans="1:4" ht="14.25" customHeight="1" x14ac:dyDescent="0.25">
      <c r="A315" s="3">
        <v>7788.4049848461873</v>
      </c>
      <c r="B315" s="3">
        <v>0.16105745294662022</v>
      </c>
      <c r="C315" s="254">
        <f t="shared" si="2"/>
        <v>16105.745294662021</v>
      </c>
      <c r="D315" s="255">
        <f t="shared" si="3"/>
        <v>0</v>
      </c>
    </row>
    <row r="316" spans="1:4" ht="14.25" customHeight="1" x14ac:dyDescent="0.25">
      <c r="A316" s="3">
        <v>83.506148413332994</v>
      </c>
      <c r="B316" s="3">
        <v>0.10139369630825779</v>
      </c>
      <c r="C316" s="254">
        <f t="shared" si="2"/>
        <v>10139.369630825779</v>
      </c>
      <c r="D316" s="255">
        <f t="shared" si="3"/>
        <v>0</v>
      </c>
    </row>
    <row r="317" spans="1:4" ht="14.25" customHeight="1" x14ac:dyDescent="0.25">
      <c r="A317" s="3">
        <v>6912.7327531663323</v>
      </c>
      <c r="B317" s="3">
        <v>9.8013630824299591E-2</v>
      </c>
      <c r="C317" s="254">
        <f t="shared" si="2"/>
        <v>9801.3630824299598</v>
      </c>
      <c r="D317" s="255">
        <f t="shared" si="3"/>
        <v>0</v>
      </c>
    </row>
    <row r="318" spans="1:4" ht="14.25" customHeight="1" x14ac:dyDescent="0.25">
      <c r="A318" s="3">
        <v>1957.1747099870117</v>
      </c>
      <c r="B318" s="3">
        <v>9.8856106323099491E-2</v>
      </c>
      <c r="C318" s="254">
        <f t="shared" si="2"/>
        <v>9885.6106323099484</v>
      </c>
      <c r="D318" s="255">
        <f t="shared" si="3"/>
        <v>0</v>
      </c>
    </row>
    <row r="319" spans="1:4" ht="14.25" customHeight="1" x14ac:dyDescent="0.25">
      <c r="A319" s="3">
        <v>16062.472134849522</v>
      </c>
      <c r="B319" s="3">
        <v>0.20151660129473914</v>
      </c>
      <c r="C319" s="254">
        <f t="shared" si="2"/>
        <v>20151.660129473916</v>
      </c>
      <c r="D319" s="255">
        <f t="shared" si="3"/>
        <v>0</v>
      </c>
    </row>
    <row r="320" spans="1:4" ht="14.25" customHeight="1" x14ac:dyDescent="0.25">
      <c r="A320" s="3">
        <v>411.34165597385436</v>
      </c>
      <c r="B320" s="3">
        <v>1.7887909001408187E-2</v>
      </c>
      <c r="C320" s="254">
        <f t="shared" si="2"/>
        <v>1788.7909001408186</v>
      </c>
      <c r="D320" s="255">
        <f t="shared" si="3"/>
        <v>0</v>
      </c>
    </row>
    <row r="321" spans="1:4" ht="14.25" customHeight="1" x14ac:dyDescent="0.25">
      <c r="A321" s="3">
        <v>5527.8198116123967</v>
      </c>
      <c r="B321" s="3">
        <v>4.3852046231569269E-2</v>
      </c>
      <c r="C321" s="254">
        <f t="shared" si="2"/>
        <v>4385.2046231569266</v>
      </c>
      <c r="D321" s="255">
        <f t="shared" si="3"/>
        <v>1</v>
      </c>
    </row>
    <row r="322" spans="1:4" ht="14.25" customHeight="1" x14ac:dyDescent="0.25">
      <c r="A322" s="3">
        <v>15310.333518619729</v>
      </c>
      <c r="B322" s="3">
        <v>9.296314362559599E-2</v>
      </c>
      <c r="C322" s="254">
        <f t="shared" si="2"/>
        <v>9296.3143625595985</v>
      </c>
      <c r="D322" s="255">
        <f t="shared" si="3"/>
        <v>1</v>
      </c>
    </row>
    <row r="323" spans="1:4" ht="14.25" customHeight="1" x14ac:dyDescent="0.25">
      <c r="A323" s="3">
        <v>8928.1324749020132</v>
      </c>
      <c r="B323" s="3">
        <v>0.27138730495251551</v>
      </c>
      <c r="C323" s="254">
        <f t="shared" si="2"/>
        <v>27138.730495251551</v>
      </c>
      <c r="D323" s="255">
        <f t="shared" si="3"/>
        <v>0</v>
      </c>
    </row>
    <row r="324" spans="1:4" ht="14.25" customHeight="1" x14ac:dyDescent="0.25">
      <c r="A324" s="3">
        <v>12799.632797925777</v>
      </c>
      <c r="B324" s="3">
        <v>-0.27772164990841475</v>
      </c>
      <c r="C324" s="254">
        <f t="shared" si="2"/>
        <v>-27772.164990841477</v>
      </c>
      <c r="D324" s="255">
        <f t="shared" si="3"/>
        <v>1</v>
      </c>
    </row>
    <row r="325" spans="1:4" ht="14.25" customHeight="1" x14ac:dyDescent="0.25">
      <c r="A325" s="3">
        <v>1856.6334091021272</v>
      </c>
      <c r="B325" s="3">
        <v>0.21716453944312653</v>
      </c>
      <c r="C325" s="254">
        <f t="shared" si="2"/>
        <v>21716.453944312652</v>
      </c>
      <c r="D325" s="255">
        <f t="shared" si="3"/>
        <v>0</v>
      </c>
    </row>
    <row r="326" spans="1:4" ht="14.25" customHeight="1" x14ac:dyDescent="0.25">
      <c r="A326" s="3">
        <v>-2665.1087907549518</v>
      </c>
      <c r="B326" s="3">
        <v>-2.0117680315311137E-2</v>
      </c>
      <c r="C326" s="254">
        <f t="shared" si="2"/>
        <v>-2011.7680315311138</v>
      </c>
      <c r="D326" s="255">
        <f t="shared" si="3"/>
        <v>0</v>
      </c>
    </row>
    <row r="327" spans="1:4" ht="14.25" customHeight="1" x14ac:dyDescent="0.25">
      <c r="A327" s="3">
        <v>288.8502371829527</v>
      </c>
      <c r="B327" s="3">
        <v>0.2457605965336489</v>
      </c>
      <c r="C327" s="254">
        <f t="shared" si="2"/>
        <v>24576.05965336489</v>
      </c>
      <c r="D327" s="255">
        <f t="shared" si="3"/>
        <v>0</v>
      </c>
    </row>
    <row r="328" spans="1:4" ht="14.25" customHeight="1" x14ac:dyDescent="0.25">
      <c r="A328" s="3">
        <v>14151.406393962396</v>
      </c>
      <c r="B328" s="3">
        <v>-7.5450365229658645E-2</v>
      </c>
      <c r="C328" s="254">
        <f t="shared" si="2"/>
        <v>-7545.0365229658646</v>
      </c>
      <c r="D328" s="255">
        <f t="shared" si="3"/>
        <v>1</v>
      </c>
    </row>
    <row r="329" spans="1:4" ht="14.25" customHeight="1" x14ac:dyDescent="0.25">
      <c r="A329" s="3">
        <v>-1505.422276931291</v>
      </c>
      <c r="B329" s="3">
        <v>-0.20610393265770455</v>
      </c>
      <c r="C329" s="254">
        <f t="shared" si="2"/>
        <v>-20610.393265770454</v>
      </c>
      <c r="D329" s="255">
        <f t="shared" si="3"/>
        <v>1</v>
      </c>
    </row>
    <row r="330" spans="1:4" ht="14.25" customHeight="1" x14ac:dyDescent="0.25">
      <c r="A330" s="3">
        <v>7813.3993519879514</v>
      </c>
      <c r="B330" s="3">
        <v>0.21117134404792637</v>
      </c>
      <c r="C330" s="254">
        <f t="shared" si="2"/>
        <v>21117.134404792636</v>
      </c>
      <c r="D330" s="255">
        <f t="shared" si="3"/>
        <v>0</v>
      </c>
    </row>
    <row r="331" spans="1:4" ht="14.25" customHeight="1" x14ac:dyDescent="0.25">
      <c r="A331" s="3">
        <v>8711.1655567984999</v>
      </c>
      <c r="B331" s="3">
        <v>0.5015314871580383</v>
      </c>
      <c r="C331" s="254">
        <f t="shared" si="2"/>
        <v>50153.148715803829</v>
      </c>
      <c r="D331" s="255">
        <f t="shared" si="3"/>
        <v>0</v>
      </c>
    </row>
    <row r="332" spans="1:4" ht="14.25" customHeight="1" x14ac:dyDescent="0.25">
      <c r="A332" s="3">
        <v>10951.605149681491</v>
      </c>
      <c r="B332" s="3">
        <v>-5.581927451116947E-2</v>
      </c>
      <c r="C332" s="254">
        <f t="shared" si="2"/>
        <v>-5581.9274511169469</v>
      </c>
      <c r="D332" s="255">
        <f t="shared" si="3"/>
        <v>1</v>
      </c>
    </row>
    <row r="333" spans="1:4" ht="14.25" customHeight="1" x14ac:dyDescent="0.25">
      <c r="A333" s="3">
        <v>6034.4399869233166</v>
      </c>
      <c r="B333" s="3">
        <v>-0.16166366383727881</v>
      </c>
      <c r="C333" s="254">
        <f t="shared" si="2"/>
        <v>-16166.366383727882</v>
      </c>
      <c r="D333" s="255">
        <f t="shared" si="3"/>
        <v>1</v>
      </c>
    </row>
    <row r="334" spans="1:4" ht="14.25" customHeight="1" x14ac:dyDescent="0.25">
      <c r="A334" s="3">
        <v>9949.7054036144546</v>
      </c>
      <c r="B334" s="3">
        <v>0.43598994117782919</v>
      </c>
      <c r="C334" s="254">
        <f t="shared" si="2"/>
        <v>43598.994117782917</v>
      </c>
      <c r="D334" s="255">
        <f t="shared" si="3"/>
        <v>0</v>
      </c>
    </row>
    <row r="335" spans="1:4" ht="14.25" customHeight="1" x14ac:dyDescent="0.25">
      <c r="A335" s="3">
        <v>6262.9820587672293</v>
      </c>
      <c r="B335" s="3">
        <v>0.23914349222063458</v>
      </c>
      <c r="C335" s="254">
        <f t="shared" si="2"/>
        <v>23914.349222063458</v>
      </c>
      <c r="D335" s="255">
        <f t="shared" si="3"/>
        <v>0</v>
      </c>
    </row>
    <row r="336" spans="1:4" ht="14.25" customHeight="1" x14ac:dyDescent="0.25">
      <c r="A336" s="3">
        <v>13265.517766904595</v>
      </c>
      <c r="B336" s="3">
        <v>0.40530652788694699</v>
      </c>
      <c r="C336" s="254">
        <f t="shared" si="2"/>
        <v>40530.652788694701</v>
      </c>
      <c r="D336" s="255">
        <f t="shared" si="3"/>
        <v>0</v>
      </c>
    </row>
    <row r="337" spans="1:4" ht="14.25" customHeight="1" x14ac:dyDescent="0.25">
      <c r="A337" s="3">
        <v>5269.5285927131044</v>
      </c>
      <c r="B337" s="3">
        <v>-0.20756675267023095</v>
      </c>
      <c r="C337" s="254">
        <f t="shared" si="2"/>
        <v>-20756.675267023096</v>
      </c>
      <c r="D337" s="255">
        <f t="shared" si="3"/>
        <v>1</v>
      </c>
    </row>
    <row r="338" spans="1:4" ht="14.25" customHeight="1" x14ac:dyDescent="0.25">
      <c r="A338" s="3">
        <v>11131.920745893098</v>
      </c>
      <c r="B338" s="3">
        <v>0.47604842642177747</v>
      </c>
      <c r="C338" s="254">
        <f t="shared" si="2"/>
        <v>47604.842642177748</v>
      </c>
      <c r="D338" s="255">
        <f t="shared" si="3"/>
        <v>0</v>
      </c>
    </row>
    <row r="339" spans="1:4" ht="14.25" customHeight="1" x14ac:dyDescent="0.25">
      <c r="A339" s="3">
        <v>10380.90901472971</v>
      </c>
      <c r="B339" s="3">
        <v>0.12175288541823504</v>
      </c>
      <c r="C339" s="254">
        <f t="shared" si="2"/>
        <v>12175.288541823504</v>
      </c>
      <c r="D339" s="255">
        <f t="shared" si="3"/>
        <v>0</v>
      </c>
    </row>
    <row r="340" spans="1:4" ht="14.25" customHeight="1" x14ac:dyDescent="0.25">
      <c r="A340" s="3">
        <v>10618.047649176289</v>
      </c>
      <c r="B340" s="3">
        <v>-1.717823713318678E-2</v>
      </c>
      <c r="C340" s="254">
        <f t="shared" si="2"/>
        <v>-1717.8237133186781</v>
      </c>
      <c r="D340" s="255">
        <f t="shared" si="3"/>
        <v>1</v>
      </c>
    </row>
    <row r="341" spans="1:4" ht="14.25" customHeight="1" x14ac:dyDescent="0.25">
      <c r="A341" s="3">
        <v>-2844.1607989323384</v>
      </c>
      <c r="B341" s="3">
        <v>0.13378330247387371</v>
      </c>
      <c r="C341" s="254">
        <f t="shared" si="2"/>
        <v>13378.330247387372</v>
      </c>
      <c r="D341" s="255">
        <f t="shared" si="3"/>
        <v>0</v>
      </c>
    </row>
    <row r="342" spans="1:4" ht="14.25" customHeight="1" x14ac:dyDescent="0.25">
      <c r="A342" s="3">
        <v>13279.926323985484</v>
      </c>
      <c r="B342" s="3">
        <v>3.9797371048843955E-2</v>
      </c>
      <c r="C342" s="254">
        <f t="shared" si="2"/>
        <v>3979.7371048843956</v>
      </c>
      <c r="D342" s="255">
        <f t="shared" si="3"/>
        <v>1</v>
      </c>
    </row>
    <row r="343" spans="1:4" ht="14.25" customHeight="1" x14ac:dyDescent="0.25">
      <c r="A343" s="3">
        <v>10104.198572907466</v>
      </c>
      <c r="B343" s="3">
        <v>-0.11529736112637634</v>
      </c>
      <c r="C343" s="254">
        <f t="shared" si="2"/>
        <v>-11529.736112637635</v>
      </c>
      <c r="D343" s="255">
        <f t="shared" si="3"/>
        <v>1</v>
      </c>
    </row>
    <row r="344" spans="1:4" ht="14.25" customHeight="1" x14ac:dyDescent="0.25">
      <c r="A344" s="3">
        <v>6124.2014503585378</v>
      </c>
      <c r="B344" s="3">
        <v>-0.12612557873489849</v>
      </c>
      <c r="C344" s="254">
        <f t="shared" si="2"/>
        <v>-12612.55787348985</v>
      </c>
      <c r="D344" s="255">
        <f t="shared" si="3"/>
        <v>1</v>
      </c>
    </row>
    <row r="345" spans="1:4" ht="14.25" customHeight="1" x14ac:dyDescent="0.25">
      <c r="A345" s="3">
        <v>8428.4482371613049</v>
      </c>
      <c r="B345" s="3">
        <v>0.25719037244527598</v>
      </c>
      <c r="C345" s="254">
        <f t="shared" si="2"/>
        <v>25719.037244527597</v>
      </c>
      <c r="D345" s="255">
        <f t="shared" si="3"/>
        <v>0</v>
      </c>
    </row>
    <row r="346" spans="1:4" ht="14.25" customHeight="1" x14ac:dyDescent="0.25">
      <c r="A346" s="3">
        <v>4482.6930214104432</v>
      </c>
      <c r="B346" s="3">
        <v>-9.5121923054119151E-2</v>
      </c>
      <c r="C346" s="254">
        <f t="shared" si="2"/>
        <v>-9512.1923054119143</v>
      </c>
      <c r="D346" s="255">
        <f t="shared" si="3"/>
        <v>1</v>
      </c>
    </row>
    <row r="347" spans="1:4" ht="14.25" customHeight="1" x14ac:dyDescent="0.25">
      <c r="A347" s="3">
        <v>8857.0476374296122</v>
      </c>
      <c r="B347" s="3">
        <v>0.18840944106603796</v>
      </c>
      <c r="C347" s="254">
        <f t="shared" si="2"/>
        <v>18840.944106603798</v>
      </c>
      <c r="D347" s="255">
        <f t="shared" si="3"/>
        <v>0</v>
      </c>
    </row>
    <row r="348" spans="1:4" ht="14.25" customHeight="1" x14ac:dyDescent="0.25">
      <c r="A348" s="3">
        <v>11848.035129937023</v>
      </c>
      <c r="B348" s="3">
        <v>7.0943750120261106E-2</v>
      </c>
      <c r="C348" s="254">
        <f t="shared" si="2"/>
        <v>7094.3750120261102</v>
      </c>
      <c r="D348" s="255">
        <f t="shared" si="3"/>
        <v>1</v>
      </c>
    </row>
    <row r="349" spans="1:4" ht="14.25" customHeight="1" x14ac:dyDescent="0.25">
      <c r="A349" s="3">
        <v>12852.64178938746</v>
      </c>
      <c r="B349" s="3">
        <v>2.6439294568971317E-2</v>
      </c>
      <c r="C349" s="254">
        <f t="shared" si="2"/>
        <v>2643.9294568971318</v>
      </c>
      <c r="D349" s="255">
        <f t="shared" si="3"/>
        <v>1</v>
      </c>
    </row>
    <row r="350" spans="1:4" ht="14.25" customHeight="1" x14ac:dyDescent="0.25">
      <c r="A350" s="3">
        <v>5200.1928723935271</v>
      </c>
      <c r="B350" s="3">
        <v>0.39784084537769526</v>
      </c>
      <c r="C350" s="254">
        <f t="shared" si="2"/>
        <v>39784.08453776953</v>
      </c>
      <c r="D350" s="255">
        <f t="shared" si="3"/>
        <v>0</v>
      </c>
    </row>
    <row r="351" spans="1:4" ht="14.25" customHeight="1" x14ac:dyDescent="0.25">
      <c r="A351" s="3">
        <v>5637.0225354162612</v>
      </c>
      <c r="B351" s="3">
        <v>-0.39119718632656569</v>
      </c>
      <c r="C351" s="254">
        <f t="shared" si="2"/>
        <v>-39119.718632656572</v>
      </c>
      <c r="D351" s="255">
        <f t="shared" si="3"/>
        <v>1</v>
      </c>
    </row>
    <row r="352" spans="1:4" ht="14.25" customHeight="1" x14ac:dyDescent="0.25">
      <c r="A352" s="3">
        <v>11839.976030223886</v>
      </c>
      <c r="B352" s="3">
        <v>-1.8735360936858569E-2</v>
      </c>
      <c r="C352" s="254">
        <f t="shared" si="2"/>
        <v>-1873.5360936858569</v>
      </c>
      <c r="D352" s="255">
        <f t="shared" si="3"/>
        <v>1</v>
      </c>
    </row>
    <row r="353" spans="1:4" ht="14.25" customHeight="1" x14ac:dyDescent="0.25">
      <c r="A353" s="3">
        <v>2686.9774817437574</v>
      </c>
      <c r="B353" s="3">
        <v>-0.18556229965541082</v>
      </c>
      <c r="C353" s="254">
        <f t="shared" si="2"/>
        <v>-18556.229965541082</v>
      </c>
      <c r="D353" s="255">
        <f t="shared" si="3"/>
        <v>1</v>
      </c>
    </row>
    <row r="354" spans="1:4" ht="14.25" customHeight="1" x14ac:dyDescent="0.25">
      <c r="A354" s="3">
        <v>8567.4651966260571</v>
      </c>
      <c r="B354" s="3">
        <v>0.34100297866870549</v>
      </c>
      <c r="C354" s="254">
        <f t="shared" si="2"/>
        <v>34100.297866870547</v>
      </c>
      <c r="D354" s="255">
        <f t="shared" si="3"/>
        <v>0</v>
      </c>
    </row>
    <row r="355" spans="1:4" ht="14.25" customHeight="1" x14ac:dyDescent="0.25">
      <c r="A355" s="3">
        <v>6512.3058921588236</v>
      </c>
      <c r="B355" s="3">
        <v>0.25442732059834716</v>
      </c>
      <c r="C355" s="254">
        <f t="shared" si="2"/>
        <v>25442.732059834718</v>
      </c>
      <c r="D355" s="255">
        <f t="shared" si="3"/>
        <v>0</v>
      </c>
    </row>
    <row r="356" spans="1:4" ht="14.25" customHeight="1" x14ac:dyDescent="0.25">
      <c r="A356" s="3">
        <v>6406.9859195757672</v>
      </c>
      <c r="B356" s="3">
        <v>-0.25511863350503106</v>
      </c>
      <c r="C356" s="254">
        <f t="shared" si="2"/>
        <v>-25511.863350503107</v>
      </c>
      <c r="D356" s="255">
        <f t="shared" si="3"/>
        <v>1</v>
      </c>
    </row>
    <row r="357" spans="1:4" ht="14.25" customHeight="1" x14ac:dyDescent="0.25">
      <c r="A357" s="3">
        <v>-7865.1693076044539</v>
      </c>
      <c r="B357" s="3">
        <v>5.1736882613486967E-2</v>
      </c>
      <c r="C357" s="254">
        <f t="shared" si="2"/>
        <v>5173.6882613486969</v>
      </c>
      <c r="D357" s="255">
        <f t="shared" si="3"/>
        <v>0</v>
      </c>
    </row>
    <row r="358" spans="1:4" ht="14.25" customHeight="1" x14ac:dyDescent="0.25">
      <c r="A358" s="3">
        <v>11657.053071777744</v>
      </c>
      <c r="B358" s="3">
        <v>-8.7283665398261157E-3</v>
      </c>
      <c r="C358" s="254">
        <f t="shared" si="2"/>
        <v>-872.83665398261155</v>
      </c>
      <c r="D358" s="255">
        <f t="shared" si="3"/>
        <v>1</v>
      </c>
    </row>
    <row r="359" spans="1:4" ht="14.25" customHeight="1" x14ac:dyDescent="0.25">
      <c r="A359" s="3">
        <v>5789.2946867549035</v>
      </c>
      <c r="B359" s="3">
        <v>0.20843301407699588</v>
      </c>
      <c r="C359" s="254">
        <f t="shared" si="2"/>
        <v>20843.30140769959</v>
      </c>
      <c r="D359" s="255">
        <f t="shared" si="3"/>
        <v>0</v>
      </c>
    </row>
    <row r="360" spans="1:4" ht="14.25" customHeight="1" x14ac:dyDescent="0.25">
      <c r="A360" s="3">
        <v>3763.7811660761436</v>
      </c>
      <c r="B360" s="3">
        <v>-9.889307397767233E-2</v>
      </c>
      <c r="C360" s="254">
        <f t="shared" si="2"/>
        <v>-9889.3073977672339</v>
      </c>
      <c r="D360" s="255">
        <f t="shared" si="3"/>
        <v>1</v>
      </c>
    </row>
    <row r="361" spans="1:4" ht="14.25" customHeight="1" x14ac:dyDescent="0.25">
      <c r="A361" s="3">
        <v>4093.1626404887647</v>
      </c>
      <c r="B361" s="3">
        <v>0.22427488462046208</v>
      </c>
      <c r="C361" s="254">
        <f t="shared" si="2"/>
        <v>22427.488462046207</v>
      </c>
      <c r="D361" s="255">
        <f t="shared" si="3"/>
        <v>0</v>
      </c>
    </row>
    <row r="362" spans="1:4" ht="14.25" customHeight="1" x14ac:dyDescent="0.25">
      <c r="A362" s="3">
        <v>8161.7771830805868</v>
      </c>
      <c r="B362" s="3">
        <v>-6.5668530261038693E-2</v>
      </c>
      <c r="C362" s="254">
        <f t="shared" si="2"/>
        <v>-6566.8530261038695</v>
      </c>
      <c r="D362" s="255">
        <f t="shared" si="3"/>
        <v>1</v>
      </c>
    </row>
    <row r="363" spans="1:4" ht="14.25" customHeight="1" x14ac:dyDescent="0.25">
      <c r="A363" s="3">
        <v>5770.3737103190215</v>
      </c>
      <c r="B363" s="3">
        <v>0.34684632116117919</v>
      </c>
      <c r="C363" s="254">
        <f t="shared" si="2"/>
        <v>34684.632116117922</v>
      </c>
      <c r="D363" s="255">
        <f t="shared" si="3"/>
        <v>0</v>
      </c>
    </row>
    <row r="364" spans="1:4" ht="14.25" customHeight="1" x14ac:dyDescent="0.25">
      <c r="A364" s="3">
        <v>11253.706449631529</v>
      </c>
      <c r="B364" s="3">
        <v>-0.35840128958615702</v>
      </c>
      <c r="C364" s="254">
        <f t="shared" si="2"/>
        <v>-35840.1289586157</v>
      </c>
      <c r="D364" s="255">
        <f t="shared" si="3"/>
        <v>1</v>
      </c>
    </row>
    <row r="365" spans="1:4" ht="14.25" customHeight="1" x14ac:dyDescent="0.25">
      <c r="A365" s="3">
        <v>7249.1312540608269</v>
      </c>
      <c r="B365" s="3">
        <v>4.2655066532682362E-2</v>
      </c>
      <c r="C365" s="254">
        <f t="shared" si="2"/>
        <v>4265.5066532682358</v>
      </c>
      <c r="D365" s="255">
        <f t="shared" si="3"/>
        <v>1</v>
      </c>
    </row>
    <row r="366" spans="1:4" ht="14.25" customHeight="1" x14ac:dyDescent="0.25">
      <c r="A366" s="3">
        <v>3375.7453068058967</v>
      </c>
      <c r="B366" s="3">
        <v>-0.23543343769007219</v>
      </c>
      <c r="C366" s="254">
        <f t="shared" si="2"/>
        <v>-23543.343769007221</v>
      </c>
      <c r="D366" s="255">
        <f t="shared" si="3"/>
        <v>1</v>
      </c>
    </row>
    <row r="367" spans="1:4" ht="14.25" customHeight="1" x14ac:dyDescent="0.25">
      <c r="A367" s="3">
        <v>8590.7538340472966</v>
      </c>
      <c r="B367" s="3">
        <v>0.16292281667678976</v>
      </c>
      <c r="C367" s="254">
        <f t="shared" si="2"/>
        <v>16292.281667678975</v>
      </c>
      <c r="D367" s="255">
        <f t="shared" si="3"/>
        <v>0</v>
      </c>
    </row>
    <row r="368" spans="1:4" ht="14.25" customHeight="1" x14ac:dyDescent="0.25">
      <c r="A368" s="3">
        <v>683.65605895875342</v>
      </c>
      <c r="B368" s="3">
        <v>2.5064712422663671E-2</v>
      </c>
      <c r="C368" s="254">
        <f t="shared" si="2"/>
        <v>2506.471242266367</v>
      </c>
      <c r="D368" s="255">
        <f t="shared" si="3"/>
        <v>0</v>
      </c>
    </row>
    <row r="369" spans="1:4" ht="14.25" customHeight="1" x14ac:dyDescent="0.25">
      <c r="A369" s="3">
        <v>12317.377013170226</v>
      </c>
      <c r="B369" s="3">
        <v>5.7434846188521682E-2</v>
      </c>
      <c r="C369" s="254">
        <f t="shared" si="2"/>
        <v>5743.4846188521678</v>
      </c>
      <c r="D369" s="255">
        <f t="shared" si="3"/>
        <v>1</v>
      </c>
    </row>
    <row r="370" spans="1:4" ht="14.25" customHeight="1" x14ac:dyDescent="0.25">
      <c r="A370" s="3">
        <v>601.31676130093547</v>
      </c>
      <c r="B370" s="3">
        <v>0.16665569951157844</v>
      </c>
      <c r="C370" s="254">
        <f t="shared" si="2"/>
        <v>16665.569951157842</v>
      </c>
      <c r="D370" s="255">
        <f t="shared" si="3"/>
        <v>0</v>
      </c>
    </row>
    <row r="371" spans="1:4" ht="14.25" customHeight="1" x14ac:dyDescent="0.25">
      <c r="A371" s="3">
        <v>6631.36179292007</v>
      </c>
      <c r="B371" s="3">
        <v>2.9929016067650638E-2</v>
      </c>
      <c r="C371" s="254">
        <f t="shared" si="2"/>
        <v>2992.9016067650637</v>
      </c>
      <c r="D371" s="255">
        <f t="shared" si="3"/>
        <v>1</v>
      </c>
    </row>
    <row r="372" spans="1:4" ht="14.25" customHeight="1" x14ac:dyDescent="0.25">
      <c r="A372" s="3">
        <v>5380.4945491227627</v>
      </c>
      <c r="B372" s="3">
        <v>-8.389679312890852E-2</v>
      </c>
      <c r="C372" s="254">
        <f t="shared" si="2"/>
        <v>-8389.6793128908521</v>
      </c>
      <c r="D372" s="255">
        <f t="shared" si="3"/>
        <v>1</v>
      </c>
    </row>
    <row r="373" spans="1:4" ht="14.25" customHeight="1" x14ac:dyDescent="0.25">
      <c r="A373" s="3">
        <v>12924.750984270606</v>
      </c>
      <c r="B373" s="3">
        <v>-0.49156353512832629</v>
      </c>
      <c r="C373" s="254">
        <f t="shared" si="2"/>
        <v>-49156.353512832626</v>
      </c>
      <c r="D373" s="255">
        <f t="shared" si="3"/>
        <v>1</v>
      </c>
    </row>
    <row r="374" spans="1:4" ht="14.25" customHeight="1" x14ac:dyDescent="0.25">
      <c r="A374" s="3">
        <v>649.17757039979915</v>
      </c>
      <c r="B374" s="3">
        <v>0.52831747367573789</v>
      </c>
      <c r="C374" s="254">
        <f t="shared" si="2"/>
        <v>52831.747367573786</v>
      </c>
      <c r="D374" s="255">
        <f t="shared" si="3"/>
        <v>0</v>
      </c>
    </row>
    <row r="375" spans="1:4" ht="14.25" customHeight="1" x14ac:dyDescent="0.25">
      <c r="A375" s="3">
        <v>4084.974812934146</v>
      </c>
      <c r="B375" s="3">
        <v>-0.17615017990194781</v>
      </c>
      <c r="C375" s="254">
        <f t="shared" si="2"/>
        <v>-17615.017990194781</v>
      </c>
      <c r="D375" s="255">
        <f t="shared" si="3"/>
        <v>1</v>
      </c>
    </row>
    <row r="376" spans="1:4" ht="14.25" customHeight="1" x14ac:dyDescent="0.25">
      <c r="A376" s="3">
        <v>13501.96312876181</v>
      </c>
      <c r="B376" s="3">
        <v>0.42008706580683564</v>
      </c>
      <c r="C376" s="254">
        <f t="shared" si="2"/>
        <v>42008.706580683567</v>
      </c>
      <c r="D376" s="255">
        <f t="shared" si="3"/>
        <v>0</v>
      </c>
    </row>
    <row r="377" spans="1:4" ht="14.25" customHeight="1" x14ac:dyDescent="0.25">
      <c r="A377" s="3">
        <v>9194.1128691621707</v>
      </c>
      <c r="B377" s="3">
        <v>-0.37040001156257762</v>
      </c>
      <c r="C377" s="254">
        <f t="shared" si="2"/>
        <v>-37040.001156257764</v>
      </c>
      <c r="D377" s="255">
        <f t="shared" si="3"/>
        <v>1</v>
      </c>
    </row>
    <row r="378" spans="1:4" ht="14.25" customHeight="1" x14ac:dyDescent="0.25">
      <c r="A378" s="3">
        <v>3227.5028350213252</v>
      </c>
      <c r="B378" s="3">
        <v>0.42554254055479301</v>
      </c>
      <c r="C378" s="254">
        <f t="shared" si="2"/>
        <v>42554.254055479301</v>
      </c>
      <c r="D378" s="255">
        <f t="shared" si="3"/>
        <v>0</v>
      </c>
    </row>
    <row r="379" spans="1:4" ht="14.25" customHeight="1" x14ac:dyDescent="0.25">
      <c r="A379" s="3">
        <v>2858.8449164775011</v>
      </c>
      <c r="B379" s="3">
        <v>9.7055156020913635E-2</v>
      </c>
      <c r="C379" s="254">
        <f t="shared" si="2"/>
        <v>9705.5156020913637</v>
      </c>
      <c r="D379" s="255">
        <f t="shared" si="3"/>
        <v>0</v>
      </c>
    </row>
    <row r="380" spans="1:4" ht="14.25" customHeight="1" x14ac:dyDescent="0.25">
      <c r="A380" s="3">
        <v>9593.4250715625385</v>
      </c>
      <c r="B380" s="3">
        <v>-0.14845070801125582</v>
      </c>
      <c r="C380" s="254">
        <f t="shared" si="2"/>
        <v>-14845.070801125581</v>
      </c>
      <c r="D380" s="255">
        <f t="shared" si="3"/>
        <v>1</v>
      </c>
    </row>
    <row r="381" spans="1:4" ht="14.25" customHeight="1" x14ac:dyDescent="0.25">
      <c r="A381" s="3">
        <v>11348.777978986465</v>
      </c>
      <c r="B381" s="3">
        <v>0.28096446272554232</v>
      </c>
      <c r="C381" s="254">
        <f t="shared" si="2"/>
        <v>28096.446272554233</v>
      </c>
      <c r="D381" s="255">
        <f t="shared" si="3"/>
        <v>0</v>
      </c>
    </row>
    <row r="382" spans="1:4" ht="14.25" customHeight="1" x14ac:dyDescent="0.25">
      <c r="A382" s="3">
        <v>6584.8526029993445</v>
      </c>
      <c r="B382" s="3">
        <v>-0.17960528050714375</v>
      </c>
      <c r="C382" s="254">
        <f t="shared" si="2"/>
        <v>-17960.528050714376</v>
      </c>
      <c r="D382" s="255">
        <f t="shared" si="3"/>
        <v>1</v>
      </c>
    </row>
    <row r="383" spans="1:4" ht="14.25" customHeight="1" x14ac:dyDescent="0.25">
      <c r="A383" s="3">
        <v>12770.234145620052</v>
      </c>
      <c r="B383" s="3">
        <v>-0.38334569320300815</v>
      </c>
      <c r="C383" s="254">
        <f t="shared" si="2"/>
        <v>-38334.569320300812</v>
      </c>
      <c r="D383" s="255">
        <f t="shared" si="3"/>
        <v>1</v>
      </c>
    </row>
    <row r="384" spans="1:4" ht="14.25" customHeight="1" x14ac:dyDescent="0.25">
      <c r="A384" s="3">
        <v>12388.134054986032</v>
      </c>
      <c r="B384" s="3">
        <v>0.3749539471124379</v>
      </c>
      <c r="C384" s="254">
        <f t="shared" si="2"/>
        <v>37495.394711243789</v>
      </c>
      <c r="D384" s="255">
        <f t="shared" si="3"/>
        <v>0</v>
      </c>
    </row>
    <row r="385" spans="1:4" ht="14.25" customHeight="1" x14ac:dyDescent="0.25">
      <c r="A385" s="3">
        <v>9148.4047546741131</v>
      </c>
      <c r="B385" s="3">
        <v>-0.22736519568837465</v>
      </c>
      <c r="C385" s="254">
        <f t="shared" si="2"/>
        <v>-22736.519568837466</v>
      </c>
      <c r="D385" s="255">
        <f t="shared" si="3"/>
        <v>1</v>
      </c>
    </row>
    <row r="386" spans="1:4" ht="14.25" customHeight="1" x14ac:dyDescent="0.25">
      <c r="A386" s="3">
        <v>9067.5952857246448</v>
      </c>
      <c r="B386" s="3">
        <v>0.32745159702518256</v>
      </c>
      <c r="C386" s="254">
        <f t="shared" si="2"/>
        <v>32745.159702518256</v>
      </c>
      <c r="D386" s="255">
        <f t="shared" si="3"/>
        <v>0</v>
      </c>
    </row>
    <row r="387" spans="1:4" ht="14.25" customHeight="1" x14ac:dyDescent="0.25">
      <c r="A387" s="3">
        <v>7024.4207454128336</v>
      </c>
      <c r="B387" s="3">
        <v>-7.2877748932331177E-2</v>
      </c>
      <c r="C387" s="254">
        <f t="shared" si="2"/>
        <v>-7287.7748932331178</v>
      </c>
      <c r="D387" s="255">
        <f t="shared" si="3"/>
        <v>1</v>
      </c>
    </row>
    <row r="388" spans="1:4" ht="14.25" customHeight="1" x14ac:dyDescent="0.25">
      <c r="A388" s="3">
        <v>6907.8324970415706</v>
      </c>
      <c r="B388" s="3">
        <v>8.9231118050583147E-2</v>
      </c>
      <c r="C388" s="254">
        <f t="shared" si="2"/>
        <v>8923.1118050583154</v>
      </c>
      <c r="D388" s="255">
        <f t="shared" si="3"/>
        <v>0</v>
      </c>
    </row>
    <row r="389" spans="1:4" ht="14.25" customHeight="1" x14ac:dyDescent="0.25">
      <c r="A389" s="3">
        <v>3882.4206417522219</v>
      </c>
      <c r="B389" s="3">
        <v>0.74956541478566718</v>
      </c>
      <c r="C389" s="254">
        <f t="shared" si="2"/>
        <v>74956.541478566724</v>
      </c>
      <c r="D389" s="255">
        <f t="shared" si="3"/>
        <v>0</v>
      </c>
    </row>
    <row r="390" spans="1:4" ht="14.25" customHeight="1" x14ac:dyDescent="0.25">
      <c r="A390" s="3">
        <v>12552.525653558259</v>
      </c>
      <c r="B390" s="3">
        <v>-3.3050294159759019E-2</v>
      </c>
      <c r="C390" s="254">
        <f t="shared" si="2"/>
        <v>-3305.0294159759019</v>
      </c>
      <c r="D390" s="255">
        <f t="shared" si="3"/>
        <v>1</v>
      </c>
    </row>
    <row r="391" spans="1:4" ht="14.25" customHeight="1" x14ac:dyDescent="0.25">
      <c r="A391" s="3">
        <v>4520.0187611473666</v>
      </c>
      <c r="B391" s="3">
        <v>-0.30464701870446431</v>
      </c>
      <c r="C391" s="254">
        <f t="shared" si="2"/>
        <v>-30464.701870446432</v>
      </c>
      <c r="D391" s="255">
        <f t="shared" si="3"/>
        <v>1</v>
      </c>
    </row>
    <row r="392" spans="1:4" ht="14.25" customHeight="1" x14ac:dyDescent="0.25">
      <c r="A392" s="3">
        <v>13433.127480503492</v>
      </c>
      <c r="B392" s="3">
        <v>0.10140299400009001</v>
      </c>
      <c r="C392" s="254">
        <f t="shared" si="2"/>
        <v>10140.299400009</v>
      </c>
      <c r="D392" s="255">
        <f t="shared" si="3"/>
        <v>1</v>
      </c>
    </row>
    <row r="393" spans="1:4" ht="14.25" customHeight="1" x14ac:dyDescent="0.25">
      <c r="A393" s="3">
        <v>825.69385268772021</v>
      </c>
      <c r="B393" s="3">
        <v>-0.24992512293044877</v>
      </c>
      <c r="C393" s="254">
        <f t="shared" si="2"/>
        <v>-24992.512293044878</v>
      </c>
      <c r="D393" s="255">
        <f t="shared" si="3"/>
        <v>1</v>
      </c>
    </row>
    <row r="394" spans="1:4" ht="14.25" customHeight="1" x14ac:dyDescent="0.25">
      <c r="A394" s="3">
        <v>-111.43492267919646</v>
      </c>
      <c r="B394" s="3">
        <v>-8.3562212146115367E-2</v>
      </c>
      <c r="C394" s="254">
        <f t="shared" si="2"/>
        <v>-8356.2212146115362</v>
      </c>
      <c r="D394" s="255">
        <f t="shared" si="3"/>
        <v>1</v>
      </c>
    </row>
    <row r="395" spans="1:4" ht="14.25" customHeight="1" x14ac:dyDescent="0.25">
      <c r="A395" s="3">
        <v>9064.7354255286045</v>
      </c>
      <c r="B395" s="3">
        <v>0.51249825583900765</v>
      </c>
      <c r="C395" s="254">
        <f t="shared" si="2"/>
        <v>51249.825583900769</v>
      </c>
      <c r="D395" s="255">
        <f t="shared" si="3"/>
        <v>0</v>
      </c>
    </row>
    <row r="396" spans="1:4" ht="14.25" customHeight="1" x14ac:dyDescent="0.25">
      <c r="A396" s="3">
        <v>1167.0474125003384</v>
      </c>
      <c r="B396" s="3">
        <v>1.5693024240795328E-2</v>
      </c>
      <c r="C396" s="254">
        <f t="shared" si="2"/>
        <v>1569.3024240795328</v>
      </c>
      <c r="D396" s="255">
        <f t="shared" si="3"/>
        <v>0</v>
      </c>
    </row>
    <row r="397" spans="1:4" ht="14.25" customHeight="1" x14ac:dyDescent="0.25">
      <c r="A397" s="3">
        <v>7473.4042945879046</v>
      </c>
      <c r="B397" s="3">
        <v>0.62462140648167019</v>
      </c>
      <c r="C397" s="254">
        <f t="shared" si="2"/>
        <v>62462.14064816702</v>
      </c>
      <c r="D397" s="255">
        <f t="shared" si="3"/>
        <v>0</v>
      </c>
    </row>
    <row r="398" spans="1:4" ht="14.25" customHeight="1" x14ac:dyDescent="0.25">
      <c r="A398" s="3">
        <v>9516.1416575647454</v>
      </c>
      <c r="B398" s="3">
        <v>0.18014073010458675</v>
      </c>
      <c r="C398" s="254">
        <f t="shared" si="2"/>
        <v>18014.073010458676</v>
      </c>
      <c r="D398" s="255">
        <f t="shared" si="3"/>
        <v>0</v>
      </c>
    </row>
    <row r="399" spans="1:4" ht="14.25" customHeight="1" x14ac:dyDescent="0.25">
      <c r="A399" s="3">
        <v>5653.6070477647518</v>
      </c>
      <c r="B399" s="3">
        <v>0.58809725944951596</v>
      </c>
      <c r="C399" s="254">
        <f t="shared" si="2"/>
        <v>58809.725944951599</v>
      </c>
      <c r="D399" s="255">
        <f t="shared" si="3"/>
        <v>0</v>
      </c>
    </row>
    <row r="400" spans="1:4" ht="14.25" customHeight="1" x14ac:dyDescent="0.25">
      <c r="A400" s="3">
        <v>7693.8353259236756</v>
      </c>
      <c r="B400" s="3">
        <v>0.26500430369490346</v>
      </c>
      <c r="C400" s="254">
        <f t="shared" si="2"/>
        <v>26500.430369490346</v>
      </c>
      <c r="D400" s="255">
        <f t="shared" si="3"/>
        <v>0</v>
      </c>
    </row>
    <row r="401" spans="1:4" ht="14.25" customHeight="1" x14ac:dyDescent="0.25">
      <c r="A401" s="3">
        <v>7949.6562257473706</v>
      </c>
      <c r="B401" s="3">
        <v>0.68850205167368284</v>
      </c>
      <c r="C401" s="254">
        <f t="shared" si="2"/>
        <v>68850.205167368287</v>
      </c>
      <c r="D401" s="255">
        <f t="shared" si="3"/>
        <v>0</v>
      </c>
    </row>
    <row r="402" spans="1:4" ht="14.25" customHeight="1" x14ac:dyDescent="0.25">
      <c r="A402" s="3">
        <v>781.14189722917945</v>
      </c>
      <c r="B402" s="3">
        <v>-0.29815412293596077</v>
      </c>
      <c r="C402" s="254">
        <f t="shared" si="2"/>
        <v>-29815.412293596077</v>
      </c>
      <c r="D402" s="255">
        <f t="shared" si="3"/>
        <v>1</v>
      </c>
    </row>
    <row r="403" spans="1:4" ht="14.25" customHeight="1" x14ac:dyDescent="0.25">
      <c r="A403" s="3">
        <v>-2665.92089801986</v>
      </c>
      <c r="B403" s="3">
        <v>-1.5225897178691827E-2</v>
      </c>
      <c r="C403" s="254">
        <f t="shared" si="2"/>
        <v>-1522.5897178691828</v>
      </c>
      <c r="D403" s="255">
        <f t="shared" si="3"/>
        <v>0</v>
      </c>
    </row>
    <row r="404" spans="1:4" ht="14.25" customHeight="1" x14ac:dyDescent="0.25">
      <c r="A404" s="3">
        <v>10814.200310106593</v>
      </c>
      <c r="B404" s="3">
        <v>-0.10535012160184393</v>
      </c>
      <c r="C404" s="254">
        <f t="shared" si="2"/>
        <v>-10535.012160184393</v>
      </c>
      <c r="D404" s="255">
        <f t="shared" si="3"/>
        <v>1</v>
      </c>
    </row>
    <row r="405" spans="1:4" ht="14.25" customHeight="1" x14ac:dyDescent="0.25">
      <c r="A405" s="3">
        <v>11294.56814858468</v>
      </c>
      <c r="B405" s="3">
        <v>4.0448579853985756E-2</v>
      </c>
      <c r="C405" s="254">
        <f t="shared" si="2"/>
        <v>4044.8579853985757</v>
      </c>
      <c r="D405" s="255">
        <f t="shared" si="3"/>
        <v>1</v>
      </c>
    </row>
    <row r="406" spans="1:4" ht="14.25" customHeight="1" x14ac:dyDescent="0.25">
      <c r="A406" s="3">
        <v>5940.8371997409849</v>
      </c>
      <c r="B406" s="3">
        <v>0.16320135948512071</v>
      </c>
      <c r="C406" s="254">
        <f t="shared" si="2"/>
        <v>16320.135948512072</v>
      </c>
      <c r="D406" s="255">
        <f t="shared" si="3"/>
        <v>0</v>
      </c>
    </row>
    <row r="407" spans="1:4" ht="14.25" customHeight="1" x14ac:dyDescent="0.25">
      <c r="A407" s="3">
        <v>9186.4038546456359</v>
      </c>
      <c r="B407" s="3">
        <v>-0.20647210911073133</v>
      </c>
      <c r="C407" s="254">
        <f t="shared" si="2"/>
        <v>-20647.210911073133</v>
      </c>
      <c r="D407" s="255">
        <f t="shared" si="3"/>
        <v>1</v>
      </c>
    </row>
    <row r="408" spans="1:4" ht="14.25" customHeight="1" x14ac:dyDescent="0.25">
      <c r="A408" s="3">
        <v>14815.561053582031</v>
      </c>
      <c r="B408" s="3">
        <v>9.4298306019454881E-2</v>
      </c>
      <c r="C408" s="254">
        <f t="shared" si="2"/>
        <v>9429.8306019454885</v>
      </c>
      <c r="D408" s="255">
        <f t="shared" si="3"/>
        <v>1</v>
      </c>
    </row>
    <row r="409" spans="1:4" ht="14.25" customHeight="1" x14ac:dyDescent="0.25">
      <c r="A409" s="3">
        <v>17312.235970415248</v>
      </c>
      <c r="B409" s="3">
        <v>-0.10036699139090374</v>
      </c>
      <c r="C409" s="254">
        <f t="shared" si="2"/>
        <v>-10036.699139090375</v>
      </c>
      <c r="D409" s="255">
        <f t="shared" si="3"/>
        <v>1</v>
      </c>
    </row>
    <row r="410" spans="1:4" ht="14.25" customHeight="1" x14ac:dyDescent="0.25">
      <c r="A410" s="3">
        <v>9354.0311369302799</v>
      </c>
      <c r="B410" s="3">
        <v>0.15409483888684949</v>
      </c>
      <c r="C410" s="254">
        <f t="shared" si="2"/>
        <v>15409.48388868495</v>
      </c>
      <c r="D410" s="255">
        <f t="shared" si="3"/>
        <v>0</v>
      </c>
    </row>
    <row r="411" spans="1:4" ht="14.25" customHeight="1" x14ac:dyDescent="0.25">
      <c r="A411" s="3">
        <v>15183.318517554857</v>
      </c>
      <c r="B411" s="3">
        <v>2.1543744335650317E-3</v>
      </c>
      <c r="C411" s="254">
        <f t="shared" si="2"/>
        <v>215.43744335650317</v>
      </c>
      <c r="D411" s="255">
        <f t="shared" si="3"/>
        <v>1</v>
      </c>
    </row>
    <row r="412" spans="1:4" ht="14.25" customHeight="1" x14ac:dyDescent="0.25">
      <c r="A412" s="3">
        <v>12453.407808524207</v>
      </c>
      <c r="B412" s="3">
        <v>0.22951808817276453</v>
      </c>
      <c r="C412" s="254">
        <f t="shared" si="2"/>
        <v>22951.808817276455</v>
      </c>
      <c r="D412" s="255">
        <f t="shared" si="3"/>
        <v>0</v>
      </c>
    </row>
    <row r="413" spans="1:4" ht="14.25" customHeight="1" x14ac:dyDescent="0.25">
      <c r="A413" s="3">
        <v>12764.280640600395</v>
      </c>
      <c r="B413" s="3">
        <v>0.18504300103150761</v>
      </c>
      <c r="C413" s="254">
        <f t="shared" si="2"/>
        <v>18504.300103150763</v>
      </c>
      <c r="D413" s="255">
        <f t="shared" si="3"/>
        <v>0</v>
      </c>
    </row>
    <row r="414" spans="1:4" ht="14.25" customHeight="1" x14ac:dyDescent="0.25">
      <c r="A414" s="3">
        <v>8271.2117426628247</v>
      </c>
      <c r="B414" s="3">
        <v>0.36870611937110587</v>
      </c>
      <c r="C414" s="254">
        <f t="shared" si="2"/>
        <v>36870.611937110589</v>
      </c>
      <c r="D414" s="255">
        <f t="shared" si="3"/>
        <v>0</v>
      </c>
    </row>
    <row r="415" spans="1:4" ht="14.25" customHeight="1" x14ac:dyDescent="0.25">
      <c r="A415" s="3">
        <v>1747.5482540176454</v>
      </c>
      <c r="B415" s="3">
        <v>-3.3558707671433208E-2</v>
      </c>
      <c r="C415" s="254">
        <f t="shared" si="2"/>
        <v>-3355.8707671433208</v>
      </c>
      <c r="D415" s="255">
        <f t="shared" si="3"/>
        <v>1</v>
      </c>
    </row>
    <row r="416" spans="1:4" ht="14.25" customHeight="1" x14ac:dyDescent="0.25">
      <c r="A416" s="3">
        <v>6910.8199530159545</v>
      </c>
      <c r="B416" s="3">
        <v>7.337160470521864E-2</v>
      </c>
      <c r="C416" s="254">
        <f t="shared" si="2"/>
        <v>7337.1604705218642</v>
      </c>
      <c r="D416" s="255">
        <f t="shared" si="3"/>
        <v>0</v>
      </c>
    </row>
    <row r="417" spans="1:4" ht="14.25" customHeight="1" x14ac:dyDescent="0.25">
      <c r="A417" s="3">
        <v>9545.2065881872404</v>
      </c>
      <c r="B417" s="3">
        <v>-0.21413941066580522</v>
      </c>
      <c r="C417" s="254">
        <f t="shared" si="2"/>
        <v>-21413.941066580523</v>
      </c>
      <c r="D417" s="255">
        <f t="shared" si="3"/>
        <v>1</v>
      </c>
    </row>
    <row r="418" spans="1:4" ht="14.25" customHeight="1" x14ac:dyDescent="0.25">
      <c r="A418" s="3">
        <v>5300.5733249258628</v>
      </c>
      <c r="B418" s="3">
        <v>-0.18949288997160763</v>
      </c>
      <c r="C418" s="254">
        <f t="shared" si="2"/>
        <v>-18949.288997160762</v>
      </c>
      <c r="D418" s="255">
        <f t="shared" si="3"/>
        <v>1</v>
      </c>
    </row>
    <row r="419" spans="1:4" ht="14.25" customHeight="1" x14ac:dyDescent="0.25">
      <c r="A419" s="3">
        <v>6839.6434118485122</v>
      </c>
      <c r="B419" s="3">
        <v>0.27026549782589226</v>
      </c>
      <c r="C419" s="254">
        <f t="shared" si="2"/>
        <v>27026.549782589227</v>
      </c>
      <c r="D419" s="255">
        <f t="shared" si="3"/>
        <v>0</v>
      </c>
    </row>
    <row r="420" spans="1:4" ht="14.25" customHeight="1" x14ac:dyDescent="0.25">
      <c r="A420" s="3">
        <v>1604.1951024820009</v>
      </c>
      <c r="B420" s="3">
        <v>2.1515960409056678E-2</v>
      </c>
      <c r="C420" s="254">
        <f t="shared" si="2"/>
        <v>2151.5960409056679</v>
      </c>
      <c r="D420" s="255">
        <f t="shared" si="3"/>
        <v>0</v>
      </c>
    </row>
    <row r="421" spans="1:4" ht="14.25" customHeight="1" x14ac:dyDescent="0.25">
      <c r="A421" s="3">
        <v>10855.433889695691</v>
      </c>
      <c r="B421" s="3">
        <v>0.35454651839903084</v>
      </c>
      <c r="C421" s="254">
        <f t="shared" si="2"/>
        <v>35454.651839903083</v>
      </c>
      <c r="D421" s="255">
        <f t="shared" si="3"/>
        <v>0</v>
      </c>
    </row>
    <row r="422" spans="1:4" ht="14.25" customHeight="1" x14ac:dyDescent="0.25">
      <c r="A422" s="3">
        <v>7490.6403916399067</v>
      </c>
      <c r="B422" s="3">
        <v>0.11118792947458367</v>
      </c>
      <c r="C422" s="254">
        <f t="shared" si="2"/>
        <v>11118.792947458367</v>
      </c>
      <c r="D422" s="255">
        <f t="shared" si="3"/>
        <v>0</v>
      </c>
    </row>
    <row r="423" spans="1:4" ht="14.25" customHeight="1" x14ac:dyDescent="0.25">
      <c r="A423" s="3">
        <v>2822.7875096503558</v>
      </c>
      <c r="B423" s="3">
        <v>-3.8136931702051236E-2</v>
      </c>
      <c r="C423" s="254">
        <f t="shared" si="2"/>
        <v>-3813.6931702051234</v>
      </c>
      <c r="D423" s="255">
        <f t="shared" si="3"/>
        <v>1</v>
      </c>
    </row>
    <row r="424" spans="1:4" ht="14.25" customHeight="1" x14ac:dyDescent="0.25">
      <c r="A424" s="3">
        <v>4623.6121866335016</v>
      </c>
      <c r="B424" s="3">
        <v>0.14382842352989456</v>
      </c>
      <c r="C424" s="254">
        <f t="shared" si="2"/>
        <v>14382.842352989455</v>
      </c>
      <c r="D424" s="255">
        <f t="shared" si="3"/>
        <v>0</v>
      </c>
    </row>
    <row r="425" spans="1:4" ht="14.25" customHeight="1" x14ac:dyDescent="0.25">
      <c r="A425" s="3">
        <v>4631.0386099666139</v>
      </c>
      <c r="B425" s="3">
        <v>1.270435075518872E-2</v>
      </c>
      <c r="C425" s="254">
        <f t="shared" si="2"/>
        <v>1270.4350755188721</v>
      </c>
      <c r="D425" s="255">
        <f t="shared" si="3"/>
        <v>1</v>
      </c>
    </row>
    <row r="426" spans="1:4" ht="14.25" customHeight="1" x14ac:dyDescent="0.25">
      <c r="A426" s="3">
        <v>8165.5794408139773</v>
      </c>
      <c r="B426" s="3">
        <v>-0.19115165519658461</v>
      </c>
      <c r="C426" s="254">
        <f t="shared" si="2"/>
        <v>-19115.165519658462</v>
      </c>
      <c r="D426" s="255">
        <f t="shared" si="3"/>
        <v>1</v>
      </c>
    </row>
    <row r="427" spans="1:4" ht="14.25" customHeight="1" x14ac:dyDescent="0.25">
      <c r="A427" s="3">
        <v>3073.1431240676466</v>
      </c>
      <c r="B427" s="3">
        <v>0.15257959934508447</v>
      </c>
      <c r="C427" s="254">
        <f t="shared" si="2"/>
        <v>15257.959934508448</v>
      </c>
      <c r="D427" s="255">
        <f t="shared" si="3"/>
        <v>0</v>
      </c>
    </row>
    <row r="428" spans="1:4" ht="14.25" customHeight="1" x14ac:dyDescent="0.25">
      <c r="A428" s="3">
        <v>1805.9511514144397</v>
      </c>
      <c r="B428" s="3">
        <v>0.16039537370108381</v>
      </c>
      <c r="C428" s="254">
        <f t="shared" si="2"/>
        <v>16039.537370108381</v>
      </c>
      <c r="D428" s="255">
        <f t="shared" si="3"/>
        <v>0</v>
      </c>
    </row>
    <row r="429" spans="1:4" ht="14.25" customHeight="1" x14ac:dyDescent="0.25">
      <c r="A429" s="3">
        <v>15402.571987783915</v>
      </c>
      <c r="B429" s="3">
        <v>4.3107281537831721E-2</v>
      </c>
      <c r="C429" s="254">
        <f t="shared" si="2"/>
        <v>4310.7281537831723</v>
      </c>
      <c r="D429" s="255">
        <f t="shared" si="3"/>
        <v>1</v>
      </c>
    </row>
    <row r="430" spans="1:4" ht="14.25" customHeight="1" x14ac:dyDescent="0.25">
      <c r="A430" s="3">
        <v>8881.9637994934747</v>
      </c>
      <c r="B430" s="3">
        <v>-0.13207858673771566</v>
      </c>
      <c r="C430" s="254">
        <f t="shared" si="2"/>
        <v>-13207.858673771567</v>
      </c>
      <c r="D430" s="255">
        <f t="shared" si="3"/>
        <v>1</v>
      </c>
    </row>
    <row r="431" spans="1:4" ht="14.25" customHeight="1" x14ac:dyDescent="0.25">
      <c r="A431" s="3">
        <v>-2910.117485949464</v>
      </c>
      <c r="B431" s="3">
        <v>0.73739013596061231</v>
      </c>
      <c r="C431" s="254">
        <f t="shared" si="2"/>
        <v>73739.013596061224</v>
      </c>
      <c r="D431" s="255">
        <f t="shared" si="3"/>
        <v>0</v>
      </c>
    </row>
    <row r="432" spans="1:4" ht="14.25" customHeight="1" x14ac:dyDescent="0.25">
      <c r="A432" s="3">
        <v>14182.745545110251</v>
      </c>
      <c r="B432" s="3">
        <v>5.0860430324656702E-2</v>
      </c>
      <c r="C432" s="254">
        <f t="shared" si="2"/>
        <v>5086.04303246567</v>
      </c>
      <c r="D432" s="255">
        <f t="shared" si="3"/>
        <v>1</v>
      </c>
    </row>
    <row r="433" spans="1:4" ht="14.25" customHeight="1" x14ac:dyDescent="0.25">
      <c r="A433" s="3">
        <v>8847.8365525829504</v>
      </c>
      <c r="B433" s="3">
        <v>1.3712592854151551E-2</v>
      </c>
      <c r="C433" s="254">
        <f t="shared" si="2"/>
        <v>1371.2592854151551</v>
      </c>
      <c r="D433" s="255">
        <f t="shared" si="3"/>
        <v>1</v>
      </c>
    </row>
    <row r="434" spans="1:4" ht="14.25" customHeight="1" x14ac:dyDescent="0.25">
      <c r="A434" s="3">
        <v>1686.3804611730011</v>
      </c>
      <c r="B434" s="3">
        <v>-1.2808314699388701E-2</v>
      </c>
      <c r="C434" s="254">
        <f t="shared" si="2"/>
        <v>-1280.83146993887</v>
      </c>
      <c r="D434" s="255">
        <f t="shared" si="3"/>
        <v>1</v>
      </c>
    </row>
    <row r="435" spans="1:4" ht="14.25" customHeight="1" x14ac:dyDescent="0.25">
      <c r="A435" s="3">
        <v>2965.9503741093213</v>
      </c>
      <c r="B435" s="3">
        <v>0.31309752323311013</v>
      </c>
      <c r="C435" s="254">
        <f t="shared" si="2"/>
        <v>31309.752323311011</v>
      </c>
      <c r="D435" s="255">
        <f t="shared" si="3"/>
        <v>0</v>
      </c>
    </row>
    <row r="436" spans="1:4" ht="14.25" customHeight="1" x14ac:dyDescent="0.25">
      <c r="A436" s="3">
        <v>3067.4693305662367</v>
      </c>
      <c r="B436" s="3">
        <v>0.12219786563824719</v>
      </c>
      <c r="C436" s="254">
        <f t="shared" si="2"/>
        <v>12219.786563824719</v>
      </c>
      <c r="D436" s="255">
        <f t="shared" si="3"/>
        <v>0</v>
      </c>
    </row>
    <row r="437" spans="1:4" ht="14.25" customHeight="1" x14ac:dyDescent="0.25">
      <c r="A437" s="3">
        <v>15545.790341557469</v>
      </c>
      <c r="B437" s="3">
        <v>0.20359185935189061</v>
      </c>
      <c r="C437" s="254">
        <f t="shared" si="2"/>
        <v>20359.18593518906</v>
      </c>
      <c r="D437" s="255">
        <f t="shared" si="3"/>
        <v>0</v>
      </c>
    </row>
    <row r="438" spans="1:4" ht="14.25" customHeight="1" x14ac:dyDescent="0.25">
      <c r="A438" s="3">
        <v>1900.9453923760157</v>
      </c>
      <c r="B438" s="3">
        <v>0.33917512311198794</v>
      </c>
      <c r="C438" s="254">
        <f t="shared" si="2"/>
        <v>33917.512311198792</v>
      </c>
      <c r="D438" s="255">
        <f t="shared" si="3"/>
        <v>0</v>
      </c>
    </row>
    <row r="439" spans="1:4" ht="14.25" customHeight="1" x14ac:dyDescent="0.25">
      <c r="A439" s="3">
        <v>6347.130392985564</v>
      </c>
      <c r="B439" s="3">
        <v>0.30944438691012266</v>
      </c>
      <c r="C439" s="254">
        <f t="shared" si="2"/>
        <v>30944.438691012267</v>
      </c>
      <c r="D439" s="255">
        <f t="shared" si="3"/>
        <v>0</v>
      </c>
    </row>
    <row r="440" spans="1:4" ht="14.25" customHeight="1" x14ac:dyDescent="0.25">
      <c r="A440" s="3">
        <v>8053.2443742274118</v>
      </c>
      <c r="B440" s="3">
        <v>-3.1484541934867716E-2</v>
      </c>
      <c r="C440" s="254">
        <f t="shared" si="2"/>
        <v>-3148.4541934867716</v>
      </c>
      <c r="D440" s="255">
        <f t="shared" si="3"/>
        <v>1</v>
      </c>
    </row>
    <row r="441" spans="1:4" ht="14.25" customHeight="1" x14ac:dyDescent="0.25">
      <c r="A441" s="3">
        <v>10278.997529715169</v>
      </c>
      <c r="B441" s="3">
        <v>-1.1385595961555861E-2</v>
      </c>
      <c r="C441" s="254">
        <f t="shared" si="2"/>
        <v>-1138.5595961555862</v>
      </c>
      <c r="D441" s="255">
        <f t="shared" si="3"/>
        <v>1</v>
      </c>
    </row>
    <row r="442" spans="1:4" ht="14.25" customHeight="1" x14ac:dyDescent="0.25">
      <c r="A442" s="3">
        <v>-1953.2782315415243</v>
      </c>
      <c r="B442" s="3">
        <v>-0.23964738498004401</v>
      </c>
      <c r="C442" s="254">
        <f t="shared" si="2"/>
        <v>-23964.738498004401</v>
      </c>
      <c r="D442" s="255">
        <f t="shared" si="3"/>
        <v>1</v>
      </c>
    </row>
    <row r="443" spans="1:4" ht="14.25" customHeight="1" x14ac:dyDescent="0.25">
      <c r="A443" s="3">
        <v>6478.6915191355074</v>
      </c>
      <c r="B443" s="3">
        <v>-0.1931747350880153</v>
      </c>
      <c r="C443" s="254">
        <f t="shared" si="2"/>
        <v>-19317.47350880153</v>
      </c>
      <c r="D443" s="255">
        <f t="shared" si="3"/>
        <v>1</v>
      </c>
    </row>
    <row r="444" spans="1:4" ht="14.25" customHeight="1" x14ac:dyDescent="0.25">
      <c r="A444" s="3">
        <v>4573.6273425458494</v>
      </c>
      <c r="B444" s="3">
        <v>-8.609682346525771E-2</v>
      </c>
      <c r="C444" s="254">
        <f t="shared" si="2"/>
        <v>-8609.6823465257712</v>
      </c>
      <c r="D444" s="255">
        <f t="shared" si="3"/>
        <v>1</v>
      </c>
    </row>
    <row r="445" spans="1:4" ht="14.25" customHeight="1" x14ac:dyDescent="0.25">
      <c r="A445" s="3">
        <v>11291.713149403899</v>
      </c>
      <c r="B445" s="3">
        <v>-1.1906973950119859E-2</v>
      </c>
      <c r="C445" s="254">
        <f t="shared" si="2"/>
        <v>-1190.6973950119859</v>
      </c>
      <c r="D445" s="255">
        <f t="shared" si="3"/>
        <v>1</v>
      </c>
    </row>
    <row r="446" spans="1:4" ht="14.25" customHeight="1" x14ac:dyDescent="0.25">
      <c r="A446" s="3">
        <v>-956.85170573260257</v>
      </c>
      <c r="B446" s="3">
        <v>8.0516885332871713E-2</v>
      </c>
      <c r="C446" s="254">
        <f t="shared" si="2"/>
        <v>8051.6885332871716</v>
      </c>
      <c r="D446" s="255">
        <f t="shared" si="3"/>
        <v>0</v>
      </c>
    </row>
    <row r="447" spans="1:4" ht="14.25" customHeight="1" x14ac:dyDescent="0.25">
      <c r="A447" s="3">
        <v>9238.2858110644302</v>
      </c>
      <c r="B447" s="3">
        <v>0.19509402387145847</v>
      </c>
      <c r="C447" s="254">
        <f t="shared" si="2"/>
        <v>19509.402387145845</v>
      </c>
      <c r="D447" s="255">
        <f t="shared" si="3"/>
        <v>0</v>
      </c>
    </row>
    <row r="448" spans="1:4" ht="14.25" customHeight="1" x14ac:dyDescent="0.25">
      <c r="A448" s="3">
        <v>5935.2384072214481</v>
      </c>
      <c r="B448" s="3">
        <v>0.30226048748097201</v>
      </c>
      <c r="C448" s="254">
        <f t="shared" si="2"/>
        <v>30226.048748097201</v>
      </c>
      <c r="D448" s="255">
        <f t="shared" si="3"/>
        <v>0</v>
      </c>
    </row>
    <row r="449" spans="1:4" ht="14.25" customHeight="1" x14ac:dyDescent="0.25">
      <c r="A449" s="3">
        <v>6744.3212682739832</v>
      </c>
      <c r="B449" s="3">
        <v>-9.3231908536582253E-2</v>
      </c>
      <c r="C449" s="254">
        <f t="shared" si="2"/>
        <v>-9323.190853658225</v>
      </c>
      <c r="D449" s="255">
        <f t="shared" si="3"/>
        <v>1</v>
      </c>
    </row>
    <row r="450" spans="1:4" ht="14.25" customHeight="1" x14ac:dyDescent="0.25">
      <c r="A450" s="28">
        <v>4171.1526002573955</v>
      </c>
      <c r="B450" s="28">
        <v>0.11301308845789304</v>
      </c>
      <c r="C450" s="254">
        <f t="shared" si="2"/>
        <v>11301.308845789305</v>
      </c>
      <c r="D450" s="255">
        <f t="shared" si="3"/>
        <v>0</v>
      </c>
    </row>
    <row r="451" spans="1:4" ht="14.25" customHeight="1" x14ac:dyDescent="0.25">
      <c r="A451" s="28">
        <v>1920.1645352838823</v>
      </c>
      <c r="B451" s="28">
        <v>-5.1499885830068926E-2</v>
      </c>
      <c r="C451" s="254">
        <f t="shared" si="2"/>
        <v>-5149.9885830068924</v>
      </c>
      <c r="D451" s="255">
        <f t="shared" si="3"/>
        <v>1</v>
      </c>
    </row>
    <row r="452" spans="1:4" ht="14.25" customHeight="1" x14ac:dyDescent="0.25">
      <c r="A452" s="28">
        <v>6918.5924049317036</v>
      </c>
      <c r="B452" s="28">
        <v>9.3672362326423286E-2</v>
      </c>
      <c r="C452" s="254">
        <f t="shared" si="2"/>
        <v>9367.2362326423281</v>
      </c>
      <c r="D452" s="255">
        <f t="shared" si="3"/>
        <v>0</v>
      </c>
    </row>
    <row r="453" spans="1:4" ht="14.25" customHeight="1" x14ac:dyDescent="0.25">
      <c r="A453" s="28">
        <v>11349.370146346409</v>
      </c>
      <c r="B453" s="28">
        <v>-1.1892878283544017E-2</v>
      </c>
      <c r="C453" s="254">
        <f t="shared" si="2"/>
        <v>-1189.2878283544017</v>
      </c>
      <c r="D453" s="255">
        <f t="shared" si="3"/>
        <v>1</v>
      </c>
    </row>
    <row r="454" spans="1:4" ht="14.25" customHeight="1" x14ac:dyDescent="0.25">
      <c r="A454" s="28">
        <v>10714.342346625868</v>
      </c>
      <c r="B454" s="28">
        <v>0.19707877564308962</v>
      </c>
      <c r="C454" s="254">
        <f t="shared" si="2"/>
        <v>19707.877564308961</v>
      </c>
      <c r="D454" s="255">
        <f t="shared" si="3"/>
        <v>0</v>
      </c>
    </row>
    <row r="455" spans="1:4" ht="14.25" customHeight="1" x14ac:dyDescent="0.25">
      <c r="A455" s="28">
        <v>5410.7141286481346</v>
      </c>
      <c r="B455" s="28">
        <v>0.15968680418380199</v>
      </c>
      <c r="C455" s="254">
        <f t="shared" si="2"/>
        <v>15968.6804183802</v>
      </c>
      <c r="D455" s="255">
        <f t="shared" si="3"/>
        <v>0</v>
      </c>
    </row>
    <row r="456" spans="1:4" ht="14.25" customHeight="1" x14ac:dyDescent="0.25">
      <c r="A456" s="28">
        <v>12072.341474304179</v>
      </c>
      <c r="B456" s="28">
        <v>0.21509480081427501</v>
      </c>
      <c r="C456" s="254">
        <f t="shared" si="2"/>
        <v>21509.4800814275</v>
      </c>
      <c r="D456" s="255">
        <f t="shared" si="3"/>
        <v>0</v>
      </c>
    </row>
    <row r="457" spans="1:4" ht="14.25" customHeight="1" x14ac:dyDescent="0.25">
      <c r="A457" s="28">
        <v>10037.593074254612</v>
      </c>
      <c r="B457" s="28">
        <v>2.4211791880543565E-2</v>
      </c>
      <c r="C457" s="254">
        <f t="shared" si="2"/>
        <v>2421.1791880543565</v>
      </c>
      <c r="D457" s="255">
        <f t="shared" si="3"/>
        <v>1</v>
      </c>
    </row>
    <row r="458" spans="1:4" ht="14.25" customHeight="1" x14ac:dyDescent="0.25">
      <c r="A458" s="28">
        <v>9668.8936021770714</v>
      </c>
      <c r="B458" s="28">
        <v>0.1477342524237657</v>
      </c>
      <c r="C458" s="254">
        <f t="shared" si="2"/>
        <v>14773.42524237657</v>
      </c>
      <c r="D458" s="255">
        <f t="shared" si="3"/>
        <v>0</v>
      </c>
    </row>
    <row r="459" spans="1:4" ht="14.25" customHeight="1" x14ac:dyDescent="0.25">
      <c r="A459" s="28">
        <v>693.54941910451453</v>
      </c>
      <c r="B459" s="28">
        <v>-0.21867861430455404</v>
      </c>
      <c r="C459" s="254">
        <f t="shared" si="2"/>
        <v>-21867.861430455403</v>
      </c>
      <c r="D459" s="255">
        <f t="shared" si="3"/>
        <v>1</v>
      </c>
    </row>
    <row r="460" spans="1:4" ht="14.25" customHeight="1" x14ac:dyDescent="0.25">
      <c r="A460" s="28">
        <v>1470.5649863232393</v>
      </c>
      <c r="B460" s="28">
        <v>-0.28947244643981951</v>
      </c>
      <c r="C460" s="254">
        <f t="shared" si="2"/>
        <v>-28947.244643981951</v>
      </c>
      <c r="D460" s="255">
        <f t="shared" si="3"/>
        <v>1</v>
      </c>
    </row>
    <row r="461" spans="1:4" ht="14.25" customHeight="1" x14ac:dyDescent="0.25">
      <c r="A461" s="28">
        <v>2078.2664349050319</v>
      </c>
      <c r="B461" s="28">
        <v>-0.23258405768918466</v>
      </c>
      <c r="C461" s="254">
        <f t="shared" si="2"/>
        <v>-23258.405768918466</v>
      </c>
      <c r="D461" s="255">
        <f t="shared" si="3"/>
        <v>1</v>
      </c>
    </row>
    <row r="462" spans="1:4" ht="14.25" customHeight="1" x14ac:dyDescent="0.25">
      <c r="A462" s="28">
        <v>11263.605916067376</v>
      </c>
      <c r="B462" s="28">
        <v>-0.3522745029204446</v>
      </c>
      <c r="C462" s="254">
        <f t="shared" si="2"/>
        <v>-35227.450292044457</v>
      </c>
      <c r="D462" s="255">
        <f t="shared" si="3"/>
        <v>1</v>
      </c>
    </row>
    <row r="463" spans="1:4" ht="14.25" customHeight="1" x14ac:dyDescent="0.25">
      <c r="A463" s="28">
        <v>5245.4744648980413</v>
      </c>
      <c r="B463" s="28">
        <v>0.1312142761298758</v>
      </c>
      <c r="C463" s="254">
        <f t="shared" si="2"/>
        <v>13121.42761298758</v>
      </c>
      <c r="D463" s="255">
        <f t="shared" si="3"/>
        <v>0</v>
      </c>
    </row>
    <row r="464" spans="1:4" ht="14.25" customHeight="1" x14ac:dyDescent="0.25">
      <c r="A464" s="28">
        <v>5007.5541823032545</v>
      </c>
      <c r="B464" s="28">
        <v>0.24010140678121927</v>
      </c>
      <c r="C464" s="254">
        <f t="shared" si="2"/>
        <v>24010.140678121927</v>
      </c>
      <c r="D464" s="255">
        <f t="shared" si="3"/>
        <v>0</v>
      </c>
    </row>
    <row r="465" spans="1:4" ht="14.25" customHeight="1" x14ac:dyDescent="0.25">
      <c r="A465" s="28">
        <v>4499.4873759749753</v>
      </c>
      <c r="B465" s="28">
        <v>0.16231197156963439</v>
      </c>
      <c r="C465" s="254">
        <f t="shared" si="2"/>
        <v>16231.197156963439</v>
      </c>
      <c r="D465" s="255">
        <f t="shared" si="3"/>
        <v>0</v>
      </c>
    </row>
    <row r="466" spans="1:4" ht="14.25" customHeight="1" x14ac:dyDescent="0.25">
      <c r="A466" s="28">
        <v>-1214.6878465781192</v>
      </c>
      <c r="B466" s="28">
        <v>0.10758297959050866</v>
      </c>
      <c r="C466" s="254">
        <f t="shared" si="2"/>
        <v>10758.297959050866</v>
      </c>
      <c r="D466" s="255">
        <f t="shared" si="3"/>
        <v>0</v>
      </c>
    </row>
    <row r="467" spans="1:4" ht="14.25" customHeight="1" x14ac:dyDescent="0.25">
      <c r="A467" s="28">
        <v>-251.11311032254889</v>
      </c>
      <c r="B467" s="28">
        <v>1.4973776934081862E-3</v>
      </c>
      <c r="C467" s="254">
        <f t="shared" si="2"/>
        <v>149.7377693408186</v>
      </c>
      <c r="D467" s="255">
        <f t="shared" si="3"/>
        <v>0</v>
      </c>
    </row>
    <row r="468" spans="1:4" ht="14.25" customHeight="1" x14ac:dyDescent="0.25">
      <c r="A468" s="28">
        <v>8265.0228295165653</v>
      </c>
      <c r="B468" s="28">
        <v>-5.6139064757770474E-2</v>
      </c>
      <c r="C468" s="254">
        <f t="shared" si="2"/>
        <v>-5613.9064757770475</v>
      </c>
      <c r="D468" s="255">
        <f t="shared" si="3"/>
        <v>1</v>
      </c>
    </row>
    <row r="469" spans="1:4" ht="14.25" customHeight="1" x14ac:dyDescent="0.25">
      <c r="A469" s="28">
        <v>10982.19345927734</v>
      </c>
      <c r="B469" s="28">
        <v>-0.17195523698028659</v>
      </c>
      <c r="C469" s="254">
        <f t="shared" si="2"/>
        <v>-17195.523698028657</v>
      </c>
      <c r="D469" s="255">
        <f t="shared" si="3"/>
        <v>1</v>
      </c>
    </row>
    <row r="470" spans="1:4" ht="14.25" customHeight="1" x14ac:dyDescent="0.25">
      <c r="A470" s="28">
        <v>12310.739488042949</v>
      </c>
      <c r="B470" s="28">
        <v>-6.1753573714503407E-2</v>
      </c>
      <c r="C470" s="254">
        <f t="shared" si="2"/>
        <v>-6175.3573714503409</v>
      </c>
      <c r="D470" s="255">
        <f t="shared" si="3"/>
        <v>1</v>
      </c>
    </row>
    <row r="471" spans="1:4" ht="14.25" customHeight="1" x14ac:dyDescent="0.25">
      <c r="A471" s="28">
        <v>-19.689557270539808</v>
      </c>
      <c r="B471" s="28">
        <v>0.10917847292976979</v>
      </c>
      <c r="C471" s="254">
        <f t="shared" si="2"/>
        <v>10917.84729297698</v>
      </c>
      <c r="D471" s="255">
        <f t="shared" si="3"/>
        <v>0</v>
      </c>
    </row>
    <row r="472" spans="1:4" ht="14.25" customHeight="1" x14ac:dyDescent="0.25">
      <c r="A472" s="28">
        <v>7826.8638448491547</v>
      </c>
      <c r="B472" s="28">
        <v>-0.2669805928508</v>
      </c>
      <c r="C472" s="254">
        <f t="shared" si="2"/>
        <v>-26698.059285079999</v>
      </c>
      <c r="D472" s="255">
        <f t="shared" si="3"/>
        <v>1</v>
      </c>
    </row>
    <row r="473" spans="1:4" ht="14.25" customHeight="1" x14ac:dyDescent="0.25">
      <c r="A473" s="28">
        <v>7317.8979461665076</v>
      </c>
      <c r="B473" s="28">
        <v>4.2429585392782521E-3</v>
      </c>
      <c r="C473" s="254">
        <f t="shared" si="2"/>
        <v>424.29585392782519</v>
      </c>
      <c r="D473" s="255">
        <f t="shared" si="3"/>
        <v>1</v>
      </c>
    </row>
    <row r="474" spans="1:4" ht="14.25" customHeight="1" x14ac:dyDescent="0.25">
      <c r="A474" s="28">
        <v>7443.6898388518239</v>
      </c>
      <c r="B474" s="28">
        <v>-3.1202600162206107E-2</v>
      </c>
      <c r="C474" s="254">
        <f t="shared" si="2"/>
        <v>-3120.2600162206109</v>
      </c>
      <c r="D474" s="255">
        <f t="shared" si="3"/>
        <v>1</v>
      </c>
    </row>
    <row r="475" spans="1:4" ht="14.25" customHeight="1" x14ac:dyDescent="0.25">
      <c r="A475" s="28">
        <v>3334.877698728742</v>
      </c>
      <c r="B475" s="28">
        <v>0.42972221030890367</v>
      </c>
      <c r="C475" s="254">
        <f t="shared" si="2"/>
        <v>42972.221030890367</v>
      </c>
      <c r="D475" s="255">
        <f t="shared" si="3"/>
        <v>0</v>
      </c>
    </row>
    <row r="476" spans="1:4" ht="14.25" customHeight="1" x14ac:dyDescent="0.25">
      <c r="A476" s="28">
        <v>2123.9590963112059</v>
      </c>
      <c r="B476" s="28">
        <v>-0.21316151802429095</v>
      </c>
      <c r="C476" s="254">
        <f t="shared" si="2"/>
        <v>-21316.151802429096</v>
      </c>
      <c r="D476" s="255">
        <f t="shared" si="3"/>
        <v>1</v>
      </c>
    </row>
    <row r="477" spans="1:4" ht="14.25" customHeight="1" x14ac:dyDescent="0.25">
      <c r="A477" s="28">
        <v>4850.2395998709544</v>
      </c>
      <c r="B477" s="28">
        <v>-6.8911972935786991E-2</v>
      </c>
      <c r="C477" s="254">
        <f t="shared" si="2"/>
        <v>-6891.1972935786989</v>
      </c>
      <c r="D477" s="255">
        <f t="shared" si="3"/>
        <v>1</v>
      </c>
    </row>
    <row r="478" spans="1:4" ht="14.25" customHeight="1" x14ac:dyDescent="0.25">
      <c r="A478" s="28">
        <v>11081.995874341097</v>
      </c>
      <c r="B478" s="28">
        <v>0.21450766939732702</v>
      </c>
      <c r="C478" s="254">
        <f t="shared" si="2"/>
        <v>21450.766939732701</v>
      </c>
      <c r="D478" s="255">
        <f t="shared" si="3"/>
        <v>0</v>
      </c>
    </row>
    <row r="479" spans="1:4" ht="14.25" customHeight="1" x14ac:dyDescent="0.25">
      <c r="A479" s="28">
        <v>-97.89563748742512</v>
      </c>
      <c r="B479" s="28">
        <v>2.5742865147482363E-2</v>
      </c>
      <c r="C479" s="254">
        <f t="shared" si="2"/>
        <v>2574.2865147482362</v>
      </c>
      <c r="D479" s="255">
        <f t="shared" si="3"/>
        <v>0</v>
      </c>
    </row>
    <row r="480" spans="1:4" ht="14.25" customHeight="1" x14ac:dyDescent="0.25">
      <c r="A480" s="28">
        <v>7895.2912844225502</v>
      </c>
      <c r="B480" s="28">
        <v>0.30771706847236135</v>
      </c>
      <c r="C480" s="254">
        <f t="shared" si="2"/>
        <v>30771.706847236135</v>
      </c>
      <c r="D480" s="255">
        <f t="shared" si="3"/>
        <v>0</v>
      </c>
    </row>
    <row r="481" spans="1:4" ht="14.25" customHeight="1" x14ac:dyDescent="0.25">
      <c r="A481" s="28">
        <v>20670.61606285478</v>
      </c>
      <c r="B481" s="28">
        <v>-4.0123183191445699E-2</v>
      </c>
      <c r="C481" s="254">
        <f t="shared" si="2"/>
        <v>-4012.3183191445701</v>
      </c>
      <c r="D481" s="255">
        <f t="shared" si="3"/>
        <v>1</v>
      </c>
    </row>
    <row r="482" spans="1:4" ht="14.25" customHeight="1" x14ac:dyDescent="0.25">
      <c r="A482" s="28">
        <v>4313.8291845093336</v>
      </c>
      <c r="B482" s="28">
        <v>0.10562258278430514</v>
      </c>
      <c r="C482" s="254">
        <f t="shared" si="2"/>
        <v>10562.258278430514</v>
      </c>
      <c r="D482" s="255">
        <f t="shared" si="3"/>
        <v>0</v>
      </c>
    </row>
    <row r="483" spans="1:4" ht="14.25" customHeight="1" x14ac:dyDescent="0.25">
      <c r="A483" s="28">
        <v>14542.122332957959</v>
      </c>
      <c r="B483" s="28">
        <v>0.12981877708700029</v>
      </c>
      <c r="C483" s="254">
        <f t="shared" si="2"/>
        <v>12981.877708700029</v>
      </c>
      <c r="D483" s="255">
        <f t="shared" si="3"/>
        <v>1</v>
      </c>
    </row>
    <row r="484" spans="1:4" ht="14.25" customHeight="1" x14ac:dyDescent="0.25">
      <c r="A484" s="28">
        <v>10514.5995871618</v>
      </c>
      <c r="B484" s="28">
        <v>0.1377981943761335</v>
      </c>
      <c r="C484" s="254">
        <f t="shared" si="2"/>
        <v>13779.819437613351</v>
      </c>
      <c r="D484" s="255">
        <f t="shared" si="3"/>
        <v>0</v>
      </c>
    </row>
    <row r="485" spans="1:4" ht="14.25" customHeight="1" x14ac:dyDescent="0.25">
      <c r="A485" s="28">
        <v>3483.2564152165578</v>
      </c>
      <c r="B485" s="28">
        <v>-3.3646608086566054E-3</v>
      </c>
      <c r="C485" s="254">
        <f t="shared" si="2"/>
        <v>-336.46608086566056</v>
      </c>
      <c r="D485" s="255">
        <f t="shared" si="3"/>
        <v>1</v>
      </c>
    </row>
    <row r="486" spans="1:4" ht="14.25" customHeight="1" x14ac:dyDescent="0.25">
      <c r="A486" s="28">
        <v>9712.122176440469</v>
      </c>
      <c r="B486" s="28">
        <v>-0.36156591164239682</v>
      </c>
      <c r="C486" s="254">
        <f t="shared" si="2"/>
        <v>-36156.591164239682</v>
      </c>
      <c r="D486" s="255">
        <f t="shared" si="3"/>
        <v>1</v>
      </c>
    </row>
    <row r="487" spans="1:4" ht="14.25" customHeight="1" x14ac:dyDescent="0.25">
      <c r="A487" s="28">
        <v>6900.3511868953356</v>
      </c>
      <c r="B487" s="28">
        <v>0.21157915829350493</v>
      </c>
      <c r="C487" s="254">
        <f t="shared" si="2"/>
        <v>21157.915829350492</v>
      </c>
      <c r="D487" s="255">
        <f t="shared" si="3"/>
        <v>0</v>
      </c>
    </row>
    <row r="488" spans="1:4" ht="14.25" customHeight="1" x14ac:dyDescent="0.25">
      <c r="A488" s="28">
        <v>13480.04782160277</v>
      </c>
      <c r="B488" s="28">
        <v>-2.0367709677946211E-2</v>
      </c>
      <c r="C488" s="254">
        <f t="shared" si="2"/>
        <v>-2036.7709677946211</v>
      </c>
      <c r="D488" s="255">
        <f t="shared" si="3"/>
        <v>1</v>
      </c>
    </row>
    <row r="489" spans="1:4" ht="14.25" customHeight="1" x14ac:dyDescent="0.25">
      <c r="A489" s="28">
        <v>601.52763741296076</v>
      </c>
      <c r="B489" s="28">
        <v>-0.26649965464282432</v>
      </c>
      <c r="C489" s="254">
        <f t="shared" si="2"/>
        <v>-26649.965464282432</v>
      </c>
      <c r="D489" s="255">
        <f t="shared" si="3"/>
        <v>1</v>
      </c>
    </row>
    <row r="490" spans="1:4" ht="14.25" customHeight="1" x14ac:dyDescent="0.25">
      <c r="A490" s="28">
        <v>108.93872898166592</v>
      </c>
      <c r="B490" s="28">
        <v>0.1040992411150885</v>
      </c>
      <c r="C490" s="254">
        <f t="shared" si="2"/>
        <v>10409.92411150885</v>
      </c>
      <c r="D490" s="255">
        <f t="shared" si="3"/>
        <v>0</v>
      </c>
    </row>
    <row r="491" spans="1:4" ht="14.25" customHeight="1" x14ac:dyDescent="0.25">
      <c r="A491" s="28">
        <v>9269.0888432104111</v>
      </c>
      <c r="B491" s="28">
        <v>3.8190682928698649E-2</v>
      </c>
      <c r="C491" s="254">
        <f t="shared" si="2"/>
        <v>3819.0682928698648</v>
      </c>
      <c r="D491" s="255">
        <f t="shared" si="3"/>
        <v>1</v>
      </c>
    </row>
    <row r="492" spans="1:4" ht="14.25" customHeight="1" x14ac:dyDescent="0.25">
      <c r="A492" s="28">
        <v>11938.96014443523</v>
      </c>
      <c r="B492" s="28">
        <v>0.20401259976229769</v>
      </c>
      <c r="C492" s="254">
        <f t="shared" si="2"/>
        <v>20401.259976229769</v>
      </c>
      <c r="D492" s="255">
        <f t="shared" si="3"/>
        <v>0</v>
      </c>
    </row>
    <row r="493" spans="1:4" ht="14.25" customHeight="1" x14ac:dyDescent="0.25">
      <c r="A493" s="28">
        <v>14720.907626983935</v>
      </c>
      <c r="B493" s="28">
        <v>-3.2616578483999528E-2</v>
      </c>
      <c r="C493" s="254">
        <f t="shared" si="2"/>
        <v>-3261.6578483999529</v>
      </c>
      <c r="D493" s="255">
        <f t="shared" si="3"/>
        <v>1</v>
      </c>
    </row>
    <row r="494" spans="1:4" ht="14.25" customHeight="1" x14ac:dyDescent="0.25">
      <c r="A494" s="28">
        <v>1047.5486648070655</v>
      </c>
      <c r="B494" s="28">
        <v>3.4760068155311075E-2</v>
      </c>
      <c r="C494" s="254">
        <f t="shared" si="2"/>
        <v>3476.0068155311073</v>
      </c>
      <c r="D494" s="255">
        <f t="shared" si="3"/>
        <v>0</v>
      </c>
    </row>
    <row r="495" spans="1:4" ht="14.25" customHeight="1" x14ac:dyDescent="0.25">
      <c r="A495" s="28">
        <v>5030.4102530548989</v>
      </c>
      <c r="B495" s="28">
        <v>0.25303519139789188</v>
      </c>
      <c r="C495" s="254">
        <f t="shared" si="2"/>
        <v>25303.519139789187</v>
      </c>
      <c r="D495" s="255">
        <f t="shared" si="3"/>
        <v>0</v>
      </c>
    </row>
    <row r="496" spans="1:4" ht="14.25" customHeight="1" x14ac:dyDescent="0.25">
      <c r="A496" s="28">
        <v>11074.661985792744</v>
      </c>
      <c r="B496" s="28">
        <v>-3.4603082763824844E-2</v>
      </c>
      <c r="C496" s="254">
        <f t="shared" si="2"/>
        <v>-3460.3082763824846</v>
      </c>
      <c r="D496" s="255">
        <f t="shared" si="3"/>
        <v>1</v>
      </c>
    </row>
    <row r="497" spans="1:4" ht="14.25" customHeight="1" x14ac:dyDescent="0.25">
      <c r="A497" s="28">
        <v>10282.256715683936</v>
      </c>
      <c r="B497" s="28">
        <v>6.9968862700791057E-3</v>
      </c>
      <c r="C497" s="254">
        <f t="shared" si="2"/>
        <v>699.68862700791055</v>
      </c>
      <c r="D497" s="255">
        <f t="shared" si="3"/>
        <v>1</v>
      </c>
    </row>
    <row r="498" spans="1:4" ht="14.25" customHeight="1" x14ac:dyDescent="0.25">
      <c r="A498" s="28">
        <v>3173.2153199744498</v>
      </c>
      <c r="B498" s="28">
        <v>0.21894926236151915</v>
      </c>
      <c r="C498" s="254">
        <f t="shared" si="2"/>
        <v>21894.926236151914</v>
      </c>
      <c r="D498" s="255">
        <f t="shared" si="3"/>
        <v>0</v>
      </c>
    </row>
    <row r="499" spans="1:4" ht="14.25" customHeight="1" x14ac:dyDescent="0.25">
      <c r="A499" s="28">
        <v>626.87285924356547</v>
      </c>
      <c r="B499" s="28">
        <v>0.34768392484879229</v>
      </c>
      <c r="C499" s="254">
        <f t="shared" si="2"/>
        <v>34768.39248487923</v>
      </c>
      <c r="D499" s="255">
        <f t="shared" si="3"/>
        <v>0</v>
      </c>
    </row>
    <row r="500" spans="1:4" ht="14.25" customHeight="1" x14ac:dyDescent="0.25">
      <c r="A500" s="28">
        <v>2421.9405260708591</v>
      </c>
      <c r="B500" s="28">
        <v>0.16197887694395119</v>
      </c>
      <c r="C500" s="254">
        <f t="shared" si="2"/>
        <v>16197.887694395118</v>
      </c>
      <c r="D500" s="255">
        <f t="shared" si="3"/>
        <v>0</v>
      </c>
    </row>
    <row r="501" spans="1:4" ht="14.25" customHeight="1" x14ac:dyDescent="0.25">
      <c r="A501" s="28">
        <v>9287.7749597029033</v>
      </c>
      <c r="B501" s="28">
        <v>4.1938749088669347E-2</v>
      </c>
      <c r="C501" s="254">
        <f t="shared" si="2"/>
        <v>4193.8749088669347</v>
      </c>
      <c r="D501" s="255">
        <f t="shared" si="3"/>
        <v>1</v>
      </c>
    </row>
    <row r="502" spans="1:4" ht="14.25" customHeight="1" x14ac:dyDescent="0.25">
      <c r="A502" s="28">
        <v>4214.2573604271529</v>
      </c>
      <c r="B502" s="28">
        <v>-7.267826081791906E-2</v>
      </c>
      <c r="C502" s="254">
        <f t="shared" si="2"/>
        <v>-7267.8260817919063</v>
      </c>
      <c r="D502" s="255">
        <f t="shared" si="3"/>
        <v>1</v>
      </c>
    </row>
    <row r="503" spans="1:4" ht="14.25" customHeight="1" x14ac:dyDescent="0.25">
      <c r="A503" s="28">
        <v>4419.5717351218773</v>
      </c>
      <c r="B503" s="28">
        <v>-0.1179658100397587</v>
      </c>
      <c r="C503" s="254">
        <f t="shared" si="2"/>
        <v>-11796.581003975871</v>
      </c>
      <c r="D503" s="255">
        <f t="shared" si="3"/>
        <v>1</v>
      </c>
    </row>
    <row r="504" spans="1:4" ht="14.25" customHeight="1" x14ac:dyDescent="0.25">
      <c r="A504" s="28">
        <v>3033.2345299266744</v>
      </c>
      <c r="B504" s="28">
        <v>-0.14481601691235735</v>
      </c>
      <c r="C504" s="254">
        <f t="shared" si="2"/>
        <v>-14481.601691235735</v>
      </c>
      <c r="D504" s="255">
        <f t="shared" si="3"/>
        <v>1</v>
      </c>
    </row>
    <row r="505" spans="1:4" ht="14.25" customHeight="1" x14ac:dyDescent="0.25">
      <c r="A505" s="28">
        <v>2588.7139881012845</v>
      </c>
      <c r="B505" s="28">
        <v>0.37592224138428321</v>
      </c>
      <c r="C505" s="254">
        <f t="shared" si="2"/>
        <v>37592.224138428319</v>
      </c>
      <c r="D505" s="255">
        <f t="shared" si="3"/>
        <v>0</v>
      </c>
    </row>
    <row r="506" spans="1:4" ht="14.25" customHeight="1" x14ac:dyDescent="0.25">
      <c r="A506" s="28">
        <v>15302.638241008834</v>
      </c>
      <c r="B506" s="28">
        <v>-0.24749558319954668</v>
      </c>
      <c r="C506" s="254">
        <f t="shared" si="2"/>
        <v>-24749.558319954667</v>
      </c>
      <c r="D506" s="255">
        <f t="shared" si="3"/>
        <v>1</v>
      </c>
    </row>
    <row r="507" spans="1:4" ht="14.25" customHeight="1" x14ac:dyDescent="0.25">
      <c r="A507" s="28">
        <v>2062.9190672103432</v>
      </c>
      <c r="B507" s="28">
        <v>-6.1751438218871968E-2</v>
      </c>
      <c r="C507" s="254">
        <f t="shared" si="2"/>
        <v>-6175.1438218871972</v>
      </c>
      <c r="D507" s="255">
        <f t="shared" si="3"/>
        <v>1</v>
      </c>
    </row>
    <row r="508" spans="1:4" ht="14.25" customHeight="1" x14ac:dyDescent="0.25">
      <c r="A508" s="28">
        <v>3368.0176584731307</v>
      </c>
      <c r="B508" s="28">
        <v>-0.27119310493722049</v>
      </c>
      <c r="C508" s="254">
        <f t="shared" si="2"/>
        <v>-27119.310493722049</v>
      </c>
      <c r="D508" s="255">
        <f t="shared" si="3"/>
        <v>1</v>
      </c>
    </row>
    <row r="509" spans="1:4" ht="14.25" customHeight="1" x14ac:dyDescent="0.25">
      <c r="A509" s="28">
        <v>12480.78780077961</v>
      </c>
      <c r="B509" s="28">
        <v>-0.1172147473670877</v>
      </c>
      <c r="C509" s="254">
        <f t="shared" si="2"/>
        <v>-11721.474736708769</v>
      </c>
      <c r="D509" s="255">
        <f t="shared" si="3"/>
        <v>1</v>
      </c>
    </row>
    <row r="510" spans="1:4" ht="14.25" customHeight="1" x14ac:dyDescent="0.25">
      <c r="A510" s="28">
        <v>10194.039318186158</v>
      </c>
      <c r="B510" s="28">
        <v>-3.725716106771082E-3</v>
      </c>
      <c r="C510" s="254">
        <f t="shared" si="2"/>
        <v>-372.5716106771082</v>
      </c>
      <c r="D510" s="255">
        <f t="shared" si="3"/>
        <v>1</v>
      </c>
    </row>
    <row r="511" spans="1:4" ht="14.25" customHeight="1" x14ac:dyDescent="0.25">
      <c r="A511" s="28">
        <v>-343.34307834009815</v>
      </c>
      <c r="B511" s="28">
        <v>0.13820475459784176</v>
      </c>
      <c r="C511" s="254">
        <f t="shared" si="2"/>
        <v>13820.475459784177</v>
      </c>
      <c r="D511" s="255">
        <f t="shared" si="3"/>
        <v>0</v>
      </c>
    </row>
    <row r="512" spans="1:4" ht="14.25" customHeight="1" x14ac:dyDescent="0.25">
      <c r="A512" s="28">
        <v>1483.1609449781099</v>
      </c>
      <c r="B512" s="28">
        <v>-8.1283547180488469E-4</v>
      </c>
      <c r="C512" s="254">
        <f t="shared" ref="C512:C766" si="4">B512*$G$2</f>
        <v>-81.283547180488469</v>
      </c>
      <c r="D512" s="255">
        <f t="shared" ref="D512:D766" si="5">IF(A512&gt;C512,1,0)</f>
        <v>1</v>
      </c>
    </row>
    <row r="513" spans="1:4" ht="14.25" customHeight="1" x14ac:dyDescent="0.25">
      <c r="A513" s="28">
        <v>7054.9425088720454</v>
      </c>
      <c r="B513" s="28">
        <v>-1.0974520321523684E-2</v>
      </c>
      <c r="C513" s="254">
        <f t="shared" si="4"/>
        <v>-1097.4520321523685</v>
      </c>
      <c r="D513" s="255">
        <f t="shared" si="5"/>
        <v>1</v>
      </c>
    </row>
    <row r="514" spans="1:4" ht="14.25" customHeight="1" x14ac:dyDescent="0.25">
      <c r="A514" s="28">
        <v>6439.2763982807228</v>
      </c>
      <c r="B514" s="28">
        <v>5.081933145673645E-2</v>
      </c>
      <c r="C514" s="254">
        <f t="shared" si="4"/>
        <v>5081.9331456736454</v>
      </c>
      <c r="D514" s="255">
        <f t="shared" si="5"/>
        <v>1</v>
      </c>
    </row>
    <row r="515" spans="1:4" ht="14.25" customHeight="1" x14ac:dyDescent="0.25">
      <c r="A515" s="28">
        <v>6859.43362810486</v>
      </c>
      <c r="B515" s="28">
        <v>-0.29096778463267803</v>
      </c>
      <c r="C515" s="254">
        <f t="shared" si="4"/>
        <v>-29096.778463267801</v>
      </c>
      <c r="D515" s="255">
        <f t="shared" si="5"/>
        <v>1</v>
      </c>
    </row>
    <row r="516" spans="1:4" ht="14.25" customHeight="1" x14ac:dyDescent="0.25">
      <c r="A516" s="28">
        <v>9420.3747221079684</v>
      </c>
      <c r="B516" s="28">
        <v>-0.18399573125958357</v>
      </c>
      <c r="C516" s="254">
        <f t="shared" si="4"/>
        <v>-18399.573125958359</v>
      </c>
      <c r="D516" s="255">
        <f t="shared" si="5"/>
        <v>1</v>
      </c>
    </row>
    <row r="517" spans="1:4" ht="14.25" customHeight="1" x14ac:dyDescent="0.25">
      <c r="A517" s="28">
        <v>10279.264479230871</v>
      </c>
      <c r="B517" s="28">
        <v>-0.15670652075018898</v>
      </c>
      <c r="C517" s="254">
        <f t="shared" si="4"/>
        <v>-15670.652075018897</v>
      </c>
      <c r="D517" s="255">
        <f t="shared" si="5"/>
        <v>1</v>
      </c>
    </row>
    <row r="518" spans="1:4" ht="14.25" customHeight="1" x14ac:dyDescent="0.25">
      <c r="A518" s="28">
        <v>9.7586563703807769</v>
      </c>
      <c r="B518" s="28">
        <v>0.16122358960744476</v>
      </c>
      <c r="C518" s="254">
        <f t="shared" si="4"/>
        <v>16122.358960744476</v>
      </c>
      <c r="D518" s="255">
        <f t="shared" si="5"/>
        <v>0</v>
      </c>
    </row>
    <row r="519" spans="1:4" ht="14.25" customHeight="1" x14ac:dyDescent="0.25">
      <c r="A519" s="28">
        <v>9735.7216096977281</v>
      </c>
      <c r="B519" s="28">
        <v>0.13540605020541063</v>
      </c>
      <c r="C519" s="254">
        <f t="shared" si="4"/>
        <v>13540.605020541063</v>
      </c>
      <c r="D519" s="255">
        <f t="shared" si="5"/>
        <v>0</v>
      </c>
    </row>
    <row r="520" spans="1:4" ht="14.25" customHeight="1" x14ac:dyDescent="0.25">
      <c r="A520" s="28">
        <v>9352.2823478971841</v>
      </c>
      <c r="B520" s="28">
        <v>-0.10442155305262313</v>
      </c>
      <c r="C520" s="254">
        <f t="shared" si="4"/>
        <v>-10442.155305262313</v>
      </c>
      <c r="D520" s="255">
        <f t="shared" si="5"/>
        <v>1</v>
      </c>
    </row>
    <row r="521" spans="1:4" ht="14.25" customHeight="1" x14ac:dyDescent="0.25">
      <c r="A521" s="28">
        <v>2924.3452407201839</v>
      </c>
      <c r="B521" s="28">
        <v>6.4407777933013027E-2</v>
      </c>
      <c r="C521" s="254">
        <f t="shared" si="4"/>
        <v>6440.7777933013031</v>
      </c>
      <c r="D521" s="255">
        <f t="shared" si="5"/>
        <v>0</v>
      </c>
    </row>
    <row r="522" spans="1:4" ht="14.25" customHeight="1" x14ac:dyDescent="0.25">
      <c r="A522" s="28">
        <v>3914.0241194980626</v>
      </c>
      <c r="B522" s="28">
        <v>0.21833041026921851</v>
      </c>
      <c r="C522" s="254">
        <f t="shared" si="4"/>
        <v>21833.041026921852</v>
      </c>
      <c r="D522" s="255">
        <f t="shared" si="5"/>
        <v>0</v>
      </c>
    </row>
    <row r="523" spans="1:4" ht="14.25" customHeight="1" x14ac:dyDescent="0.25">
      <c r="A523" s="28">
        <v>4675.7577731683195</v>
      </c>
      <c r="B523" s="28">
        <v>-9.3060683780690656E-2</v>
      </c>
      <c r="C523" s="254">
        <f t="shared" si="4"/>
        <v>-9306.0683780690651</v>
      </c>
      <c r="D523" s="255">
        <f t="shared" si="5"/>
        <v>1</v>
      </c>
    </row>
    <row r="524" spans="1:4" ht="14.25" customHeight="1" x14ac:dyDescent="0.25">
      <c r="A524" s="28">
        <v>13997.435969073224</v>
      </c>
      <c r="B524" s="28">
        <v>0.17408189484266612</v>
      </c>
      <c r="C524" s="254">
        <f t="shared" si="4"/>
        <v>17408.189484266612</v>
      </c>
      <c r="D524" s="255">
        <f t="shared" si="5"/>
        <v>0</v>
      </c>
    </row>
    <row r="525" spans="1:4" ht="14.25" customHeight="1" x14ac:dyDescent="0.25">
      <c r="A525" s="28">
        <v>-286.06239001749054</v>
      </c>
      <c r="B525" s="28">
        <v>0.63690012763431847</v>
      </c>
      <c r="C525" s="254">
        <f t="shared" si="4"/>
        <v>63690.012763431849</v>
      </c>
      <c r="D525" s="255">
        <f t="shared" si="5"/>
        <v>0</v>
      </c>
    </row>
    <row r="526" spans="1:4" ht="14.25" customHeight="1" x14ac:dyDescent="0.25">
      <c r="A526" s="28">
        <v>473.16125222205301</v>
      </c>
      <c r="B526" s="28">
        <v>0.13596049070083005</v>
      </c>
      <c r="C526" s="254">
        <f t="shared" si="4"/>
        <v>13596.049070083005</v>
      </c>
      <c r="D526" s="255">
        <f t="shared" si="5"/>
        <v>0</v>
      </c>
    </row>
    <row r="527" spans="1:4" ht="14.25" customHeight="1" x14ac:dyDescent="0.25">
      <c r="A527" s="28">
        <v>4424.6192370741846</v>
      </c>
      <c r="B527" s="28">
        <v>0.25707261916843116</v>
      </c>
      <c r="C527" s="254">
        <f t="shared" si="4"/>
        <v>25707.261916843116</v>
      </c>
      <c r="D527" s="255">
        <f t="shared" si="5"/>
        <v>0</v>
      </c>
    </row>
    <row r="528" spans="1:4" ht="14.25" customHeight="1" x14ac:dyDescent="0.25">
      <c r="A528" s="28">
        <v>6050.7914213037875</v>
      </c>
      <c r="B528" s="28">
        <v>4.2622365785633498E-2</v>
      </c>
      <c r="C528" s="254">
        <f t="shared" si="4"/>
        <v>4262.2365785633501</v>
      </c>
      <c r="D528" s="255">
        <f t="shared" si="5"/>
        <v>1</v>
      </c>
    </row>
    <row r="529" spans="1:4" ht="14.25" customHeight="1" x14ac:dyDescent="0.25">
      <c r="A529" s="28">
        <v>7443.2854328466346</v>
      </c>
      <c r="B529" s="28">
        <v>0.29179775081129744</v>
      </c>
      <c r="C529" s="254">
        <f t="shared" si="4"/>
        <v>29179.775081129745</v>
      </c>
      <c r="D529" s="255">
        <f t="shared" si="5"/>
        <v>0</v>
      </c>
    </row>
    <row r="530" spans="1:4" ht="14.25" customHeight="1" x14ac:dyDescent="0.25">
      <c r="A530" s="28">
        <v>7837.395813600524</v>
      </c>
      <c r="B530" s="28">
        <v>0.23844162782506517</v>
      </c>
      <c r="C530" s="254">
        <f t="shared" si="4"/>
        <v>23844.162782506519</v>
      </c>
      <c r="D530" s="255">
        <f t="shared" si="5"/>
        <v>0</v>
      </c>
    </row>
    <row r="531" spans="1:4" ht="14.25" customHeight="1" x14ac:dyDescent="0.25">
      <c r="A531" s="28">
        <v>3510.2595023383183</v>
      </c>
      <c r="B531" s="28">
        <v>0.39672614148202712</v>
      </c>
      <c r="C531" s="254">
        <f t="shared" si="4"/>
        <v>39672.614148202709</v>
      </c>
      <c r="D531" s="255">
        <f t="shared" si="5"/>
        <v>0</v>
      </c>
    </row>
    <row r="532" spans="1:4" ht="14.25" customHeight="1" x14ac:dyDescent="0.25">
      <c r="A532" s="28">
        <v>-3073.8578608114622</v>
      </c>
      <c r="B532" s="28">
        <v>8.735104657173709E-2</v>
      </c>
      <c r="C532" s="254">
        <f t="shared" si="4"/>
        <v>8735.1046571737097</v>
      </c>
      <c r="D532" s="255">
        <f t="shared" si="5"/>
        <v>0</v>
      </c>
    </row>
    <row r="533" spans="1:4" ht="14.25" customHeight="1" x14ac:dyDescent="0.25">
      <c r="A533" s="28">
        <v>4787.3971381073134</v>
      </c>
      <c r="B533" s="28">
        <v>0.10952384747154431</v>
      </c>
      <c r="C533" s="254">
        <f t="shared" si="4"/>
        <v>10952.38474715443</v>
      </c>
      <c r="D533" s="255">
        <f t="shared" si="5"/>
        <v>0</v>
      </c>
    </row>
    <row r="534" spans="1:4" ht="14.25" customHeight="1" x14ac:dyDescent="0.25">
      <c r="A534" s="28">
        <v>8753.1923613001418</v>
      </c>
      <c r="B534" s="28">
        <v>0.11345855591020548</v>
      </c>
      <c r="C534" s="254">
        <f t="shared" si="4"/>
        <v>11345.855591020549</v>
      </c>
      <c r="D534" s="255">
        <f t="shared" si="5"/>
        <v>0</v>
      </c>
    </row>
    <row r="535" spans="1:4" ht="14.25" customHeight="1" x14ac:dyDescent="0.25">
      <c r="A535" s="28">
        <v>9147.0702757007966</v>
      </c>
      <c r="B535" s="28">
        <v>-2.3565490719215487E-2</v>
      </c>
      <c r="C535" s="254">
        <f t="shared" si="4"/>
        <v>-2356.5490719215486</v>
      </c>
      <c r="D535" s="255">
        <f t="shared" si="5"/>
        <v>1</v>
      </c>
    </row>
    <row r="536" spans="1:4" ht="14.25" customHeight="1" x14ac:dyDescent="0.25">
      <c r="A536" s="28">
        <v>5651.2984559699835</v>
      </c>
      <c r="B536" s="28">
        <v>-5.5423517735643468E-2</v>
      </c>
      <c r="C536" s="254">
        <f t="shared" si="4"/>
        <v>-5542.3517735643472</v>
      </c>
      <c r="D536" s="255">
        <f t="shared" si="5"/>
        <v>1</v>
      </c>
    </row>
    <row r="537" spans="1:4" ht="14.25" customHeight="1" x14ac:dyDescent="0.25">
      <c r="A537" s="28">
        <v>4928.996061420672</v>
      </c>
      <c r="B537" s="28">
        <v>0.12119564362363699</v>
      </c>
      <c r="C537" s="254">
        <f t="shared" si="4"/>
        <v>12119.564362363699</v>
      </c>
      <c r="D537" s="255">
        <f t="shared" si="5"/>
        <v>0</v>
      </c>
    </row>
    <row r="538" spans="1:4" ht="14.25" customHeight="1" x14ac:dyDescent="0.25">
      <c r="A538" s="28">
        <v>11288.942496358468</v>
      </c>
      <c r="B538" s="28">
        <v>-5.3931173234370799E-2</v>
      </c>
      <c r="C538" s="254">
        <f t="shared" si="4"/>
        <v>-5393.1173234370799</v>
      </c>
      <c r="D538" s="255">
        <f t="shared" si="5"/>
        <v>1</v>
      </c>
    </row>
    <row r="539" spans="1:4" ht="14.25" customHeight="1" x14ac:dyDescent="0.25">
      <c r="A539" s="28">
        <v>1604.763132256121</v>
      </c>
      <c r="B539" s="28">
        <v>0.14377478411799016</v>
      </c>
      <c r="C539" s="254">
        <f t="shared" si="4"/>
        <v>14377.478411799017</v>
      </c>
      <c r="D539" s="255">
        <f t="shared" si="5"/>
        <v>0</v>
      </c>
    </row>
    <row r="540" spans="1:4" ht="14.25" customHeight="1" x14ac:dyDescent="0.25">
      <c r="A540" s="28">
        <v>7554.9757960483548</v>
      </c>
      <c r="B540" s="28">
        <v>0.13828939353563419</v>
      </c>
      <c r="C540" s="254">
        <f t="shared" si="4"/>
        <v>13828.939353563419</v>
      </c>
      <c r="D540" s="255">
        <f t="shared" si="5"/>
        <v>0</v>
      </c>
    </row>
    <row r="541" spans="1:4" ht="14.25" customHeight="1" x14ac:dyDescent="0.25">
      <c r="A541" s="28">
        <v>6143.6248201357521</v>
      </c>
      <c r="B541" s="28">
        <v>0.48738168396890869</v>
      </c>
      <c r="C541" s="254">
        <f t="shared" si="4"/>
        <v>48738.168396890869</v>
      </c>
      <c r="D541" s="255">
        <f t="shared" si="5"/>
        <v>0</v>
      </c>
    </row>
    <row r="542" spans="1:4" ht="14.25" customHeight="1" x14ac:dyDescent="0.25">
      <c r="A542" s="28">
        <v>5925.3561687675028</v>
      </c>
      <c r="B542" s="28">
        <v>3.8322981615108276E-2</v>
      </c>
      <c r="C542" s="254">
        <f t="shared" si="4"/>
        <v>3832.2981615108274</v>
      </c>
      <c r="D542" s="255">
        <f t="shared" si="5"/>
        <v>1</v>
      </c>
    </row>
    <row r="543" spans="1:4" ht="14.25" customHeight="1" x14ac:dyDescent="0.25">
      <c r="A543" s="28">
        <v>10664.166395738372</v>
      </c>
      <c r="B543" s="28">
        <v>9.1944286132549902E-2</v>
      </c>
      <c r="C543" s="254">
        <f t="shared" si="4"/>
        <v>9194.4286132549896</v>
      </c>
      <c r="D543" s="255">
        <f t="shared" si="5"/>
        <v>1</v>
      </c>
    </row>
    <row r="544" spans="1:4" ht="14.25" customHeight="1" x14ac:dyDescent="0.25">
      <c r="A544" s="28">
        <v>11769.672054026138</v>
      </c>
      <c r="B544" s="28">
        <v>7.6010313868278612E-2</v>
      </c>
      <c r="C544" s="254">
        <f t="shared" si="4"/>
        <v>7601.0313868278608</v>
      </c>
      <c r="D544" s="255">
        <f t="shared" si="5"/>
        <v>1</v>
      </c>
    </row>
    <row r="545" spans="1:4" ht="14.25" customHeight="1" x14ac:dyDescent="0.25">
      <c r="A545" s="28">
        <v>2981.2052266354294</v>
      </c>
      <c r="B545" s="28">
        <v>0.63018505141511572</v>
      </c>
      <c r="C545" s="254">
        <f t="shared" si="4"/>
        <v>63018.505141511574</v>
      </c>
      <c r="D545" s="255">
        <f t="shared" si="5"/>
        <v>0</v>
      </c>
    </row>
    <row r="546" spans="1:4" ht="14.25" customHeight="1" x14ac:dyDescent="0.25">
      <c r="A546" s="28">
        <v>11771.378134820647</v>
      </c>
      <c r="B546" s="28">
        <v>0.11909974010564015</v>
      </c>
      <c r="C546" s="254">
        <f t="shared" si="4"/>
        <v>11909.974010564014</v>
      </c>
      <c r="D546" s="255">
        <f t="shared" si="5"/>
        <v>0</v>
      </c>
    </row>
    <row r="547" spans="1:4" ht="14.25" customHeight="1" x14ac:dyDescent="0.25">
      <c r="A547" s="28">
        <v>13263.966391244991</v>
      </c>
      <c r="B547" s="28">
        <v>0.1204401237287307</v>
      </c>
      <c r="C547" s="254">
        <f t="shared" si="4"/>
        <v>12044.01237287307</v>
      </c>
      <c r="D547" s="255">
        <f t="shared" si="5"/>
        <v>1</v>
      </c>
    </row>
    <row r="548" spans="1:4" ht="14.25" customHeight="1" x14ac:dyDescent="0.25">
      <c r="A548" s="28">
        <v>4645.0779673815123</v>
      </c>
      <c r="B548" s="28">
        <v>0.13812807063834587</v>
      </c>
      <c r="C548" s="254">
        <f t="shared" si="4"/>
        <v>13812.807063834587</v>
      </c>
      <c r="D548" s="255">
        <f t="shared" si="5"/>
        <v>0</v>
      </c>
    </row>
    <row r="549" spans="1:4" ht="14.25" customHeight="1" x14ac:dyDescent="0.25">
      <c r="A549" s="28">
        <v>5566.4594113406056</v>
      </c>
      <c r="B549" s="28">
        <v>-0.211114506471477</v>
      </c>
      <c r="C549" s="254">
        <f t="shared" si="4"/>
        <v>-21111.4506471477</v>
      </c>
      <c r="D549" s="255">
        <f t="shared" si="5"/>
        <v>1</v>
      </c>
    </row>
    <row r="550" spans="1:4" ht="14.25" customHeight="1" x14ac:dyDescent="0.25">
      <c r="A550" s="28">
        <v>16527.380264067338</v>
      </c>
      <c r="B550" s="28">
        <v>-0.27700224079429203</v>
      </c>
      <c r="C550" s="254">
        <f t="shared" si="4"/>
        <v>-27700.224079429205</v>
      </c>
      <c r="D550" s="255">
        <f t="shared" si="5"/>
        <v>1</v>
      </c>
    </row>
    <row r="551" spans="1:4" ht="14.25" customHeight="1" x14ac:dyDescent="0.25">
      <c r="A551" s="28">
        <v>8906.4508245469187</v>
      </c>
      <c r="B551" s="28">
        <v>-0.17338610527089293</v>
      </c>
      <c r="C551" s="254">
        <f t="shared" si="4"/>
        <v>-17338.610527089295</v>
      </c>
      <c r="D551" s="255">
        <f t="shared" si="5"/>
        <v>1</v>
      </c>
    </row>
    <row r="552" spans="1:4" ht="14.25" customHeight="1" x14ac:dyDescent="0.25">
      <c r="A552" s="28">
        <v>5381.3594020508899</v>
      </c>
      <c r="B552" s="28">
        <v>4.466001164850919E-2</v>
      </c>
      <c r="C552" s="254">
        <f t="shared" si="4"/>
        <v>4466.0011648509189</v>
      </c>
      <c r="D552" s="255">
        <f t="shared" si="5"/>
        <v>1</v>
      </c>
    </row>
    <row r="553" spans="1:4" ht="14.25" customHeight="1" x14ac:dyDescent="0.25">
      <c r="A553" s="28">
        <v>6350.1310055478243</v>
      </c>
      <c r="B553" s="28">
        <v>-0.32851162313859061</v>
      </c>
      <c r="C553" s="254">
        <f t="shared" si="4"/>
        <v>-32851.162313859058</v>
      </c>
      <c r="D553" s="255">
        <f t="shared" si="5"/>
        <v>1</v>
      </c>
    </row>
    <row r="554" spans="1:4" ht="14.25" customHeight="1" x14ac:dyDescent="0.25">
      <c r="A554" s="28">
        <v>4027.1196474914541</v>
      </c>
      <c r="B554" s="28">
        <v>0.46226044938191191</v>
      </c>
      <c r="C554" s="254">
        <f t="shared" si="4"/>
        <v>46226.044938191189</v>
      </c>
      <c r="D554" s="255">
        <f t="shared" si="5"/>
        <v>0</v>
      </c>
    </row>
    <row r="555" spans="1:4" ht="14.25" customHeight="1" x14ac:dyDescent="0.25">
      <c r="A555" s="28">
        <v>12009.579448145611</v>
      </c>
      <c r="B555" s="28">
        <v>-0.10721434313939371</v>
      </c>
      <c r="C555" s="254">
        <f t="shared" si="4"/>
        <v>-10721.434313939371</v>
      </c>
      <c r="D555" s="255">
        <f t="shared" si="5"/>
        <v>1</v>
      </c>
    </row>
    <row r="556" spans="1:4" ht="14.25" customHeight="1" x14ac:dyDescent="0.25">
      <c r="A556" s="28">
        <v>6049.0050888520709</v>
      </c>
      <c r="B556" s="28">
        <v>-0.1326380168384218</v>
      </c>
      <c r="C556" s="254">
        <f t="shared" si="4"/>
        <v>-13263.801683842181</v>
      </c>
      <c r="D556" s="255">
        <f t="shared" si="5"/>
        <v>1</v>
      </c>
    </row>
    <row r="557" spans="1:4" ht="14.25" customHeight="1" x14ac:dyDescent="0.25">
      <c r="A557" s="28">
        <v>5155.4229742410316</v>
      </c>
      <c r="B557" s="28">
        <v>0.13130403486770659</v>
      </c>
      <c r="C557" s="254">
        <f t="shared" si="4"/>
        <v>13130.40348677066</v>
      </c>
      <c r="D557" s="255">
        <f t="shared" si="5"/>
        <v>0</v>
      </c>
    </row>
    <row r="558" spans="1:4" ht="14.25" customHeight="1" x14ac:dyDescent="0.25">
      <c r="A558" s="28">
        <v>-2897.203607086296</v>
      </c>
      <c r="B558" s="28">
        <v>0.29211200384475111</v>
      </c>
      <c r="C558" s="254">
        <f t="shared" si="4"/>
        <v>29211.200384475113</v>
      </c>
      <c r="D558" s="255">
        <f t="shared" si="5"/>
        <v>0</v>
      </c>
    </row>
    <row r="559" spans="1:4" ht="14.25" customHeight="1" x14ac:dyDescent="0.25">
      <c r="A559" s="28">
        <v>14143.68065916554</v>
      </c>
      <c r="B559" s="28">
        <v>-0.2436266056266061</v>
      </c>
      <c r="C559" s="254">
        <f t="shared" si="4"/>
        <v>-24362.660562660611</v>
      </c>
      <c r="D559" s="255">
        <f t="shared" si="5"/>
        <v>1</v>
      </c>
    </row>
    <row r="560" spans="1:4" ht="14.25" customHeight="1" x14ac:dyDescent="0.25">
      <c r="A560" s="28">
        <v>9307.6161284797854</v>
      </c>
      <c r="B560" s="28">
        <v>0.3093236113631801</v>
      </c>
      <c r="C560" s="254">
        <f t="shared" si="4"/>
        <v>30932.36113631801</v>
      </c>
      <c r="D560" s="255">
        <f t="shared" si="5"/>
        <v>0</v>
      </c>
    </row>
    <row r="561" spans="1:4" ht="14.25" customHeight="1" x14ac:dyDescent="0.25">
      <c r="A561" s="28">
        <v>12816.179510390837</v>
      </c>
      <c r="B561" s="28">
        <v>0.353911301399086</v>
      </c>
      <c r="C561" s="254">
        <f t="shared" si="4"/>
        <v>35391.130139908601</v>
      </c>
      <c r="D561" s="255">
        <f t="shared" si="5"/>
        <v>0</v>
      </c>
    </row>
    <row r="562" spans="1:4" ht="14.25" customHeight="1" x14ac:dyDescent="0.25">
      <c r="A562" s="28">
        <v>6940.365918911164</v>
      </c>
      <c r="B562" s="28">
        <v>0.51785081291762314</v>
      </c>
      <c r="C562" s="254">
        <f t="shared" si="4"/>
        <v>51785.081291762312</v>
      </c>
      <c r="D562" s="255">
        <f t="shared" si="5"/>
        <v>0</v>
      </c>
    </row>
    <row r="563" spans="1:4" ht="14.25" customHeight="1" x14ac:dyDescent="0.25">
      <c r="A563" s="28">
        <v>2134.0259199694628</v>
      </c>
      <c r="B563" s="28">
        <v>0.18211028482824565</v>
      </c>
      <c r="C563" s="254">
        <f t="shared" si="4"/>
        <v>18211.028482824564</v>
      </c>
      <c r="D563" s="255">
        <f t="shared" si="5"/>
        <v>0</v>
      </c>
    </row>
    <row r="564" spans="1:4" ht="14.25" customHeight="1" x14ac:dyDescent="0.25">
      <c r="A564" s="28">
        <v>16725.88609229718</v>
      </c>
      <c r="B564" s="28">
        <v>4.66785207048801E-2</v>
      </c>
      <c r="C564" s="254">
        <f t="shared" si="4"/>
        <v>4667.8520704880102</v>
      </c>
      <c r="D564" s="255">
        <f t="shared" si="5"/>
        <v>1</v>
      </c>
    </row>
    <row r="565" spans="1:4" ht="14.25" customHeight="1" x14ac:dyDescent="0.25">
      <c r="A565" s="28">
        <v>7845.3445656739495</v>
      </c>
      <c r="B565" s="28">
        <v>0.15756016349006197</v>
      </c>
      <c r="C565" s="254">
        <f t="shared" si="4"/>
        <v>15756.016349006197</v>
      </c>
      <c r="D565" s="255">
        <f t="shared" si="5"/>
        <v>0</v>
      </c>
    </row>
    <row r="566" spans="1:4" ht="14.25" customHeight="1" x14ac:dyDescent="0.25">
      <c r="A566" s="28">
        <v>7894.8112914655721</v>
      </c>
      <c r="B566" s="28">
        <v>7.1839023203593921E-2</v>
      </c>
      <c r="C566" s="254">
        <f t="shared" si="4"/>
        <v>7183.9023203593924</v>
      </c>
      <c r="D566" s="255">
        <f t="shared" si="5"/>
        <v>1</v>
      </c>
    </row>
    <row r="567" spans="1:4" ht="14.25" customHeight="1" x14ac:dyDescent="0.25">
      <c r="A567" s="28">
        <v>12632.773625135582</v>
      </c>
      <c r="B567" s="28">
        <v>-0.13086993520510903</v>
      </c>
      <c r="C567" s="254">
        <f t="shared" si="4"/>
        <v>-13086.993520510903</v>
      </c>
      <c r="D567" s="255">
        <f t="shared" si="5"/>
        <v>1</v>
      </c>
    </row>
    <row r="568" spans="1:4" ht="14.25" customHeight="1" x14ac:dyDescent="0.25">
      <c r="A568" s="28">
        <v>4694.1496491589423</v>
      </c>
      <c r="B568" s="28">
        <v>0.54779268846626916</v>
      </c>
      <c r="C568" s="254">
        <f t="shared" si="4"/>
        <v>54779.268846626917</v>
      </c>
      <c r="D568" s="255">
        <f t="shared" si="5"/>
        <v>0</v>
      </c>
    </row>
    <row r="569" spans="1:4" ht="14.25" customHeight="1" x14ac:dyDescent="0.25">
      <c r="A569" s="28">
        <v>8931.6554122117232</v>
      </c>
      <c r="B569" s="28">
        <v>0.22026170816799784</v>
      </c>
      <c r="C569" s="254">
        <f t="shared" si="4"/>
        <v>22026.170816799782</v>
      </c>
      <c r="D569" s="255">
        <f t="shared" si="5"/>
        <v>0</v>
      </c>
    </row>
    <row r="570" spans="1:4" ht="14.25" customHeight="1" x14ac:dyDescent="0.25">
      <c r="A570" s="28">
        <v>10597.380735103339</v>
      </c>
      <c r="B570" s="28">
        <v>0.42261227798449985</v>
      </c>
      <c r="C570" s="254">
        <f t="shared" si="4"/>
        <v>42261.227798449981</v>
      </c>
      <c r="D570" s="255">
        <f t="shared" si="5"/>
        <v>0</v>
      </c>
    </row>
    <row r="571" spans="1:4" ht="14.25" customHeight="1" x14ac:dyDescent="0.25">
      <c r="A571" s="28">
        <v>8506.0722232987318</v>
      </c>
      <c r="B571" s="28">
        <v>0.49321677965160426</v>
      </c>
      <c r="C571" s="254">
        <f t="shared" si="4"/>
        <v>49321.677965160423</v>
      </c>
      <c r="D571" s="255">
        <f t="shared" si="5"/>
        <v>0</v>
      </c>
    </row>
    <row r="572" spans="1:4" ht="14.25" customHeight="1" x14ac:dyDescent="0.25">
      <c r="A572" s="28">
        <v>10971.869984737932</v>
      </c>
      <c r="B572" s="28">
        <v>0.23662527968718283</v>
      </c>
      <c r="C572" s="254">
        <f t="shared" si="4"/>
        <v>23662.527968718285</v>
      </c>
      <c r="D572" s="255">
        <f t="shared" si="5"/>
        <v>0</v>
      </c>
    </row>
    <row r="573" spans="1:4" ht="14.25" customHeight="1" x14ac:dyDescent="0.25">
      <c r="A573" s="28">
        <v>13137.244041129183</v>
      </c>
      <c r="B573" s="28">
        <v>-1.0899100533420913E-2</v>
      </c>
      <c r="C573" s="254">
        <f t="shared" si="4"/>
        <v>-1089.9100533420913</v>
      </c>
      <c r="D573" s="255">
        <f t="shared" si="5"/>
        <v>1</v>
      </c>
    </row>
    <row r="574" spans="1:4" ht="14.25" customHeight="1" x14ac:dyDescent="0.25">
      <c r="A574" s="28">
        <v>9194.402658459956</v>
      </c>
      <c r="B574" s="28">
        <v>0.52194080459108383</v>
      </c>
      <c r="C574" s="254">
        <f t="shared" si="4"/>
        <v>52194.08045910838</v>
      </c>
      <c r="D574" s="255">
        <f t="shared" si="5"/>
        <v>0</v>
      </c>
    </row>
    <row r="575" spans="1:4" ht="14.25" customHeight="1" x14ac:dyDescent="0.25">
      <c r="A575" s="28">
        <v>-230.56673677595245</v>
      </c>
      <c r="B575" s="28">
        <v>0.14371192813737643</v>
      </c>
      <c r="C575" s="254">
        <f t="shared" si="4"/>
        <v>14371.192813737644</v>
      </c>
      <c r="D575" s="255">
        <f t="shared" si="5"/>
        <v>0</v>
      </c>
    </row>
    <row r="576" spans="1:4" ht="14.25" customHeight="1" x14ac:dyDescent="0.25">
      <c r="A576" s="28">
        <v>-417.45206895885349</v>
      </c>
      <c r="B576" s="28">
        <v>-7.4203843990096718E-2</v>
      </c>
      <c r="C576" s="254">
        <f t="shared" si="4"/>
        <v>-7420.3843990096721</v>
      </c>
      <c r="D576" s="255">
        <f t="shared" si="5"/>
        <v>1</v>
      </c>
    </row>
    <row r="577" spans="1:4" ht="14.25" customHeight="1" x14ac:dyDescent="0.25">
      <c r="A577" s="28">
        <v>8592.0562713031686</v>
      </c>
      <c r="B577" s="28">
        <v>-6.6073573156951504E-2</v>
      </c>
      <c r="C577" s="254">
        <f t="shared" si="4"/>
        <v>-6607.3573156951506</v>
      </c>
      <c r="D577" s="255">
        <f t="shared" si="5"/>
        <v>1</v>
      </c>
    </row>
    <row r="578" spans="1:4" ht="14.25" customHeight="1" x14ac:dyDescent="0.25">
      <c r="A578" s="28">
        <v>-465.87704789020063</v>
      </c>
      <c r="B578" s="28">
        <v>-0.1609689310674538</v>
      </c>
      <c r="C578" s="254">
        <f t="shared" si="4"/>
        <v>-16096.89310674538</v>
      </c>
      <c r="D578" s="255">
        <f t="shared" si="5"/>
        <v>1</v>
      </c>
    </row>
    <row r="579" spans="1:4" ht="14.25" customHeight="1" x14ac:dyDescent="0.25">
      <c r="A579" s="28">
        <v>10368.846789831106</v>
      </c>
      <c r="B579" s="28">
        <v>0.19556642522465228</v>
      </c>
      <c r="C579" s="254">
        <f t="shared" si="4"/>
        <v>19556.64252246523</v>
      </c>
      <c r="D579" s="255">
        <f t="shared" si="5"/>
        <v>0</v>
      </c>
    </row>
    <row r="580" spans="1:4" ht="14.25" customHeight="1" x14ac:dyDescent="0.25">
      <c r="A580" s="28">
        <v>8315.6034174150554</v>
      </c>
      <c r="B580" s="28">
        <v>0.63995089377221159</v>
      </c>
      <c r="C580" s="254">
        <f t="shared" si="4"/>
        <v>63995.089377221157</v>
      </c>
      <c r="D580" s="255">
        <f t="shared" si="5"/>
        <v>0</v>
      </c>
    </row>
    <row r="581" spans="1:4" ht="14.25" customHeight="1" x14ac:dyDescent="0.25">
      <c r="A581" s="28">
        <v>5351.3218261280999</v>
      </c>
      <c r="B581" s="28">
        <v>-0.10379231006756306</v>
      </c>
      <c r="C581" s="254">
        <f t="shared" si="4"/>
        <v>-10379.231006756307</v>
      </c>
      <c r="D581" s="255">
        <f t="shared" si="5"/>
        <v>1</v>
      </c>
    </row>
    <row r="582" spans="1:4" ht="14.25" customHeight="1" x14ac:dyDescent="0.25">
      <c r="A582" s="28">
        <v>8416.7353896209825</v>
      </c>
      <c r="B582" s="28">
        <v>0.24835964617781769</v>
      </c>
      <c r="C582" s="254">
        <f t="shared" si="4"/>
        <v>24835.96461778177</v>
      </c>
      <c r="D582" s="255">
        <f t="shared" si="5"/>
        <v>0</v>
      </c>
    </row>
    <row r="583" spans="1:4" ht="14.25" customHeight="1" x14ac:dyDescent="0.25">
      <c r="A583" s="28">
        <v>3492.7165054588986</v>
      </c>
      <c r="B583" s="28">
        <v>-0.14064657712059869</v>
      </c>
      <c r="C583" s="254">
        <f t="shared" si="4"/>
        <v>-14064.657712059869</v>
      </c>
      <c r="D583" s="255">
        <f t="shared" si="5"/>
        <v>1</v>
      </c>
    </row>
    <row r="584" spans="1:4" ht="14.25" customHeight="1" x14ac:dyDescent="0.25">
      <c r="A584" s="28">
        <v>11049.136757640052</v>
      </c>
      <c r="B584" s="28">
        <v>-0.14255413066582889</v>
      </c>
      <c r="C584" s="254">
        <f t="shared" si="4"/>
        <v>-14255.413066582889</v>
      </c>
      <c r="D584" s="255">
        <f t="shared" si="5"/>
        <v>1</v>
      </c>
    </row>
    <row r="585" spans="1:4" ht="14.25" customHeight="1" x14ac:dyDescent="0.25">
      <c r="A585" s="28">
        <v>4772.3811012236256</v>
      </c>
      <c r="B585" s="28">
        <v>-6.6112323991944777E-3</v>
      </c>
      <c r="C585" s="254">
        <f t="shared" si="4"/>
        <v>-661.12323991944777</v>
      </c>
      <c r="D585" s="255">
        <f t="shared" si="5"/>
        <v>1</v>
      </c>
    </row>
    <row r="586" spans="1:4" ht="14.25" customHeight="1" x14ac:dyDescent="0.25">
      <c r="A586" s="28">
        <v>-743.32568063390499</v>
      </c>
      <c r="B586" s="28">
        <v>-0.12308551731859074</v>
      </c>
      <c r="C586" s="254">
        <f t="shared" si="4"/>
        <v>-12308.551731859074</v>
      </c>
      <c r="D586" s="255">
        <f t="shared" si="5"/>
        <v>1</v>
      </c>
    </row>
    <row r="587" spans="1:4" ht="14.25" customHeight="1" x14ac:dyDescent="0.25">
      <c r="A587" s="28">
        <v>6002.435839115773</v>
      </c>
      <c r="B587" s="28">
        <v>0.27260717722990879</v>
      </c>
      <c r="C587" s="254">
        <f t="shared" si="4"/>
        <v>27260.717722990878</v>
      </c>
      <c r="D587" s="255">
        <f t="shared" si="5"/>
        <v>0</v>
      </c>
    </row>
    <row r="588" spans="1:4" ht="14.25" customHeight="1" x14ac:dyDescent="0.25">
      <c r="A588" s="28">
        <v>7939.3789999378714</v>
      </c>
      <c r="B588" s="28">
        <v>0.58468691414859375</v>
      </c>
      <c r="C588" s="254">
        <f t="shared" si="4"/>
        <v>58468.691414859371</v>
      </c>
      <c r="D588" s="255">
        <f t="shared" si="5"/>
        <v>0</v>
      </c>
    </row>
    <row r="589" spans="1:4" ht="14.25" customHeight="1" x14ac:dyDescent="0.25">
      <c r="A589" s="28">
        <v>-3787.735330748932</v>
      </c>
      <c r="B589" s="28">
        <v>-3.7361427086277654E-2</v>
      </c>
      <c r="C589" s="254">
        <f t="shared" si="4"/>
        <v>-3736.1427086277654</v>
      </c>
      <c r="D589" s="255">
        <f t="shared" si="5"/>
        <v>0</v>
      </c>
    </row>
    <row r="590" spans="1:4" ht="14.25" customHeight="1" x14ac:dyDescent="0.25">
      <c r="A590" s="28">
        <v>7569.367510641081</v>
      </c>
      <c r="B590" s="28">
        <v>-5.9815298210472267E-2</v>
      </c>
      <c r="C590" s="254">
        <f t="shared" si="4"/>
        <v>-5981.5298210472265</v>
      </c>
      <c r="D590" s="255">
        <f t="shared" si="5"/>
        <v>1</v>
      </c>
    </row>
    <row r="591" spans="1:4" ht="14.25" customHeight="1" x14ac:dyDescent="0.25">
      <c r="A591" s="28">
        <v>4429.3549307356443</v>
      </c>
      <c r="B591" s="28">
        <v>-1.1243814537412744E-2</v>
      </c>
      <c r="C591" s="254">
        <f t="shared" si="4"/>
        <v>-1124.3814537412743</v>
      </c>
      <c r="D591" s="255">
        <f t="shared" si="5"/>
        <v>1</v>
      </c>
    </row>
    <row r="592" spans="1:4" ht="14.25" customHeight="1" x14ac:dyDescent="0.25">
      <c r="A592" s="28">
        <v>6431.6481370941692</v>
      </c>
      <c r="B592" s="28">
        <v>2.3305575440675241E-2</v>
      </c>
      <c r="C592" s="254">
        <f t="shared" si="4"/>
        <v>2330.5575440675243</v>
      </c>
      <c r="D592" s="255">
        <f t="shared" si="5"/>
        <v>1</v>
      </c>
    </row>
    <row r="593" spans="1:4" ht="14.25" customHeight="1" x14ac:dyDescent="0.25">
      <c r="A593" s="28">
        <v>-838.54608386992186</v>
      </c>
      <c r="B593" s="28">
        <v>3.3282717714138155E-2</v>
      </c>
      <c r="C593" s="254">
        <f t="shared" si="4"/>
        <v>3328.2717714138153</v>
      </c>
      <c r="D593" s="255">
        <f t="shared" si="5"/>
        <v>0</v>
      </c>
    </row>
    <row r="594" spans="1:4" ht="14.25" customHeight="1" x14ac:dyDescent="0.25">
      <c r="A594" s="28">
        <v>722.85276271995099</v>
      </c>
      <c r="B594" s="28">
        <v>0.12001170198060263</v>
      </c>
      <c r="C594" s="254">
        <f t="shared" si="4"/>
        <v>12001.170198060263</v>
      </c>
      <c r="D594" s="255">
        <f t="shared" si="5"/>
        <v>0</v>
      </c>
    </row>
    <row r="595" spans="1:4" ht="14.25" customHeight="1" x14ac:dyDescent="0.25">
      <c r="A595" s="28">
        <v>2812.0567585411627</v>
      </c>
      <c r="B595" s="28">
        <v>0.41779353291656762</v>
      </c>
      <c r="C595" s="254">
        <f t="shared" si="4"/>
        <v>41779.353291656764</v>
      </c>
      <c r="D595" s="255">
        <f t="shared" si="5"/>
        <v>0</v>
      </c>
    </row>
    <row r="596" spans="1:4" ht="14.25" customHeight="1" x14ac:dyDescent="0.25">
      <c r="A596" s="28">
        <v>19879.288212125917</v>
      </c>
      <c r="B596" s="28">
        <v>-0.12239695679156704</v>
      </c>
      <c r="C596" s="254">
        <f t="shared" si="4"/>
        <v>-12239.695679156703</v>
      </c>
      <c r="D596" s="255">
        <f t="shared" si="5"/>
        <v>1</v>
      </c>
    </row>
    <row r="597" spans="1:4" ht="14.25" customHeight="1" x14ac:dyDescent="0.25">
      <c r="A597" s="28">
        <v>7178.9109107140248</v>
      </c>
      <c r="B597" s="28">
        <v>-0.23381942351969842</v>
      </c>
      <c r="C597" s="254">
        <f t="shared" si="4"/>
        <v>-23381.942351969843</v>
      </c>
      <c r="D597" s="255">
        <f t="shared" si="5"/>
        <v>1</v>
      </c>
    </row>
    <row r="598" spans="1:4" ht="14.25" customHeight="1" x14ac:dyDescent="0.25">
      <c r="A598" s="28">
        <v>4503.6230661900772</v>
      </c>
      <c r="B598" s="28">
        <v>0.40935738941849698</v>
      </c>
      <c r="C598" s="254">
        <f t="shared" si="4"/>
        <v>40935.738941849697</v>
      </c>
      <c r="D598" s="255">
        <f t="shared" si="5"/>
        <v>0</v>
      </c>
    </row>
    <row r="599" spans="1:4" ht="14.25" customHeight="1" x14ac:dyDescent="0.25">
      <c r="A599" s="28">
        <v>6015.8406098793785</v>
      </c>
      <c r="B599" s="28">
        <v>0.16917797384966837</v>
      </c>
      <c r="C599" s="254">
        <f t="shared" si="4"/>
        <v>16917.797384966838</v>
      </c>
      <c r="D599" s="255">
        <f t="shared" si="5"/>
        <v>0</v>
      </c>
    </row>
    <row r="600" spans="1:4" ht="14.25" customHeight="1" x14ac:dyDescent="0.25">
      <c r="A600" s="28">
        <v>-714.27321039444359</v>
      </c>
      <c r="B600" s="28">
        <v>0.18579221027287907</v>
      </c>
      <c r="C600" s="254">
        <f t="shared" si="4"/>
        <v>18579.221027287906</v>
      </c>
      <c r="D600" s="255">
        <f t="shared" si="5"/>
        <v>0</v>
      </c>
    </row>
    <row r="601" spans="1:4" ht="14.25" customHeight="1" x14ac:dyDescent="0.25">
      <c r="A601" s="28">
        <v>6812.4799245376125</v>
      </c>
      <c r="B601" s="28">
        <v>0.15673957422239182</v>
      </c>
      <c r="C601" s="254">
        <f t="shared" si="4"/>
        <v>15673.957422239182</v>
      </c>
      <c r="D601" s="255">
        <f t="shared" si="5"/>
        <v>0</v>
      </c>
    </row>
    <row r="602" spans="1:4" ht="14.25" customHeight="1" x14ac:dyDescent="0.25">
      <c r="A602" s="28">
        <v>-3286.966815581618</v>
      </c>
      <c r="B602" s="28">
        <v>-0.36092103297434902</v>
      </c>
      <c r="C602" s="254">
        <f t="shared" si="4"/>
        <v>-36092.1032974349</v>
      </c>
      <c r="D602" s="255">
        <f t="shared" si="5"/>
        <v>1</v>
      </c>
    </row>
    <row r="603" spans="1:4" ht="14.25" customHeight="1" x14ac:dyDescent="0.25">
      <c r="A603" s="28">
        <v>672.44414185079222</v>
      </c>
      <c r="B603" s="28">
        <v>0.22605290345784945</v>
      </c>
      <c r="C603" s="254">
        <f t="shared" si="4"/>
        <v>22605.290345784946</v>
      </c>
      <c r="D603" s="255">
        <f t="shared" si="5"/>
        <v>0</v>
      </c>
    </row>
    <row r="604" spans="1:4" ht="14.25" customHeight="1" x14ac:dyDescent="0.25">
      <c r="A604" s="28">
        <v>12965.164243216524</v>
      </c>
      <c r="B604" s="28">
        <v>0.15293869078452271</v>
      </c>
      <c r="C604" s="254">
        <f t="shared" si="4"/>
        <v>15293.869078452271</v>
      </c>
      <c r="D604" s="255">
        <f t="shared" si="5"/>
        <v>0</v>
      </c>
    </row>
    <row r="605" spans="1:4" ht="14.25" customHeight="1" x14ac:dyDescent="0.25">
      <c r="A605" s="28">
        <v>984.64762103685644</v>
      </c>
      <c r="B605" s="28">
        <v>-0.22770668403061467</v>
      </c>
      <c r="C605" s="254">
        <f t="shared" si="4"/>
        <v>-22770.668403061467</v>
      </c>
      <c r="D605" s="255">
        <f t="shared" si="5"/>
        <v>1</v>
      </c>
    </row>
    <row r="606" spans="1:4" ht="14.25" customHeight="1" x14ac:dyDescent="0.25">
      <c r="A606" s="28">
        <v>5805.0802700018394</v>
      </c>
      <c r="B606" s="28">
        <v>4.3725611581982404E-2</v>
      </c>
      <c r="C606" s="254">
        <f t="shared" si="4"/>
        <v>4372.5611581982403</v>
      </c>
      <c r="D606" s="255">
        <f t="shared" si="5"/>
        <v>1</v>
      </c>
    </row>
    <row r="607" spans="1:4" ht="14.25" customHeight="1" x14ac:dyDescent="0.25">
      <c r="A607" s="28">
        <v>10393.609374332002</v>
      </c>
      <c r="B607" s="28">
        <v>-3.3397471366729548E-3</v>
      </c>
      <c r="C607" s="254">
        <f t="shared" si="4"/>
        <v>-333.97471366729548</v>
      </c>
      <c r="D607" s="255">
        <f t="shared" si="5"/>
        <v>1</v>
      </c>
    </row>
    <row r="608" spans="1:4" ht="14.25" customHeight="1" x14ac:dyDescent="0.25">
      <c r="A608" s="28">
        <v>6923.2500214177708</v>
      </c>
      <c r="B608" s="28">
        <v>0.11830680666763138</v>
      </c>
      <c r="C608" s="254">
        <f t="shared" si="4"/>
        <v>11830.680666763139</v>
      </c>
      <c r="D608" s="255">
        <f t="shared" si="5"/>
        <v>0</v>
      </c>
    </row>
    <row r="609" spans="1:4" ht="14.25" customHeight="1" x14ac:dyDescent="0.25">
      <c r="A609" s="28">
        <v>7586.9122673222446</v>
      </c>
      <c r="B609" s="28">
        <v>-0.13842874520905024</v>
      </c>
      <c r="C609" s="254">
        <f t="shared" si="4"/>
        <v>-13842.874520905025</v>
      </c>
      <c r="D609" s="255">
        <f t="shared" si="5"/>
        <v>1</v>
      </c>
    </row>
    <row r="610" spans="1:4" ht="14.25" customHeight="1" x14ac:dyDescent="0.25">
      <c r="A610" s="28">
        <v>13410.969109013589</v>
      </c>
      <c r="B610" s="28">
        <v>0.22935187759493703</v>
      </c>
      <c r="C610" s="254">
        <f t="shared" si="4"/>
        <v>22935.187759493703</v>
      </c>
      <c r="D610" s="255">
        <f t="shared" si="5"/>
        <v>0</v>
      </c>
    </row>
    <row r="611" spans="1:4" ht="14.25" customHeight="1" x14ac:dyDescent="0.25">
      <c r="A611" s="28">
        <v>7983.9833469757432</v>
      </c>
      <c r="B611" s="28">
        <v>-7.6312003975263137E-2</v>
      </c>
      <c r="C611" s="254">
        <f t="shared" si="4"/>
        <v>-7631.2003975263142</v>
      </c>
      <c r="D611" s="255">
        <f t="shared" si="5"/>
        <v>1</v>
      </c>
    </row>
    <row r="612" spans="1:4" ht="14.25" customHeight="1" x14ac:dyDescent="0.25">
      <c r="A612" s="28">
        <v>1294.9477189463214</v>
      </c>
      <c r="B612" s="28">
        <v>0.20203397911066356</v>
      </c>
      <c r="C612" s="254">
        <f t="shared" si="4"/>
        <v>20203.397911066357</v>
      </c>
      <c r="D612" s="255">
        <f t="shared" si="5"/>
        <v>0</v>
      </c>
    </row>
    <row r="613" spans="1:4" ht="14.25" customHeight="1" x14ac:dyDescent="0.25">
      <c r="A613" s="28">
        <v>10310.341981809703</v>
      </c>
      <c r="B613" s="28">
        <v>0.25702065955081399</v>
      </c>
      <c r="C613" s="254">
        <f t="shared" si="4"/>
        <v>25702.065955081398</v>
      </c>
      <c r="D613" s="255">
        <f t="shared" si="5"/>
        <v>0</v>
      </c>
    </row>
    <row r="614" spans="1:4" ht="14.25" customHeight="1" x14ac:dyDescent="0.25">
      <c r="A614" s="28">
        <v>6530.3113130236452</v>
      </c>
      <c r="B614" s="28">
        <v>0.21488367672373543</v>
      </c>
      <c r="C614" s="254">
        <f t="shared" si="4"/>
        <v>21488.367672373544</v>
      </c>
      <c r="D614" s="255">
        <f t="shared" si="5"/>
        <v>0</v>
      </c>
    </row>
    <row r="615" spans="1:4" ht="14.25" customHeight="1" x14ac:dyDescent="0.25">
      <c r="A615" s="28">
        <v>8840.9396019450214</v>
      </c>
      <c r="B615" s="28">
        <v>0.10758740808938216</v>
      </c>
      <c r="C615" s="254">
        <f t="shared" si="4"/>
        <v>10758.740808938217</v>
      </c>
      <c r="D615" s="255">
        <f t="shared" si="5"/>
        <v>0</v>
      </c>
    </row>
    <row r="616" spans="1:4" ht="14.25" customHeight="1" x14ac:dyDescent="0.25">
      <c r="A616" s="28">
        <v>9312.86265243651</v>
      </c>
      <c r="B616" s="28">
        <v>0.37165886492614497</v>
      </c>
      <c r="C616" s="254">
        <f t="shared" si="4"/>
        <v>37165.886492614496</v>
      </c>
      <c r="D616" s="255">
        <f t="shared" si="5"/>
        <v>0</v>
      </c>
    </row>
    <row r="617" spans="1:4" ht="14.25" customHeight="1" x14ac:dyDescent="0.25">
      <c r="A617" s="28">
        <v>-401.25253264509956</v>
      </c>
      <c r="B617" s="28">
        <v>-0.17691167565318411</v>
      </c>
      <c r="C617" s="254">
        <f t="shared" si="4"/>
        <v>-17691.16756531841</v>
      </c>
      <c r="D617" s="255">
        <f t="shared" si="5"/>
        <v>1</v>
      </c>
    </row>
    <row r="618" spans="1:4" ht="14.25" customHeight="1" x14ac:dyDescent="0.25">
      <c r="A618" s="28">
        <v>4501.0909094027666</v>
      </c>
      <c r="B618" s="28">
        <v>-0.30631899032909193</v>
      </c>
      <c r="C618" s="254">
        <f t="shared" si="4"/>
        <v>-30631.899032909194</v>
      </c>
      <c r="D618" s="255">
        <f t="shared" si="5"/>
        <v>1</v>
      </c>
    </row>
    <row r="619" spans="1:4" ht="14.25" customHeight="1" x14ac:dyDescent="0.25">
      <c r="A619" s="28">
        <v>2720.7257858653684</v>
      </c>
      <c r="B619" s="28">
        <v>4.6107254216358307E-2</v>
      </c>
      <c r="C619" s="254">
        <f t="shared" si="4"/>
        <v>4610.7254216358306</v>
      </c>
      <c r="D619" s="255">
        <f t="shared" si="5"/>
        <v>0</v>
      </c>
    </row>
    <row r="620" spans="1:4" ht="14.25" customHeight="1" x14ac:dyDescent="0.25">
      <c r="A620" s="28">
        <v>12637.85584006409</v>
      </c>
      <c r="B620" s="28">
        <v>0.11321319244175371</v>
      </c>
      <c r="C620" s="254">
        <f t="shared" si="4"/>
        <v>11321.319244175371</v>
      </c>
      <c r="D620" s="255">
        <f t="shared" si="5"/>
        <v>1</v>
      </c>
    </row>
    <row r="621" spans="1:4" ht="14.25" customHeight="1" x14ac:dyDescent="0.25">
      <c r="A621" s="28">
        <v>11385.795871836192</v>
      </c>
      <c r="B621" s="28">
        <v>-4.0516750416704106E-2</v>
      </c>
      <c r="C621" s="254">
        <f t="shared" si="4"/>
        <v>-4051.6750416704108</v>
      </c>
      <c r="D621" s="255">
        <f t="shared" si="5"/>
        <v>1</v>
      </c>
    </row>
    <row r="622" spans="1:4" ht="14.25" customHeight="1" x14ac:dyDescent="0.25">
      <c r="A622" s="28">
        <v>13372.929479177481</v>
      </c>
      <c r="B622" s="28">
        <v>0.62350142562850541</v>
      </c>
      <c r="C622" s="254">
        <f t="shared" si="4"/>
        <v>62350.142562850539</v>
      </c>
      <c r="D622" s="255">
        <f t="shared" si="5"/>
        <v>0</v>
      </c>
    </row>
    <row r="623" spans="1:4" ht="14.25" customHeight="1" x14ac:dyDescent="0.25">
      <c r="A623" s="28">
        <v>16169.053899629107</v>
      </c>
      <c r="B623" s="28">
        <v>0.22800533554267943</v>
      </c>
      <c r="C623" s="254">
        <f t="shared" si="4"/>
        <v>22800.533554267942</v>
      </c>
      <c r="D623" s="255">
        <f t="shared" si="5"/>
        <v>0</v>
      </c>
    </row>
    <row r="624" spans="1:4" ht="14.25" customHeight="1" x14ac:dyDescent="0.25">
      <c r="A624" s="28">
        <v>5666.9340558252443</v>
      </c>
      <c r="B624" s="28">
        <v>-0.27118333524783145</v>
      </c>
      <c r="C624" s="254">
        <f t="shared" si="4"/>
        <v>-27118.333524783146</v>
      </c>
      <c r="D624" s="255">
        <f t="shared" si="5"/>
        <v>1</v>
      </c>
    </row>
    <row r="625" spans="1:4" ht="14.25" customHeight="1" x14ac:dyDescent="0.25">
      <c r="A625" s="28">
        <v>17168.751018196417</v>
      </c>
      <c r="B625" s="28">
        <v>0.38403987302538523</v>
      </c>
      <c r="C625" s="254">
        <f t="shared" si="4"/>
        <v>38403.987302538524</v>
      </c>
      <c r="D625" s="255">
        <f t="shared" si="5"/>
        <v>0</v>
      </c>
    </row>
    <row r="626" spans="1:4" ht="14.25" customHeight="1" x14ac:dyDescent="0.25">
      <c r="A626" s="28">
        <v>7809.5466960378981</v>
      </c>
      <c r="B626" s="28">
        <v>0.11173252952006374</v>
      </c>
      <c r="C626" s="254">
        <f t="shared" si="4"/>
        <v>11173.252952006374</v>
      </c>
      <c r="D626" s="255">
        <f t="shared" si="5"/>
        <v>0</v>
      </c>
    </row>
    <row r="627" spans="1:4" ht="14.25" customHeight="1" x14ac:dyDescent="0.25">
      <c r="A627" s="28">
        <v>12518.262099832078</v>
      </c>
      <c r="B627" s="28">
        <v>-0.17427398634625524</v>
      </c>
      <c r="C627" s="254">
        <f t="shared" si="4"/>
        <v>-17427.398634625522</v>
      </c>
      <c r="D627" s="255">
        <f t="shared" si="5"/>
        <v>1</v>
      </c>
    </row>
    <row r="628" spans="1:4" ht="14.25" customHeight="1" x14ac:dyDescent="0.25">
      <c r="A628" s="28">
        <v>11870.80963389518</v>
      </c>
      <c r="B628" s="28">
        <v>0.22760030574621437</v>
      </c>
      <c r="C628" s="254">
        <f t="shared" si="4"/>
        <v>22760.030574621436</v>
      </c>
      <c r="D628" s="255">
        <f t="shared" si="5"/>
        <v>0</v>
      </c>
    </row>
    <row r="629" spans="1:4" ht="14.25" customHeight="1" x14ac:dyDescent="0.25">
      <c r="A629" s="28">
        <v>11542.023012596779</v>
      </c>
      <c r="B629" s="28">
        <v>0.19225714857713694</v>
      </c>
      <c r="C629" s="254">
        <f t="shared" si="4"/>
        <v>19225.714857713694</v>
      </c>
      <c r="D629" s="255">
        <f t="shared" si="5"/>
        <v>0</v>
      </c>
    </row>
    <row r="630" spans="1:4" ht="14.25" customHeight="1" x14ac:dyDescent="0.25">
      <c r="A630" s="28">
        <v>10121.940852597319</v>
      </c>
      <c r="B630" s="28">
        <v>0.31466616516451063</v>
      </c>
      <c r="C630" s="254">
        <f t="shared" si="4"/>
        <v>31466.616516451064</v>
      </c>
      <c r="D630" s="255">
        <f t="shared" si="5"/>
        <v>0</v>
      </c>
    </row>
    <row r="631" spans="1:4" ht="14.25" customHeight="1" x14ac:dyDescent="0.25">
      <c r="A631" s="28">
        <v>3541.2686880039255</v>
      </c>
      <c r="B631" s="28">
        <v>7.8290745470811496E-2</v>
      </c>
      <c r="C631" s="254">
        <f t="shared" si="4"/>
        <v>7829.0745470811498</v>
      </c>
      <c r="D631" s="255">
        <f t="shared" si="5"/>
        <v>0</v>
      </c>
    </row>
    <row r="632" spans="1:4" ht="14.25" customHeight="1" x14ac:dyDescent="0.25">
      <c r="A632" s="28">
        <v>2618.5005716500018</v>
      </c>
      <c r="B632" s="28">
        <v>0.59049895979795664</v>
      </c>
      <c r="C632" s="254">
        <f t="shared" si="4"/>
        <v>59049.895979795663</v>
      </c>
      <c r="D632" s="255">
        <f t="shared" si="5"/>
        <v>0</v>
      </c>
    </row>
    <row r="633" spans="1:4" ht="14.25" customHeight="1" x14ac:dyDescent="0.25">
      <c r="A633" s="28">
        <v>6318.4561484262667</v>
      </c>
      <c r="B633" s="28">
        <v>0.22310792690368375</v>
      </c>
      <c r="C633" s="254">
        <f t="shared" si="4"/>
        <v>22310.792690368376</v>
      </c>
      <c r="D633" s="255">
        <f t="shared" si="5"/>
        <v>0</v>
      </c>
    </row>
    <row r="634" spans="1:4" ht="14.25" customHeight="1" x14ac:dyDescent="0.25">
      <c r="A634" s="28">
        <v>3196.6082730368362</v>
      </c>
      <c r="B634" s="28">
        <v>6.246039269240744E-2</v>
      </c>
      <c r="C634" s="254">
        <f t="shared" si="4"/>
        <v>6246.039269240744</v>
      </c>
      <c r="D634" s="255">
        <f t="shared" si="5"/>
        <v>0</v>
      </c>
    </row>
    <row r="635" spans="1:4" ht="14.25" customHeight="1" x14ac:dyDescent="0.25">
      <c r="A635" s="28">
        <v>4663.0752181478892</v>
      </c>
      <c r="B635" s="28">
        <v>-6.217737519427935E-2</v>
      </c>
      <c r="C635" s="254">
        <f t="shared" si="4"/>
        <v>-6217.7375194279348</v>
      </c>
      <c r="D635" s="255">
        <f t="shared" si="5"/>
        <v>1</v>
      </c>
    </row>
    <row r="636" spans="1:4" ht="14.25" customHeight="1" x14ac:dyDescent="0.25">
      <c r="A636" s="28">
        <v>3083.6292993090392</v>
      </c>
      <c r="B636" s="28">
        <v>0.42109218327852571</v>
      </c>
      <c r="C636" s="254">
        <f t="shared" si="4"/>
        <v>42109.21832785257</v>
      </c>
      <c r="D636" s="255">
        <f t="shared" si="5"/>
        <v>0</v>
      </c>
    </row>
    <row r="637" spans="1:4" ht="14.25" customHeight="1" x14ac:dyDescent="0.25">
      <c r="A637" s="28">
        <v>13313.828417341669</v>
      </c>
      <c r="B637" s="28">
        <v>5.0868181032550197E-2</v>
      </c>
      <c r="C637" s="254">
        <f t="shared" si="4"/>
        <v>5086.8181032550201</v>
      </c>
      <c r="D637" s="255">
        <f t="shared" si="5"/>
        <v>1</v>
      </c>
    </row>
    <row r="638" spans="1:4" ht="14.25" customHeight="1" x14ac:dyDescent="0.25">
      <c r="A638" s="28">
        <v>11179.657393567162</v>
      </c>
      <c r="B638" s="28">
        <v>4.5774502402103234E-2</v>
      </c>
      <c r="C638" s="254">
        <f t="shared" si="4"/>
        <v>4577.4502402103235</v>
      </c>
      <c r="D638" s="255">
        <f t="shared" si="5"/>
        <v>1</v>
      </c>
    </row>
    <row r="639" spans="1:4" ht="14.25" customHeight="1" x14ac:dyDescent="0.25">
      <c r="A639" s="28">
        <v>11348.635665631075</v>
      </c>
      <c r="B639" s="28">
        <v>0.10922595092664489</v>
      </c>
      <c r="C639" s="254">
        <f t="shared" si="4"/>
        <v>10922.595092664489</v>
      </c>
      <c r="D639" s="255">
        <f t="shared" si="5"/>
        <v>1</v>
      </c>
    </row>
    <row r="640" spans="1:4" ht="14.25" customHeight="1" x14ac:dyDescent="0.25">
      <c r="A640" s="28">
        <v>6655.4369825156173</v>
      </c>
      <c r="B640" s="28">
        <v>0.24527947480618595</v>
      </c>
      <c r="C640" s="254">
        <f t="shared" si="4"/>
        <v>24527.947480618594</v>
      </c>
      <c r="D640" s="255">
        <f t="shared" si="5"/>
        <v>0</v>
      </c>
    </row>
    <row r="641" spans="1:4" ht="14.25" customHeight="1" x14ac:dyDescent="0.25">
      <c r="A641" s="28">
        <v>8998.1925768618457</v>
      </c>
      <c r="B641" s="28">
        <v>-0.16688502494618884</v>
      </c>
      <c r="C641" s="254">
        <f t="shared" si="4"/>
        <v>-16688.502494618886</v>
      </c>
      <c r="D641" s="255">
        <f t="shared" si="5"/>
        <v>1</v>
      </c>
    </row>
    <row r="642" spans="1:4" ht="14.25" customHeight="1" x14ac:dyDescent="0.25">
      <c r="A642" s="28">
        <v>4533.8345088325877</v>
      </c>
      <c r="B642" s="28">
        <v>-7.8841573756043615E-2</v>
      </c>
      <c r="C642" s="254">
        <f t="shared" si="4"/>
        <v>-7884.1573756043617</v>
      </c>
      <c r="D642" s="255">
        <f t="shared" si="5"/>
        <v>1</v>
      </c>
    </row>
    <row r="643" spans="1:4" ht="14.25" customHeight="1" x14ac:dyDescent="0.25">
      <c r="A643" s="28">
        <v>12882.743915663479</v>
      </c>
      <c r="B643" s="28">
        <v>-0.21941452129891204</v>
      </c>
      <c r="C643" s="254">
        <f t="shared" si="4"/>
        <v>-21941.452129891204</v>
      </c>
      <c r="D643" s="255">
        <f t="shared" si="5"/>
        <v>1</v>
      </c>
    </row>
    <row r="644" spans="1:4" ht="14.25" customHeight="1" x14ac:dyDescent="0.25">
      <c r="A644" s="28">
        <v>5897.9480620930626</v>
      </c>
      <c r="B644" s="28">
        <v>0.37514403795526113</v>
      </c>
      <c r="C644" s="254">
        <f t="shared" si="4"/>
        <v>37514.403795526116</v>
      </c>
      <c r="D644" s="255">
        <f t="shared" si="5"/>
        <v>0</v>
      </c>
    </row>
    <row r="645" spans="1:4" ht="14.25" customHeight="1" x14ac:dyDescent="0.25">
      <c r="A645" s="28">
        <v>-1491.3278617401229</v>
      </c>
      <c r="B645" s="28">
        <v>0.1705184296202702</v>
      </c>
      <c r="C645" s="254">
        <f t="shared" si="4"/>
        <v>17051.842962027018</v>
      </c>
      <c r="D645" s="255">
        <f t="shared" si="5"/>
        <v>0</v>
      </c>
    </row>
    <row r="646" spans="1:4" ht="14.25" customHeight="1" x14ac:dyDescent="0.25">
      <c r="A646" s="28">
        <v>8693.168162691727</v>
      </c>
      <c r="B646" s="28">
        <v>4.8790150873695204E-2</v>
      </c>
      <c r="C646" s="254">
        <f t="shared" si="4"/>
        <v>4879.0150873695202</v>
      </c>
      <c r="D646" s="255">
        <f t="shared" si="5"/>
        <v>1</v>
      </c>
    </row>
    <row r="647" spans="1:4" ht="14.25" customHeight="1" x14ac:dyDescent="0.25">
      <c r="A647" s="28">
        <v>8743.9139655376493</v>
      </c>
      <c r="B647" s="28">
        <v>8.6630935929968622E-2</v>
      </c>
      <c r="C647" s="254">
        <f t="shared" si="4"/>
        <v>8663.0935929968618</v>
      </c>
      <c r="D647" s="255">
        <f t="shared" si="5"/>
        <v>1</v>
      </c>
    </row>
    <row r="648" spans="1:4" ht="14.25" customHeight="1" x14ac:dyDescent="0.25">
      <c r="A648" s="28">
        <v>3214.0554438812469</v>
      </c>
      <c r="B648" s="28">
        <v>0.13628949306108007</v>
      </c>
      <c r="C648" s="254">
        <f t="shared" si="4"/>
        <v>13628.949306108007</v>
      </c>
      <c r="D648" s="255">
        <f t="shared" si="5"/>
        <v>0</v>
      </c>
    </row>
    <row r="649" spans="1:4" ht="14.25" customHeight="1" x14ac:dyDescent="0.25">
      <c r="A649" s="28">
        <v>11724.234685725802</v>
      </c>
      <c r="B649" s="28">
        <v>-1.2009862568526319E-2</v>
      </c>
      <c r="C649" s="254">
        <f t="shared" si="4"/>
        <v>-1200.9862568526319</v>
      </c>
      <c r="D649" s="255">
        <f t="shared" si="5"/>
        <v>1</v>
      </c>
    </row>
    <row r="650" spans="1:4" ht="14.25" customHeight="1" x14ac:dyDescent="0.25">
      <c r="A650" s="28">
        <v>10941.723572346542</v>
      </c>
      <c r="B650" s="28">
        <v>0.65445967937109994</v>
      </c>
      <c r="C650" s="254">
        <f t="shared" si="4"/>
        <v>65445.967937109992</v>
      </c>
      <c r="D650" s="255">
        <f t="shared" si="5"/>
        <v>0</v>
      </c>
    </row>
    <row r="651" spans="1:4" ht="14.25" customHeight="1" x14ac:dyDescent="0.25">
      <c r="A651" s="28">
        <v>3357.3319985420821</v>
      </c>
      <c r="B651" s="28">
        <v>0.12351326108145833</v>
      </c>
      <c r="C651" s="254">
        <f t="shared" si="4"/>
        <v>12351.326108145833</v>
      </c>
      <c r="D651" s="255">
        <f t="shared" si="5"/>
        <v>0</v>
      </c>
    </row>
    <row r="652" spans="1:4" ht="14.25" customHeight="1" x14ac:dyDescent="0.25">
      <c r="A652" s="28">
        <v>2179.4946024853416</v>
      </c>
      <c r="B652" s="28">
        <v>0.67475656707468445</v>
      </c>
      <c r="C652" s="254">
        <f t="shared" si="4"/>
        <v>67475.656707468443</v>
      </c>
      <c r="D652" s="255">
        <f t="shared" si="5"/>
        <v>0</v>
      </c>
    </row>
    <row r="653" spans="1:4" ht="14.25" customHeight="1" x14ac:dyDescent="0.25">
      <c r="A653" s="28">
        <v>10385.967275355855</v>
      </c>
      <c r="B653" s="28">
        <v>0.15838233312540573</v>
      </c>
      <c r="C653" s="254">
        <f t="shared" si="4"/>
        <v>15838.233312540573</v>
      </c>
      <c r="D653" s="255">
        <f t="shared" si="5"/>
        <v>0</v>
      </c>
    </row>
    <row r="654" spans="1:4" ht="14.25" customHeight="1" x14ac:dyDescent="0.25">
      <c r="A654" s="28">
        <v>7497.2065953053389</v>
      </c>
      <c r="B654" s="28">
        <v>0.30285227257516079</v>
      </c>
      <c r="C654" s="254">
        <f t="shared" si="4"/>
        <v>30285.227257516079</v>
      </c>
      <c r="D654" s="255">
        <f t="shared" si="5"/>
        <v>0</v>
      </c>
    </row>
    <row r="655" spans="1:4" ht="14.25" customHeight="1" x14ac:dyDescent="0.25">
      <c r="A655" s="28">
        <v>6927.0084328347875</v>
      </c>
      <c r="B655" s="28">
        <v>-0.15048369109184279</v>
      </c>
      <c r="C655" s="254">
        <f t="shared" si="4"/>
        <v>-15048.369109184279</v>
      </c>
      <c r="D655" s="255">
        <f t="shared" si="5"/>
        <v>1</v>
      </c>
    </row>
    <row r="656" spans="1:4" ht="14.25" customHeight="1" x14ac:dyDescent="0.25">
      <c r="A656" s="28">
        <v>4307.0812980810006</v>
      </c>
      <c r="B656" s="28">
        <v>-2.9717044961950378E-2</v>
      </c>
      <c r="C656" s="254">
        <f t="shared" si="4"/>
        <v>-2971.7044961950378</v>
      </c>
      <c r="D656" s="255">
        <f t="shared" si="5"/>
        <v>1</v>
      </c>
    </row>
    <row r="657" spans="1:4" ht="14.25" customHeight="1" x14ac:dyDescent="0.25">
      <c r="A657" s="28">
        <v>15456.450813771997</v>
      </c>
      <c r="B657" s="28">
        <v>-0.13692520334820646</v>
      </c>
      <c r="C657" s="254">
        <f t="shared" si="4"/>
        <v>-13692.520334820645</v>
      </c>
      <c r="D657" s="255">
        <f t="shared" si="5"/>
        <v>1</v>
      </c>
    </row>
    <row r="658" spans="1:4" ht="14.25" customHeight="1" x14ac:dyDescent="0.25">
      <c r="A658" s="28">
        <v>17021.647494701145</v>
      </c>
      <c r="B658" s="28">
        <v>0.10729836014644123</v>
      </c>
      <c r="C658" s="254">
        <f t="shared" si="4"/>
        <v>10729.836014644123</v>
      </c>
      <c r="D658" s="255">
        <f t="shared" si="5"/>
        <v>1</v>
      </c>
    </row>
    <row r="659" spans="1:4" ht="14.25" customHeight="1" x14ac:dyDescent="0.25">
      <c r="A659" s="28">
        <v>5575.4336720495776</v>
      </c>
      <c r="B659" s="28">
        <v>-8.9779805876499363E-2</v>
      </c>
      <c r="C659" s="254">
        <f t="shared" si="4"/>
        <v>-8977.9805876499358</v>
      </c>
      <c r="D659" s="255">
        <f t="shared" si="5"/>
        <v>1</v>
      </c>
    </row>
    <row r="660" spans="1:4" ht="14.25" customHeight="1" x14ac:dyDescent="0.25">
      <c r="A660" s="28">
        <v>13382.362117070807</v>
      </c>
      <c r="B660" s="28">
        <v>0.14097031906213697</v>
      </c>
      <c r="C660" s="254">
        <f t="shared" si="4"/>
        <v>14097.031906213697</v>
      </c>
      <c r="D660" s="255">
        <f t="shared" si="5"/>
        <v>0</v>
      </c>
    </row>
    <row r="661" spans="1:4" ht="14.25" customHeight="1" x14ac:dyDescent="0.25">
      <c r="A661" s="28">
        <v>-4129.8647013464652</v>
      </c>
      <c r="B661" s="28">
        <v>-5.7747617605881096E-3</v>
      </c>
      <c r="C661" s="254">
        <f t="shared" si="4"/>
        <v>-577.47617605881101</v>
      </c>
      <c r="D661" s="255">
        <f t="shared" si="5"/>
        <v>0</v>
      </c>
    </row>
    <row r="662" spans="1:4" ht="14.25" customHeight="1" x14ac:dyDescent="0.25">
      <c r="A662" s="28">
        <v>2983.5006798698887</v>
      </c>
      <c r="B662" s="28">
        <v>-1.0305609121703307E-2</v>
      </c>
      <c r="C662" s="254">
        <f t="shared" si="4"/>
        <v>-1030.5609121703308</v>
      </c>
      <c r="D662" s="255">
        <f t="shared" si="5"/>
        <v>1</v>
      </c>
    </row>
    <row r="663" spans="1:4" ht="14.25" customHeight="1" x14ac:dyDescent="0.25">
      <c r="A663" s="28">
        <v>5151.4994605648608</v>
      </c>
      <c r="B663" s="28">
        <v>4.0132656423986113E-2</v>
      </c>
      <c r="C663" s="254">
        <f t="shared" si="4"/>
        <v>4013.2656423986114</v>
      </c>
      <c r="D663" s="255">
        <f t="shared" si="5"/>
        <v>1</v>
      </c>
    </row>
    <row r="664" spans="1:4" ht="14.25" customHeight="1" x14ac:dyDescent="0.25">
      <c r="A664" s="28">
        <v>13975.252154862959</v>
      </c>
      <c r="B664" s="28">
        <v>0.13865535209308666</v>
      </c>
      <c r="C664" s="254">
        <f t="shared" si="4"/>
        <v>13865.535209308666</v>
      </c>
      <c r="D664" s="255">
        <f t="shared" si="5"/>
        <v>1</v>
      </c>
    </row>
    <row r="665" spans="1:4" ht="14.25" customHeight="1" x14ac:dyDescent="0.25">
      <c r="A665" s="28">
        <v>8281.4827060819298</v>
      </c>
      <c r="B665" s="28">
        <v>-0.34725736305592303</v>
      </c>
      <c r="C665" s="254">
        <f t="shared" si="4"/>
        <v>-34725.736305592305</v>
      </c>
      <c r="D665" s="255">
        <f t="shared" si="5"/>
        <v>1</v>
      </c>
    </row>
    <row r="666" spans="1:4" ht="14.25" customHeight="1" x14ac:dyDescent="0.25">
      <c r="A666" s="28">
        <v>12270.656849915671</v>
      </c>
      <c r="B666" s="28">
        <v>-0.12690451781877199</v>
      </c>
      <c r="C666" s="254">
        <f t="shared" si="4"/>
        <v>-12690.451781877198</v>
      </c>
      <c r="D666" s="255">
        <f t="shared" si="5"/>
        <v>1</v>
      </c>
    </row>
    <row r="667" spans="1:4" ht="14.25" customHeight="1" x14ac:dyDescent="0.25">
      <c r="A667" s="28">
        <v>15980.799464287542</v>
      </c>
      <c r="B667" s="28">
        <v>-6.6784992000704424E-2</v>
      </c>
      <c r="C667" s="254">
        <f t="shared" si="4"/>
        <v>-6678.4992000704424</v>
      </c>
      <c r="D667" s="255">
        <f t="shared" si="5"/>
        <v>1</v>
      </c>
    </row>
    <row r="668" spans="1:4" ht="14.25" customHeight="1" x14ac:dyDescent="0.25">
      <c r="A668" s="28">
        <v>15461.51356943477</v>
      </c>
      <c r="B668" s="28">
        <v>-3.2770332104049338E-2</v>
      </c>
      <c r="C668" s="254">
        <f t="shared" si="4"/>
        <v>-3277.0332104049339</v>
      </c>
      <c r="D668" s="255">
        <f t="shared" si="5"/>
        <v>1</v>
      </c>
    </row>
    <row r="669" spans="1:4" ht="14.25" customHeight="1" x14ac:dyDescent="0.25">
      <c r="A669" s="28">
        <v>8733.8303480392424</v>
      </c>
      <c r="B669" s="28">
        <v>0.36058548820655245</v>
      </c>
      <c r="C669" s="254">
        <f t="shared" si="4"/>
        <v>36058.548820655247</v>
      </c>
      <c r="D669" s="255">
        <f t="shared" si="5"/>
        <v>0</v>
      </c>
    </row>
    <row r="670" spans="1:4" ht="14.25" customHeight="1" x14ac:dyDescent="0.25">
      <c r="A670" s="28">
        <v>-7.0825739155698102</v>
      </c>
      <c r="B670" s="28">
        <v>-0.21699642522754004</v>
      </c>
      <c r="C670" s="254">
        <f t="shared" si="4"/>
        <v>-21699.642522754002</v>
      </c>
      <c r="D670" s="255">
        <f t="shared" si="5"/>
        <v>1</v>
      </c>
    </row>
    <row r="671" spans="1:4" ht="14.25" customHeight="1" x14ac:dyDescent="0.25">
      <c r="A671" s="28">
        <v>12344.62841860245</v>
      </c>
      <c r="B671" s="28">
        <v>0.12025336372220807</v>
      </c>
      <c r="C671" s="254">
        <f t="shared" si="4"/>
        <v>12025.336372220807</v>
      </c>
      <c r="D671" s="255">
        <f t="shared" si="5"/>
        <v>1</v>
      </c>
    </row>
    <row r="672" spans="1:4" ht="14.25" customHeight="1" x14ac:dyDescent="0.25">
      <c r="A672" s="28">
        <v>9969.125349097274</v>
      </c>
      <c r="B672" s="28">
        <v>6.3349659961273286E-2</v>
      </c>
      <c r="C672" s="254">
        <f t="shared" si="4"/>
        <v>6334.9659961273283</v>
      </c>
      <c r="D672" s="255">
        <f t="shared" si="5"/>
        <v>1</v>
      </c>
    </row>
    <row r="673" spans="1:4" ht="14.25" customHeight="1" x14ac:dyDescent="0.25">
      <c r="A673" s="28">
        <v>5105.3980485236389</v>
      </c>
      <c r="B673" s="28">
        <v>-5.7408199953697725E-2</v>
      </c>
      <c r="C673" s="254">
        <f t="shared" si="4"/>
        <v>-5740.8199953697722</v>
      </c>
      <c r="D673" s="255">
        <f t="shared" si="5"/>
        <v>1</v>
      </c>
    </row>
    <row r="674" spans="1:4" ht="14.25" customHeight="1" x14ac:dyDescent="0.25">
      <c r="A674" s="28">
        <v>10203.376782499705</v>
      </c>
      <c r="B674" s="28">
        <v>-0.32987023351943012</v>
      </c>
      <c r="C674" s="254">
        <f t="shared" si="4"/>
        <v>-32987.023351943011</v>
      </c>
      <c r="D674" s="255">
        <f t="shared" si="5"/>
        <v>1</v>
      </c>
    </row>
    <row r="675" spans="1:4" ht="14.25" customHeight="1" x14ac:dyDescent="0.25">
      <c r="A675" s="28">
        <v>6711.9373661943246</v>
      </c>
      <c r="B675" s="28">
        <v>0.28966781320050305</v>
      </c>
      <c r="C675" s="254">
        <f t="shared" si="4"/>
        <v>28966.781320050304</v>
      </c>
      <c r="D675" s="255">
        <f t="shared" si="5"/>
        <v>0</v>
      </c>
    </row>
    <row r="676" spans="1:4" ht="14.25" customHeight="1" x14ac:dyDescent="0.25">
      <c r="A676" s="28">
        <v>1099.8452674360451</v>
      </c>
      <c r="B676" s="28">
        <v>-0.3943383274521518</v>
      </c>
      <c r="C676" s="254">
        <f t="shared" si="4"/>
        <v>-39433.832745215179</v>
      </c>
      <c r="D676" s="255">
        <f t="shared" si="5"/>
        <v>1</v>
      </c>
    </row>
    <row r="677" spans="1:4" ht="14.25" customHeight="1" x14ac:dyDescent="0.25">
      <c r="A677" s="28">
        <v>2529.8005426346208</v>
      </c>
      <c r="B677" s="28">
        <v>-8.3709118192913157E-2</v>
      </c>
      <c r="C677" s="254">
        <f t="shared" si="4"/>
        <v>-8370.9118192913156</v>
      </c>
      <c r="D677" s="255">
        <f t="shared" si="5"/>
        <v>1</v>
      </c>
    </row>
    <row r="678" spans="1:4" ht="14.25" customHeight="1" x14ac:dyDescent="0.25">
      <c r="A678" s="28">
        <v>10692.365126014942</v>
      </c>
      <c r="B678" s="28">
        <v>7.4482267705289207E-2</v>
      </c>
      <c r="C678" s="254">
        <f t="shared" si="4"/>
        <v>7448.2267705289205</v>
      </c>
      <c r="D678" s="255">
        <f t="shared" si="5"/>
        <v>1</v>
      </c>
    </row>
    <row r="679" spans="1:4" ht="14.25" customHeight="1" x14ac:dyDescent="0.25">
      <c r="A679" s="28">
        <v>10855.183354349501</v>
      </c>
      <c r="B679" s="28">
        <v>-0.18405324632656317</v>
      </c>
      <c r="C679" s="254">
        <f t="shared" si="4"/>
        <v>-18405.324632656317</v>
      </c>
      <c r="D679" s="255">
        <f t="shared" si="5"/>
        <v>1</v>
      </c>
    </row>
    <row r="680" spans="1:4" ht="14.25" customHeight="1" x14ac:dyDescent="0.25">
      <c r="A680" s="28">
        <v>13082.295211938224</v>
      </c>
      <c r="B680" s="28">
        <v>-0.13555727456548139</v>
      </c>
      <c r="C680" s="254">
        <f t="shared" si="4"/>
        <v>-13555.727456548138</v>
      </c>
      <c r="D680" s="255">
        <f t="shared" si="5"/>
        <v>1</v>
      </c>
    </row>
    <row r="681" spans="1:4" ht="14.25" customHeight="1" x14ac:dyDescent="0.25">
      <c r="A681" s="28">
        <v>5773.8692866654746</v>
      </c>
      <c r="B681" s="28">
        <v>0.5983306541410518</v>
      </c>
      <c r="C681" s="254">
        <f t="shared" si="4"/>
        <v>59833.065414105178</v>
      </c>
      <c r="D681" s="255">
        <f t="shared" si="5"/>
        <v>0</v>
      </c>
    </row>
    <row r="682" spans="1:4" ht="14.25" customHeight="1" x14ac:dyDescent="0.25">
      <c r="A682" s="28">
        <v>953.81307031487813</v>
      </c>
      <c r="B682" s="28">
        <v>0.18165183089060677</v>
      </c>
      <c r="C682" s="254">
        <f t="shared" si="4"/>
        <v>18165.183089060676</v>
      </c>
      <c r="D682" s="255">
        <f t="shared" si="5"/>
        <v>0</v>
      </c>
    </row>
    <row r="683" spans="1:4" ht="14.25" customHeight="1" x14ac:dyDescent="0.25">
      <c r="A683" s="28">
        <v>5469.7331039624114</v>
      </c>
      <c r="B683" s="28">
        <v>-5.5608928814856462E-2</v>
      </c>
      <c r="C683" s="254">
        <f t="shared" si="4"/>
        <v>-5560.8928814856463</v>
      </c>
      <c r="D683" s="255">
        <f t="shared" si="5"/>
        <v>1</v>
      </c>
    </row>
    <row r="684" spans="1:4" ht="14.25" customHeight="1" x14ac:dyDescent="0.25">
      <c r="A684" s="28">
        <v>4030.6645438841661</v>
      </c>
      <c r="B684" s="28">
        <v>1.6304815007555762E-2</v>
      </c>
      <c r="C684" s="254">
        <f t="shared" si="4"/>
        <v>1630.4815007555762</v>
      </c>
      <c r="D684" s="255">
        <f t="shared" si="5"/>
        <v>1</v>
      </c>
    </row>
    <row r="685" spans="1:4" ht="14.25" customHeight="1" x14ac:dyDescent="0.25">
      <c r="A685" s="28">
        <v>1561.9932665736196</v>
      </c>
      <c r="B685" s="28">
        <v>0.24046013158032142</v>
      </c>
      <c r="C685" s="254">
        <f t="shared" si="4"/>
        <v>24046.013158032143</v>
      </c>
      <c r="D685" s="255">
        <f t="shared" si="5"/>
        <v>0</v>
      </c>
    </row>
    <row r="686" spans="1:4" ht="14.25" customHeight="1" x14ac:dyDescent="0.25">
      <c r="A686" s="28">
        <v>4218.1004288981785</v>
      </c>
      <c r="B686" s="28">
        <v>0.46202473868844107</v>
      </c>
      <c r="C686" s="254">
        <f t="shared" si="4"/>
        <v>46202.473868844107</v>
      </c>
      <c r="D686" s="255">
        <f t="shared" si="5"/>
        <v>0</v>
      </c>
    </row>
    <row r="687" spans="1:4" ht="14.25" customHeight="1" x14ac:dyDescent="0.25">
      <c r="A687" s="28">
        <v>11472.788022172179</v>
      </c>
      <c r="B687" s="28">
        <v>0.19904837964162025</v>
      </c>
      <c r="C687" s="254">
        <f t="shared" si="4"/>
        <v>19904.837964162027</v>
      </c>
      <c r="D687" s="255">
        <f t="shared" si="5"/>
        <v>0</v>
      </c>
    </row>
    <row r="688" spans="1:4" ht="14.25" customHeight="1" x14ac:dyDescent="0.25">
      <c r="A688" s="28">
        <v>10550.217138414475</v>
      </c>
      <c r="B688" s="28">
        <v>0.26300834313927424</v>
      </c>
      <c r="C688" s="254">
        <f t="shared" si="4"/>
        <v>26300.834313927422</v>
      </c>
      <c r="D688" s="255">
        <f t="shared" si="5"/>
        <v>0</v>
      </c>
    </row>
    <row r="689" spans="1:4" ht="14.25" customHeight="1" x14ac:dyDescent="0.25">
      <c r="A689" s="28">
        <v>-3094.885179522651</v>
      </c>
      <c r="B689" s="28">
        <v>5.7493706338592299E-2</v>
      </c>
      <c r="C689" s="254">
        <f t="shared" si="4"/>
        <v>5749.3706338592301</v>
      </c>
      <c r="D689" s="255">
        <f t="shared" si="5"/>
        <v>0</v>
      </c>
    </row>
    <row r="690" spans="1:4" ht="14.25" customHeight="1" x14ac:dyDescent="0.25">
      <c r="A690" s="28">
        <v>4023.7695818607681</v>
      </c>
      <c r="B690" s="28">
        <v>0.4732610305128655</v>
      </c>
      <c r="C690" s="254">
        <f t="shared" si="4"/>
        <v>47326.103051286547</v>
      </c>
      <c r="D690" s="255">
        <f t="shared" si="5"/>
        <v>0</v>
      </c>
    </row>
    <row r="691" spans="1:4" ht="14.25" customHeight="1" x14ac:dyDescent="0.25">
      <c r="A691" s="28">
        <v>5124.1903869166999</v>
      </c>
      <c r="B691" s="28">
        <v>-0.14589266704948844</v>
      </c>
      <c r="C691" s="254">
        <f t="shared" si="4"/>
        <v>-14589.266704948845</v>
      </c>
      <c r="D691" s="255">
        <f t="shared" si="5"/>
        <v>1</v>
      </c>
    </row>
    <row r="692" spans="1:4" ht="14.25" customHeight="1" x14ac:dyDescent="0.25">
      <c r="A692" s="28">
        <v>8648.5639274674104</v>
      </c>
      <c r="B692" s="28">
        <v>-3.1399909206891508E-2</v>
      </c>
      <c r="C692" s="254">
        <f t="shared" si="4"/>
        <v>-3139.9909206891507</v>
      </c>
      <c r="D692" s="255">
        <f t="shared" si="5"/>
        <v>1</v>
      </c>
    </row>
    <row r="693" spans="1:4" ht="14.25" customHeight="1" x14ac:dyDescent="0.25">
      <c r="A693" s="28">
        <v>7488.8473838873906</v>
      </c>
      <c r="B693" s="28">
        <v>5.0515932900553506E-2</v>
      </c>
      <c r="C693" s="254">
        <f t="shared" si="4"/>
        <v>5051.5932900553507</v>
      </c>
      <c r="D693" s="255">
        <f t="shared" si="5"/>
        <v>1</v>
      </c>
    </row>
    <row r="694" spans="1:4" ht="14.25" customHeight="1" x14ac:dyDescent="0.25">
      <c r="A694" s="28">
        <v>2660.9283807672473</v>
      </c>
      <c r="B694" s="28">
        <v>0.32457975347371204</v>
      </c>
      <c r="C694" s="254">
        <f t="shared" si="4"/>
        <v>32457.975347371204</v>
      </c>
      <c r="D694" s="255">
        <f t="shared" si="5"/>
        <v>0</v>
      </c>
    </row>
    <row r="695" spans="1:4" ht="14.25" customHeight="1" x14ac:dyDescent="0.25">
      <c r="A695" s="28">
        <v>3924.0633713170537</v>
      </c>
      <c r="B695" s="28">
        <v>-3.811149273658998E-3</v>
      </c>
      <c r="C695" s="254">
        <f t="shared" si="4"/>
        <v>-381.1149273658998</v>
      </c>
      <c r="D695" s="255">
        <f t="shared" si="5"/>
        <v>1</v>
      </c>
    </row>
    <row r="696" spans="1:4" ht="14.25" customHeight="1" x14ac:dyDescent="0.25">
      <c r="A696" s="28">
        <v>3572.4231110586406</v>
      </c>
      <c r="B696" s="28">
        <v>-0.16747842381962563</v>
      </c>
      <c r="C696" s="254">
        <f t="shared" si="4"/>
        <v>-16747.842381962564</v>
      </c>
      <c r="D696" s="255">
        <f t="shared" si="5"/>
        <v>1</v>
      </c>
    </row>
    <row r="697" spans="1:4" ht="14.25" customHeight="1" x14ac:dyDescent="0.25">
      <c r="A697" s="28">
        <v>11267.365200384549</v>
      </c>
      <c r="B697" s="28">
        <v>2.0268135866874815E-2</v>
      </c>
      <c r="C697" s="254">
        <f t="shared" si="4"/>
        <v>2026.8135866874813</v>
      </c>
      <c r="D697" s="255">
        <f t="shared" si="5"/>
        <v>1</v>
      </c>
    </row>
    <row r="698" spans="1:4" ht="14.25" customHeight="1" x14ac:dyDescent="0.25">
      <c r="A698" s="28">
        <v>13572.616673673729</v>
      </c>
      <c r="B698" s="28">
        <v>-0.48913087047260762</v>
      </c>
      <c r="C698" s="254">
        <f t="shared" si="4"/>
        <v>-48913.087047260764</v>
      </c>
      <c r="D698" s="255">
        <f t="shared" si="5"/>
        <v>1</v>
      </c>
    </row>
    <row r="699" spans="1:4" ht="14.25" customHeight="1" x14ac:dyDescent="0.25">
      <c r="A699" s="28">
        <v>3207.7137543652643</v>
      </c>
      <c r="B699" s="28">
        <v>-0.12487299432266363</v>
      </c>
      <c r="C699" s="254">
        <f t="shared" si="4"/>
        <v>-12487.299432266364</v>
      </c>
      <c r="D699" s="255">
        <f t="shared" si="5"/>
        <v>1</v>
      </c>
    </row>
    <row r="700" spans="1:4" ht="14.25" customHeight="1" x14ac:dyDescent="0.25">
      <c r="A700" s="28">
        <v>9452.8569113863341</v>
      </c>
      <c r="B700" s="28">
        <v>-0.1168752978891483</v>
      </c>
      <c r="C700" s="254">
        <f t="shared" si="4"/>
        <v>-11687.52978891483</v>
      </c>
      <c r="D700" s="255">
        <f t="shared" si="5"/>
        <v>1</v>
      </c>
    </row>
    <row r="701" spans="1:4" ht="14.25" customHeight="1" x14ac:dyDescent="0.25">
      <c r="A701" s="28">
        <v>10719.251512501942</v>
      </c>
      <c r="B701" s="28">
        <v>-5.6514286271135028E-2</v>
      </c>
      <c r="C701" s="254">
        <f t="shared" si="4"/>
        <v>-5651.4286271135024</v>
      </c>
      <c r="D701" s="255">
        <f t="shared" si="5"/>
        <v>1</v>
      </c>
    </row>
    <row r="702" spans="1:4" ht="14.25" customHeight="1" x14ac:dyDescent="0.25">
      <c r="A702" s="28">
        <v>3676.2847921694192</v>
      </c>
      <c r="B702" s="28">
        <v>-0.14112260335236926</v>
      </c>
      <c r="C702" s="254">
        <f t="shared" si="4"/>
        <v>-14112.260335236926</v>
      </c>
      <c r="D702" s="255">
        <f t="shared" si="5"/>
        <v>1</v>
      </c>
    </row>
    <row r="703" spans="1:4" ht="14.25" customHeight="1" x14ac:dyDescent="0.25">
      <c r="A703" s="28">
        <v>17421.851473414747</v>
      </c>
      <c r="B703" s="28">
        <v>2.2822055129519292E-2</v>
      </c>
      <c r="C703" s="254">
        <f t="shared" si="4"/>
        <v>2282.205512951929</v>
      </c>
      <c r="D703" s="255">
        <f t="shared" si="5"/>
        <v>1</v>
      </c>
    </row>
    <row r="704" spans="1:4" ht="14.25" customHeight="1" x14ac:dyDescent="0.25">
      <c r="A704" s="28">
        <v>6736.2097119044483</v>
      </c>
      <c r="B704" s="28">
        <v>9.949282063347975E-2</v>
      </c>
      <c r="C704" s="254">
        <f t="shared" si="4"/>
        <v>9949.2820633479751</v>
      </c>
      <c r="D704" s="255">
        <f t="shared" si="5"/>
        <v>0</v>
      </c>
    </row>
    <row r="705" spans="1:4" ht="14.25" customHeight="1" x14ac:dyDescent="0.25">
      <c r="A705" s="28">
        <v>7118.5383119012695</v>
      </c>
      <c r="B705" s="28">
        <v>6.7504726795611258E-2</v>
      </c>
      <c r="C705" s="254">
        <f t="shared" si="4"/>
        <v>6750.4726795611259</v>
      </c>
      <c r="D705" s="255">
        <f t="shared" si="5"/>
        <v>1</v>
      </c>
    </row>
    <row r="706" spans="1:4" ht="14.25" customHeight="1" x14ac:dyDescent="0.25">
      <c r="A706" s="28">
        <v>10649.870110272183</v>
      </c>
      <c r="B706" s="28">
        <v>-0.21922263354803384</v>
      </c>
      <c r="C706" s="254">
        <f t="shared" si="4"/>
        <v>-21922.263354803385</v>
      </c>
      <c r="D706" s="255">
        <f t="shared" si="5"/>
        <v>1</v>
      </c>
    </row>
    <row r="707" spans="1:4" ht="14.25" customHeight="1" x14ac:dyDescent="0.25">
      <c r="A707" s="28">
        <v>1059.7903358667681</v>
      </c>
      <c r="B707" s="28">
        <v>9.9207921156579504E-2</v>
      </c>
      <c r="C707" s="254">
        <f t="shared" si="4"/>
        <v>9920.7921156579505</v>
      </c>
      <c r="D707" s="255">
        <f t="shared" si="5"/>
        <v>0</v>
      </c>
    </row>
    <row r="708" spans="1:4" ht="14.25" customHeight="1" x14ac:dyDescent="0.25">
      <c r="A708" s="28">
        <v>1150.694747809066</v>
      </c>
      <c r="B708" s="28">
        <v>-9.1926476522460776E-2</v>
      </c>
      <c r="C708" s="254">
        <f t="shared" si="4"/>
        <v>-9192.647652246078</v>
      </c>
      <c r="D708" s="255">
        <f t="shared" si="5"/>
        <v>1</v>
      </c>
    </row>
    <row r="709" spans="1:4" ht="14.25" customHeight="1" x14ac:dyDescent="0.25">
      <c r="A709" s="28">
        <v>12837.528954443907</v>
      </c>
      <c r="B709" s="28">
        <v>0.35609405643802905</v>
      </c>
      <c r="C709" s="254">
        <f t="shared" si="4"/>
        <v>35609.405643802907</v>
      </c>
      <c r="D709" s="255">
        <f t="shared" si="5"/>
        <v>0</v>
      </c>
    </row>
    <row r="710" spans="1:4" ht="14.25" customHeight="1" x14ac:dyDescent="0.25">
      <c r="A710" s="28">
        <v>10444.515576659134</v>
      </c>
      <c r="B710" s="28">
        <v>0.15886896927758731</v>
      </c>
      <c r="C710" s="254">
        <f t="shared" si="4"/>
        <v>15886.896927758731</v>
      </c>
      <c r="D710" s="255">
        <f t="shared" si="5"/>
        <v>0</v>
      </c>
    </row>
    <row r="711" spans="1:4" ht="14.25" customHeight="1" x14ac:dyDescent="0.25">
      <c r="A711" s="28">
        <v>3141.3640275650541</v>
      </c>
      <c r="B711" s="28">
        <v>0.30497676895592063</v>
      </c>
      <c r="C711" s="254">
        <f t="shared" si="4"/>
        <v>30497.676895592063</v>
      </c>
      <c r="D711" s="255">
        <f t="shared" si="5"/>
        <v>0</v>
      </c>
    </row>
    <row r="712" spans="1:4" ht="14.25" customHeight="1" x14ac:dyDescent="0.25">
      <c r="A712" s="28">
        <v>4303.4872578108916</v>
      </c>
      <c r="B712" s="28">
        <v>0.28406313351971813</v>
      </c>
      <c r="C712" s="254">
        <f t="shared" si="4"/>
        <v>28406.313351971814</v>
      </c>
      <c r="D712" s="255">
        <f t="shared" si="5"/>
        <v>0</v>
      </c>
    </row>
    <row r="713" spans="1:4" ht="14.25" customHeight="1" x14ac:dyDescent="0.25">
      <c r="A713" s="28">
        <v>13245.173679628548</v>
      </c>
      <c r="B713" s="28">
        <v>0.39106115802885433</v>
      </c>
      <c r="C713" s="254">
        <f t="shared" si="4"/>
        <v>39106.115802885433</v>
      </c>
      <c r="D713" s="255">
        <f t="shared" si="5"/>
        <v>0</v>
      </c>
    </row>
    <row r="714" spans="1:4" ht="14.25" customHeight="1" x14ac:dyDescent="0.25">
      <c r="A714" s="28">
        <v>7573.6436935210077</v>
      </c>
      <c r="B714" s="28">
        <v>8.3562747785601577E-2</v>
      </c>
      <c r="C714" s="254">
        <f t="shared" si="4"/>
        <v>8356.2747785601568</v>
      </c>
      <c r="D714" s="255">
        <f t="shared" si="5"/>
        <v>0</v>
      </c>
    </row>
    <row r="715" spans="1:4" ht="14.25" customHeight="1" x14ac:dyDescent="0.25">
      <c r="A715" s="28">
        <v>10981.046254933121</v>
      </c>
      <c r="B715" s="28">
        <v>-0.26950263438626187</v>
      </c>
      <c r="C715" s="254">
        <f t="shared" si="4"/>
        <v>-26950.263438626189</v>
      </c>
      <c r="D715" s="255">
        <f t="shared" si="5"/>
        <v>1</v>
      </c>
    </row>
    <row r="716" spans="1:4" ht="14.25" customHeight="1" x14ac:dyDescent="0.25">
      <c r="A716" s="28">
        <v>9213.330538501461</v>
      </c>
      <c r="B716" s="28">
        <v>0.17850903604137136</v>
      </c>
      <c r="C716" s="254">
        <f t="shared" si="4"/>
        <v>17850.903604137136</v>
      </c>
      <c r="D716" s="255">
        <f t="shared" si="5"/>
        <v>0</v>
      </c>
    </row>
    <row r="717" spans="1:4" ht="14.25" customHeight="1" x14ac:dyDescent="0.25">
      <c r="A717" s="28">
        <v>11515.521256024738</v>
      </c>
      <c r="B717" s="28">
        <v>9.5857220177708591E-3</v>
      </c>
      <c r="C717" s="254">
        <f t="shared" si="4"/>
        <v>958.57220177708587</v>
      </c>
      <c r="D717" s="255">
        <f t="shared" si="5"/>
        <v>1</v>
      </c>
    </row>
    <row r="718" spans="1:4" ht="14.25" customHeight="1" x14ac:dyDescent="0.25">
      <c r="A718" s="28">
        <v>-292.35662313128705</v>
      </c>
      <c r="B718" s="28">
        <v>-0.13158097899574628</v>
      </c>
      <c r="C718" s="254">
        <f t="shared" si="4"/>
        <v>-13158.097899574628</v>
      </c>
      <c r="D718" s="255">
        <f t="shared" si="5"/>
        <v>1</v>
      </c>
    </row>
    <row r="719" spans="1:4" ht="14.25" customHeight="1" x14ac:dyDescent="0.25">
      <c r="A719" s="28">
        <v>6576.551520594352</v>
      </c>
      <c r="B719" s="28">
        <v>0.17086685454080408</v>
      </c>
      <c r="C719" s="254">
        <f t="shared" si="4"/>
        <v>17086.685454080409</v>
      </c>
      <c r="D719" s="255">
        <f t="shared" si="5"/>
        <v>0</v>
      </c>
    </row>
    <row r="720" spans="1:4" ht="14.25" customHeight="1" x14ac:dyDescent="0.25">
      <c r="A720" s="28">
        <v>-2687.4507107250829</v>
      </c>
      <c r="B720" s="28">
        <v>-0.35134319188962015</v>
      </c>
      <c r="C720" s="254">
        <f t="shared" si="4"/>
        <v>-35134.319188962014</v>
      </c>
      <c r="D720" s="255">
        <f t="shared" si="5"/>
        <v>1</v>
      </c>
    </row>
    <row r="721" spans="1:4" ht="14.25" customHeight="1" x14ac:dyDescent="0.25">
      <c r="A721" s="28">
        <v>672.27244071026507</v>
      </c>
      <c r="B721" s="28">
        <v>0.19019324779935687</v>
      </c>
      <c r="C721" s="254">
        <f t="shared" si="4"/>
        <v>19019.324779935687</v>
      </c>
      <c r="D721" s="255">
        <f t="shared" si="5"/>
        <v>0</v>
      </c>
    </row>
    <row r="722" spans="1:4" ht="14.25" customHeight="1" x14ac:dyDescent="0.25">
      <c r="A722" s="28">
        <v>8891.8642429711617</v>
      </c>
      <c r="B722" s="28">
        <v>0.24583620540060225</v>
      </c>
      <c r="C722" s="254">
        <f t="shared" si="4"/>
        <v>24583.620540060223</v>
      </c>
      <c r="D722" s="255">
        <f t="shared" si="5"/>
        <v>0</v>
      </c>
    </row>
    <row r="723" spans="1:4" ht="14.25" customHeight="1" x14ac:dyDescent="0.25">
      <c r="A723" s="28">
        <v>7842.6395896725735</v>
      </c>
      <c r="B723" s="28">
        <v>-2.5193814158852135E-2</v>
      </c>
      <c r="C723" s="254">
        <f t="shared" si="4"/>
        <v>-2519.3814158852133</v>
      </c>
      <c r="D723" s="255">
        <f t="shared" si="5"/>
        <v>1</v>
      </c>
    </row>
    <row r="724" spans="1:4" ht="14.25" customHeight="1" x14ac:dyDescent="0.25">
      <c r="A724" s="28">
        <v>6361.6935040979733</v>
      </c>
      <c r="B724" s="28">
        <v>3.3594086933170342E-2</v>
      </c>
      <c r="C724" s="254">
        <f t="shared" si="4"/>
        <v>3359.4086933170342</v>
      </c>
      <c r="D724" s="255">
        <f t="shared" si="5"/>
        <v>1</v>
      </c>
    </row>
    <row r="725" spans="1:4" ht="14.25" customHeight="1" x14ac:dyDescent="0.25">
      <c r="A725" s="28">
        <v>10944.666983101582</v>
      </c>
      <c r="B725" s="28">
        <v>-0.13820545042937615</v>
      </c>
      <c r="C725" s="254">
        <f t="shared" si="4"/>
        <v>-13820.545042937616</v>
      </c>
      <c r="D725" s="255">
        <f t="shared" si="5"/>
        <v>1</v>
      </c>
    </row>
    <row r="726" spans="1:4" ht="14.25" customHeight="1" x14ac:dyDescent="0.25">
      <c r="A726" s="28">
        <v>14531.46774681138</v>
      </c>
      <c r="B726" s="28">
        <v>0.11582664708655543</v>
      </c>
      <c r="C726" s="254">
        <f t="shared" si="4"/>
        <v>11582.664708655544</v>
      </c>
      <c r="D726" s="255">
        <f t="shared" si="5"/>
        <v>1</v>
      </c>
    </row>
    <row r="727" spans="1:4" ht="14.25" customHeight="1" x14ac:dyDescent="0.25">
      <c r="A727" s="28">
        <v>-491.09607490139024</v>
      </c>
      <c r="B727" s="28">
        <v>-0.17767429955410607</v>
      </c>
      <c r="C727" s="254">
        <f t="shared" si="4"/>
        <v>-17767.429955410607</v>
      </c>
      <c r="D727" s="255">
        <f t="shared" si="5"/>
        <v>1</v>
      </c>
    </row>
    <row r="728" spans="1:4" ht="14.25" customHeight="1" x14ac:dyDescent="0.25">
      <c r="A728" s="28">
        <v>8802.1628788759263</v>
      </c>
      <c r="B728" s="28">
        <v>-0.10112729297737719</v>
      </c>
      <c r="C728" s="254">
        <f t="shared" si="4"/>
        <v>-10112.729297737718</v>
      </c>
      <c r="D728" s="255">
        <f t="shared" si="5"/>
        <v>1</v>
      </c>
    </row>
    <row r="729" spans="1:4" ht="14.25" customHeight="1" x14ac:dyDescent="0.25">
      <c r="A729" s="28">
        <v>158.37937212271936</v>
      </c>
      <c r="B729" s="28">
        <v>0.11031909003125318</v>
      </c>
      <c r="C729" s="254">
        <f t="shared" si="4"/>
        <v>11031.909003125318</v>
      </c>
      <c r="D729" s="255">
        <f t="shared" si="5"/>
        <v>0</v>
      </c>
    </row>
    <row r="730" spans="1:4" ht="14.25" customHeight="1" x14ac:dyDescent="0.25">
      <c r="A730" s="28">
        <v>7880.9633020871988</v>
      </c>
      <c r="B730" s="28">
        <v>-0.23188374427184644</v>
      </c>
      <c r="C730" s="254">
        <f t="shared" si="4"/>
        <v>-23188.374427184644</v>
      </c>
      <c r="D730" s="255">
        <f t="shared" si="5"/>
        <v>1</v>
      </c>
    </row>
    <row r="731" spans="1:4" ht="14.25" customHeight="1" x14ac:dyDescent="0.25">
      <c r="A731" s="28">
        <v>-540.83441498962929</v>
      </c>
      <c r="B731" s="28">
        <v>-0.14893090944464671</v>
      </c>
      <c r="C731" s="254">
        <f t="shared" si="4"/>
        <v>-14893.090944464671</v>
      </c>
      <c r="D731" s="255">
        <f t="shared" si="5"/>
        <v>1</v>
      </c>
    </row>
    <row r="732" spans="1:4" ht="14.25" customHeight="1" x14ac:dyDescent="0.25">
      <c r="A732" s="28">
        <v>6536.4954821229476</v>
      </c>
      <c r="B732" s="28">
        <v>-0.13485797780145825</v>
      </c>
      <c r="C732" s="254">
        <f t="shared" si="4"/>
        <v>-13485.797780145826</v>
      </c>
      <c r="D732" s="255">
        <f t="shared" si="5"/>
        <v>1</v>
      </c>
    </row>
    <row r="733" spans="1:4" ht="14.25" customHeight="1" x14ac:dyDescent="0.25">
      <c r="A733" s="28">
        <v>11708.870863190838</v>
      </c>
      <c r="B733" s="28">
        <v>3.226072955634196E-2</v>
      </c>
      <c r="C733" s="254">
        <f t="shared" si="4"/>
        <v>3226.0729556341962</v>
      </c>
      <c r="D733" s="255">
        <f t="shared" si="5"/>
        <v>1</v>
      </c>
    </row>
    <row r="734" spans="1:4" ht="14.25" customHeight="1" x14ac:dyDescent="0.25">
      <c r="A734" s="28">
        <v>5236.7311201454868</v>
      </c>
      <c r="B734" s="28">
        <v>-0.3740141309393803</v>
      </c>
      <c r="C734" s="254">
        <f t="shared" si="4"/>
        <v>-37401.413093938027</v>
      </c>
      <c r="D734" s="255">
        <f t="shared" si="5"/>
        <v>1</v>
      </c>
    </row>
    <row r="735" spans="1:4" ht="14.25" customHeight="1" x14ac:dyDescent="0.25">
      <c r="A735" s="28">
        <v>2843.9634419743088</v>
      </c>
      <c r="B735" s="28">
        <v>0.23100509622552967</v>
      </c>
      <c r="C735" s="254">
        <f t="shared" si="4"/>
        <v>23100.509622552967</v>
      </c>
      <c r="D735" s="255">
        <f t="shared" si="5"/>
        <v>0</v>
      </c>
    </row>
    <row r="736" spans="1:4" ht="14.25" customHeight="1" x14ac:dyDescent="0.25">
      <c r="A736" s="28">
        <v>8041.3201161524994</v>
      </c>
      <c r="B736" s="28">
        <v>0.11845877892093171</v>
      </c>
      <c r="C736" s="254">
        <f t="shared" si="4"/>
        <v>11845.877892093171</v>
      </c>
      <c r="D736" s="255">
        <f t="shared" si="5"/>
        <v>0</v>
      </c>
    </row>
    <row r="737" spans="1:4" ht="14.25" customHeight="1" x14ac:dyDescent="0.25">
      <c r="A737" s="28">
        <v>10333.558065504658</v>
      </c>
      <c r="B737" s="28">
        <v>0.10766188346425754</v>
      </c>
      <c r="C737" s="254">
        <f t="shared" si="4"/>
        <v>10766.188346425753</v>
      </c>
      <c r="D737" s="255">
        <f t="shared" si="5"/>
        <v>0</v>
      </c>
    </row>
    <row r="738" spans="1:4" ht="14.25" customHeight="1" x14ac:dyDescent="0.25">
      <c r="A738" s="28">
        <v>5750.1138913455507</v>
      </c>
      <c r="B738" s="28">
        <v>-2.2876069285377998E-2</v>
      </c>
      <c r="C738" s="254">
        <f t="shared" si="4"/>
        <v>-2287.6069285377998</v>
      </c>
      <c r="D738" s="255">
        <f t="shared" si="5"/>
        <v>1</v>
      </c>
    </row>
    <row r="739" spans="1:4" ht="14.25" customHeight="1" x14ac:dyDescent="0.25">
      <c r="A739" s="28">
        <v>9424.1161014342797</v>
      </c>
      <c r="B739" s="28">
        <v>-0.1818245022537095</v>
      </c>
      <c r="C739" s="254">
        <f t="shared" si="4"/>
        <v>-18182.450225370951</v>
      </c>
      <c r="D739" s="255">
        <f t="shared" si="5"/>
        <v>1</v>
      </c>
    </row>
    <row r="740" spans="1:4" ht="14.25" customHeight="1" x14ac:dyDescent="0.25">
      <c r="A740" s="28">
        <v>2522.8995659809152</v>
      </c>
      <c r="B740" s="28">
        <v>0.29420776721707131</v>
      </c>
      <c r="C740" s="254">
        <f t="shared" si="4"/>
        <v>29420.77672170713</v>
      </c>
      <c r="D740" s="255">
        <f t="shared" si="5"/>
        <v>0</v>
      </c>
    </row>
    <row r="741" spans="1:4" ht="14.25" customHeight="1" x14ac:dyDescent="0.25">
      <c r="A741" s="28">
        <v>3568.2518741129315</v>
      </c>
      <c r="B741" s="28">
        <v>-7.6744964198257382E-2</v>
      </c>
      <c r="C741" s="254">
        <f t="shared" si="4"/>
        <v>-7674.4964198257385</v>
      </c>
      <c r="D741" s="255">
        <f t="shared" si="5"/>
        <v>1</v>
      </c>
    </row>
    <row r="742" spans="1:4" ht="14.25" customHeight="1" x14ac:dyDescent="0.25">
      <c r="A742" s="28">
        <v>14706.687427743323</v>
      </c>
      <c r="B742" s="28">
        <v>-3.6436012849321742E-2</v>
      </c>
      <c r="C742" s="254">
        <f t="shared" si="4"/>
        <v>-3643.6012849321742</v>
      </c>
      <c r="D742" s="255">
        <f t="shared" si="5"/>
        <v>1</v>
      </c>
    </row>
    <row r="743" spans="1:4" ht="14.25" customHeight="1" x14ac:dyDescent="0.25">
      <c r="A743" s="28">
        <v>7962.9555733526722</v>
      </c>
      <c r="B743" s="28">
        <v>0.23007176329906409</v>
      </c>
      <c r="C743" s="254">
        <f t="shared" si="4"/>
        <v>23007.176329906408</v>
      </c>
      <c r="D743" s="255">
        <f t="shared" si="5"/>
        <v>0</v>
      </c>
    </row>
    <row r="744" spans="1:4" ht="14.25" customHeight="1" x14ac:dyDescent="0.25">
      <c r="A744" s="28">
        <v>10964.152567773577</v>
      </c>
      <c r="B744" s="28">
        <v>-2.6528502977662516E-2</v>
      </c>
      <c r="C744" s="254">
        <f t="shared" si="4"/>
        <v>-2652.8502977662515</v>
      </c>
      <c r="D744" s="255">
        <f t="shared" si="5"/>
        <v>1</v>
      </c>
    </row>
    <row r="745" spans="1:4" ht="14.25" customHeight="1" x14ac:dyDescent="0.25">
      <c r="A745" s="28">
        <v>11443.354047719949</v>
      </c>
      <c r="B745" s="28">
        <v>0.62241685288164872</v>
      </c>
      <c r="C745" s="254">
        <f t="shared" si="4"/>
        <v>62241.685288164874</v>
      </c>
      <c r="D745" s="255">
        <f t="shared" si="5"/>
        <v>0</v>
      </c>
    </row>
    <row r="746" spans="1:4" ht="14.25" customHeight="1" x14ac:dyDescent="0.25">
      <c r="A746" s="28">
        <v>8546.3797786993673</v>
      </c>
      <c r="B746" s="28">
        <v>0.13250883497650356</v>
      </c>
      <c r="C746" s="254">
        <f t="shared" si="4"/>
        <v>13250.883497650357</v>
      </c>
      <c r="D746" s="255">
        <f t="shared" si="5"/>
        <v>0</v>
      </c>
    </row>
    <row r="747" spans="1:4" ht="14.25" customHeight="1" x14ac:dyDescent="0.25">
      <c r="A747" s="28">
        <v>3036.7891127411131</v>
      </c>
      <c r="B747" s="28">
        <v>0.22023989030664404</v>
      </c>
      <c r="C747" s="254">
        <f t="shared" si="4"/>
        <v>22023.989030664405</v>
      </c>
      <c r="D747" s="255">
        <f t="shared" si="5"/>
        <v>0</v>
      </c>
    </row>
    <row r="748" spans="1:4" ht="14.25" customHeight="1" x14ac:dyDescent="0.25">
      <c r="A748" s="28">
        <v>975.34441514566424</v>
      </c>
      <c r="B748" s="28">
        <v>0.24622271671665752</v>
      </c>
      <c r="C748" s="254">
        <f t="shared" si="4"/>
        <v>24622.271671665752</v>
      </c>
      <c r="D748" s="255">
        <f t="shared" si="5"/>
        <v>0</v>
      </c>
    </row>
    <row r="749" spans="1:4" ht="14.25" customHeight="1" x14ac:dyDescent="0.25">
      <c r="A749" s="28">
        <v>11764.43376901593</v>
      </c>
      <c r="B749" s="28">
        <v>0.30803183066221451</v>
      </c>
      <c r="C749" s="254">
        <f t="shared" si="4"/>
        <v>30803.183066221452</v>
      </c>
      <c r="D749" s="255">
        <f t="shared" si="5"/>
        <v>0</v>
      </c>
    </row>
    <row r="750" spans="1:4" ht="14.25" customHeight="1" x14ac:dyDescent="0.25">
      <c r="A750" s="28">
        <v>-1836.561085598878</v>
      </c>
      <c r="B750" s="28">
        <v>-9.8395842025305491E-2</v>
      </c>
      <c r="C750" s="254">
        <f t="shared" si="4"/>
        <v>-9839.5842025305483</v>
      </c>
      <c r="D750" s="255">
        <f t="shared" si="5"/>
        <v>1</v>
      </c>
    </row>
    <row r="751" spans="1:4" ht="14.25" customHeight="1" x14ac:dyDescent="0.25">
      <c r="A751" s="28">
        <v>12382.24440199956</v>
      </c>
      <c r="B751" s="28">
        <v>0.15213840222363162</v>
      </c>
      <c r="C751" s="254">
        <f t="shared" si="4"/>
        <v>15213.840222363162</v>
      </c>
      <c r="D751" s="255">
        <f t="shared" si="5"/>
        <v>0</v>
      </c>
    </row>
    <row r="752" spans="1:4" ht="14.25" customHeight="1" x14ac:dyDescent="0.25">
      <c r="A752" s="28">
        <v>-1845.7797439330316</v>
      </c>
      <c r="B752" s="28">
        <v>-0.31318336171724037</v>
      </c>
      <c r="C752" s="254">
        <f t="shared" si="4"/>
        <v>-31318.336171724037</v>
      </c>
      <c r="D752" s="255">
        <f t="shared" si="5"/>
        <v>1</v>
      </c>
    </row>
    <row r="753" spans="1:4" ht="14.25" customHeight="1" x14ac:dyDescent="0.25">
      <c r="A753" s="28">
        <v>2267.2836995679536</v>
      </c>
      <c r="B753" s="28">
        <v>7.3118491617473413E-2</v>
      </c>
      <c r="C753" s="254">
        <f t="shared" si="4"/>
        <v>7311.849161747341</v>
      </c>
      <c r="D753" s="255">
        <f t="shared" si="5"/>
        <v>0</v>
      </c>
    </row>
    <row r="754" spans="1:4" ht="14.25" customHeight="1" x14ac:dyDescent="0.25">
      <c r="A754" s="28">
        <v>9171.9894237461413</v>
      </c>
      <c r="B754" s="28">
        <v>-0.14899628937817555</v>
      </c>
      <c r="C754" s="254">
        <f t="shared" si="4"/>
        <v>-14899.628937817555</v>
      </c>
      <c r="D754" s="255">
        <f t="shared" si="5"/>
        <v>1</v>
      </c>
    </row>
    <row r="755" spans="1:4" ht="14.25" customHeight="1" x14ac:dyDescent="0.25">
      <c r="A755" s="28">
        <v>12128.966871406563</v>
      </c>
      <c r="B755" s="28">
        <v>-4.6188758878544345E-2</v>
      </c>
      <c r="C755" s="254">
        <f t="shared" si="4"/>
        <v>-4618.875887854434</v>
      </c>
      <c r="D755" s="255">
        <f t="shared" si="5"/>
        <v>1</v>
      </c>
    </row>
    <row r="756" spans="1:4" ht="14.25" customHeight="1" x14ac:dyDescent="0.25">
      <c r="A756" s="28">
        <v>10045.339009975498</v>
      </c>
      <c r="B756" s="28">
        <v>-0.1772834642080876</v>
      </c>
      <c r="C756" s="254">
        <f t="shared" si="4"/>
        <v>-17728.346420808761</v>
      </c>
      <c r="D756" s="255">
        <f t="shared" si="5"/>
        <v>1</v>
      </c>
    </row>
    <row r="757" spans="1:4" ht="14.25" customHeight="1" x14ac:dyDescent="0.25">
      <c r="A757" s="28">
        <v>9432.1313181176738</v>
      </c>
      <c r="B757" s="28">
        <v>0.2351212192310721</v>
      </c>
      <c r="C757" s="254">
        <f t="shared" si="4"/>
        <v>23512.12192310721</v>
      </c>
      <c r="D757" s="255">
        <f t="shared" si="5"/>
        <v>0</v>
      </c>
    </row>
    <row r="758" spans="1:4" ht="14.25" customHeight="1" x14ac:dyDescent="0.25">
      <c r="A758" s="28">
        <v>14036.756581561473</v>
      </c>
      <c r="B758" s="28">
        <v>0.12998383203286679</v>
      </c>
      <c r="C758" s="254">
        <f t="shared" si="4"/>
        <v>12998.383203286679</v>
      </c>
      <c r="D758" s="255">
        <f t="shared" si="5"/>
        <v>1</v>
      </c>
    </row>
    <row r="759" spans="1:4" ht="14.25" customHeight="1" x14ac:dyDescent="0.25">
      <c r="A759" s="28">
        <v>10882.909918312565</v>
      </c>
      <c r="B759" s="28">
        <v>-0.20872560571779553</v>
      </c>
      <c r="C759" s="254">
        <f t="shared" si="4"/>
        <v>-20872.560571779552</v>
      </c>
      <c r="D759" s="255">
        <f t="shared" si="5"/>
        <v>1</v>
      </c>
    </row>
    <row r="760" spans="1:4" ht="14.25" customHeight="1" x14ac:dyDescent="0.25">
      <c r="A760" s="28">
        <v>6828.2795002070779</v>
      </c>
      <c r="B760" s="28">
        <v>0.28151323019520902</v>
      </c>
      <c r="C760" s="254">
        <f t="shared" si="4"/>
        <v>28151.323019520903</v>
      </c>
      <c r="D760" s="255">
        <f t="shared" si="5"/>
        <v>0</v>
      </c>
    </row>
    <row r="761" spans="1:4" ht="14.25" customHeight="1" x14ac:dyDescent="0.25">
      <c r="A761" s="28">
        <v>12791.449241665359</v>
      </c>
      <c r="B761" s="28">
        <v>9.3506071828982407E-2</v>
      </c>
      <c r="C761" s="254">
        <f t="shared" si="4"/>
        <v>9350.6071828982404</v>
      </c>
      <c r="D761" s="255">
        <f t="shared" si="5"/>
        <v>1</v>
      </c>
    </row>
    <row r="762" spans="1:4" ht="14.25" customHeight="1" x14ac:dyDescent="0.25">
      <c r="A762" s="28">
        <v>12285.629282846843</v>
      </c>
      <c r="B762" s="28">
        <v>-6.7557492946690445E-2</v>
      </c>
      <c r="C762" s="254">
        <f t="shared" si="4"/>
        <v>-6755.7492946690445</v>
      </c>
      <c r="D762" s="255">
        <f t="shared" si="5"/>
        <v>1</v>
      </c>
    </row>
    <row r="763" spans="1:4" ht="14.25" customHeight="1" x14ac:dyDescent="0.25">
      <c r="A763" s="28">
        <v>2772.1457337990723</v>
      </c>
      <c r="B763" s="28">
        <v>-1.7946526969852161E-2</v>
      </c>
      <c r="C763" s="254">
        <f t="shared" si="4"/>
        <v>-1794.6526969852162</v>
      </c>
      <c r="D763" s="255">
        <f t="shared" si="5"/>
        <v>1</v>
      </c>
    </row>
    <row r="764" spans="1:4" ht="14.25" customHeight="1" x14ac:dyDescent="0.25">
      <c r="A764" s="28">
        <v>10526.99194351746</v>
      </c>
      <c r="B764" s="28">
        <v>0.1192358996915388</v>
      </c>
      <c r="C764" s="254">
        <f t="shared" si="4"/>
        <v>11923.58996915388</v>
      </c>
      <c r="D764" s="255">
        <f t="shared" si="5"/>
        <v>0</v>
      </c>
    </row>
    <row r="765" spans="1:4" ht="14.25" customHeight="1" x14ac:dyDescent="0.25">
      <c r="A765" s="28">
        <v>9690.456636406263</v>
      </c>
      <c r="B765" s="28">
        <v>-0.32477881593672242</v>
      </c>
      <c r="C765" s="254">
        <f t="shared" si="4"/>
        <v>-32477.881593672242</v>
      </c>
      <c r="D765" s="255">
        <f t="shared" si="5"/>
        <v>1</v>
      </c>
    </row>
    <row r="766" spans="1:4" ht="14.25" customHeight="1" x14ac:dyDescent="0.25">
      <c r="A766" s="28">
        <v>4028.4483299142012</v>
      </c>
      <c r="B766" s="28">
        <v>-0.41327935610013955</v>
      </c>
      <c r="C766" s="254">
        <f t="shared" si="4"/>
        <v>-41327.935610013956</v>
      </c>
      <c r="D766" s="255">
        <f t="shared" si="5"/>
        <v>1</v>
      </c>
    </row>
    <row r="767" spans="1:4" ht="14.25" customHeight="1" x14ac:dyDescent="0.25">
      <c r="A767" s="28">
        <v>9629.6590392602375</v>
      </c>
      <c r="B767" s="28">
        <v>0.41545235201747799</v>
      </c>
      <c r="C767" s="254">
        <f t="shared" ref="C767:C1001" si="6">B767*$G$2</f>
        <v>41545.235201747797</v>
      </c>
      <c r="D767" s="255">
        <f t="shared" ref="D767:D1001" si="7">IF(A767&gt;C767,1,0)</f>
        <v>0</v>
      </c>
    </row>
    <row r="768" spans="1:4" ht="14.25" customHeight="1" x14ac:dyDescent="0.25">
      <c r="A768" s="28">
        <v>13922.632473394166</v>
      </c>
      <c r="B768" s="28">
        <v>-0.57816977983496676</v>
      </c>
      <c r="C768" s="254">
        <f t="shared" si="6"/>
        <v>-57816.977983496676</v>
      </c>
      <c r="D768" s="255">
        <f t="shared" si="7"/>
        <v>1</v>
      </c>
    </row>
    <row r="769" spans="1:4" ht="14.25" customHeight="1" x14ac:dyDescent="0.25">
      <c r="A769" s="28">
        <v>5440.6894355662662</v>
      </c>
      <c r="B769" s="28">
        <v>0.15160557604460312</v>
      </c>
      <c r="C769" s="254">
        <f t="shared" si="6"/>
        <v>15160.557604460311</v>
      </c>
      <c r="D769" s="255">
        <f t="shared" si="7"/>
        <v>0</v>
      </c>
    </row>
    <row r="770" spans="1:4" ht="14.25" customHeight="1" x14ac:dyDescent="0.25">
      <c r="A770" s="28">
        <v>8893.8789895986556</v>
      </c>
      <c r="B770" s="28">
        <v>2.0401189474777759E-2</v>
      </c>
      <c r="C770" s="254">
        <f t="shared" si="6"/>
        <v>2040.1189474777759</v>
      </c>
      <c r="D770" s="255">
        <f t="shared" si="7"/>
        <v>1</v>
      </c>
    </row>
    <row r="771" spans="1:4" ht="14.25" customHeight="1" x14ac:dyDescent="0.25">
      <c r="A771" s="28">
        <v>6168.8877318339364</v>
      </c>
      <c r="B771" s="28">
        <v>-0.25963465127548657</v>
      </c>
      <c r="C771" s="254">
        <f t="shared" si="6"/>
        <v>-25963.465127548658</v>
      </c>
      <c r="D771" s="255">
        <f t="shared" si="7"/>
        <v>1</v>
      </c>
    </row>
    <row r="772" spans="1:4" ht="14.25" customHeight="1" x14ac:dyDescent="0.25">
      <c r="A772" s="28">
        <v>9042.2855824876242</v>
      </c>
      <c r="B772" s="28">
        <v>4.4630173863305256E-2</v>
      </c>
      <c r="C772" s="254">
        <f t="shared" si="6"/>
        <v>4463.0173863305254</v>
      </c>
      <c r="D772" s="255">
        <f t="shared" si="7"/>
        <v>1</v>
      </c>
    </row>
    <row r="773" spans="1:4" ht="14.25" customHeight="1" x14ac:dyDescent="0.25">
      <c r="A773" s="28">
        <v>4060.9123158250295</v>
      </c>
      <c r="B773" s="28">
        <v>0.39190563924222815</v>
      </c>
      <c r="C773" s="254">
        <f t="shared" si="6"/>
        <v>39190.563924222814</v>
      </c>
      <c r="D773" s="255">
        <f t="shared" si="7"/>
        <v>0</v>
      </c>
    </row>
    <row r="774" spans="1:4" ht="14.25" customHeight="1" x14ac:dyDescent="0.25">
      <c r="A774" s="28">
        <v>1063.4465410803241</v>
      </c>
      <c r="B774" s="28">
        <v>-2.0507375181178844E-2</v>
      </c>
      <c r="C774" s="254">
        <f t="shared" si="6"/>
        <v>-2050.7375181178845</v>
      </c>
      <c r="D774" s="255">
        <f t="shared" si="7"/>
        <v>1</v>
      </c>
    </row>
    <row r="775" spans="1:4" ht="14.25" customHeight="1" x14ac:dyDescent="0.25">
      <c r="A775" s="28">
        <v>8123.0436174759743</v>
      </c>
      <c r="B775" s="28">
        <v>0.29065538465473972</v>
      </c>
      <c r="C775" s="254">
        <f t="shared" si="6"/>
        <v>29065.538465473972</v>
      </c>
      <c r="D775" s="255">
        <f t="shared" si="7"/>
        <v>0</v>
      </c>
    </row>
    <row r="776" spans="1:4" ht="14.25" customHeight="1" x14ac:dyDescent="0.25">
      <c r="A776" s="28">
        <v>-1139.9897145307841</v>
      </c>
      <c r="B776" s="28">
        <v>0.23584937554741892</v>
      </c>
      <c r="C776" s="254">
        <f t="shared" si="6"/>
        <v>23584.937554741893</v>
      </c>
      <c r="D776" s="255">
        <f t="shared" si="7"/>
        <v>0</v>
      </c>
    </row>
    <row r="777" spans="1:4" ht="14.25" customHeight="1" x14ac:dyDescent="0.25">
      <c r="A777" s="28">
        <v>13447.70795916827</v>
      </c>
      <c r="B777" s="28">
        <v>0.32079022046010408</v>
      </c>
      <c r="C777" s="254">
        <f t="shared" si="6"/>
        <v>32079.022046010406</v>
      </c>
      <c r="D777" s="255">
        <f t="shared" si="7"/>
        <v>0</v>
      </c>
    </row>
    <row r="778" spans="1:4" ht="14.25" customHeight="1" x14ac:dyDescent="0.25">
      <c r="A778" s="28">
        <v>7575.6172172620863</v>
      </c>
      <c r="B778" s="28">
        <v>0.24014174738843241</v>
      </c>
      <c r="C778" s="254">
        <f t="shared" si="6"/>
        <v>24014.174738843241</v>
      </c>
      <c r="D778" s="255">
        <f t="shared" si="7"/>
        <v>0</v>
      </c>
    </row>
    <row r="779" spans="1:4" ht="14.25" customHeight="1" x14ac:dyDescent="0.25">
      <c r="A779" s="28">
        <v>8230.4938842196862</v>
      </c>
      <c r="B779" s="28">
        <v>9.9820005455571015E-2</v>
      </c>
      <c r="C779" s="254">
        <f t="shared" si="6"/>
        <v>9982.0005455571008</v>
      </c>
      <c r="D779" s="255">
        <f t="shared" si="7"/>
        <v>0</v>
      </c>
    </row>
    <row r="780" spans="1:4" ht="14.25" customHeight="1" x14ac:dyDescent="0.25">
      <c r="A780" s="28">
        <v>4762.8458009375609</v>
      </c>
      <c r="B780" s="28">
        <v>-3.2313210240660251E-2</v>
      </c>
      <c r="C780" s="254">
        <f t="shared" si="6"/>
        <v>-3231.3210240660251</v>
      </c>
      <c r="D780" s="255">
        <f t="shared" si="7"/>
        <v>1</v>
      </c>
    </row>
    <row r="781" spans="1:4" ht="14.25" customHeight="1" x14ac:dyDescent="0.25">
      <c r="A781" s="28">
        <v>11157.597008838318</v>
      </c>
      <c r="B781" s="28">
        <v>4.3426618875483491E-2</v>
      </c>
      <c r="C781" s="254">
        <f t="shared" si="6"/>
        <v>4342.6618875483491</v>
      </c>
      <c r="D781" s="255">
        <f t="shared" si="7"/>
        <v>1</v>
      </c>
    </row>
    <row r="782" spans="1:4" ht="14.25" customHeight="1" x14ac:dyDescent="0.25">
      <c r="A782" s="28">
        <v>6262.0971704747863</v>
      </c>
      <c r="B782" s="28">
        <v>0.3538821874732192</v>
      </c>
      <c r="C782" s="254">
        <f t="shared" si="6"/>
        <v>35388.218747321916</v>
      </c>
      <c r="D782" s="255">
        <f t="shared" si="7"/>
        <v>0</v>
      </c>
    </row>
    <row r="783" spans="1:4" ht="14.25" customHeight="1" x14ac:dyDescent="0.25">
      <c r="A783" s="28">
        <v>5012.9696926327306</v>
      </c>
      <c r="B783" s="28">
        <v>9.0228578901273782E-2</v>
      </c>
      <c r="C783" s="254">
        <f t="shared" si="6"/>
        <v>9022.8578901273777</v>
      </c>
      <c r="D783" s="255">
        <f t="shared" si="7"/>
        <v>0</v>
      </c>
    </row>
    <row r="784" spans="1:4" ht="14.25" customHeight="1" x14ac:dyDescent="0.25">
      <c r="A784" s="28">
        <v>4154.4122049299986</v>
      </c>
      <c r="B784" s="28">
        <v>0.18995740137007244</v>
      </c>
      <c r="C784" s="254">
        <f t="shared" si="6"/>
        <v>18995.740137007244</v>
      </c>
      <c r="D784" s="255">
        <f t="shared" si="7"/>
        <v>0</v>
      </c>
    </row>
    <row r="785" spans="1:4" ht="14.25" customHeight="1" x14ac:dyDescent="0.25">
      <c r="A785" s="28">
        <v>7360.5654276805144</v>
      </c>
      <c r="B785" s="28">
        <v>-9.1684015536463326E-2</v>
      </c>
      <c r="C785" s="254">
        <f t="shared" si="6"/>
        <v>-9168.4015536463321</v>
      </c>
      <c r="D785" s="255">
        <f t="shared" si="7"/>
        <v>1</v>
      </c>
    </row>
    <row r="786" spans="1:4" ht="14.25" customHeight="1" x14ac:dyDescent="0.25">
      <c r="A786" s="28">
        <v>5155.4018580761913</v>
      </c>
      <c r="B786" s="28">
        <v>3.0924266662059607E-3</v>
      </c>
      <c r="C786" s="254">
        <f t="shared" si="6"/>
        <v>309.24266662059608</v>
      </c>
      <c r="D786" s="255">
        <f t="shared" si="7"/>
        <v>1</v>
      </c>
    </row>
    <row r="787" spans="1:4" ht="14.25" customHeight="1" x14ac:dyDescent="0.25">
      <c r="A787" s="28">
        <v>16598.103462267019</v>
      </c>
      <c r="B787" s="28">
        <v>2.5426764470054763E-2</v>
      </c>
      <c r="C787" s="254">
        <f t="shared" si="6"/>
        <v>2542.6764470054763</v>
      </c>
      <c r="D787" s="255">
        <f t="shared" si="7"/>
        <v>1</v>
      </c>
    </row>
    <row r="788" spans="1:4" ht="14.25" customHeight="1" x14ac:dyDescent="0.25">
      <c r="A788" s="28">
        <v>7561.7962912885123</v>
      </c>
      <c r="B788" s="28">
        <v>0.35481076178746429</v>
      </c>
      <c r="C788" s="254">
        <f t="shared" si="6"/>
        <v>35481.076178746429</v>
      </c>
      <c r="D788" s="255">
        <f t="shared" si="7"/>
        <v>0</v>
      </c>
    </row>
    <row r="789" spans="1:4" ht="14.25" customHeight="1" x14ac:dyDescent="0.25">
      <c r="A789" s="28">
        <v>747.10271517653018</v>
      </c>
      <c r="B789" s="28">
        <v>-8.6167734690876241E-3</v>
      </c>
      <c r="C789" s="254">
        <f t="shared" si="6"/>
        <v>-861.67734690876239</v>
      </c>
      <c r="D789" s="255">
        <f t="shared" si="7"/>
        <v>1</v>
      </c>
    </row>
    <row r="790" spans="1:4" ht="14.25" customHeight="1" x14ac:dyDescent="0.25">
      <c r="A790" s="28">
        <v>-1465.6372612851701</v>
      </c>
      <c r="B790" s="28">
        <v>-0.19146849635429009</v>
      </c>
      <c r="C790" s="254">
        <f t="shared" si="6"/>
        <v>-19146.849635429007</v>
      </c>
      <c r="D790" s="255">
        <f t="shared" si="7"/>
        <v>1</v>
      </c>
    </row>
    <row r="791" spans="1:4" ht="14.25" customHeight="1" x14ac:dyDescent="0.25">
      <c r="A791" s="28">
        <v>4393.9702237674574</v>
      </c>
      <c r="B791" s="28">
        <v>0.24141663378000633</v>
      </c>
      <c r="C791" s="254">
        <f t="shared" si="6"/>
        <v>24141.663378000634</v>
      </c>
      <c r="D791" s="255">
        <f t="shared" si="7"/>
        <v>0</v>
      </c>
    </row>
    <row r="792" spans="1:4" ht="14.25" customHeight="1" x14ac:dyDescent="0.25">
      <c r="A792" s="28">
        <v>10681.490630168832</v>
      </c>
      <c r="B792" s="28">
        <v>-6.7070490889262757E-3</v>
      </c>
      <c r="C792" s="254">
        <f t="shared" si="6"/>
        <v>-670.7049088926276</v>
      </c>
      <c r="D792" s="255">
        <f t="shared" si="7"/>
        <v>1</v>
      </c>
    </row>
    <row r="793" spans="1:4" ht="14.25" customHeight="1" x14ac:dyDescent="0.25">
      <c r="A793" s="28">
        <v>3568.4009019282094</v>
      </c>
      <c r="B793" s="28">
        <v>-0.23945633110156495</v>
      </c>
      <c r="C793" s="254">
        <f t="shared" si="6"/>
        <v>-23945.633110156494</v>
      </c>
      <c r="D793" s="255">
        <f t="shared" si="7"/>
        <v>1</v>
      </c>
    </row>
    <row r="794" spans="1:4" ht="14.25" customHeight="1" x14ac:dyDescent="0.25">
      <c r="A794" s="28">
        <v>5016.2241441759834</v>
      </c>
      <c r="B794" s="28">
        <v>0.48886792958727288</v>
      </c>
      <c r="C794" s="254">
        <f t="shared" si="6"/>
        <v>48886.792958727288</v>
      </c>
      <c r="D794" s="255">
        <f t="shared" si="7"/>
        <v>0</v>
      </c>
    </row>
    <row r="795" spans="1:4" ht="14.25" customHeight="1" x14ac:dyDescent="0.25">
      <c r="A795" s="28">
        <v>7989.9452193379839</v>
      </c>
      <c r="B795" s="28">
        <v>-4.6512349541467657E-3</v>
      </c>
      <c r="C795" s="254">
        <f t="shared" si="6"/>
        <v>-465.12349541467654</v>
      </c>
      <c r="D795" s="255">
        <f t="shared" si="7"/>
        <v>1</v>
      </c>
    </row>
    <row r="796" spans="1:4" ht="14.25" customHeight="1" x14ac:dyDescent="0.25">
      <c r="A796" s="28">
        <v>11664.743133862772</v>
      </c>
      <c r="B796" s="28">
        <v>-3.8315815704058842E-2</v>
      </c>
      <c r="C796" s="254">
        <f t="shared" si="6"/>
        <v>-3831.5815704058841</v>
      </c>
      <c r="D796" s="255">
        <f t="shared" si="7"/>
        <v>1</v>
      </c>
    </row>
    <row r="797" spans="1:4" ht="14.25" customHeight="1" x14ac:dyDescent="0.25">
      <c r="A797" s="28">
        <v>-1402.5274271521266</v>
      </c>
      <c r="B797" s="28">
        <v>9.6605097076682966E-3</v>
      </c>
      <c r="C797" s="254">
        <f t="shared" si="6"/>
        <v>966.05097076682966</v>
      </c>
      <c r="D797" s="255">
        <f t="shared" si="7"/>
        <v>0</v>
      </c>
    </row>
    <row r="798" spans="1:4" ht="14.25" customHeight="1" x14ac:dyDescent="0.25">
      <c r="A798" s="28">
        <v>4035.1116879282781</v>
      </c>
      <c r="B798" s="28">
        <v>0.41744573624865033</v>
      </c>
      <c r="C798" s="254">
        <f t="shared" si="6"/>
        <v>41744.573624865036</v>
      </c>
      <c r="D798" s="255">
        <f t="shared" si="7"/>
        <v>0</v>
      </c>
    </row>
    <row r="799" spans="1:4" ht="14.25" customHeight="1" x14ac:dyDescent="0.25">
      <c r="A799" s="28">
        <v>16504.888564563094</v>
      </c>
      <c r="B799" s="28">
        <v>0.23382586353202661</v>
      </c>
      <c r="C799" s="254">
        <f t="shared" si="6"/>
        <v>23382.58635320266</v>
      </c>
      <c r="D799" s="255">
        <f t="shared" si="7"/>
        <v>0</v>
      </c>
    </row>
    <row r="800" spans="1:4" ht="14.25" customHeight="1" x14ac:dyDescent="0.25">
      <c r="A800" s="28">
        <v>3959.520372578656</v>
      </c>
      <c r="B800" s="28">
        <v>0.16184956930406669</v>
      </c>
      <c r="C800" s="254">
        <f t="shared" si="6"/>
        <v>16184.956930406668</v>
      </c>
      <c r="D800" s="255">
        <f t="shared" si="7"/>
        <v>0</v>
      </c>
    </row>
    <row r="801" spans="1:4" ht="14.25" customHeight="1" x14ac:dyDescent="0.25">
      <c r="A801" s="28">
        <v>14021.585689520674</v>
      </c>
      <c r="B801" s="28">
        <v>-0.17490246404855636</v>
      </c>
      <c r="C801" s="254">
        <f t="shared" si="6"/>
        <v>-17490.246404855636</v>
      </c>
      <c r="D801" s="255">
        <f t="shared" si="7"/>
        <v>1</v>
      </c>
    </row>
    <row r="802" spans="1:4" ht="14.25" customHeight="1" x14ac:dyDescent="0.25">
      <c r="A802" s="28">
        <v>9089.6428788091434</v>
      </c>
      <c r="B802" s="28">
        <v>0.10687178495699845</v>
      </c>
      <c r="C802" s="254">
        <f t="shared" si="6"/>
        <v>10687.178495699845</v>
      </c>
      <c r="D802" s="255">
        <f t="shared" si="7"/>
        <v>0</v>
      </c>
    </row>
    <row r="803" spans="1:4" ht="14.25" customHeight="1" x14ac:dyDescent="0.25">
      <c r="A803" s="28">
        <v>7721.0000638026395</v>
      </c>
      <c r="B803" s="28">
        <v>-7.8146416673427588E-2</v>
      </c>
      <c r="C803" s="254">
        <f t="shared" si="6"/>
        <v>-7814.6416673427584</v>
      </c>
      <c r="D803" s="255">
        <f t="shared" si="7"/>
        <v>1</v>
      </c>
    </row>
    <row r="804" spans="1:4" ht="14.25" customHeight="1" x14ac:dyDescent="0.25">
      <c r="A804" s="28">
        <v>7176.2094924656267</v>
      </c>
      <c r="B804" s="28">
        <v>0.22040191305311385</v>
      </c>
      <c r="C804" s="254">
        <f t="shared" si="6"/>
        <v>22040.191305311386</v>
      </c>
      <c r="D804" s="255">
        <f t="shared" si="7"/>
        <v>0</v>
      </c>
    </row>
    <row r="805" spans="1:4" ht="14.25" customHeight="1" x14ac:dyDescent="0.25">
      <c r="A805" s="28">
        <v>13282.126322565266</v>
      </c>
      <c r="B805" s="28">
        <v>6.4723941688242803E-3</v>
      </c>
      <c r="C805" s="254">
        <f t="shared" si="6"/>
        <v>647.23941688242803</v>
      </c>
      <c r="D805" s="255">
        <f t="shared" si="7"/>
        <v>1</v>
      </c>
    </row>
    <row r="806" spans="1:4" ht="14.25" customHeight="1" x14ac:dyDescent="0.25">
      <c r="A806" s="28">
        <v>1645.0825982596289</v>
      </c>
      <c r="B806" s="28">
        <v>8.2590306000446922E-2</v>
      </c>
      <c r="C806" s="254">
        <f t="shared" si="6"/>
        <v>8259.0306000446926</v>
      </c>
      <c r="D806" s="255">
        <f t="shared" si="7"/>
        <v>0</v>
      </c>
    </row>
    <row r="807" spans="1:4" ht="14.25" customHeight="1" x14ac:dyDescent="0.25">
      <c r="A807" s="28">
        <v>11363.261172797211</v>
      </c>
      <c r="B807" s="28">
        <v>-8.366479182521358E-2</v>
      </c>
      <c r="C807" s="254">
        <f t="shared" si="6"/>
        <v>-8366.4791825213579</v>
      </c>
      <c r="D807" s="255">
        <f t="shared" si="7"/>
        <v>1</v>
      </c>
    </row>
    <row r="808" spans="1:4" ht="14.25" customHeight="1" x14ac:dyDescent="0.25">
      <c r="A808" s="28">
        <v>3690.7116873799969</v>
      </c>
      <c r="B808" s="28">
        <v>0.46231115084592744</v>
      </c>
      <c r="C808" s="254">
        <f t="shared" si="6"/>
        <v>46231.115084592748</v>
      </c>
      <c r="D808" s="255">
        <f t="shared" si="7"/>
        <v>0</v>
      </c>
    </row>
    <row r="809" spans="1:4" ht="14.25" customHeight="1" x14ac:dyDescent="0.25">
      <c r="A809" s="28">
        <v>-3229.9021570580808</v>
      </c>
      <c r="B809" s="28">
        <v>0.23616632714862007</v>
      </c>
      <c r="C809" s="254">
        <f t="shared" si="6"/>
        <v>23616.632714862008</v>
      </c>
      <c r="D809" s="255">
        <f t="shared" si="7"/>
        <v>0</v>
      </c>
    </row>
    <row r="810" spans="1:4" ht="14.25" customHeight="1" x14ac:dyDescent="0.25">
      <c r="A810" s="28">
        <v>-336.51720075367484</v>
      </c>
      <c r="B810" s="28">
        <v>-0.13505393865314463</v>
      </c>
      <c r="C810" s="254">
        <f t="shared" si="6"/>
        <v>-13505.393865314463</v>
      </c>
      <c r="D810" s="255">
        <f t="shared" si="7"/>
        <v>1</v>
      </c>
    </row>
    <row r="811" spans="1:4" ht="14.25" customHeight="1" x14ac:dyDescent="0.25">
      <c r="A811" s="28">
        <v>5879.6452157331514</v>
      </c>
      <c r="B811" s="28">
        <v>0.10638648799342032</v>
      </c>
      <c r="C811" s="254">
        <f t="shared" si="6"/>
        <v>10638.648799342032</v>
      </c>
      <c r="D811" s="255">
        <f t="shared" si="7"/>
        <v>0</v>
      </c>
    </row>
    <row r="812" spans="1:4" ht="14.25" customHeight="1" x14ac:dyDescent="0.25">
      <c r="A812" s="28">
        <v>-5492.4500214006548</v>
      </c>
      <c r="B812" s="28">
        <v>4.7289637099112714E-2</v>
      </c>
      <c r="C812" s="254">
        <f t="shared" si="6"/>
        <v>4728.9637099112715</v>
      </c>
      <c r="D812" s="255">
        <f t="shared" si="7"/>
        <v>0</v>
      </c>
    </row>
    <row r="813" spans="1:4" ht="14.25" customHeight="1" x14ac:dyDescent="0.25">
      <c r="A813" s="28">
        <v>941.01238553215808</v>
      </c>
      <c r="B813" s="28">
        <v>-7.2836079788685004E-2</v>
      </c>
      <c r="C813" s="254">
        <f t="shared" si="6"/>
        <v>-7283.6079788685001</v>
      </c>
      <c r="D813" s="255">
        <f t="shared" si="7"/>
        <v>1</v>
      </c>
    </row>
    <row r="814" spans="1:4" ht="14.25" customHeight="1" x14ac:dyDescent="0.25">
      <c r="A814" s="28">
        <v>6446.2439734719519</v>
      </c>
      <c r="B814" s="28">
        <v>-0.3013743123975039</v>
      </c>
      <c r="C814" s="254">
        <f t="shared" si="6"/>
        <v>-30137.431239750389</v>
      </c>
      <c r="D814" s="255">
        <f t="shared" si="7"/>
        <v>1</v>
      </c>
    </row>
    <row r="815" spans="1:4" ht="14.25" customHeight="1" x14ac:dyDescent="0.25">
      <c r="A815" s="28">
        <v>-594.15459212195128</v>
      </c>
      <c r="B815" s="28">
        <v>1.0934520823119964E-2</v>
      </c>
      <c r="C815" s="254">
        <f t="shared" si="6"/>
        <v>1093.4520823119965</v>
      </c>
      <c r="D815" s="255">
        <f t="shared" si="7"/>
        <v>0</v>
      </c>
    </row>
    <row r="816" spans="1:4" ht="14.25" customHeight="1" x14ac:dyDescent="0.25">
      <c r="A816" s="28">
        <v>11909.199381944629</v>
      </c>
      <c r="B816" s="28">
        <v>7.2625427216768568E-2</v>
      </c>
      <c r="C816" s="254">
        <f t="shared" si="6"/>
        <v>7262.5427216768567</v>
      </c>
      <c r="D816" s="255">
        <f t="shared" si="7"/>
        <v>1</v>
      </c>
    </row>
    <row r="817" spans="1:4" ht="14.25" customHeight="1" x14ac:dyDescent="0.25">
      <c r="A817" s="28">
        <v>1022.7025615232997</v>
      </c>
      <c r="B817" s="28">
        <v>0.69312512536535209</v>
      </c>
      <c r="C817" s="254">
        <f t="shared" si="6"/>
        <v>69312.512536535214</v>
      </c>
      <c r="D817" s="255">
        <f t="shared" si="7"/>
        <v>0</v>
      </c>
    </row>
    <row r="818" spans="1:4" ht="14.25" customHeight="1" x14ac:dyDescent="0.25">
      <c r="A818" s="28">
        <v>13755.515402925412</v>
      </c>
      <c r="B818" s="28">
        <v>-3.3278656946200358E-2</v>
      </c>
      <c r="C818" s="254">
        <f t="shared" si="6"/>
        <v>-3327.8656946200358</v>
      </c>
      <c r="D818" s="255">
        <f t="shared" si="7"/>
        <v>1</v>
      </c>
    </row>
    <row r="819" spans="1:4" ht="14.25" customHeight="1" x14ac:dyDescent="0.25">
      <c r="A819" s="28">
        <v>6108.6910965584102</v>
      </c>
      <c r="B819" s="28">
        <v>0.3344061367794211</v>
      </c>
      <c r="C819" s="254">
        <f t="shared" si="6"/>
        <v>33440.613677942107</v>
      </c>
      <c r="D819" s="255">
        <f t="shared" si="7"/>
        <v>0</v>
      </c>
    </row>
    <row r="820" spans="1:4" ht="14.25" customHeight="1" x14ac:dyDescent="0.25">
      <c r="A820" s="28">
        <v>15818.104029734764</v>
      </c>
      <c r="B820" s="28">
        <v>-2.3117193469142538E-2</v>
      </c>
      <c r="C820" s="254">
        <f t="shared" si="6"/>
        <v>-2311.7193469142539</v>
      </c>
      <c r="D820" s="255">
        <f t="shared" si="7"/>
        <v>1</v>
      </c>
    </row>
    <row r="821" spans="1:4" ht="14.25" customHeight="1" x14ac:dyDescent="0.25">
      <c r="A821" s="28">
        <v>9128.1507221881038</v>
      </c>
      <c r="B821" s="28">
        <v>-0.116407260812597</v>
      </c>
      <c r="C821" s="254">
        <f t="shared" si="6"/>
        <v>-11640.7260812597</v>
      </c>
      <c r="D821" s="255">
        <f t="shared" si="7"/>
        <v>1</v>
      </c>
    </row>
    <row r="822" spans="1:4" ht="14.25" customHeight="1" x14ac:dyDescent="0.25">
      <c r="A822" s="28">
        <v>2334.7472863087169</v>
      </c>
      <c r="B822" s="28">
        <v>0.11669211103847021</v>
      </c>
      <c r="C822" s="254">
        <f t="shared" si="6"/>
        <v>11669.211103847021</v>
      </c>
      <c r="D822" s="255">
        <f t="shared" si="7"/>
        <v>0</v>
      </c>
    </row>
    <row r="823" spans="1:4" ht="14.25" customHeight="1" x14ac:dyDescent="0.25">
      <c r="A823" s="28">
        <v>12284.984826580243</v>
      </c>
      <c r="B823" s="28">
        <v>-8.8771103563806797E-2</v>
      </c>
      <c r="C823" s="254">
        <f t="shared" si="6"/>
        <v>-8877.1103563806791</v>
      </c>
      <c r="D823" s="255">
        <f t="shared" si="7"/>
        <v>1</v>
      </c>
    </row>
    <row r="824" spans="1:4" ht="14.25" customHeight="1" x14ac:dyDescent="0.25">
      <c r="A824" s="28">
        <v>7392.2833122018492</v>
      </c>
      <c r="B824" s="28">
        <v>0.19946554958372359</v>
      </c>
      <c r="C824" s="254">
        <f t="shared" si="6"/>
        <v>19946.554958372359</v>
      </c>
      <c r="D824" s="255">
        <f t="shared" si="7"/>
        <v>0</v>
      </c>
    </row>
    <row r="825" spans="1:4" ht="14.25" customHeight="1" x14ac:dyDescent="0.25">
      <c r="A825" s="28">
        <v>7565.6397846745531</v>
      </c>
      <c r="B825" s="28">
        <v>0.21501024074749076</v>
      </c>
      <c r="C825" s="254">
        <f t="shared" si="6"/>
        <v>21501.024074749075</v>
      </c>
      <c r="D825" s="255">
        <f t="shared" si="7"/>
        <v>0</v>
      </c>
    </row>
    <row r="826" spans="1:4" ht="14.25" customHeight="1" x14ac:dyDescent="0.25">
      <c r="A826" s="28">
        <v>15231.933354037916</v>
      </c>
      <c r="B826" s="28">
        <v>-9.6712340109186945E-2</v>
      </c>
      <c r="C826" s="254">
        <f t="shared" si="6"/>
        <v>-9671.2340109186953</v>
      </c>
      <c r="D826" s="255">
        <f t="shared" si="7"/>
        <v>1</v>
      </c>
    </row>
    <row r="827" spans="1:4" ht="14.25" customHeight="1" x14ac:dyDescent="0.25">
      <c r="A827" s="28">
        <v>8739.071480562503</v>
      </c>
      <c r="B827" s="28">
        <v>0.60182843404017339</v>
      </c>
      <c r="C827" s="254">
        <f t="shared" si="6"/>
        <v>60182.843404017338</v>
      </c>
      <c r="D827" s="255">
        <f t="shared" si="7"/>
        <v>0</v>
      </c>
    </row>
    <row r="828" spans="1:4" ht="14.25" customHeight="1" x14ac:dyDescent="0.25">
      <c r="A828" s="28">
        <v>6006.4094112395978</v>
      </c>
      <c r="B828" s="28">
        <v>0.27212247160594194</v>
      </c>
      <c r="C828" s="254">
        <f t="shared" si="6"/>
        <v>27212.247160594194</v>
      </c>
      <c r="D828" s="255">
        <f t="shared" si="7"/>
        <v>0</v>
      </c>
    </row>
    <row r="829" spans="1:4" ht="14.25" customHeight="1" x14ac:dyDescent="0.25">
      <c r="A829" s="28">
        <v>4472.6675307062105</v>
      </c>
      <c r="B829" s="28">
        <v>0.27197969784855403</v>
      </c>
      <c r="C829" s="254">
        <f t="shared" si="6"/>
        <v>27197.969784855402</v>
      </c>
      <c r="D829" s="255">
        <f t="shared" si="7"/>
        <v>0</v>
      </c>
    </row>
    <row r="830" spans="1:4" ht="14.25" customHeight="1" x14ac:dyDescent="0.25">
      <c r="A830" s="28">
        <v>10425.531738668258</v>
      </c>
      <c r="B830" s="28">
        <v>0.11226136990741198</v>
      </c>
      <c r="C830" s="254">
        <f t="shared" si="6"/>
        <v>11226.136990741197</v>
      </c>
      <c r="D830" s="255">
        <f t="shared" si="7"/>
        <v>0</v>
      </c>
    </row>
    <row r="831" spans="1:4" ht="14.25" customHeight="1" x14ac:dyDescent="0.25">
      <c r="A831" s="28">
        <v>6860.0199528013181</v>
      </c>
      <c r="B831" s="28">
        <v>-0.10280679819094019</v>
      </c>
      <c r="C831" s="254">
        <f t="shared" si="6"/>
        <v>-10280.679819094019</v>
      </c>
      <c r="D831" s="255">
        <f t="shared" si="7"/>
        <v>1</v>
      </c>
    </row>
    <row r="832" spans="1:4" ht="14.25" customHeight="1" x14ac:dyDescent="0.25">
      <c r="A832" s="28">
        <v>8535.5438922188841</v>
      </c>
      <c r="B832" s="28">
        <v>0.21510460017662925</v>
      </c>
      <c r="C832" s="254">
        <f t="shared" si="6"/>
        <v>21510.460017662925</v>
      </c>
      <c r="D832" s="255">
        <f t="shared" si="7"/>
        <v>0</v>
      </c>
    </row>
    <row r="833" spans="1:4" ht="14.25" customHeight="1" x14ac:dyDescent="0.25">
      <c r="A833" s="28">
        <v>-4369.7187554098055</v>
      </c>
      <c r="B833" s="28">
        <v>0.14937816408175086</v>
      </c>
      <c r="C833" s="254">
        <f t="shared" si="6"/>
        <v>14937.816408175086</v>
      </c>
      <c r="D833" s="255">
        <f t="shared" si="7"/>
        <v>0</v>
      </c>
    </row>
    <row r="834" spans="1:4" ht="14.25" customHeight="1" x14ac:dyDescent="0.25">
      <c r="A834" s="28">
        <v>5039.9495128320559</v>
      </c>
      <c r="B834" s="28">
        <v>0.46505461243278123</v>
      </c>
      <c r="C834" s="254">
        <f t="shared" si="6"/>
        <v>46505.461243278121</v>
      </c>
      <c r="D834" s="255">
        <f t="shared" si="7"/>
        <v>0</v>
      </c>
    </row>
    <row r="835" spans="1:4" ht="14.25" customHeight="1" x14ac:dyDescent="0.25">
      <c r="A835" s="28">
        <v>-1557.0836437775288</v>
      </c>
      <c r="B835" s="28">
        <v>-0.14856574223527286</v>
      </c>
      <c r="C835" s="254">
        <f t="shared" si="6"/>
        <v>-14856.574223527286</v>
      </c>
      <c r="D835" s="255">
        <f t="shared" si="7"/>
        <v>1</v>
      </c>
    </row>
    <row r="836" spans="1:4" ht="14.25" customHeight="1" x14ac:dyDescent="0.25">
      <c r="A836" s="28">
        <v>9580.1287264645071</v>
      </c>
      <c r="B836" s="28">
        <v>-3.4979081716010718E-2</v>
      </c>
      <c r="C836" s="254">
        <f t="shared" si="6"/>
        <v>-3497.9081716010719</v>
      </c>
      <c r="D836" s="255">
        <f t="shared" si="7"/>
        <v>1</v>
      </c>
    </row>
    <row r="837" spans="1:4" ht="14.25" customHeight="1" x14ac:dyDescent="0.25">
      <c r="A837" s="28">
        <v>2070.4059681881772</v>
      </c>
      <c r="B837" s="28">
        <v>0.30174256563059521</v>
      </c>
      <c r="C837" s="254">
        <f t="shared" si="6"/>
        <v>30174.25656305952</v>
      </c>
      <c r="D837" s="255">
        <f t="shared" si="7"/>
        <v>0</v>
      </c>
    </row>
    <row r="838" spans="1:4" ht="14.25" customHeight="1" x14ac:dyDescent="0.25">
      <c r="A838" s="28">
        <v>9564.0528320640806</v>
      </c>
      <c r="B838" s="28">
        <v>-0.34581612395769445</v>
      </c>
      <c r="C838" s="254">
        <f t="shared" si="6"/>
        <v>-34581.612395769444</v>
      </c>
      <c r="D838" s="255">
        <f t="shared" si="7"/>
        <v>1</v>
      </c>
    </row>
    <row r="839" spans="1:4" ht="14.25" customHeight="1" x14ac:dyDescent="0.25">
      <c r="A839" s="28">
        <v>16359.007540623657</v>
      </c>
      <c r="B839" s="28">
        <v>0.6962297941100859</v>
      </c>
      <c r="C839" s="254">
        <f t="shared" si="6"/>
        <v>69622.979411008593</v>
      </c>
      <c r="D839" s="255">
        <f t="shared" si="7"/>
        <v>0</v>
      </c>
    </row>
    <row r="840" spans="1:4" ht="14.25" customHeight="1" x14ac:dyDescent="0.25">
      <c r="A840" s="28">
        <v>2392.2698909347891</v>
      </c>
      <c r="B840" s="28">
        <v>5.8588248004282639E-2</v>
      </c>
      <c r="C840" s="254">
        <f t="shared" si="6"/>
        <v>5858.8248004282641</v>
      </c>
      <c r="D840" s="255">
        <f t="shared" si="7"/>
        <v>0</v>
      </c>
    </row>
    <row r="841" spans="1:4" ht="14.25" customHeight="1" x14ac:dyDescent="0.25">
      <c r="A841" s="28">
        <v>7262.3515754070686</v>
      </c>
      <c r="B841" s="28">
        <v>0.15324697968916823</v>
      </c>
      <c r="C841" s="254">
        <f t="shared" si="6"/>
        <v>15324.697968916822</v>
      </c>
      <c r="D841" s="255">
        <f t="shared" si="7"/>
        <v>0</v>
      </c>
    </row>
    <row r="842" spans="1:4" ht="14.25" customHeight="1" x14ac:dyDescent="0.25">
      <c r="A842" s="28">
        <v>4675.0358997722797</v>
      </c>
      <c r="B842" s="28">
        <v>0.49112860128370794</v>
      </c>
      <c r="C842" s="254">
        <f t="shared" si="6"/>
        <v>49112.860128370798</v>
      </c>
      <c r="D842" s="255">
        <f t="shared" si="7"/>
        <v>0</v>
      </c>
    </row>
    <row r="843" spans="1:4" ht="14.25" customHeight="1" x14ac:dyDescent="0.25">
      <c r="A843" s="28">
        <v>-2520.3950643661665</v>
      </c>
      <c r="B843" s="28">
        <v>-0.10173927949880923</v>
      </c>
      <c r="C843" s="254">
        <f t="shared" si="6"/>
        <v>-10173.927949880923</v>
      </c>
      <c r="D843" s="255">
        <f t="shared" si="7"/>
        <v>1</v>
      </c>
    </row>
    <row r="844" spans="1:4" ht="14.25" customHeight="1" x14ac:dyDescent="0.25">
      <c r="A844" s="28">
        <v>7301.9288618220889</v>
      </c>
      <c r="B844" s="28">
        <v>0.16908822725107786</v>
      </c>
      <c r="C844" s="254">
        <f t="shared" si="6"/>
        <v>16908.822725107788</v>
      </c>
      <c r="D844" s="255">
        <f t="shared" si="7"/>
        <v>0</v>
      </c>
    </row>
    <row r="845" spans="1:4" ht="14.25" customHeight="1" x14ac:dyDescent="0.25">
      <c r="A845" s="28">
        <v>7345.978264811245</v>
      </c>
      <c r="B845" s="28">
        <v>0.25995566202310094</v>
      </c>
      <c r="C845" s="254">
        <f t="shared" si="6"/>
        <v>25995.566202310096</v>
      </c>
      <c r="D845" s="255">
        <f t="shared" si="7"/>
        <v>0</v>
      </c>
    </row>
    <row r="846" spans="1:4" ht="14.25" customHeight="1" x14ac:dyDescent="0.25">
      <c r="A846" s="28">
        <v>11772.61513253078</v>
      </c>
      <c r="B846" s="28">
        <v>0.27408976009894648</v>
      </c>
      <c r="C846" s="254">
        <f t="shared" si="6"/>
        <v>27408.976009894646</v>
      </c>
      <c r="D846" s="255">
        <f t="shared" si="7"/>
        <v>0</v>
      </c>
    </row>
    <row r="847" spans="1:4" ht="14.25" customHeight="1" x14ac:dyDescent="0.25">
      <c r="A847" s="28">
        <v>13243.793631841807</v>
      </c>
      <c r="B847" s="28">
        <v>0.40300613473375302</v>
      </c>
      <c r="C847" s="254">
        <f t="shared" si="6"/>
        <v>40300.613473375299</v>
      </c>
      <c r="D847" s="255">
        <f t="shared" si="7"/>
        <v>0</v>
      </c>
    </row>
    <row r="848" spans="1:4" ht="14.25" customHeight="1" x14ac:dyDescent="0.25">
      <c r="A848" s="28">
        <v>8693.7525167818676</v>
      </c>
      <c r="B848" s="28">
        <v>2.7372759480031483E-2</v>
      </c>
      <c r="C848" s="254">
        <f t="shared" si="6"/>
        <v>2737.2759480031482</v>
      </c>
      <c r="D848" s="255">
        <f t="shared" si="7"/>
        <v>1</v>
      </c>
    </row>
    <row r="849" spans="1:4" ht="14.25" customHeight="1" x14ac:dyDescent="0.25">
      <c r="A849" s="28">
        <v>10350.910957529843</v>
      </c>
      <c r="B849" s="28">
        <v>7.4508205391227822E-2</v>
      </c>
      <c r="C849" s="254">
        <f t="shared" si="6"/>
        <v>7450.8205391227821</v>
      </c>
      <c r="D849" s="255">
        <f t="shared" si="7"/>
        <v>1</v>
      </c>
    </row>
    <row r="850" spans="1:4" ht="14.25" customHeight="1" x14ac:dyDescent="0.25">
      <c r="A850" s="28">
        <v>12645.144758780043</v>
      </c>
      <c r="B850" s="28">
        <v>-0.11399994521464096</v>
      </c>
      <c r="C850" s="254">
        <f t="shared" si="6"/>
        <v>-11399.994521464096</v>
      </c>
      <c r="D850" s="255">
        <f t="shared" si="7"/>
        <v>1</v>
      </c>
    </row>
    <row r="851" spans="1:4" ht="14.25" customHeight="1" x14ac:dyDescent="0.25">
      <c r="A851" s="28">
        <v>10291.447833946702</v>
      </c>
      <c r="B851" s="28">
        <v>-0.12782676969610063</v>
      </c>
      <c r="C851" s="254">
        <f t="shared" si="6"/>
        <v>-12782.676969610064</v>
      </c>
      <c r="D851" s="255">
        <f t="shared" si="7"/>
        <v>1</v>
      </c>
    </row>
    <row r="852" spans="1:4" ht="14.25" customHeight="1" x14ac:dyDescent="0.25">
      <c r="A852" s="28">
        <v>-4952.1737522007097</v>
      </c>
      <c r="B852" s="28">
        <v>0.46687454114417548</v>
      </c>
      <c r="C852" s="254">
        <f t="shared" si="6"/>
        <v>46687.454114417545</v>
      </c>
      <c r="D852" s="255">
        <f t="shared" si="7"/>
        <v>0</v>
      </c>
    </row>
    <row r="853" spans="1:4" ht="14.25" customHeight="1" x14ac:dyDescent="0.25">
      <c r="A853" s="28">
        <v>3187.303722519915</v>
      </c>
      <c r="B853" s="28">
        <v>0.39863906686865036</v>
      </c>
      <c r="C853" s="254">
        <f t="shared" si="6"/>
        <v>39863.906686865033</v>
      </c>
      <c r="D853" s="255">
        <f t="shared" si="7"/>
        <v>0</v>
      </c>
    </row>
    <row r="854" spans="1:4" ht="14.25" customHeight="1" x14ac:dyDescent="0.25">
      <c r="A854" s="28">
        <v>14817.11911930218</v>
      </c>
      <c r="B854" s="28">
        <v>0.35456723788703215</v>
      </c>
      <c r="C854" s="254">
        <f t="shared" si="6"/>
        <v>35456.723788703217</v>
      </c>
      <c r="D854" s="255">
        <f t="shared" si="7"/>
        <v>0</v>
      </c>
    </row>
    <row r="855" spans="1:4" ht="14.25" customHeight="1" x14ac:dyDescent="0.25">
      <c r="A855" s="28">
        <v>1502.5994350634573</v>
      </c>
      <c r="B855" s="28">
        <v>-7.0962484267469428E-3</v>
      </c>
      <c r="C855" s="254">
        <f t="shared" si="6"/>
        <v>-709.62484267469426</v>
      </c>
      <c r="D855" s="255">
        <f t="shared" si="7"/>
        <v>1</v>
      </c>
    </row>
    <row r="856" spans="1:4" ht="14.25" customHeight="1" x14ac:dyDescent="0.25">
      <c r="A856" s="28">
        <v>16336.593859162531</v>
      </c>
      <c r="B856" s="28">
        <v>0.40473456037558186</v>
      </c>
      <c r="C856" s="254">
        <f t="shared" si="6"/>
        <v>40473.456037558186</v>
      </c>
      <c r="D856" s="255">
        <f t="shared" si="7"/>
        <v>0</v>
      </c>
    </row>
    <row r="857" spans="1:4" ht="14.25" customHeight="1" x14ac:dyDescent="0.25">
      <c r="A857" s="28">
        <v>7218.8436404278691</v>
      </c>
      <c r="B857" s="28">
        <v>6.682241837668812E-2</v>
      </c>
      <c r="C857" s="254">
        <f t="shared" si="6"/>
        <v>6682.241837668812</v>
      </c>
      <c r="D857" s="255">
        <f t="shared" si="7"/>
        <v>1</v>
      </c>
    </row>
    <row r="858" spans="1:4" ht="14.25" customHeight="1" x14ac:dyDescent="0.25">
      <c r="A858" s="28">
        <v>12798.736982119735</v>
      </c>
      <c r="B858" s="28">
        <v>0.13701811173089551</v>
      </c>
      <c r="C858" s="254">
        <f t="shared" si="6"/>
        <v>13701.811173089551</v>
      </c>
      <c r="D858" s="255">
        <f t="shared" si="7"/>
        <v>0</v>
      </c>
    </row>
    <row r="859" spans="1:4" ht="14.25" customHeight="1" x14ac:dyDescent="0.25">
      <c r="A859" s="28">
        <v>2226.163910210933</v>
      </c>
      <c r="B859" s="28">
        <v>0.36611473080287071</v>
      </c>
      <c r="C859" s="254">
        <f t="shared" si="6"/>
        <v>36611.473080287069</v>
      </c>
      <c r="D859" s="255">
        <f t="shared" si="7"/>
        <v>0</v>
      </c>
    </row>
    <row r="860" spans="1:4" ht="14.25" customHeight="1" x14ac:dyDescent="0.25">
      <c r="A860" s="28">
        <v>12052.965892941735</v>
      </c>
      <c r="B860" s="28">
        <v>0.310039756558528</v>
      </c>
      <c r="C860" s="254">
        <f t="shared" si="6"/>
        <v>31003.975655852799</v>
      </c>
      <c r="D860" s="255">
        <f t="shared" si="7"/>
        <v>0</v>
      </c>
    </row>
    <row r="861" spans="1:4" ht="14.25" customHeight="1" x14ac:dyDescent="0.25">
      <c r="A861" s="28">
        <v>9130.5718226400058</v>
      </c>
      <c r="B861" s="28">
        <v>0.19171865463967608</v>
      </c>
      <c r="C861" s="254">
        <f t="shared" si="6"/>
        <v>19171.865463967606</v>
      </c>
      <c r="D861" s="255">
        <f t="shared" si="7"/>
        <v>0</v>
      </c>
    </row>
    <row r="862" spans="1:4" ht="14.25" customHeight="1" x14ac:dyDescent="0.25">
      <c r="A862" s="28">
        <v>4137.9485163192003</v>
      </c>
      <c r="B862" s="28">
        <v>1.3220689867124991E-2</v>
      </c>
      <c r="C862" s="254">
        <f t="shared" si="6"/>
        <v>1322.0689867124991</v>
      </c>
      <c r="D862" s="255">
        <f t="shared" si="7"/>
        <v>1</v>
      </c>
    </row>
    <row r="863" spans="1:4" ht="14.25" customHeight="1" x14ac:dyDescent="0.25">
      <c r="A863" s="28">
        <v>-110.10843925541849</v>
      </c>
      <c r="B863" s="28">
        <v>1.7207496469693551E-2</v>
      </c>
      <c r="C863" s="254">
        <f t="shared" si="6"/>
        <v>1720.7496469693551</v>
      </c>
      <c r="D863" s="255">
        <f t="shared" si="7"/>
        <v>0</v>
      </c>
    </row>
    <row r="864" spans="1:4" ht="14.25" customHeight="1" x14ac:dyDescent="0.25">
      <c r="A864" s="28">
        <v>9679.4902203811507</v>
      </c>
      <c r="B864" s="28">
        <v>-0.3088323401758446</v>
      </c>
      <c r="C864" s="254">
        <f t="shared" si="6"/>
        <v>-30883.234017584458</v>
      </c>
      <c r="D864" s="255">
        <f t="shared" si="7"/>
        <v>1</v>
      </c>
    </row>
    <row r="865" spans="1:4" ht="14.25" customHeight="1" x14ac:dyDescent="0.25">
      <c r="A865" s="28">
        <v>4804.2766230955021</v>
      </c>
      <c r="B865" s="28">
        <v>0.20820758606179451</v>
      </c>
      <c r="C865" s="254">
        <f t="shared" si="6"/>
        <v>20820.75860617945</v>
      </c>
      <c r="D865" s="255">
        <f t="shared" si="7"/>
        <v>0</v>
      </c>
    </row>
    <row r="866" spans="1:4" ht="14.25" customHeight="1" x14ac:dyDescent="0.25">
      <c r="A866" s="28">
        <v>4334.0793529557559</v>
      </c>
      <c r="B866" s="28">
        <v>0.40848915185988988</v>
      </c>
      <c r="C866" s="254">
        <f t="shared" si="6"/>
        <v>40848.91518598899</v>
      </c>
      <c r="D866" s="255">
        <f t="shared" si="7"/>
        <v>0</v>
      </c>
    </row>
    <row r="867" spans="1:4" ht="14.25" customHeight="1" x14ac:dyDescent="0.25">
      <c r="A867" s="28">
        <v>4464.4426784814859</v>
      </c>
      <c r="B867" s="28">
        <v>0.20032926717536825</v>
      </c>
      <c r="C867" s="254">
        <f t="shared" si="6"/>
        <v>20032.926717536826</v>
      </c>
      <c r="D867" s="255">
        <f t="shared" si="7"/>
        <v>0</v>
      </c>
    </row>
    <row r="868" spans="1:4" ht="14.25" customHeight="1" x14ac:dyDescent="0.25">
      <c r="A868" s="28">
        <v>6798.9225331936323</v>
      </c>
      <c r="B868" s="28">
        <v>-0.37866020506255804</v>
      </c>
      <c r="C868" s="254">
        <f t="shared" si="6"/>
        <v>-37866.020506255802</v>
      </c>
      <c r="D868" s="255">
        <f t="shared" si="7"/>
        <v>1</v>
      </c>
    </row>
    <row r="869" spans="1:4" ht="14.25" customHeight="1" x14ac:dyDescent="0.25">
      <c r="A869" s="28">
        <v>8687.9256993335148</v>
      </c>
      <c r="B869" s="28">
        <v>-3.4560714798264502E-2</v>
      </c>
      <c r="C869" s="254">
        <f t="shared" si="6"/>
        <v>-3456.0714798264503</v>
      </c>
      <c r="D869" s="255">
        <f t="shared" si="7"/>
        <v>1</v>
      </c>
    </row>
    <row r="870" spans="1:4" ht="14.25" customHeight="1" x14ac:dyDescent="0.25">
      <c r="A870" s="28">
        <v>13793.854602976484</v>
      </c>
      <c r="B870" s="28">
        <v>-0.10322474398280379</v>
      </c>
      <c r="C870" s="254">
        <f t="shared" si="6"/>
        <v>-10322.474398280379</v>
      </c>
      <c r="D870" s="255">
        <f t="shared" si="7"/>
        <v>1</v>
      </c>
    </row>
    <row r="871" spans="1:4" ht="14.25" customHeight="1" x14ac:dyDescent="0.25">
      <c r="A871" s="28">
        <v>2448.0613353982917</v>
      </c>
      <c r="B871" s="28">
        <v>0.12762932852952558</v>
      </c>
      <c r="C871" s="254">
        <f t="shared" si="6"/>
        <v>12762.932852952557</v>
      </c>
      <c r="D871" s="255">
        <f t="shared" si="7"/>
        <v>0</v>
      </c>
    </row>
    <row r="872" spans="1:4" ht="14.25" customHeight="1" x14ac:dyDescent="0.25">
      <c r="A872" s="28">
        <v>-503.25477266957751</v>
      </c>
      <c r="B872" s="28">
        <v>8.0382053775284401E-2</v>
      </c>
      <c r="C872" s="254">
        <f t="shared" si="6"/>
        <v>8038.2053775284403</v>
      </c>
      <c r="D872" s="255">
        <f t="shared" si="7"/>
        <v>0</v>
      </c>
    </row>
    <row r="873" spans="1:4" ht="14.25" customHeight="1" x14ac:dyDescent="0.25">
      <c r="A873" s="28">
        <v>9727.5443464396521</v>
      </c>
      <c r="B873" s="28">
        <v>8.5183889778239319E-2</v>
      </c>
      <c r="C873" s="254">
        <f t="shared" si="6"/>
        <v>8518.3889778239318</v>
      </c>
      <c r="D873" s="255">
        <f t="shared" si="7"/>
        <v>1</v>
      </c>
    </row>
    <row r="874" spans="1:4" ht="14.25" customHeight="1" x14ac:dyDescent="0.25">
      <c r="A874" s="28">
        <v>6991.1178124273138</v>
      </c>
      <c r="B874" s="28">
        <v>0.31186052468194703</v>
      </c>
      <c r="C874" s="254">
        <f t="shared" si="6"/>
        <v>31186.052468194703</v>
      </c>
      <c r="D874" s="255">
        <f t="shared" si="7"/>
        <v>0</v>
      </c>
    </row>
    <row r="875" spans="1:4" ht="14.25" customHeight="1" x14ac:dyDescent="0.25">
      <c r="A875" s="28">
        <v>6022.0223556465353</v>
      </c>
      <c r="B875" s="28">
        <v>0.1877995929146028</v>
      </c>
      <c r="C875" s="254">
        <f t="shared" si="6"/>
        <v>18779.95929146028</v>
      </c>
      <c r="D875" s="255">
        <f t="shared" si="7"/>
        <v>0</v>
      </c>
    </row>
    <row r="876" spans="1:4" ht="14.25" customHeight="1" x14ac:dyDescent="0.25">
      <c r="A876" s="28">
        <v>10727.727726169251</v>
      </c>
      <c r="B876" s="28">
        <v>-0.28178226325469002</v>
      </c>
      <c r="C876" s="254">
        <f t="shared" si="6"/>
        <v>-28178.226325469004</v>
      </c>
      <c r="D876" s="255">
        <f t="shared" si="7"/>
        <v>1</v>
      </c>
    </row>
    <row r="877" spans="1:4" ht="14.25" customHeight="1" x14ac:dyDescent="0.25">
      <c r="A877" s="28">
        <v>9768.3088342560513</v>
      </c>
      <c r="B877" s="28">
        <v>-0.10953055879690266</v>
      </c>
      <c r="C877" s="254">
        <f t="shared" si="6"/>
        <v>-10953.055879690266</v>
      </c>
      <c r="D877" s="255">
        <f t="shared" si="7"/>
        <v>1</v>
      </c>
    </row>
    <row r="878" spans="1:4" ht="14.25" customHeight="1" x14ac:dyDescent="0.25">
      <c r="A878" s="28">
        <v>5499.0058547981607</v>
      </c>
      <c r="B878" s="28">
        <v>-0.35521934818700673</v>
      </c>
      <c r="C878" s="254">
        <f t="shared" si="6"/>
        <v>-35521.934818700676</v>
      </c>
      <c r="D878" s="255">
        <f t="shared" si="7"/>
        <v>1</v>
      </c>
    </row>
    <row r="879" spans="1:4" ht="14.25" customHeight="1" x14ac:dyDescent="0.25">
      <c r="A879" s="28">
        <v>5737.9292044285685</v>
      </c>
      <c r="B879" s="28">
        <v>1.23456522932619E-3</v>
      </c>
      <c r="C879" s="254">
        <f t="shared" si="6"/>
        <v>123.456522932619</v>
      </c>
      <c r="D879" s="255">
        <f t="shared" si="7"/>
        <v>1</v>
      </c>
    </row>
    <row r="880" spans="1:4" ht="14.25" customHeight="1" x14ac:dyDescent="0.25">
      <c r="A880" s="28">
        <v>5180.1864934778714</v>
      </c>
      <c r="B880" s="28">
        <v>0.12226426773347709</v>
      </c>
      <c r="C880" s="254">
        <f t="shared" si="6"/>
        <v>12226.42677334771</v>
      </c>
      <c r="D880" s="255">
        <f t="shared" si="7"/>
        <v>0</v>
      </c>
    </row>
    <row r="881" spans="1:4" ht="14.25" customHeight="1" x14ac:dyDescent="0.25">
      <c r="A881" s="28">
        <v>14554.965563678415</v>
      </c>
      <c r="B881" s="28">
        <v>-0.15885487526315889</v>
      </c>
      <c r="C881" s="254">
        <f t="shared" si="6"/>
        <v>-15885.487526315888</v>
      </c>
      <c r="D881" s="255">
        <f t="shared" si="7"/>
        <v>1</v>
      </c>
    </row>
    <row r="882" spans="1:4" ht="14.25" customHeight="1" x14ac:dyDescent="0.25">
      <c r="A882" s="28">
        <v>13279.306773366858</v>
      </c>
      <c r="B882" s="28">
        <v>6.2116392408699372E-2</v>
      </c>
      <c r="C882" s="254">
        <f t="shared" si="6"/>
        <v>6211.6392408699376</v>
      </c>
      <c r="D882" s="255">
        <f t="shared" si="7"/>
        <v>1</v>
      </c>
    </row>
    <row r="883" spans="1:4" ht="14.25" customHeight="1" x14ac:dyDescent="0.25">
      <c r="A883" s="28">
        <v>7715.9012279958406</v>
      </c>
      <c r="B883" s="28">
        <v>0.39479840178007586</v>
      </c>
      <c r="C883" s="254">
        <f t="shared" si="6"/>
        <v>39479.840178007587</v>
      </c>
      <c r="D883" s="255">
        <f t="shared" si="7"/>
        <v>0</v>
      </c>
    </row>
    <row r="884" spans="1:4" ht="14.25" customHeight="1" x14ac:dyDescent="0.25">
      <c r="A884" s="28">
        <v>2088.4393851277127</v>
      </c>
      <c r="B884" s="28">
        <v>0.18437176010080786</v>
      </c>
      <c r="C884" s="254">
        <f t="shared" si="6"/>
        <v>18437.176010080784</v>
      </c>
      <c r="D884" s="255">
        <f t="shared" si="7"/>
        <v>0</v>
      </c>
    </row>
    <row r="885" spans="1:4" ht="14.25" customHeight="1" x14ac:dyDescent="0.25">
      <c r="A885" s="28">
        <v>14678.157813477454</v>
      </c>
      <c r="B885" s="28">
        <v>-0.11753351251469396</v>
      </c>
      <c r="C885" s="254">
        <f t="shared" si="6"/>
        <v>-11753.351251469396</v>
      </c>
      <c r="D885" s="255">
        <f t="shared" si="7"/>
        <v>1</v>
      </c>
    </row>
    <row r="886" spans="1:4" ht="14.25" customHeight="1" x14ac:dyDescent="0.25">
      <c r="A886" s="28">
        <v>13344.431536854638</v>
      </c>
      <c r="B886" s="28">
        <v>-0.20776313210915864</v>
      </c>
      <c r="C886" s="254">
        <f t="shared" si="6"/>
        <v>-20776.313210915865</v>
      </c>
      <c r="D886" s="255">
        <f t="shared" si="7"/>
        <v>1</v>
      </c>
    </row>
    <row r="887" spans="1:4" ht="14.25" customHeight="1" x14ac:dyDescent="0.25">
      <c r="A887" s="28">
        <v>7956.4824954244687</v>
      </c>
      <c r="B887" s="28">
        <v>0.30703755761908313</v>
      </c>
      <c r="C887" s="254">
        <f t="shared" si="6"/>
        <v>30703.755761908313</v>
      </c>
      <c r="D887" s="255">
        <f t="shared" si="7"/>
        <v>0</v>
      </c>
    </row>
    <row r="888" spans="1:4" ht="14.25" customHeight="1" x14ac:dyDescent="0.25">
      <c r="A888" s="28">
        <v>4709.5179572250054</v>
      </c>
      <c r="B888" s="28">
        <v>0.45062894446917373</v>
      </c>
      <c r="C888" s="254">
        <f t="shared" si="6"/>
        <v>45062.894446917373</v>
      </c>
      <c r="D888" s="255">
        <f t="shared" si="7"/>
        <v>0</v>
      </c>
    </row>
    <row r="889" spans="1:4" ht="14.25" customHeight="1" x14ac:dyDescent="0.25">
      <c r="A889" s="28">
        <v>-800.39969272597227</v>
      </c>
      <c r="B889" s="28">
        <v>0.12593331551748321</v>
      </c>
      <c r="C889" s="254">
        <f t="shared" si="6"/>
        <v>12593.331551748321</v>
      </c>
      <c r="D889" s="255">
        <f t="shared" si="7"/>
        <v>0</v>
      </c>
    </row>
    <row r="890" spans="1:4" ht="14.25" customHeight="1" x14ac:dyDescent="0.25">
      <c r="A890" s="28">
        <v>14637.615528014532</v>
      </c>
      <c r="B890" s="28">
        <v>0.11309156423002875</v>
      </c>
      <c r="C890" s="254">
        <f t="shared" si="6"/>
        <v>11309.156423002874</v>
      </c>
      <c r="D890" s="255">
        <f t="shared" si="7"/>
        <v>1</v>
      </c>
    </row>
    <row r="891" spans="1:4" ht="14.25" customHeight="1" x14ac:dyDescent="0.25">
      <c r="A891" s="28">
        <v>12713.968525263619</v>
      </c>
      <c r="B891" s="28">
        <v>0.1976163780787954</v>
      </c>
      <c r="C891" s="254">
        <f t="shared" si="6"/>
        <v>19761.637807879539</v>
      </c>
      <c r="D891" s="255">
        <f t="shared" si="7"/>
        <v>0</v>
      </c>
    </row>
    <row r="892" spans="1:4" ht="14.25" customHeight="1" x14ac:dyDescent="0.25">
      <c r="A892" s="28">
        <v>2396.5096157604276</v>
      </c>
      <c r="B892" s="28">
        <v>0.11525355709957719</v>
      </c>
      <c r="C892" s="254">
        <f t="shared" si="6"/>
        <v>11525.355709957719</v>
      </c>
      <c r="D892" s="255">
        <f t="shared" si="7"/>
        <v>0</v>
      </c>
    </row>
    <row r="893" spans="1:4" ht="14.25" customHeight="1" x14ac:dyDescent="0.25">
      <c r="A893" s="28">
        <v>12855.790646073874</v>
      </c>
      <c r="B893" s="28">
        <v>0.25232266816591409</v>
      </c>
      <c r="C893" s="254">
        <f t="shared" si="6"/>
        <v>25232.266816591407</v>
      </c>
      <c r="D893" s="255">
        <f t="shared" si="7"/>
        <v>0</v>
      </c>
    </row>
    <row r="894" spans="1:4" ht="14.25" customHeight="1" x14ac:dyDescent="0.25">
      <c r="A894" s="28">
        <v>11256.035518081815</v>
      </c>
      <c r="B894" s="28">
        <v>-0.35727612564703803</v>
      </c>
      <c r="C894" s="254">
        <f t="shared" si="6"/>
        <v>-35727.612564703806</v>
      </c>
      <c r="D894" s="255">
        <f t="shared" si="7"/>
        <v>1</v>
      </c>
    </row>
    <row r="895" spans="1:4" ht="14.25" customHeight="1" x14ac:dyDescent="0.25">
      <c r="A895" s="28">
        <v>4143.6650774463851</v>
      </c>
      <c r="B895" s="28">
        <v>-0.13666219030748339</v>
      </c>
      <c r="C895" s="254">
        <f t="shared" si="6"/>
        <v>-13666.21903074834</v>
      </c>
      <c r="D895" s="255">
        <f t="shared" si="7"/>
        <v>1</v>
      </c>
    </row>
    <row r="896" spans="1:4" ht="14.25" customHeight="1" x14ac:dyDescent="0.25">
      <c r="A896" s="28">
        <v>1473.1959251638036</v>
      </c>
      <c r="B896" s="28">
        <v>1.5784027590583616E-2</v>
      </c>
      <c r="C896" s="254">
        <f t="shared" si="6"/>
        <v>1578.4027590583617</v>
      </c>
      <c r="D896" s="255">
        <f t="shared" si="7"/>
        <v>0</v>
      </c>
    </row>
    <row r="897" spans="1:4" ht="14.25" customHeight="1" x14ac:dyDescent="0.25">
      <c r="A897" s="28">
        <v>7139.1477231420431</v>
      </c>
      <c r="B897" s="28">
        <v>1.370882610337687E-2</v>
      </c>
      <c r="C897" s="254">
        <f t="shared" si="6"/>
        <v>1370.8826103376871</v>
      </c>
      <c r="D897" s="255">
        <f t="shared" si="7"/>
        <v>1</v>
      </c>
    </row>
    <row r="898" spans="1:4" ht="14.25" customHeight="1" x14ac:dyDescent="0.25">
      <c r="A898" s="28">
        <v>13873.571265189559</v>
      </c>
      <c r="B898" s="28">
        <v>-3.6707107293069807E-2</v>
      </c>
      <c r="C898" s="254">
        <f t="shared" si="6"/>
        <v>-3670.7107293069807</v>
      </c>
      <c r="D898" s="255">
        <f t="shared" si="7"/>
        <v>1</v>
      </c>
    </row>
    <row r="899" spans="1:4" ht="14.25" customHeight="1" x14ac:dyDescent="0.25">
      <c r="A899" s="28">
        <v>2940.9090807189059</v>
      </c>
      <c r="B899" s="28">
        <v>9.4734541846589249E-2</v>
      </c>
      <c r="C899" s="254">
        <f t="shared" si="6"/>
        <v>9473.4541846589254</v>
      </c>
      <c r="D899" s="255">
        <f t="shared" si="7"/>
        <v>0</v>
      </c>
    </row>
    <row r="900" spans="1:4" ht="14.25" customHeight="1" x14ac:dyDescent="0.25">
      <c r="A900" s="28">
        <v>6412.0784974889393</v>
      </c>
      <c r="B900" s="28">
        <v>0.69173744631285494</v>
      </c>
      <c r="C900" s="254">
        <f t="shared" si="6"/>
        <v>69173.744631285488</v>
      </c>
      <c r="D900" s="255">
        <f t="shared" si="7"/>
        <v>0</v>
      </c>
    </row>
    <row r="901" spans="1:4" ht="14.25" customHeight="1" x14ac:dyDescent="0.25">
      <c r="A901" s="28">
        <v>3720.6126385285243</v>
      </c>
      <c r="B901" s="28">
        <v>0.12676630570560299</v>
      </c>
      <c r="C901" s="254">
        <f t="shared" si="6"/>
        <v>12676.630570560299</v>
      </c>
      <c r="D901" s="255">
        <f t="shared" si="7"/>
        <v>0</v>
      </c>
    </row>
    <row r="902" spans="1:4" ht="14.25" customHeight="1" x14ac:dyDescent="0.25">
      <c r="A902" s="28">
        <v>8108.456053285423</v>
      </c>
      <c r="B902" s="28">
        <v>3.5298148935268614E-2</v>
      </c>
      <c r="C902" s="254">
        <f t="shared" si="6"/>
        <v>3529.8148935268614</v>
      </c>
      <c r="D902" s="255">
        <f t="shared" si="7"/>
        <v>1</v>
      </c>
    </row>
    <row r="903" spans="1:4" ht="14.25" customHeight="1" x14ac:dyDescent="0.25">
      <c r="A903" s="28">
        <v>8891.2445712990084</v>
      </c>
      <c r="B903" s="28">
        <v>0.20308024588952356</v>
      </c>
      <c r="C903" s="254">
        <f t="shared" si="6"/>
        <v>20308.024588952358</v>
      </c>
      <c r="D903" s="255">
        <f t="shared" si="7"/>
        <v>0</v>
      </c>
    </row>
    <row r="904" spans="1:4" ht="14.25" customHeight="1" x14ac:dyDescent="0.25">
      <c r="A904" s="28">
        <v>11095.359754448597</v>
      </c>
      <c r="B904" s="28">
        <v>-0.1859859876175598</v>
      </c>
      <c r="C904" s="254">
        <f t="shared" si="6"/>
        <v>-18598.59876175598</v>
      </c>
      <c r="D904" s="255">
        <f t="shared" si="7"/>
        <v>1</v>
      </c>
    </row>
    <row r="905" spans="1:4" ht="14.25" customHeight="1" x14ac:dyDescent="0.25">
      <c r="A905" s="28">
        <v>-416.20638357115968</v>
      </c>
      <c r="B905" s="28">
        <v>0.18563959519311979</v>
      </c>
      <c r="C905" s="254">
        <f t="shared" si="6"/>
        <v>18563.959519311979</v>
      </c>
      <c r="D905" s="255">
        <f t="shared" si="7"/>
        <v>0</v>
      </c>
    </row>
    <row r="906" spans="1:4" ht="14.25" customHeight="1" x14ac:dyDescent="0.25">
      <c r="A906" s="28">
        <v>13896.277465779654</v>
      </c>
      <c r="B906" s="28">
        <v>3.5175779064585244E-2</v>
      </c>
      <c r="C906" s="254">
        <f t="shared" si="6"/>
        <v>3517.5779064585245</v>
      </c>
      <c r="D906" s="255">
        <f t="shared" si="7"/>
        <v>1</v>
      </c>
    </row>
    <row r="907" spans="1:4" ht="14.25" customHeight="1" x14ac:dyDescent="0.25">
      <c r="A907" s="28">
        <v>3083.2273938664075</v>
      </c>
      <c r="B907" s="28">
        <v>-9.4026753616279768E-2</v>
      </c>
      <c r="C907" s="254">
        <f t="shared" si="6"/>
        <v>-9402.6753616279766</v>
      </c>
      <c r="D907" s="255">
        <f t="shared" si="7"/>
        <v>1</v>
      </c>
    </row>
    <row r="908" spans="1:4" ht="14.25" customHeight="1" x14ac:dyDescent="0.25">
      <c r="A908" s="28">
        <v>7211.9113590710331</v>
      </c>
      <c r="B908" s="28">
        <v>-5.224588535250474E-2</v>
      </c>
      <c r="C908" s="254">
        <f t="shared" si="6"/>
        <v>-5224.5885352504738</v>
      </c>
      <c r="D908" s="255">
        <f t="shared" si="7"/>
        <v>1</v>
      </c>
    </row>
    <row r="909" spans="1:4" ht="14.25" customHeight="1" x14ac:dyDescent="0.25">
      <c r="A909" s="28">
        <v>6606.384746077194</v>
      </c>
      <c r="B909" s="28">
        <v>0.111205470037125</v>
      </c>
      <c r="C909" s="254">
        <f t="shared" si="6"/>
        <v>11120.5470037125</v>
      </c>
      <c r="D909" s="255">
        <f t="shared" si="7"/>
        <v>0</v>
      </c>
    </row>
    <row r="910" spans="1:4" ht="14.25" customHeight="1" x14ac:dyDescent="0.25">
      <c r="A910" s="28">
        <v>7727.8595566455624</v>
      </c>
      <c r="B910" s="28">
        <v>0.3201000877880279</v>
      </c>
      <c r="C910" s="254">
        <f t="shared" si="6"/>
        <v>32010.008778802789</v>
      </c>
      <c r="D910" s="255">
        <f t="shared" si="7"/>
        <v>0</v>
      </c>
    </row>
    <row r="911" spans="1:4" ht="14.25" customHeight="1" x14ac:dyDescent="0.25">
      <c r="A911" s="28">
        <v>8402.6889496886288</v>
      </c>
      <c r="B911" s="28">
        <v>0.1828827588255586</v>
      </c>
      <c r="C911" s="254">
        <f t="shared" si="6"/>
        <v>18288.275882555859</v>
      </c>
      <c r="D911" s="255">
        <f t="shared" si="7"/>
        <v>0</v>
      </c>
    </row>
    <row r="912" spans="1:4" ht="14.25" customHeight="1" x14ac:dyDescent="0.25">
      <c r="A912" s="28">
        <v>11748.005702978553</v>
      </c>
      <c r="B912" s="28">
        <v>0.19560203791281705</v>
      </c>
      <c r="C912" s="254">
        <f t="shared" si="6"/>
        <v>19560.203791281707</v>
      </c>
      <c r="D912" s="255">
        <f t="shared" si="7"/>
        <v>0</v>
      </c>
    </row>
    <row r="913" spans="1:4" ht="14.25" customHeight="1" x14ac:dyDescent="0.25">
      <c r="A913" s="28">
        <v>8552.965079684669</v>
      </c>
      <c r="B913" s="28">
        <v>0.11619386411643062</v>
      </c>
      <c r="C913" s="254">
        <f t="shared" si="6"/>
        <v>11619.386411643063</v>
      </c>
      <c r="D913" s="255">
        <f t="shared" si="7"/>
        <v>0</v>
      </c>
    </row>
    <row r="914" spans="1:4" ht="14.25" customHeight="1" x14ac:dyDescent="0.25">
      <c r="A914" s="28">
        <v>-703.23859039921081</v>
      </c>
      <c r="B914" s="28">
        <v>-8.8022527653301097E-2</v>
      </c>
      <c r="C914" s="254">
        <f t="shared" si="6"/>
        <v>-8802.2527653301095</v>
      </c>
      <c r="D914" s="255">
        <f t="shared" si="7"/>
        <v>1</v>
      </c>
    </row>
    <row r="915" spans="1:4" ht="14.25" customHeight="1" x14ac:dyDescent="0.25">
      <c r="A915" s="28">
        <v>11422.607019124654</v>
      </c>
      <c r="B915" s="28">
        <v>-0.1475053948648446</v>
      </c>
      <c r="C915" s="254">
        <f t="shared" si="6"/>
        <v>-14750.53948648446</v>
      </c>
      <c r="D915" s="255">
        <f t="shared" si="7"/>
        <v>1</v>
      </c>
    </row>
    <row r="916" spans="1:4" ht="14.25" customHeight="1" x14ac:dyDescent="0.25">
      <c r="A916" s="28">
        <v>3899.3757831216353</v>
      </c>
      <c r="B916" s="28">
        <v>2.361146731059427E-2</v>
      </c>
      <c r="C916" s="254">
        <f t="shared" si="6"/>
        <v>2361.1467310594271</v>
      </c>
      <c r="D916" s="255">
        <f t="shared" si="7"/>
        <v>1</v>
      </c>
    </row>
    <row r="917" spans="1:4" ht="14.25" customHeight="1" x14ac:dyDescent="0.25">
      <c r="A917" s="28">
        <v>6991.470798768918</v>
      </c>
      <c r="B917" s="28">
        <v>2.4274921951073836E-2</v>
      </c>
      <c r="C917" s="254">
        <f t="shared" si="6"/>
        <v>2427.4921951073834</v>
      </c>
      <c r="D917" s="255">
        <f t="shared" si="7"/>
        <v>1</v>
      </c>
    </row>
    <row r="918" spans="1:4" ht="14.25" customHeight="1" x14ac:dyDescent="0.25">
      <c r="A918" s="28">
        <v>8253.7280775281833</v>
      </c>
      <c r="B918" s="28">
        <v>-7.8202578552638347E-2</v>
      </c>
      <c r="C918" s="254">
        <f t="shared" si="6"/>
        <v>-7820.2578552638342</v>
      </c>
      <c r="D918" s="255">
        <f t="shared" si="7"/>
        <v>1</v>
      </c>
    </row>
    <row r="919" spans="1:4" ht="14.25" customHeight="1" x14ac:dyDescent="0.25">
      <c r="A919" s="28">
        <v>-9306.0291391205392</v>
      </c>
      <c r="B919" s="28">
        <v>0.26600978630628047</v>
      </c>
      <c r="C919" s="254">
        <f t="shared" si="6"/>
        <v>26600.978630628048</v>
      </c>
      <c r="D919" s="255">
        <f t="shared" si="7"/>
        <v>0</v>
      </c>
    </row>
    <row r="920" spans="1:4" ht="14.25" customHeight="1" x14ac:dyDescent="0.25">
      <c r="A920" s="28">
        <v>7742.110373237927</v>
      </c>
      <c r="B920" s="28">
        <v>-2.4389556906084131E-2</v>
      </c>
      <c r="C920" s="254">
        <f t="shared" si="6"/>
        <v>-2438.9556906084131</v>
      </c>
      <c r="D920" s="255">
        <f t="shared" si="7"/>
        <v>1</v>
      </c>
    </row>
    <row r="921" spans="1:4" ht="14.25" customHeight="1" x14ac:dyDescent="0.25">
      <c r="A921" s="28">
        <v>13530.3807558642</v>
      </c>
      <c r="B921" s="28">
        <v>-0.16758645957508767</v>
      </c>
      <c r="C921" s="254">
        <f t="shared" si="6"/>
        <v>-16758.645957508765</v>
      </c>
      <c r="D921" s="255">
        <f t="shared" si="7"/>
        <v>1</v>
      </c>
    </row>
    <row r="922" spans="1:4" ht="14.25" customHeight="1" x14ac:dyDescent="0.25">
      <c r="A922" s="28">
        <v>-1872.4058770180418</v>
      </c>
      <c r="B922" s="28">
        <v>-3.9066797884359517E-3</v>
      </c>
      <c r="C922" s="254">
        <f t="shared" si="6"/>
        <v>-390.66797884359517</v>
      </c>
      <c r="D922" s="255">
        <f t="shared" si="7"/>
        <v>0</v>
      </c>
    </row>
    <row r="923" spans="1:4" ht="14.25" customHeight="1" x14ac:dyDescent="0.25">
      <c r="A923" s="28">
        <v>4475.6221916460927</v>
      </c>
      <c r="B923" s="28">
        <v>7.7351157018082706E-2</v>
      </c>
      <c r="C923" s="254">
        <f t="shared" si="6"/>
        <v>7735.1157018082704</v>
      </c>
      <c r="D923" s="255">
        <f t="shared" si="7"/>
        <v>0</v>
      </c>
    </row>
    <row r="924" spans="1:4" ht="14.25" customHeight="1" x14ac:dyDescent="0.25">
      <c r="A924" s="28">
        <v>10722.126916812485</v>
      </c>
      <c r="B924" s="28">
        <v>0.39148356987926514</v>
      </c>
      <c r="C924" s="254">
        <f t="shared" si="6"/>
        <v>39148.356987926512</v>
      </c>
      <c r="D924" s="255">
        <f t="shared" si="7"/>
        <v>0</v>
      </c>
    </row>
    <row r="925" spans="1:4" ht="14.25" customHeight="1" x14ac:dyDescent="0.25">
      <c r="A925" s="28">
        <v>8632.6262206412212</v>
      </c>
      <c r="B925" s="28">
        <v>8.0366526210056133E-2</v>
      </c>
      <c r="C925" s="254">
        <f t="shared" si="6"/>
        <v>8036.6526210056136</v>
      </c>
      <c r="D925" s="255">
        <f t="shared" si="7"/>
        <v>1</v>
      </c>
    </row>
    <row r="926" spans="1:4" ht="14.25" customHeight="1" x14ac:dyDescent="0.25">
      <c r="A926" s="28">
        <v>5910.0665900364838</v>
      </c>
      <c r="B926" s="28">
        <v>8.7771094355216794E-2</v>
      </c>
      <c r="C926" s="254">
        <f t="shared" si="6"/>
        <v>8777.1094355216792</v>
      </c>
      <c r="D926" s="255">
        <f t="shared" si="7"/>
        <v>0</v>
      </c>
    </row>
    <row r="927" spans="1:4" ht="14.25" customHeight="1" x14ac:dyDescent="0.25">
      <c r="A927" s="28">
        <v>4538.8338767822061</v>
      </c>
      <c r="B927" s="28">
        <v>0.47752382381709824</v>
      </c>
      <c r="C927" s="254">
        <f t="shared" si="6"/>
        <v>47752.382381709824</v>
      </c>
      <c r="D927" s="255">
        <f t="shared" si="7"/>
        <v>0</v>
      </c>
    </row>
    <row r="928" spans="1:4" ht="14.25" customHeight="1" x14ac:dyDescent="0.25">
      <c r="A928" s="28">
        <v>8312.939875865748</v>
      </c>
      <c r="B928" s="28">
        <v>2.0116004481114391E-2</v>
      </c>
      <c r="C928" s="254">
        <f t="shared" si="6"/>
        <v>2011.6004481114392</v>
      </c>
      <c r="D928" s="255">
        <f t="shared" si="7"/>
        <v>1</v>
      </c>
    </row>
    <row r="929" spans="1:4" ht="14.25" customHeight="1" x14ac:dyDescent="0.25">
      <c r="A929" s="28">
        <v>12419.42373001088</v>
      </c>
      <c r="B929" s="28">
        <v>1.3676611545553552E-2</v>
      </c>
      <c r="C929" s="254">
        <f t="shared" si="6"/>
        <v>1367.6611545553551</v>
      </c>
      <c r="D929" s="255">
        <f t="shared" si="7"/>
        <v>1</v>
      </c>
    </row>
    <row r="930" spans="1:4" ht="14.25" customHeight="1" x14ac:dyDescent="0.25">
      <c r="A930" s="28">
        <v>8103.6635650680255</v>
      </c>
      <c r="B930" s="28">
        <v>0.27670000369130315</v>
      </c>
      <c r="C930" s="254">
        <f t="shared" si="6"/>
        <v>27670.000369130314</v>
      </c>
      <c r="D930" s="255">
        <f t="shared" si="7"/>
        <v>0</v>
      </c>
    </row>
    <row r="931" spans="1:4" ht="14.25" customHeight="1" x14ac:dyDescent="0.25">
      <c r="A931" s="28">
        <v>12634.129471848442</v>
      </c>
      <c r="B931" s="28">
        <v>2.1492327713430681E-2</v>
      </c>
      <c r="C931" s="254">
        <f t="shared" si="6"/>
        <v>2149.2327713430682</v>
      </c>
      <c r="D931" s="255">
        <f t="shared" si="7"/>
        <v>1</v>
      </c>
    </row>
    <row r="932" spans="1:4" ht="14.25" customHeight="1" x14ac:dyDescent="0.25">
      <c r="A932" s="28">
        <v>6443.6340867464532</v>
      </c>
      <c r="B932" s="28">
        <v>6.421351393904251E-2</v>
      </c>
      <c r="C932" s="254">
        <f t="shared" si="6"/>
        <v>6421.3513939042514</v>
      </c>
      <c r="D932" s="255">
        <f t="shared" si="7"/>
        <v>1</v>
      </c>
    </row>
    <row r="933" spans="1:4" ht="14.25" customHeight="1" x14ac:dyDescent="0.25">
      <c r="A933" s="28">
        <v>8028.979423613433</v>
      </c>
      <c r="B933" s="28">
        <v>-0.16015349511166921</v>
      </c>
      <c r="C933" s="254">
        <f t="shared" si="6"/>
        <v>-16015.349511166922</v>
      </c>
      <c r="D933" s="255">
        <f t="shared" si="7"/>
        <v>1</v>
      </c>
    </row>
    <row r="934" spans="1:4" ht="14.25" customHeight="1" x14ac:dyDescent="0.25">
      <c r="A934" s="28">
        <v>10561.66402576433</v>
      </c>
      <c r="B934" s="28">
        <v>-0.10793694352691108</v>
      </c>
      <c r="C934" s="254">
        <f t="shared" si="6"/>
        <v>-10793.694352691107</v>
      </c>
      <c r="D934" s="255">
        <f t="shared" si="7"/>
        <v>1</v>
      </c>
    </row>
    <row r="935" spans="1:4" ht="14.25" customHeight="1" x14ac:dyDescent="0.25">
      <c r="A935" s="28">
        <v>9891.7829528706061</v>
      </c>
      <c r="B935" s="28">
        <v>-0.16133165302479568</v>
      </c>
      <c r="C935" s="254">
        <f t="shared" si="6"/>
        <v>-16133.165302479569</v>
      </c>
      <c r="D935" s="255">
        <f t="shared" si="7"/>
        <v>1</v>
      </c>
    </row>
    <row r="936" spans="1:4" ht="14.25" customHeight="1" x14ac:dyDescent="0.25">
      <c r="A936" s="28">
        <v>6746.1552964491129</v>
      </c>
      <c r="B936" s="28">
        <v>0.13491783124769063</v>
      </c>
      <c r="C936" s="254">
        <f t="shared" si="6"/>
        <v>13491.783124769063</v>
      </c>
      <c r="D936" s="255">
        <f t="shared" si="7"/>
        <v>0</v>
      </c>
    </row>
    <row r="937" spans="1:4" ht="14.25" customHeight="1" x14ac:dyDescent="0.25">
      <c r="A937" s="28">
        <v>8119.6186781366268</v>
      </c>
      <c r="B937" s="28">
        <v>-0.45949652730181034</v>
      </c>
      <c r="C937" s="254">
        <f t="shared" si="6"/>
        <v>-45949.652730181035</v>
      </c>
      <c r="D937" s="255">
        <f t="shared" si="7"/>
        <v>1</v>
      </c>
    </row>
    <row r="938" spans="1:4" ht="14.25" customHeight="1" x14ac:dyDescent="0.25">
      <c r="A938" s="28">
        <v>539.95417136774631</v>
      </c>
      <c r="B938" s="28">
        <v>-7.5590650789910452E-2</v>
      </c>
      <c r="C938" s="254">
        <f t="shared" si="6"/>
        <v>-7559.0650789910451</v>
      </c>
      <c r="D938" s="255">
        <f t="shared" si="7"/>
        <v>1</v>
      </c>
    </row>
    <row r="939" spans="1:4" ht="14.25" customHeight="1" x14ac:dyDescent="0.25">
      <c r="A939" s="28">
        <v>4195.0176721911921</v>
      </c>
      <c r="B939" s="28">
        <v>-8.1663401704764382E-2</v>
      </c>
      <c r="C939" s="254">
        <f t="shared" si="6"/>
        <v>-8166.3401704764383</v>
      </c>
      <c r="D939" s="255">
        <f t="shared" si="7"/>
        <v>1</v>
      </c>
    </row>
    <row r="940" spans="1:4" ht="14.25" customHeight="1" x14ac:dyDescent="0.25">
      <c r="A940" s="28">
        <v>6517.5250966963795</v>
      </c>
      <c r="B940" s="28">
        <v>-6.4879580485592336E-2</v>
      </c>
      <c r="C940" s="254">
        <f t="shared" si="6"/>
        <v>-6487.9580485592332</v>
      </c>
      <c r="D940" s="255">
        <f t="shared" si="7"/>
        <v>1</v>
      </c>
    </row>
    <row r="941" spans="1:4" ht="14.25" customHeight="1" x14ac:dyDescent="0.25">
      <c r="A941" s="28">
        <v>8557.63201096376</v>
      </c>
      <c r="B941" s="28">
        <v>0.33476793449331477</v>
      </c>
      <c r="C941" s="254">
        <f t="shared" si="6"/>
        <v>33476.793449331475</v>
      </c>
      <c r="D941" s="255">
        <f t="shared" si="7"/>
        <v>0</v>
      </c>
    </row>
    <row r="942" spans="1:4" ht="14.25" customHeight="1" x14ac:dyDescent="0.25">
      <c r="A942" s="28">
        <v>1568.1094672314357</v>
      </c>
      <c r="B942" s="28">
        <v>-7.8857272713520096E-2</v>
      </c>
      <c r="C942" s="254">
        <f t="shared" si="6"/>
        <v>-7885.7272713520097</v>
      </c>
      <c r="D942" s="255">
        <f t="shared" si="7"/>
        <v>1</v>
      </c>
    </row>
    <row r="943" spans="1:4" ht="14.25" customHeight="1" x14ac:dyDescent="0.25">
      <c r="A943" s="28">
        <v>9617.6399622393074</v>
      </c>
      <c r="B943" s="28">
        <v>0.1723558105049674</v>
      </c>
      <c r="C943" s="254">
        <f t="shared" si="6"/>
        <v>17235.581050496741</v>
      </c>
      <c r="D943" s="255">
        <f t="shared" si="7"/>
        <v>0</v>
      </c>
    </row>
    <row r="944" spans="1:4" ht="14.25" customHeight="1" x14ac:dyDescent="0.25">
      <c r="A944" s="28">
        <v>8317.5644339355713</v>
      </c>
      <c r="B944" s="28">
        <v>-3.4445178335169135E-2</v>
      </c>
      <c r="C944" s="254">
        <f t="shared" si="6"/>
        <v>-3444.5178335169135</v>
      </c>
      <c r="D944" s="255">
        <f t="shared" si="7"/>
        <v>1</v>
      </c>
    </row>
    <row r="945" spans="1:4" ht="14.25" customHeight="1" x14ac:dyDescent="0.25">
      <c r="A945" s="28">
        <v>1269.8292265509226</v>
      </c>
      <c r="B945" s="28">
        <v>0.21328333924631115</v>
      </c>
      <c r="C945" s="254">
        <f t="shared" si="6"/>
        <v>21328.333924631115</v>
      </c>
      <c r="D945" s="255">
        <f t="shared" si="7"/>
        <v>0</v>
      </c>
    </row>
    <row r="946" spans="1:4" ht="14.25" customHeight="1" x14ac:dyDescent="0.25">
      <c r="A946" s="28">
        <v>5385.5697432085144</v>
      </c>
      <c r="B946" s="28">
        <v>0.27345791956690091</v>
      </c>
      <c r="C946" s="254">
        <f t="shared" si="6"/>
        <v>27345.791956690089</v>
      </c>
      <c r="D946" s="255">
        <f t="shared" si="7"/>
        <v>0</v>
      </c>
    </row>
    <row r="947" spans="1:4" ht="14.25" customHeight="1" x14ac:dyDescent="0.25">
      <c r="A947" s="28">
        <v>4616.0968418902339</v>
      </c>
      <c r="B947" s="28">
        <v>6.9812962151852065E-2</v>
      </c>
      <c r="C947" s="254">
        <f t="shared" si="6"/>
        <v>6981.2962151852062</v>
      </c>
      <c r="D947" s="255">
        <f t="shared" si="7"/>
        <v>0</v>
      </c>
    </row>
    <row r="948" spans="1:4" ht="14.25" customHeight="1" x14ac:dyDescent="0.25">
      <c r="A948" s="28">
        <v>-1754.7213197253586</v>
      </c>
      <c r="B948" s="28">
        <v>0.36154998541957784</v>
      </c>
      <c r="C948" s="254">
        <f t="shared" si="6"/>
        <v>36154.998541957786</v>
      </c>
      <c r="D948" s="255">
        <f t="shared" si="7"/>
        <v>0</v>
      </c>
    </row>
    <row r="949" spans="1:4" ht="14.25" customHeight="1" x14ac:dyDescent="0.25">
      <c r="A949" s="28">
        <v>4022.5306374657957</v>
      </c>
      <c r="B949" s="28">
        <v>0.10091727886621404</v>
      </c>
      <c r="C949" s="254">
        <f t="shared" si="6"/>
        <v>10091.727886621404</v>
      </c>
      <c r="D949" s="255">
        <f t="shared" si="7"/>
        <v>0</v>
      </c>
    </row>
    <row r="950" spans="1:4" ht="14.25" customHeight="1" x14ac:dyDescent="0.25">
      <c r="A950" s="28">
        <v>5358.4026681890537</v>
      </c>
      <c r="B950" s="28">
        <v>-0.13888305987014871</v>
      </c>
      <c r="C950" s="254">
        <f t="shared" si="6"/>
        <v>-13888.30598701487</v>
      </c>
      <c r="D950" s="255">
        <f t="shared" si="7"/>
        <v>1</v>
      </c>
    </row>
    <row r="951" spans="1:4" ht="14.25" customHeight="1" x14ac:dyDescent="0.25">
      <c r="A951" s="28">
        <v>5746.1051628261703</v>
      </c>
      <c r="B951" s="28">
        <v>-6.6429709930199143E-2</v>
      </c>
      <c r="C951" s="254">
        <f t="shared" si="6"/>
        <v>-6642.9709930199142</v>
      </c>
      <c r="D951" s="255">
        <f t="shared" si="7"/>
        <v>1</v>
      </c>
    </row>
    <row r="952" spans="1:4" ht="14.25" customHeight="1" x14ac:dyDescent="0.25">
      <c r="A952" s="28">
        <v>3305.2719528454909</v>
      </c>
      <c r="B952" s="28">
        <v>0.16910081959165846</v>
      </c>
      <c r="C952" s="254">
        <f t="shared" si="6"/>
        <v>16910.081959165847</v>
      </c>
      <c r="D952" s="255">
        <f t="shared" si="7"/>
        <v>0</v>
      </c>
    </row>
    <row r="953" spans="1:4" ht="14.25" customHeight="1" x14ac:dyDescent="0.25">
      <c r="A953" s="28">
        <v>15105.526567160938</v>
      </c>
      <c r="B953" s="28">
        <v>0.12013784668892713</v>
      </c>
      <c r="C953" s="254">
        <f t="shared" si="6"/>
        <v>12013.784668892713</v>
      </c>
      <c r="D953" s="255">
        <f t="shared" si="7"/>
        <v>1</v>
      </c>
    </row>
    <row r="954" spans="1:4" ht="14.25" customHeight="1" x14ac:dyDescent="0.25">
      <c r="A954" s="28">
        <v>5945.3225028565139</v>
      </c>
      <c r="B954" s="28">
        <v>0.13278133539657433</v>
      </c>
      <c r="C954" s="254">
        <f t="shared" si="6"/>
        <v>13278.133539657432</v>
      </c>
      <c r="D954" s="255">
        <f t="shared" si="7"/>
        <v>0</v>
      </c>
    </row>
    <row r="955" spans="1:4" ht="14.25" customHeight="1" x14ac:dyDescent="0.25">
      <c r="A955" s="28">
        <v>9993.0419498978008</v>
      </c>
      <c r="B955" s="28">
        <v>0.4330101109641431</v>
      </c>
      <c r="C955" s="254">
        <f t="shared" si="6"/>
        <v>43301.01109641431</v>
      </c>
      <c r="D955" s="255">
        <f t="shared" si="7"/>
        <v>0</v>
      </c>
    </row>
    <row r="956" spans="1:4" ht="14.25" customHeight="1" x14ac:dyDescent="0.25">
      <c r="A956" s="28">
        <v>3765.524594508257</v>
      </c>
      <c r="B956" s="28">
        <v>-3.6348033863821794E-2</v>
      </c>
      <c r="C956" s="254">
        <f t="shared" si="6"/>
        <v>-3634.8033863821793</v>
      </c>
      <c r="D956" s="255">
        <f t="shared" si="7"/>
        <v>1</v>
      </c>
    </row>
    <row r="957" spans="1:4" ht="14.25" customHeight="1" x14ac:dyDescent="0.25">
      <c r="A957" s="28">
        <v>10103.244255996164</v>
      </c>
      <c r="B957" s="28">
        <v>0.29803142320792153</v>
      </c>
      <c r="C957" s="254">
        <f t="shared" si="6"/>
        <v>29803.142320792154</v>
      </c>
      <c r="D957" s="255">
        <f t="shared" si="7"/>
        <v>0</v>
      </c>
    </row>
    <row r="958" spans="1:4" ht="14.25" customHeight="1" x14ac:dyDescent="0.25">
      <c r="A958" s="28">
        <v>9949.6879239172122</v>
      </c>
      <c r="B958" s="28">
        <v>4.6638379796188456E-2</v>
      </c>
      <c r="C958" s="254">
        <f t="shared" si="6"/>
        <v>4663.8379796188456</v>
      </c>
      <c r="D958" s="255">
        <f t="shared" si="7"/>
        <v>1</v>
      </c>
    </row>
    <row r="959" spans="1:4" ht="14.25" customHeight="1" x14ac:dyDescent="0.25">
      <c r="A959" s="28">
        <v>-4571.1782093354632</v>
      </c>
      <c r="B959" s="28">
        <v>-0.10821781797768354</v>
      </c>
      <c r="C959" s="254">
        <f t="shared" si="6"/>
        <v>-10821.781797768353</v>
      </c>
      <c r="D959" s="255">
        <f t="shared" si="7"/>
        <v>1</v>
      </c>
    </row>
    <row r="960" spans="1:4" ht="14.25" customHeight="1" x14ac:dyDescent="0.25">
      <c r="A960" s="28">
        <v>14492.720717429038</v>
      </c>
      <c r="B960" s="28">
        <v>0.1184712104836656</v>
      </c>
      <c r="C960" s="254">
        <f t="shared" si="6"/>
        <v>11847.12104836656</v>
      </c>
      <c r="D960" s="255">
        <f t="shared" si="7"/>
        <v>1</v>
      </c>
    </row>
    <row r="961" spans="1:4" ht="14.25" customHeight="1" x14ac:dyDescent="0.25">
      <c r="A961" s="28">
        <v>2474.9644562647591</v>
      </c>
      <c r="B961" s="28">
        <v>-0.13162447639811692</v>
      </c>
      <c r="C961" s="254">
        <f t="shared" si="6"/>
        <v>-13162.447639811691</v>
      </c>
      <c r="D961" s="255">
        <f t="shared" si="7"/>
        <v>1</v>
      </c>
    </row>
    <row r="962" spans="1:4" ht="14.25" customHeight="1" x14ac:dyDescent="0.25">
      <c r="A962" s="28">
        <v>3544.2906731278636</v>
      </c>
      <c r="B962" s="28">
        <v>1.0209125096740657E-2</v>
      </c>
      <c r="C962" s="254">
        <f t="shared" si="6"/>
        <v>1020.9125096740656</v>
      </c>
      <c r="D962" s="255">
        <f t="shared" si="7"/>
        <v>1</v>
      </c>
    </row>
    <row r="963" spans="1:4" ht="14.25" customHeight="1" x14ac:dyDescent="0.25">
      <c r="A963" s="28">
        <v>7795.5981931668648</v>
      </c>
      <c r="B963" s="28">
        <v>-9.3984556350355852E-2</v>
      </c>
      <c r="C963" s="254">
        <f t="shared" si="6"/>
        <v>-9398.4556350355851</v>
      </c>
      <c r="D963" s="255">
        <f t="shared" si="7"/>
        <v>1</v>
      </c>
    </row>
    <row r="964" spans="1:4" ht="14.25" customHeight="1" x14ac:dyDescent="0.25">
      <c r="A964" s="28">
        <v>9470.6178252472673</v>
      </c>
      <c r="B964" s="28">
        <v>-0.32477719733972776</v>
      </c>
      <c r="C964" s="254">
        <f t="shared" si="6"/>
        <v>-32477.719733972775</v>
      </c>
      <c r="D964" s="255">
        <f t="shared" si="7"/>
        <v>1</v>
      </c>
    </row>
    <row r="965" spans="1:4" ht="14.25" customHeight="1" x14ac:dyDescent="0.25">
      <c r="A965" s="28">
        <v>7954.687986072182</v>
      </c>
      <c r="B965" s="28">
        <v>-0.19034190825664354</v>
      </c>
      <c r="C965" s="254">
        <f t="shared" si="6"/>
        <v>-19034.190825664355</v>
      </c>
      <c r="D965" s="255">
        <f t="shared" si="7"/>
        <v>1</v>
      </c>
    </row>
    <row r="966" spans="1:4" ht="14.25" customHeight="1" x14ac:dyDescent="0.25">
      <c r="A966" s="28">
        <v>3490.1631047374685</v>
      </c>
      <c r="B966" s="28">
        <v>0.19182213365716727</v>
      </c>
      <c r="C966" s="254">
        <f t="shared" si="6"/>
        <v>19182.213365716729</v>
      </c>
      <c r="D966" s="255">
        <f t="shared" si="7"/>
        <v>0</v>
      </c>
    </row>
    <row r="967" spans="1:4" ht="14.25" customHeight="1" x14ac:dyDescent="0.25">
      <c r="A967" s="28">
        <v>-639.6151796833874</v>
      </c>
      <c r="B967" s="28">
        <v>0.68788358351685153</v>
      </c>
      <c r="C967" s="254">
        <f t="shared" si="6"/>
        <v>68788.35835168515</v>
      </c>
      <c r="D967" s="255">
        <f t="shared" si="7"/>
        <v>0</v>
      </c>
    </row>
    <row r="968" spans="1:4" ht="14.25" customHeight="1" x14ac:dyDescent="0.25">
      <c r="A968" s="28">
        <v>7328.7993413075892</v>
      </c>
      <c r="B968" s="28">
        <v>0.19055352996716968</v>
      </c>
      <c r="C968" s="254">
        <f t="shared" si="6"/>
        <v>19055.352996716967</v>
      </c>
      <c r="D968" s="255">
        <f t="shared" si="7"/>
        <v>0</v>
      </c>
    </row>
    <row r="969" spans="1:4" ht="14.25" customHeight="1" x14ac:dyDescent="0.25">
      <c r="A969" s="28">
        <v>8550.214785542048</v>
      </c>
      <c r="B969" s="28">
        <v>0.31849268747432857</v>
      </c>
      <c r="C969" s="254">
        <f t="shared" si="6"/>
        <v>31849.268747432856</v>
      </c>
      <c r="D969" s="255">
        <f t="shared" si="7"/>
        <v>0</v>
      </c>
    </row>
    <row r="970" spans="1:4" ht="14.25" customHeight="1" x14ac:dyDescent="0.25">
      <c r="A970" s="28">
        <v>2363.0230519917895</v>
      </c>
      <c r="B970" s="28">
        <v>0.26014911480450353</v>
      </c>
      <c r="C970" s="254">
        <f t="shared" si="6"/>
        <v>26014.911480450355</v>
      </c>
      <c r="D970" s="255">
        <f t="shared" si="7"/>
        <v>0</v>
      </c>
    </row>
    <row r="971" spans="1:4" ht="14.25" customHeight="1" x14ac:dyDescent="0.25">
      <c r="A971" s="28">
        <v>9860.8358187692793</v>
      </c>
      <c r="B971" s="28">
        <v>-0.13907416554082719</v>
      </c>
      <c r="C971" s="254">
        <f t="shared" si="6"/>
        <v>-13907.416554082718</v>
      </c>
      <c r="D971" s="255">
        <f t="shared" si="7"/>
        <v>1</v>
      </c>
    </row>
    <row r="972" spans="1:4" ht="14.25" customHeight="1" x14ac:dyDescent="0.25">
      <c r="A972" s="28">
        <v>15010.000836949293</v>
      </c>
      <c r="B972" s="28">
        <v>-0.29186873221461651</v>
      </c>
      <c r="C972" s="254">
        <f t="shared" si="6"/>
        <v>-29186.87322146165</v>
      </c>
      <c r="D972" s="255">
        <f t="shared" si="7"/>
        <v>1</v>
      </c>
    </row>
    <row r="973" spans="1:4" ht="14.25" customHeight="1" x14ac:dyDescent="0.25">
      <c r="A973" s="28">
        <v>13987.814772842503</v>
      </c>
      <c r="B973" s="28">
        <v>0.41319759353502161</v>
      </c>
      <c r="C973" s="254">
        <f t="shared" si="6"/>
        <v>41319.759353502159</v>
      </c>
      <c r="D973" s="255">
        <f t="shared" si="7"/>
        <v>0</v>
      </c>
    </row>
    <row r="974" spans="1:4" ht="14.25" customHeight="1" x14ac:dyDescent="0.25">
      <c r="A974" s="28">
        <v>10393.900361895779</v>
      </c>
      <c r="B974" s="28">
        <v>0.4265633995119763</v>
      </c>
      <c r="C974" s="254">
        <f t="shared" si="6"/>
        <v>42656.339951197631</v>
      </c>
      <c r="D974" s="255">
        <f t="shared" si="7"/>
        <v>0</v>
      </c>
    </row>
    <row r="975" spans="1:4" ht="14.25" customHeight="1" x14ac:dyDescent="0.25">
      <c r="A975" s="28">
        <v>7542.5739344815447</v>
      </c>
      <c r="B975" s="28">
        <v>-0.26053782993370733</v>
      </c>
      <c r="C975" s="254">
        <f t="shared" si="6"/>
        <v>-26053.782993370733</v>
      </c>
      <c r="D975" s="255">
        <f t="shared" si="7"/>
        <v>1</v>
      </c>
    </row>
    <row r="976" spans="1:4" ht="14.25" customHeight="1" x14ac:dyDescent="0.25">
      <c r="A976" s="28">
        <v>3138.0907228366268</v>
      </c>
      <c r="B976" s="28">
        <v>-0.16766252681593619</v>
      </c>
      <c r="C976" s="254">
        <f t="shared" si="6"/>
        <v>-16766.252681593618</v>
      </c>
      <c r="D976" s="255">
        <f t="shared" si="7"/>
        <v>1</v>
      </c>
    </row>
    <row r="977" spans="1:4" ht="14.25" customHeight="1" x14ac:dyDescent="0.25">
      <c r="A977" s="28">
        <v>1178.1005591639332</v>
      </c>
      <c r="B977" s="28">
        <v>-1.9123228966495542E-2</v>
      </c>
      <c r="C977" s="254">
        <f t="shared" si="6"/>
        <v>-1912.3228966495542</v>
      </c>
      <c r="D977" s="255">
        <f t="shared" si="7"/>
        <v>1</v>
      </c>
    </row>
    <row r="978" spans="1:4" ht="14.25" customHeight="1" x14ac:dyDescent="0.25">
      <c r="A978" s="28">
        <v>11523.396139416116</v>
      </c>
      <c r="B978" s="28">
        <v>-3.6684464623999435E-2</v>
      </c>
      <c r="C978" s="254">
        <f t="shared" si="6"/>
        <v>-3668.4464623999434</v>
      </c>
      <c r="D978" s="255">
        <f t="shared" si="7"/>
        <v>1</v>
      </c>
    </row>
    <row r="979" spans="1:4" ht="14.25" customHeight="1" x14ac:dyDescent="0.25">
      <c r="A979" s="28">
        <v>8656.6860746441816</v>
      </c>
      <c r="B979" s="28">
        <v>-3.8958536060706206E-2</v>
      </c>
      <c r="C979" s="254">
        <f t="shared" si="6"/>
        <v>-3895.8536060706206</v>
      </c>
      <c r="D979" s="255">
        <f t="shared" si="7"/>
        <v>1</v>
      </c>
    </row>
    <row r="980" spans="1:4" ht="14.25" customHeight="1" x14ac:dyDescent="0.25">
      <c r="A980" s="28">
        <v>17177.622633408653</v>
      </c>
      <c r="B980" s="28">
        <v>-0.12925787839058822</v>
      </c>
      <c r="C980" s="254">
        <f t="shared" si="6"/>
        <v>-12925.787839058823</v>
      </c>
      <c r="D980" s="255">
        <f t="shared" si="7"/>
        <v>1</v>
      </c>
    </row>
    <row r="981" spans="1:4" ht="14.25" customHeight="1" x14ac:dyDescent="0.25">
      <c r="A981" s="28">
        <v>9513.0775731187896</v>
      </c>
      <c r="B981" s="28">
        <v>-7.9378008577179984E-2</v>
      </c>
      <c r="C981" s="254">
        <f t="shared" si="6"/>
        <v>-7937.800857717998</v>
      </c>
      <c r="D981" s="255">
        <f t="shared" si="7"/>
        <v>1</v>
      </c>
    </row>
    <row r="982" spans="1:4" ht="14.25" customHeight="1" x14ac:dyDescent="0.25">
      <c r="A982" s="28">
        <v>5991.4812926555605</v>
      </c>
      <c r="B982" s="28">
        <v>6.0198209938800207E-2</v>
      </c>
      <c r="C982" s="254">
        <f t="shared" si="6"/>
        <v>6019.820993880021</v>
      </c>
      <c r="D982" s="255">
        <f t="shared" si="7"/>
        <v>0</v>
      </c>
    </row>
    <row r="983" spans="1:4" ht="14.25" customHeight="1" x14ac:dyDescent="0.25">
      <c r="A983" s="28">
        <v>1991.5611163721478</v>
      </c>
      <c r="B983" s="28">
        <v>0.28579964476717334</v>
      </c>
      <c r="C983" s="254">
        <f t="shared" si="6"/>
        <v>28579.964476717334</v>
      </c>
      <c r="D983" s="255">
        <f t="shared" si="7"/>
        <v>0</v>
      </c>
    </row>
    <row r="984" spans="1:4" ht="14.25" customHeight="1" x14ac:dyDescent="0.25">
      <c r="A984" s="28">
        <v>8194.8454105965939</v>
      </c>
      <c r="B984" s="28">
        <v>0.16607011553942863</v>
      </c>
      <c r="C984" s="254">
        <f t="shared" si="6"/>
        <v>16607.011553942863</v>
      </c>
      <c r="D984" s="255">
        <f t="shared" si="7"/>
        <v>0</v>
      </c>
    </row>
    <row r="985" spans="1:4" ht="14.25" customHeight="1" x14ac:dyDescent="0.25">
      <c r="A985" s="28">
        <v>-1053.8075134492974</v>
      </c>
      <c r="B985" s="28">
        <v>9.9470198084759875E-2</v>
      </c>
      <c r="C985" s="254">
        <f t="shared" si="6"/>
        <v>9947.0198084759868</v>
      </c>
      <c r="D985" s="255">
        <f t="shared" si="7"/>
        <v>0</v>
      </c>
    </row>
    <row r="986" spans="1:4" ht="14.25" customHeight="1" x14ac:dyDescent="0.25">
      <c r="A986" s="28">
        <v>1791.5490128910387</v>
      </c>
      <c r="B986" s="28">
        <v>-0.29833288170800198</v>
      </c>
      <c r="C986" s="254">
        <f t="shared" si="6"/>
        <v>-29833.288170800199</v>
      </c>
      <c r="D986" s="255">
        <f t="shared" si="7"/>
        <v>1</v>
      </c>
    </row>
    <row r="987" spans="1:4" ht="14.25" customHeight="1" x14ac:dyDescent="0.25">
      <c r="A987" s="28">
        <v>5149.7513972858433</v>
      </c>
      <c r="B987" s="28">
        <v>0.21887175024105554</v>
      </c>
      <c r="C987" s="254">
        <f t="shared" si="6"/>
        <v>21887.175024105552</v>
      </c>
      <c r="D987" s="255">
        <f t="shared" si="7"/>
        <v>0</v>
      </c>
    </row>
    <row r="988" spans="1:4" ht="14.25" customHeight="1" x14ac:dyDescent="0.25">
      <c r="A988" s="28">
        <v>6449.7786226673488</v>
      </c>
      <c r="B988" s="28">
        <v>-6.7187656572390564E-2</v>
      </c>
      <c r="C988" s="254">
        <f t="shared" si="6"/>
        <v>-6718.7656572390561</v>
      </c>
      <c r="D988" s="255">
        <f t="shared" si="7"/>
        <v>1</v>
      </c>
    </row>
    <row r="989" spans="1:4" ht="14.25" customHeight="1" x14ac:dyDescent="0.25">
      <c r="A989" s="28">
        <v>10537.619690947206</v>
      </c>
      <c r="B989" s="28">
        <v>-8.1422258078281073E-2</v>
      </c>
      <c r="C989" s="254">
        <f t="shared" si="6"/>
        <v>-8142.2258078281075</v>
      </c>
      <c r="D989" s="255">
        <f t="shared" si="7"/>
        <v>1</v>
      </c>
    </row>
    <row r="990" spans="1:4" ht="14.25" customHeight="1" x14ac:dyDescent="0.25">
      <c r="A990" s="28">
        <v>6073.8323198027792</v>
      </c>
      <c r="B990" s="28">
        <v>-0.3352960678108915</v>
      </c>
      <c r="C990" s="254">
        <f t="shared" si="6"/>
        <v>-33529.606781089147</v>
      </c>
      <c r="D990" s="255">
        <f t="shared" si="7"/>
        <v>1</v>
      </c>
    </row>
    <row r="991" spans="1:4" ht="14.25" customHeight="1" x14ac:dyDescent="0.25">
      <c r="A991" s="28">
        <v>10804.428286564565</v>
      </c>
      <c r="B991" s="28">
        <v>0.21053988097040532</v>
      </c>
      <c r="C991" s="254">
        <f t="shared" si="6"/>
        <v>21053.988097040532</v>
      </c>
      <c r="D991" s="255">
        <f t="shared" si="7"/>
        <v>0</v>
      </c>
    </row>
    <row r="992" spans="1:4" ht="14.25" customHeight="1" x14ac:dyDescent="0.25">
      <c r="A992" s="28">
        <v>1858.2616849697006</v>
      </c>
      <c r="B992" s="28">
        <v>-0.31265237182588956</v>
      </c>
      <c r="C992" s="254">
        <f t="shared" si="6"/>
        <v>-31265.237182588957</v>
      </c>
      <c r="D992" s="255">
        <f t="shared" si="7"/>
        <v>1</v>
      </c>
    </row>
    <row r="993" spans="1:4" ht="14.25" customHeight="1" x14ac:dyDescent="0.25">
      <c r="A993" s="28">
        <v>7077.9677656879867</v>
      </c>
      <c r="B993" s="28">
        <v>0.228201853600009</v>
      </c>
      <c r="C993" s="254">
        <f t="shared" si="6"/>
        <v>22820.185360000898</v>
      </c>
      <c r="D993" s="255">
        <f t="shared" si="7"/>
        <v>0</v>
      </c>
    </row>
    <row r="994" spans="1:4" ht="14.25" customHeight="1" x14ac:dyDescent="0.25">
      <c r="A994" s="28">
        <v>11069.303459215924</v>
      </c>
      <c r="B994" s="28">
        <v>0.12232795850652733</v>
      </c>
      <c r="C994" s="254">
        <f t="shared" si="6"/>
        <v>12232.795850652734</v>
      </c>
      <c r="D994" s="255">
        <f t="shared" si="7"/>
        <v>0</v>
      </c>
    </row>
    <row r="995" spans="1:4" ht="14.25" customHeight="1" x14ac:dyDescent="0.25">
      <c r="A995" s="28">
        <v>1484.1272652164771</v>
      </c>
      <c r="B995" s="28">
        <v>1.0030937098317372E-2</v>
      </c>
      <c r="C995" s="254">
        <f t="shared" si="6"/>
        <v>1003.0937098317372</v>
      </c>
      <c r="D995" s="255">
        <f t="shared" si="7"/>
        <v>1</v>
      </c>
    </row>
    <row r="996" spans="1:4" ht="14.25" customHeight="1" x14ac:dyDescent="0.25">
      <c r="A996" s="28">
        <v>9135.9513989865954</v>
      </c>
      <c r="B996" s="28">
        <v>4.5164465943021148E-2</v>
      </c>
      <c r="C996" s="254">
        <f t="shared" si="6"/>
        <v>4516.446594302115</v>
      </c>
      <c r="D996" s="255">
        <f t="shared" si="7"/>
        <v>1</v>
      </c>
    </row>
    <row r="997" spans="1:4" ht="14.25" customHeight="1" x14ac:dyDescent="0.25">
      <c r="A997" s="28">
        <v>6583.5318779041409</v>
      </c>
      <c r="B997" s="28">
        <v>-0.19218392007147211</v>
      </c>
      <c r="C997" s="254">
        <f t="shared" si="6"/>
        <v>-19218.392007147213</v>
      </c>
      <c r="D997" s="255">
        <f t="shared" si="7"/>
        <v>1</v>
      </c>
    </row>
    <row r="998" spans="1:4" ht="14.25" customHeight="1" x14ac:dyDescent="0.25">
      <c r="A998" s="28">
        <v>7489.5699461117765</v>
      </c>
      <c r="B998" s="28">
        <v>0.30701105425661446</v>
      </c>
      <c r="C998" s="254">
        <f t="shared" si="6"/>
        <v>30701.105425661444</v>
      </c>
      <c r="D998" s="255">
        <f t="shared" si="7"/>
        <v>0</v>
      </c>
    </row>
    <row r="999" spans="1:4" ht="14.25" customHeight="1" x14ac:dyDescent="0.25">
      <c r="A999" s="28">
        <v>1207.9795072686975</v>
      </c>
      <c r="B999" s="28">
        <v>-6.9308244033894795E-2</v>
      </c>
      <c r="C999" s="254">
        <f t="shared" si="6"/>
        <v>-6930.8244033894798</v>
      </c>
      <c r="D999" s="255">
        <f t="shared" si="7"/>
        <v>1</v>
      </c>
    </row>
    <row r="1000" spans="1:4" ht="14.25" customHeight="1" x14ac:dyDescent="0.25">
      <c r="A1000" s="28">
        <v>9302.6653664144542</v>
      </c>
      <c r="B1000" s="28">
        <v>-7.2269875000311679E-2</v>
      </c>
      <c r="C1000" s="254">
        <f t="shared" si="6"/>
        <v>-7226.9875000311677</v>
      </c>
      <c r="D1000" s="255">
        <f t="shared" si="7"/>
        <v>1</v>
      </c>
    </row>
    <row r="1001" spans="1:4" ht="14.25" customHeight="1" x14ac:dyDescent="0.25">
      <c r="A1001" s="28">
        <v>10977.886378132112</v>
      </c>
      <c r="B1001" s="28">
        <v>-0.22742582692347868</v>
      </c>
      <c r="C1001" s="254">
        <f t="shared" si="6"/>
        <v>-22742.582692347867</v>
      </c>
      <c r="D1001" s="255">
        <f t="shared" si="7"/>
        <v>1</v>
      </c>
    </row>
  </sheetData>
  <autoFilter ref="A1:D1001" xr:uid="{00000000-0009-0000-0000-000009000000}"/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86A7-6BB5-4C1D-BC9F-5DF75BA07EC1}">
  <sheetPr codeName="Sheet16"/>
  <dimension ref="A1:BQ1002"/>
  <sheetViews>
    <sheetView topLeftCell="A401" zoomScale="70" zoomScaleNormal="70" workbookViewId="0">
      <selection activeCell="R46" sqref="R46"/>
    </sheetView>
  </sheetViews>
  <sheetFormatPr defaultColWidth="12.625" defaultRowHeight="15" customHeight="1" x14ac:dyDescent="0.2"/>
  <cols>
    <col min="1" max="1" width="8" style="364" customWidth="1"/>
    <col min="2" max="2" width="2.125" style="364" customWidth="1"/>
    <col min="3" max="3" width="8" style="364" customWidth="1"/>
    <col min="4" max="4" width="12.75" style="364" customWidth="1"/>
    <col min="5" max="5" width="11.75" style="364" customWidth="1"/>
    <col min="6" max="6" width="9.5" style="364" customWidth="1"/>
    <col min="7" max="7" width="2.875" style="364" customWidth="1"/>
    <col min="8" max="8" width="8" style="364" customWidth="1"/>
    <col min="9" max="9" width="10.75" style="364" customWidth="1"/>
    <col min="10" max="11" width="8" style="364" customWidth="1"/>
    <col min="12" max="12" width="3.625" style="364" customWidth="1"/>
    <col min="13" max="13" width="8.25" style="364" customWidth="1"/>
    <col min="14" max="14" width="11" style="364" customWidth="1"/>
    <col min="15" max="15" width="8" style="364" customWidth="1"/>
    <col min="16" max="16" width="11" style="364" customWidth="1"/>
    <col min="17" max="17" width="3.75" style="364" customWidth="1"/>
    <col min="18" max="18" width="8" style="364" customWidth="1"/>
    <col min="19" max="19" width="9.75" style="364" customWidth="1"/>
    <col min="20" max="20" width="12.75" style="364" customWidth="1"/>
    <col min="21" max="21" width="8" style="364" customWidth="1"/>
    <col min="22" max="22" width="11.25" style="364" customWidth="1"/>
    <col min="23" max="23" width="11" style="364" customWidth="1"/>
    <col min="24" max="24" width="10.875" style="364" customWidth="1"/>
    <col min="25" max="25" width="6.125" style="364" customWidth="1"/>
    <col min="26" max="26" width="11.375" style="364" customWidth="1"/>
    <col min="27" max="27" width="5.875" style="364" customWidth="1"/>
    <col min="28" max="28" width="10.625" style="364" customWidth="1"/>
    <col min="29" max="29" width="7.25" style="364" customWidth="1"/>
    <col min="30" max="30" width="10" style="364" customWidth="1"/>
    <col min="31" max="31" width="6.375" style="364" customWidth="1"/>
    <col min="32" max="32" width="12.25" style="364" customWidth="1"/>
    <col min="33" max="33" width="9.125" style="364" customWidth="1"/>
    <col min="34" max="34" width="12.375" style="364" customWidth="1"/>
    <col min="35" max="35" width="12.625" style="335"/>
    <col min="36" max="36" width="1.125" style="364" customWidth="1"/>
    <col min="37" max="37" width="17.125" style="364" customWidth="1"/>
    <col min="38" max="38" width="21" style="364" customWidth="1"/>
    <col min="39" max="39" width="20" style="364" customWidth="1"/>
    <col min="40" max="40" width="16.375" style="364" customWidth="1"/>
    <col min="41" max="41" width="13" style="364" customWidth="1"/>
    <col min="42" max="42" width="14.625" style="364" customWidth="1"/>
    <col min="43" max="43" width="17.25" style="364" customWidth="1"/>
    <col min="44" max="44" width="17.375" style="364" customWidth="1"/>
    <col min="45" max="45" width="19.5" style="364" customWidth="1"/>
    <col min="46" max="53" width="12.625" style="364"/>
    <col min="54" max="54" width="16.875" style="364" customWidth="1"/>
    <col min="55" max="16384" width="12.625" style="364"/>
  </cols>
  <sheetData>
    <row r="1" spans="1:69" ht="14.25" customHeight="1" x14ac:dyDescent="0.2">
      <c r="A1" s="1"/>
      <c r="B1" s="366"/>
      <c r="C1" s="1"/>
      <c r="D1" s="1"/>
      <c r="E1" s="1"/>
      <c r="F1" s="1"/>
      <c r="G1" s="366"/>
      <c r="H1" s="1"/>
      <c r="I1" s="1"/>
      <c r="J1" s="1"/>
      <c r="K1" s="1"/>
      <c r="L1" s="366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</row>
    <row r="2" spans="1:69" ht="48.75" customHeight="1" x14ac:dyDescent="0.2">
      <c r="A2" s="1"/>
      <c r="B2" s="366"/>
      <c r="C2" s="1"/>
      <c r="D2" s="1"/>
      <c r="E2" s="1"/>
      <c r="F2" s="1"/>
      <c r="G2" s="366"/>
      <c r="H2" s="1"/>
      <c r="I2" s="1"/>
      <c r="J2" s="1"/>
      <c r="K2" s="1"/>
      <c r="L2" s="366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425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</row>
    <row r="3" spans="1:69" ht="35.25" customHeight="1" x14ac:dyDescent="0.2">
      <c r="A3" s="1"/>
      <c r="B3" s="366"/>
      <c r="C3" s="1"/>
      <c r="D3" s="1"/>
      <c r="E3" s="1"/>
      <c r="F3" s="1"/>
      <c r="G3" s="366"/>
      <c r="H3" s="1"/>
      <c r="I3" s="1"/>
      <c r="J3" s="1"/>
      <c r="K3" s="1"/>
      <c r="L3" s="366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425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</row>
    <row r="4" spans="1:69" ht="14.25" customHeight="1" x14ac:dyDescent="0.2">
      <c r="A4" s="534" t="s">
        <v>484</v>
      </c>
      <c r="B4" s="570"/>
      <c r="C4" s="534"/>
      <c r="D4" s="534"/>
      <c r="E4" s="534"/>
      <c r="F4" s="534"/>
      <c r="G4" s="570"/>
      <c r="H4" s="534"/>
      <c r="I4" s="534"/>
      <c r="J4" s="8"/>
      <c r="K4" s="8"/>
      <c r="L4" s="38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365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</row>
    <row r="5" spans="1:69" ht="14.25" customHeight="1" x14ac:dyDescent="0.2">
      <c r="A5" s="534"/>
      <c r="B5" s="570"/>
      <c r="C5" s="534"/>
      <c r="D5" s="534"/>
      <c r="E5" s="534"/>
      <c r="F5" s="534"/>
      <c r="G5" s="570"/>
      <c r="H5" s="534"/>
      <c r="I5" s="534"/>
      <c r="J5" s="8"/>
      <c r="K5" s="8"/>
      <c r="L5" s="38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365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</row>
    <row r="6" spans="1:69" ht="14.25" customHeight="1" x14ac:dyDescent="0.2">
      <c r="A6" s="3"/>
      <c r="B6" s="289"/>
      <c r="C6" s="3"/>
      <c r="D6" s="3"/>
      <c r="E6" s="3"/>
      <c r="F6" s="3"/>
      <c r="G6" s="289"/>
      <c r="H6" s="3"/>
      <c r="I6" s="3"/>
      <c r="J6" s="3"/>
      <c r="K6" s="3"/>
      <c r="L6" s="289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24"/>
      <c r="Z6" s="324"/>
      <c r="AA6" s="324"/>
      <c r="AB6" s="324"/>
      <c r="AC6" s="325"/>
      <c r="AD6" s="325"/>
      <c r="AE6" s="325"/>
      <c r="AF6" s="325"/>
      <c r="AG6" s="325"/>
      <c r="AH6" s="325"/>
      <c r="AI6" s="417"/>
      <c r="AJ6" s="325"/>
      <c r="AK6" s="325"/>
      <c r="AL6" s="325"/>
      <c r="AM6" s="325"/>
      <c r="AN6" s="325"/>
      <c r="AO6" s="325"/>
      <c r="AP6" s="325"/>
      <c r="AQ6" s="325"/>
      <c r="AR6" s="325"/>
      <c r="AS6" s="325"/>
      <c r="AT6" s="325"/>
      <c r="AU6" s="325"/>
      <c r="AV6" s="325"/>
      <c r="AW6" s="325"/>
      <c r="AX6" s="325"/>
      <c r="AY6" s="325"/>
      <c r="AZ6" s="325"/>
      <c r="BA6" s="325"/>
      <c r="BB6" s="443"/>
      <c r="BC6" s="325"/>
      <c r="BD6" s="325"/>
      <c r="BE6" s="325"/>
      <c r="BF6" s="325"/>
      <c r="BG6" s="325"/>
      <c r="BH6" s="325"/>
      <c r="BI6" s="325"/>
      <c r="BJ6" s="325"/>
      <c r="BK6" s="325"/>
      <c r="BL6" s="325"/>
      <c r="BM6" s="325"/>
      <c r="BN6" s="325"/>
      <c r="BO6" s="325"/>
      <c r="BP6" s="325"/>
      <c r="BQ6" s="325"/>
    </row>
    <row r="7" spans="1:69" ht="14.25" customHeight="1" x14ac:dyDescent="0.2">
      <c r="A7" s="3"/>
      <c r="B7" s="289"/>
      <c r="C7" s="3" t="s">
        <v>485</v>
      </c>
      <c r="D7" s="3"/>
      <c r="E7" s="3"/>
      <c r="F7" s="3"/>
      <c r="G7" s="289"/>
      <c r="H7" s="3"/>
      <c r="I7" s="3"/>
      <c r="J7" s="3"/>
      <c r="K7" s="3"/>
      <c r="L7" s="289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24"/>
      <c r="Z7" s="324"/>
      <c r="AA7" s="324"/>
      <c r="AB7" s="324"/>
      <c r="AC7" s="325"/>
      <c r="AD7" s="325"/>
      <c r="AE7" s="325"/>
      <c r="AF7" s="325"/>
      <c r="AG7" s="325"/>
      <c r="AH7" s="325"/>
      <c r="AI7" s="417"/>
      <c r="AJ7" s="325"/>
      <c r="AK7" s="325"/>
      <c r="AL7" s="325"/>
      <c r="AM7" s="325"/>
      <c r="AN7" s="325"/>
      <c r="AO7" s="325"/>
      <c r="AP7" s="325"/>
      <c r="AQ7" s="325"/>
      <c r="AR7" s="325"/>
      <c r="AS7" s="325"/>
      <c r="AT7" s="325"/>
      <c r="AU7" s="325"/>
      <c r="AV7" s="325"/>
      <c r="AW7" s="325"/>
      <c r="AX7" s="325"/>
      <c r="AY7" s="325"/>
      <c r="AZ7" s="325"/>
      <c r="BA7" s="325"/>
      <c r="BB7" s="325"/>
      <c r="BC7" s="325"/>
      <c r="BD7" s="325"/>
      <c r="BE7" s="325"/>
      <c r="BF7" s="325"/>
      <c r="BG7" s="325"/>
      <c r="BH7" s="325"/>
      <c r="BI7" s="325"/>
      <c r="BJ7" s="325"/>
      <c r="BK7" s="325"/>
      <c r="BL7" s="325"/>
      <c r="BM7" s="325"/>
      <c r="BN7" s="325"/>
      <c r="BO7" s="325"/>
      <c r="BP7" s="325"/>
      <c r="BQ7" s="325"/>
    </row>
    <row r="8" spans="1:69" ht="8.25" customHeight="1" x14ac:dyDescent="0.2">
      <c r="A8" s="3"/>
      <c r="B8" s="289"/>
      <c r="C8" s="3"/>
      <c r="D8" s="3"/>
      <c r="E8" s="3"/>
      <c r="F8" s="3"/>
      <c r="G8" s="289"/>
      <c r="H8" s="3"/>
      <c r="I8" s="3"/>
      <c r="J8" s="3"/>
      <c r="K8" s="3"/>
      <c r="L8" s="289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24"/>
      <c r="Z8" s="324"/>
      <c r="AA8" s="324"/>
      <c r="AB8" s="325"/>
      <c r="AC8" s="325"/>
      <c r="AD8" s="325"/>
      <c r="AE8" s="325"/>
      <c r="AF8" s="325"/>
      <c r="AG8" s="325"/>
      <c r="AH8" s="325"/>
      <c r="AI8" s="325"/>
      <c r="AJ8" s="325"/>
      <c r="AK8" s="325"/>
      <c r="AL8" s="325"/>
      <c r="AM8" s="325"/>
      <c r="AN8" s="325"/>
      <c r="AO8" s="325"/>
      <c r="AP8" s="325"/>
      <c r="AQ8" s="325"/>
      <c r="AR8" s="325"/>
      <c r="AS8" s="325"/>
      <c r="AT8" s="325"/>
      <c r="AU8" s="325"/>
      <c r="AV8" s="325"/>
      <c r="AW8" s="325"/>
      <c r="AX8" s="325"/>
      <c r="AY8" s="325"/>
      <c r="AZ8" s="325"/>
      <c r="BA8" s="325"/>
      <c r="BB8" s="325"/>
      <c r="BC8" s="325"/>
      <c r="BD8" s="325"/>
      <c r="BE8" s="325"/>
      <c r="BF8" s="325"/>
      <c r="BG8" s="325"/>
      <c r="BH8" s="325"/>
      <c r="BI8" s="325"/>
      <c r="BJ8" s="325"/>
      <c r="BK8" s="325"/>
      <c r="BL8" s="325"/>
      <c r="BM8" s="325"/>
      <c r="BN8" s="325"/>
      <c r="BO8" s="325"/>
      <c r="BP8" s="325"/>
      <c r="BQ8" s="325"/>
    </row>
    <row r="9" spans="1:69" ht="14.25" customHeight="1" x14ac:dyDescent="0.2">
      <c r="A9" s="3"/>
      <c r="B9" s="372"/>
      <c r="C9" s="373" t="s">
        <v>486</v>
      </c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5"/>
      <c r="Q9" s="3"/>
      <c r="R9" s="395" t="s">
        <v>515</v>
      </c>
      <c r="S9" s="374"/>
      <c r="T9" s="374"/>
      <c r="U9" s="374"/>
      <c r="V9" s="374"/>
      <c r="W9" s="374"/>
      <c r="X9" s="375"/>
      <c r="Y9" s="325"/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  <c r="AK9" s="325"/>
      <c r="AL9" s="325"/>
      <c r="AM9" s="325"/>
      <c r="AN9" s="325"/>
      <c r="AO9" s="325"/>
      <c r="AP9" s="325"/>
      <c r="AQ9" s="325"/>
      <c r="AR9" s="325"/>
      <c r="AS9" s="325"/>
      <c r="AT9" s="325"/>
      <c r="AU9" s="325"/>
      <c r="AV9" s="325"/>
      <c r="AW9" s="325"/>
      <c r="AX9" s="325"/>
      <c r="AY9" s="325"/>
      <c r="AZ9" s="325"/>
      <c r="BA9" s="325"/>
      <c r="BB9" s="325"/>
      <c r="BC9" s="325"/>
      <c r="BD9" s="325"/>
      <c r="BE9" s="325"/>
      <c r="BF9" s="325"/>
      <c r="BG9" s="325"/>
      <c r="BH9" s="325"/>
      <c r="BI9" s="325"/>
      <c r="BJ9" s="325"/>
      <c r="BK9" s="325"/>
      <c r="BL9" s="325"/>
      <c r="BM9" s="325"/>
      <c r="BN9" s="325"/>
      <c r="BO9" s="325"/>
      <c r="BP9" s="325"/>
      <c r="BQ9" s="325"/>
    </row>
    <row r="10" spans="1:69" ht="14.25" customHeight="1" x14ac:dyDescent="0.2">
      <c r="A10" s="3"/>
      <c r="B10" s="376"/>
      <c r="C10" s="377" t="s">
        <v>487</v>
      </c>
      <c r="D10" s="289"/>
      <c r="E10" s="289"/>
      <c r="F10" s="289"/>
      <c r="G10" s="388"/>
      <c r="H10" s="377" t="s">
        <v>494</v>
      </c>
      <c r="I10" s="289"/>
      <c r="J10" s="289"/>
      <c r="K10" s="289"/>
      <c r="L10" s="388"/>
      <c r="M10" s="377" t="s">
        <v>495</v>
      </c>
      <c r="N10" s="289"/>
      <c r="O10" s="289"/>
      <c r="P10" s="378"/>
      <c r="Q10" s="3"/>
      <c r="R10" s="376"/>
      <c r="S10" s="379"/>
      <c r="T10" s="396" t="s">
        <v>493</v>
      </c>
      <c r="U10" s="396" t="s">
        <v>519</v>
      </c>
      <c r="V10" s="396" t="s">
        <v>520</v>
      </c>
      <c r="W10" s="396" t="s">
        <v>521</v>
      </c>
      <c r="X10" s="397" t="s">
        <v>522</v>
      </c>
      <c r="Y10" s="324"/>
      <c r="Z10" s="324"/>
      <c r="AA10" s="324"/>
      <c r="AB10" s="325"/>
      <c r="AC10" s="325"/>
      <c r="AD10" s="325"/>
      <c r="AE10" s="325"/>
      <c r="AF10" s="325"/>
      <c r="AG10" s="325"/>
      <c r="AH10" s="325"/>
      <c r="AI10" s="325"/>
      <c r="AJ10" s="325"/>
      <c r="AK10" s="325"/>
      <c r="AL10" s="325"/>
      <c r="AM10" s="325"/>
      <c r="AN10" s="325"/>
      <c r="AO10" s="325"/>
      <c r="AP10" s="325"/>
      <c r="AQ10" s="325"/>
      <c r="AR10" s="325"/>
      <c r="AS10" s="325"/>
      <c r="AT10" s="325"/>
      <c r="AU10" s="325"/>
      <c r="AV10" s="325"/>
      <c r="AW10" s="325"/>
      <c r="AX10" s="325"/>
      <c r="AY10" s="325"/>
      <c r="AZ10" s="325"/>
      <c r="BA10" s="325"/>
      <c r="BB10" s="325"/>
      <c r="BC10" s="325"/>
      <c r="BD10" s="325"/>
      <c r="BE10" s="325"/>
      <c r="BF10" s="325"/>
      <c r="BG10" s="325"/>
      <c r="BH10" s="325"/>
      <c r="BI10" s="325"/>
      <c r="BJ10" s="325"/>
      <c r="BK10" s="325"/>
      <c r="BL10" s="325"/>
      <c r="BM10" s="325"/>
      <c r="BN10" s="325"/>
      <c r="BO10" s="325"/>
      <c r="BP10" s="325"/>
      <c r="BQ10" s="325"/>
    </row>
    <row r="11" spans="1:69" ht="11.25" customHeight="1" x14ac:dyDescent="0.2">
      <c r="A11" s="3"/>
      <c r="B11" s="376"/>
      <c r="C11" s="289"/>
      <c r="D11" s="379" t="s">
        <v>489</v>
      </c>
      <c r="E11" s="379" t="s">
        <v>490</v>
      </c>
      <c r="F11" s="289"/>
      <c r="G11" s="376"/>
      <c r="H11" s="289"/>
      <c r="I11" s="289"/>
      <c r="J11" s="289"/>
      <c r="K11" s="289"/>
      <c r="L11" s="376"/>
      <c r="M11" s="289"/>
      <c r="N11" s="289"/>
      <c r="O11" s="289"/>
      <c r="P11" s="378"/>
      <c r="Q11" s="3"/>
      <c r="R11" s="571" t="s">
        <v>486</v>
      </c>
      <c r="S11" s="572"/>
      <c r="T11" s="401">
        <f>D19</f>
        <v>-520.5086</v>
      </c>
      <c r="U11" s="403">
        <v>1</v>
      </c>
      <c r="V11" s="399">
        <v>170</v>
      </c>
      <c r="W11" s="400">
        <f t="shared" ref="W11:W15" si="0">-2*T11+U11*2</f>
        <v>1043.0172</v>
      </c>
      <c r="X11" s="405">
        <f t="shared" ref="X11:X15" si="1">-2*T11+U11*LN(V11)</f>
        <v>1046.1529984370502</v>
      </c>
      <c r="Y11" s="324"/>
      <c r="Z11" s="324"/>
      <c r="AA11" s="324"/>
      <c r="AB11" s="325"/>
      <c r="AC11" s="325"/>
      <c r="AD11" s="325"/>
      <c r="AE11" s="325"/>
      <c r="AF11" s="325"/>
      <c r="AG11" s="325"/>
      <c r="AH11" s="325"/>
      <c r="AI11" s="325"/>
      <c r="AJ11" s="325"/>
      <c r="AK11" s="325"/>
      <c r="AL11" s="325"/>
      <c r="AM11" s="325"/>
      <c r="AN11" s="325"/>
      <c r="AO11" s="325"/>
      <c r="AP11" s="325"/>
      <c r="AQ11" s="325"/>
      <c r="AR11" s="325"/>
      <c r="AS11" s="325"/>
      <c r="AT11" s="325"/>
      <c r="AU11" s="325"/>
      <c r="AV11" s="325"/>
      <c r="AW11" s="325"/>
      <c r="AX11" s="325"/>
      <c r="AY11" s="325"/>
      <c r="AZ11" s="325"/>
      <c r="BA11" s="325"/>
      <c r="BB11" s="325"/>
      <c r="BC11" s="325"/>
      <c r="BD11" s="325"/>
      <c r="BE11" s="325"/>
      <c r="BF11" s="325"/>
      <c r="BG11" s="325"/>
      <c r="BH11" s="325"/>
      <c r="BI11" s="325"/>
      <c r="BJ11" s="325"/>
      <c r="BK11" s="325"/>
      <c r="BL11" s="325"/>
      <c r="BM11" s="325"/>
      <c r="BN11" s="325"/>
      <c r="BO11" s="325"/>
      <c r="BP11" s="325"/>
      <c r="BQ11" s="325"/>
    </row>
    <row r="12" spans="1:69" ht="14.25" customHeight="1" x14ac:dyDescent="0.2">
      <c r="A12" s="3"/>
      <c r="B12" s="376"/>
      <c r="C12" s="289" t="s">
        <v>488</v>
      </c>
      <c r="D12" s="367">
        <v>3.6892670000000001</v>
      </c>
      <c r="E12" s="368">
        <v>9.4915799999999995E-2</v>
      </c>
      <c r="F12" s="289"/>
      <c r="G12" s="376"/>
      <c r="H12" s="380" t="s">
        <v>167</v>
      </c>
      <c r="I12" s="371">
        <f>EXP(-D12)</f>
        <v>2.4990313230003575E-2</v>
      </c>
      <c r="J12" s="289"/>
      <c r="K12" s="289"/>
      <c r="L12" s="376"/>
      <c r="M12" s="289" t="s">
        <v>496</v>
      </c>
      <c r="N12" s="381"/>
      <c r="O12" s="289"/>
      <c r="P12" s="378"/>
      <c r="Q12" s="3"/>
      <c r="R12" s="566" t="s">
        <v>498</v>
      </c>
      <c r="S12" s="567"/>
      <c r="T12" s="402">
        <f>D33</f>
        <v>-514.49760000000003</v>
      </c>
      <c r="U12" s="404">
        <v>2</v>
      </c>
      <c r="V12" s="181">
        <v>170</v>
      </c>
      <c r="W12" s="398">
        <f t="shared" si="0"/>
        <v>1032.9952000000001</v>
      </c>
      <c r="X12" s="406">
        <f t="shared" si="1"/>
        <v>1039.2667968741007</v>
      </c>
      <c r="Y12" s="324"/>
      <c r="Z12" s="324"/>
      <c r="AA12" s="324"/>
      <c r="AB12" s="325"/>
      <c r="AC12" s="325"/>
      <c r="AD12" s="325"/>
      <c r="AE12" s="325"/>
      <c r="AF12" s="325"/>
      <c r="AG12" s="325"/>
      <c r="AH12" s="325"/>
      <c r="AI12" s="325"/>
      <c r="AJ12" s="325"/>
      <c r="AK12" s="325"/>
      <c r="AL12" s="325"/>
      <c r="AM12" s="325"/>
      <c r="AN12" s="325"/>
      <c r="AO12" s="325"/>
      <c r="AP12" s="325"/>
      <c r="AQ12" s="325"/>
      <c r="AR12" s="325"/>
      <c r="AS12" s="325"/>
      <c r="AT12" s="325"/>
      <c r="AU12" s="325"/>
      <c r="AV12" s="325"/>
      <c r="AW12" s="325"/>
      <c r="AX12" s="325"/>
      <c r="AY12" s="325"/>
      <c r="AZ12" s="325"/>
      <c r="BA12" s="325"/>
      <c r="BB12" s="325"/>
      <c r="BC12" s="325"/>
      <c r="BD12" s="325"/>
      <c r="BE12" s="325"/>
      <c r="BF12" s="325"/>
      <c r="BG12" s="325"/>
      <c r="BH12" s="325"/>
      <c r="BI12" s="325"/>
      <c r="BJ12" s="325"/>
      <c r="BK12" s="325"/>
      <c r="BL12" s="325"/>
      <c r="BM12" s="325"/>
      <c r="BN12" s="325"/>
      <c r="BO12" s="325"/>
      <c r="BP12" s="325"/>
      <c r="BQ12" s="325"/>
    </row>
    <row r="13" spans="1:69" ht="14.25" customHeight="1" x14ac:dyDescent="0.2">
      <c r="A13" s="3"/>
      <c r="B13" s="376"/>
      <c r="C13" s="289"/>
      <c r="D13" s="289"/>
      <c r="E13" s="289"/>
      <c r="F13" s="289"/>
      <c r="G13" s="376"/>
      <c r="H13" s="289"/>
      <c r="I13" s="289"/>
      <c r="J13" s="289"/>
      <c r="K13" s="289"/>
      <c r="L13" s="376"/>
      <c r="M13" s="289" t="s">
        <v>488</v>
      </c>
      <c r="N13" s="370">
        <f ca="1">_xlfn.NORM.INV(RAND(),0,1)</f>
        <v>-0.28804771320863598</v>
      </c>
      <c r="O13" s="289"/>
      <c r="P13" s="378"/>
      <c r="Q13" s="3"/>
      <c r="R13" s="566" t="s">
        <v>168</v>
      </c>
      <c r="S13" s="567"/>
      <c r="T13" s="402">
        <f>D47</f>
        <v>-501.00209999999998</v>
      </c>
      <c r="U13" s="404">
        <v>2</v>
      </c>
      <c r="V13" s="181">
        <v>170</v>
      </c>
      <c r="W13" s="398">
        <f t="shared" si="0"/>
        <v>1006.0042</v>
      </c>
      <c r="X13" s="406">
        <f t="shared" si="1"/>
        <v>1012.2757968741005</v>
      </c>
      <c r="Y13" s="324"/>
      <c r="Z13" s="324"/>
      <c r="AA13" s="324"/>
      <c r="AB13" s="325"/>
      <c r="AC13" s="325"/>
      <c r="AD13" s="325"/>
      <c r="AE13" s="325"/>
      <c r="AF13" s="325"/>
      <c r="AG13" s="325"/>
      <c r="AH13" s="325"/>
      <c r="AI13" s="325"/>
      <c r="AJ13" s="325"/>
      <c r="AK13" s="325"/>
      <c r="AL13" s="325"/>
      <c r="AM13" s="325"/>
      <c r="AN13" s="325"/>
      <c r="AO13" s="325"/>
      <c r="AP13" s="325"/>
      <c r="AQ13" s="325"/>
      <c r="AR13" s="325"/>
      <c r="AS13" s="325"/>
      <c r="AT13" s="325"/>
      <c r="AU13" s="325"/>
      <c r="AV13" s="325"/>
      <c r="AW13" s="325"/>
      <c r="AX13" s="325"/>
      <c r="AY13" s="325"/>
      <c r="AZ13" s="325"/>
      <c r="BA13" s="325"/>
      <c r="BB13" s="325"/>
      <c r="BC13" s="325"/>
      <c r="BD13" s="325"/>
      <c r="BE13" s="325"/>
      <c r="BF13" s="325"/>
      <c r="BG13" s="325"/>
      <c r="BH13" s="325"/>
      <c r="BI13" s="325"/>
      <c r="BJ13" s="325"/>
      <c r="BK13" s="325"/>
      <c r="BL13" s="325"/>
      <c r="BM13" s="325"/>
      <c r="BN13" s="325"/>
      <c r="BO13" s="325"/>
      <c r="BP13" s="325"/>
      <c r="BQ13" s="325"/>
    </row>
    <row r="14" spans="1:69" ht="14.25" customHeight="1" x14ac:dyDescent="0.2">
      <c r="A14" s="3"/>
      <c r="B14" s="376"/>
      <c r="C14" s="377" t="s">
        <v>491</v>
      </c>
      <c r="D14" s="289"/>
      <c r="E14" s="289"/>
      <c r="F14" s="289"/>
      <c r="G14" s="376"/>
      <c r="H14" s="289"/>
      <c r="I14" s="289"/>
      <c r="J14" s="289"/>
      <c r="K14" s="289"/>
      <c r="L14" s="376"/>
      <c r="M14" s="289"/>
      <c r="N14" s="289"/>
      <c r="O14" s="289"/>
      <c r="P14" s="378"/>
      <c r="Q14" s="3"/>
      <c r="R14" s="566" t="s">
        <v>505</v>
      </c>
      <c r="S14" s="567"/>
      <c r="T14" s="402">
        <f>D61</f>
        <v>-504.65550000000002</v>
      </c>
      <c r="U14" s="404">
        <v>2</v>
      </c>
      <c r="V14" s="181">
        <v>170</v>
      </c>
      <c r="W14" s="398">
        <f t="shared" si="0"/>
        <v>1013.311</v>
      </c>
      <c r="X14" s="406">
        <f t="shared" si="1"/>
        <v>1019.5825968741005</v>
      </c>
      <c r="Y14" s="324"/>
      <c r="Z14" s="324"/>
      <c r="AA14" s="324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5"/>
      <c r="AT14" s="325"/>
      <c r="AU14" s="325"/>
      <c r="AV14" s="325"/>
      <c r="AW14" s="325"/>
      <c r="AX14" s="325"/>
      <c r="AY14" s="325"/>
      <c r="AZ14" s="325"/>
      <c r="BA14" s="325"/>
      <c r="BB14" s="325"/>
      <c r="BC14" s="325"/>
      <c r="BD14" s="325"/>
      <c r="BE14" s="325"/>
      <c r="BF14" s="325"/>
      <c r="BG14" s="325"/>
      <c r="BH14" s="325"/>
      <c r="BI14" s="325"/>
      <c r="BJ14" s="325"/>
      <c r="BK14" s="325"/>
      <c r="BL14" s="325"/>
      <c r="BM14" s="325"/>
      <c r="BN14" s="325"/>
      <c r="BO14" s="325"/>
      <c r="BP14" s="325"/>
      <c r="BQ14" s="325"/>
    </row>
    <row r="15" spans="1:69" ht="14.25" customHeight="1" x14ac:dyDescent="0.2">
      <c r="A15" s="3"/>
      <c r="B15" s="376"/>
      <c r="C15" s="289"/>
      <c r="D15" s="379" t="s">
        <v>488</v>
      </c>
      <c r="E15" s="289"/>
      <c r="F15" s="289"/>
      <c r="G15" s="376"/>
      <c r="H15" s="289"/>
      <c r="I15" s="289"/>
      <c r="J15" s="289"/>
      <c r="K15" s="289"/>
      <c r="L15" s="376"/>
      <c r="M15" s="289" t="s">
        <v>502</v>
      </c>
      <c r="N15" s="289"/>
      <c r="O15" s="289"/>
      <c r="P15" s="378"/>
      <c r="Q15" s="3"/>
      <c r="R15" s="566" t="s">
        <v>516</v>
      </c>
      <c r="S15" s="567"/>
      <c r="T15" s="402">
        <f>D75</f>
        <v>-517.03779999999995</v>
      </c>
      <c r="U15" s="404">
        <v>2</v>
      </c>
      <c r="V15" s="181">
        <v>170</v>
      </c>
      <c r="W15" s="398">
        <f t="shared" si="0"/>
        <v>1038.0755999999999</v>
      </c>
      <c r="X15" s="406">
        <f t="shared" si="1"/>
        <v>1044.3471968741005</v>
      </c>
      <c r="Y15" s="324"/>
      <c r="Z15" s="324"/>
      <c r="AA15" s="324"/>
      <c r="AB15" s="324"/>
      <c r="AC15" s="325"/>
      <c r="AD15" s="325"/>
      <c r="AE15" s="325"/>
      <c r="AF15" s="325"/>
      <c r="AG15" s="325"/>
      <c r="AH15" s="325"/>
      <c r="AI15" s="417"/>
      <c r="AJ15" s="325"/>
      <c r="AK15" s="325"/>
      <c r="AL15" s="325"/>
      <c r="AM15" s="325"/>
      <c r="AN15" s="325"/>
      <c r="AO15" s="325"/>
      <c r="AP15" s="325"/>
      <c r="AQ15" s="325"/>
      <c r="AR15" s="325"/>
      <c r="AS15" s="325"/>
      <c r="AT15" s="325"/>
      <c r="AU15" s="325"/>
      <c r="AV15" s="325"/>
      <c r="AW15" s="325"/>
      <c r="AX15" s="325"/>
      <c r="AY15" s="325"/>
      <c r="AZ15" s="325"/>
      <c r="BA15" s="325"/>
      <c r="BB15" s="325"/>
      <c r="BC15" s="325"/>
      <c r="BD15" s="325"/>
      <c r="BE15" s="325"/>
      <c r="BF15" s="325"/>
      <c r="BG15" s="325"/>
      <c r="BH15" s="325"/>
      <c r="BI15" s="325"/>
      <c r="BJ15" s="325"/>
      <c r="BK15" s="325"/>
      <c r="BL15" s="325"/>
      <c r="BM15" s="325"/>
      <c r="BN15" s="325"/>
      <c r="BO15" s="325"/>
      <c r="BP15" s="325"/>
      <c r="BQ15" s="325"/>
    </row>
    <row r="16" spans="1:69" ht="14.25" customHeight="1" x14ac:dyDescent="0.2">
      <c r="A16" s="3"/>
      <c r="B16" s="376"/>
      <c r="C16" s="382" t="s">
        <v>488</v>
      </c>
      <c r="D16" s="368">
        <v>9.4915799999999995E-2</v>
      </c>
      <c r="E16" s="289"/>
      <c r="F16" s="289"/>
      <c r="G16" s="376"/>
      <c r="H16" s="289"/>
      <c r="I16" s="289"/>
      <c r="J16" s="289"/>
      <c r="K16" s="289"/>
      <c r="L16" s="376"/>
      <c r="M16" s="289" t="s">
        <v>497</v>
      </c>
      <c r="N16" s="369">
        <f ca="1">D12+D16*N13</f>
        <v>3.661926720862632</v>
      </c>
      <c r="O16" s="289"/>
      <c r="P16" s="378"/>
      <c r="Q16" s="3"/>
      <c r="R16" s="566" t="s">
        <v>517</v>
      </c>
      <c r="S16" s="567"/>
      <c r="T16" s="402">
        <v>-489.5</v>
      </c>
      <c r="U16" s="404">
        <v>2</v>
      </c>
      <c r="V16" s="181">
        <v>170</v>
      </c>
      <c r="W16" s="398">
        <v>985</v>
      </c>
      <c r="X16" s="406">
        <v>994.40739531115082</v>
      </c>
      <c r="Y16" s="324"/>
      <c r="Z16" s="324"/>
      <c r="AA16" s="324"/>
      <c r="AB16" s="324"/>
      <c r="AC16" s="325"/>
      <c r="AD16" s="325"/>
      <c r="AE16" s="325"/>
      <c r="AF16" s="325"/>
      <c r="AG16" s="325"/>
      <c r="AH16" s="325"/>
      <c r="AI16" s="417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5"/>
      <c r="BC16" s="325"/>
      <c r="BD16" s="325"/>
      <c r="BE16" s="325"/>
      <c r="BF16" s="325"/>
      <c r="BG16" s="325"/>
      <c r="BH16" s="325"/>
      <c r="BI16" s="325"/>
      <c r="BJ16" s="325"/>
      <c r="BK16" s="325"/>
      <c r="BL16" s="325"/>
      <c r="BM16" s="325"/>
      <c r="BN16" s="325"/>
      <c r="BO16" s="325"/>
      <c r="BP16" s="325"/>
      <c r="BQ16" s="325"/>
    </row>
    <row r="17" spans="1:69" ht="14.25" customHeight="1" x14ac:dyDescent="0.2">
      <c r="A17" s="3"/>
      <c r="B17" s="376"/>
      <c r="C17" s="289"/>
      <c r="D17" s="289"/>
      <c r="E17" s="289"/>
      <c r="F17" s="289"/>
      <c r="G17" s="376"/>
      <c r="H17" s="289"/>
      <c r="I17" s="289"/>
      <c r="J17" s="289"/>
      <c r="K17" s="289"/>
      <c r="L17" s="376"/>
      <c r="M17" s="289"/>
      <c r="N17" s="289"/>
      <c r="O17" s="289"/>
      <c r="P17" s="378"/>
      <c r="Q17" s="3"/>
      <c r="R17" s="568" t="s">
        <v>518</v>
      </c>
      <c r="S17" s="569"/>
      <c r="T17" s="520">
        <v>-501.26150000000001</v>
      </c>
      <c r="U17" s="521">
        <v>3</v>
      </c>
      <c r="V17" s="485">
        <v>170</v>
      </c>
      <c r="W17" s="522">
        <v>1006.523</v>
      </c>
      <c r="X17" s="523">
        <v>1012.7945968741005</v>
      </c>
      <c r="Y17" s="324"/>
      <c r="Z17" s="324"/>
      <c r="AA17" s="324"/>
      <c r="AB17" s="324"/>
      <c r="AC17" s="324"/>
      <c r="AD17" s="324"/>
      <c r="AE17" s="325"/>
      <c r="AF17" s="325"/>
      <c r="AG17" s="325"/>
      <c r="AH17" s="325"/>
      <c r="AI17" s="417"/>
      <c r="AJ17" s="325"/>
      <c r="AK17" s="443"/>
      <c r="AL17" s="325"/>
      <c r="AM17" s="325"/>
      <c r="AN17" s="325"/>
      <c r="AO17" s="325"/>
      <c r="AP17" s="325"/>
      <c r="AQ17" s="325"/>
      <c r="AR17" s="325"/>
      <c r="AS17" s="325"/>
      <c r="AT17" s="325"/>
      <c r="AU17" s="325"/>
      <c r="AV17" s="325"/>
      <c r="AW17" s="325"/>
      <c r="AX17" s="325"/>
      <c r="AY17" s="325"/>
      <c r="AZ17" s="325"/>
      <c r="BA17" s="325"/>
      <c r="BB17" s="325"/>
      <c r="BC17" s="325"/>
      <c r="BD17" s="325"/>
      <c r="BE17" s="325"/>
      <c r="BF17" s="325"/>
      <c r="BG17" s="325"/>
      <c r="BH17" s="325"/>
      <c r="BI17" s="325"/>
      <c r="BJ17" s="325"/>
      <c r="BK17" s="325"/>
      <c r="BL17" s="325"/>
      <c r="BM17" s="325"/>
      <c r="BN17" s="325"/>
      <c r="BO17" s="325"/>
      <c r="BP17" s="325"/>
      <c r="BQ17" s="325"/>
    </row>
    <row r="18" spans="1:69" ht="14.25" customHeight="1" x14ac:dyDescent="0.2">
      <c r="A18" s="3"/>
      <c r="B18" s="376"/>
      <c r="C18" s="377" t="s">
        <v>492</v>
      </c>
      <c r="D18" s="289"/>
      <c r="E18" s="289"/>
      <c r="F18" s="289"/>
      <c r="G18" s="376"/>
      <c r="H18" s="289"/>
      <c r="I18" s="289"/>
      <c r="J18" s="289"/>
      <c r="K18" s="289"/>
      <c r="L18" s="376"/>
      <c r="M18" s="380" t="s">
        <v>167</v>
      </c>
      <c r="N18" s="371">
        <f ca="1">EXP(-N16)</f>
        <v>2.5682981089384115E-2</v>
      </c>
      <c r="O18" s="289"/>
      <c r="P18" s="378"/>
      <c r="Q18" s="3"/>
      <c r="R18" s="3"/>
      <c r="S18" s="3"/>
      <c r="T18" s="3"/>
      <c r="U18" s="3"/>
      <c r="V18" s="3"/>
      <c r="W18" s="3"/>
      <c r="X18" s="3"/>
      <c r="Y18" s="324"/>
      <c r="Z18" s="324"/>
      <c r="AA18" s="324"/>
      <c r="AB18" s="324"/>
      <c r="AC18" s="325"/>
      <c r="AD18" s="325"/>
      <c r="AE18" s="325"/>
      <c r="AF18" s="325"/>
      <c r="AG18" s="325"/>
      <c r="AH18" s="325"/>
      <c r="AI18" s="417"/>
      <c r="AJ18" s="325"/>
      <c r="AK18" s="325"/>
      <c r="AL18" s="325"/>
      <c r="AM18" s="325"/>
      <c r="AN18" s="325"/>
      <c r="AO18" s="325"/>
      <c r="AP18" s="325"/>
      <c r="AQ18" s="325"/>
      <c r="AR18" s="325"/>
      <c r="AS18" s="325"/>
      <c r="AT18" s="325"/>
      <c r="AU18" s="325"/>
      <c r="AV18" s="325"/>
      <c r="AW18" s="325"/>
      <c r="AX18" s="325"/>
      <c r="AY18" s="325"/>
      <c r="AZ18" s="325"/>
      <c r="BA18" s="325"/>
      <c r="BB18" s="325"/>
      <c r="BC18" s="325"/>
      <c r="BD18" s="325"/>
      <c r="BE18" s="325"/>
      <c r="BF18" s="325"/>
      <c r="BG18" s="325"/>
      <c r="BH18" s="325"/>
      <c r="BI18" s="325"/>
      <c r="BJ18" s="325"/>
      <c r="BK18" s="325"/>
      <c r="BL18" s="325"/>
      <c r="BM18" s="325"/>
      <c r="BN18" s="325"/>
      <c r="BO18" s="325"/>
      <c r="BP18" s="325"/>
      <c r="BQ18" s="325"/>
    </row>
    <row r="19" spans="1:69" ht="14.25" customHeight="1" x14ac:dyDescent="0.2">
      <c r="A19" s="3"/>
      <c r="B19" s="383"/>
      <c r="C19" s="384" t="s">
        <v>493</v>
      </c>
      <c r="D19" s="385">
        <v>-520.5086</v>
      </c>
      <c r="E19" s="386"/>
      <c r="F19" s="386"/>
      <c r="G19" s="383"/>
      <c r="H19" s="386"/>
      <c r="I19" s="386"/>
      <c r="J19" s="386"/>
      <c r="K19" s="386"/>
      <c r="L19" s="383"/>
      <c r="M19" s="386"/>
      <c r="N19" s="386"/>
      <c r="O19" s="386"/>
      <c r="P19" s="387"/>
      <c r="Q19" s="3"/>
      <c r="R19" s="3"/>
      <c r="S19" s="3"/>
      <c r="T19" s="3"/>
      <c r="U19" s="3"/>
      <c r="V19" s="3"/>
      <c r="W19" s="3"/>
      <c r="X19" s="3"/>
      <c r="Y19" s="324"/>
      <c r="Z19" s="324"/>
      <c r="AA19" s="324"/>
      <c r="AB19" s="324"/>
      <c r="AC19" s="325"/>
      <c r="AD19" s="325"/>
      <c r="AE19" s="325"/>
      <c r="AF19" s="325"/>
      <c r="AG19" s="325"/>
      <c r="AH19" s="325"/>
      <c r="AI19" s="417"/>
      <c r="AJ19" s="325"/>
      <c r="AK19" s="325"/>
      <c r="AL19" s="325"/>
      <c r="AM19" s="325"/>
      <c r="AN19" s="325"/>
      <c r="AO19" s="325"/>
      <c r="AP19" s="325"/>
      <c r="AQ19" s="325"/>
      <c r="AR19" s="325"/>
      <c r="AS19" s="325"/>
      <c r="AT19" s="325"/>
      <c r="AU19" s="325"/>
      <c r="AV19" s="325"/>
      <c r="AW19" s="325"/>
      <c r="AX19" s="325"/>
      <c r="AY19" s="325"/>
      <c r="AZ19" s="325"/>
      <c r="BA19" s="325"/>
      <c r="BB19" s="325"/>
      <c r="BC19" s="325"/>
      <c r="BD19" s="325"/>
      <c r="BE19" s="325"/>
      <c r="BF19" s="325"/>
      <c r="BG19" s="325"/>
      <c r="BH19" s="325"/>
      <c r="BI19" s="325"/>
      <c r="BJ19" s="325"/>
      <c r="BK19" s="325"/>
      <c r="BL19" s="325"/>
      <c r="BM19" s="325"/>
      <c r="BN19" s="325"/>
      <c r="BO19" s="325"/>
      <c r="BP19" s="325"/>
      <c r="BQ19" s="325"/>
    </row>
    <row r="20" spans="1:69" ht="14.25" customHeight="1" x14ac:dyDescent="0.2">
      <c r="A20" s="3"/>
      <c r="B20" s="289"/>
      <c r="C20" s="3"/>
      <c r="D20" s="3"/>
      <c r="E20" s="3"/>
      <c r="F20" s="3"/>
      <c r="G20" s="289"/>
      <c r="H20" s="3"/>
      <c r="I20" s="3"/>
      <c r="J20" s="3"/>
      <c r="K20" s="3"/>
      <c r="L20" s="289"/>
      <c r="M20" s="3"/>
      <c r="N20" s="3"/>
      <c r="O20" s="3"/>
      <c r="P20" s="3"/>
      <c r="Q20" s="3"/>
      <c r="R20" s="3"/>
      <c r="S20" s="436"/>
      <c r="T20" s="434"/>
      <c r="U20" s="563" t="s">
        <v>486</v>
      </c>
      <c r="V20" s="564"/>
      <c r="W20" s="563" t="s">
        <v>498</v>
      </c>
      <c r="X20" s="564"/>
      <c r="Y20" s="563" t="s">
        <v>168</v>
      </c>
      <c r="Z20" s="564"/>
      <c r="AA20" s="563" t="s">
        <v>505</v>
      </c>
      <c r="AB20" s="564"/>
      <c r="AC20" s="563" t="s">
        <v>131</v>
      </c>
      <c r="AD20" s="564"/>
      <c r="AE20" s="563" t="s">
        <v>517</v>
      </c>
      <c r="AF20" s="564"/>
      <c r="AG20" s="563" t="s">
        <v>523</v>
      </c>
      <c r="AH20" s="565"/>
      <c r="AI20" s="434"/>
      <c r="AJ20" s="325"/>
      <c r="AK20" s="325"/>
      <c r="AL20" s="325"/>
      <c r="AM20" s="325"/>
      <c r="AN20" s="325"/>
      <c r="AO20" s="325"/>
      <c r="AP20" s="325"/>
      <c r="AQ20" s="325"/>
      <c r="AR20" s="325"/>
      <c r="AS20" s="325"/>
      <c r="AT20" s="325"/>
      <c r="AU20" s="325"/>
      <c r="AV20" s="325"/>
      <c r="AW20" s="325"/>
      <c r="AX20" s="325"/>
      <c r="AY20" s="325"/>
      <c r="AZ20" s="325"/>
      <c r="BA20" s="325"/>
      <c r="BB20" s="325"/>
      <c r="BC20" s="325"/>
      <c r="BD20" s="325"/>
      <c r="BE20" s="325"/>
      <c r="BF20" s="325"/>
      <c r="BG20" s="325"/>
      <c r="BH20" s="325"/>
      <c r="BI20" s="325"/>
      <c r="BJ20" s="325"/>
      <c r="BK20" s="325"/>
      <c r="BL20" s="325"/>
      <c r="BM20" s="325"/>
      <c r="BN20" s="325"/>
      <c r="BO20" s="325"/>
      <c r="BP20" s="325"/>
      <c r="BQ20" s="325"/>
    </row>
    <row r="21" spans="1:69" ht="14.25" customHeight="1" x14ac:dyDescent="0.2">
      <c r="A21" s="3"/>
      <c r="B21" s="372"/>
      <c r="C21" s="373" t="s">
        <v>498</v>
      </c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5"/>
      <c r="Q21" s="3"/>
      <c r="R21" s="3"/>
      <c r="S21" s="412"/>
      <c r="T21" s="435"/>
      <c r="U21" s="409" t="s">
        <v>167</v>
      </c>
      <c r="V21" s="407">
        <f>I12</f>
        <v>2.4990313230003575E-2</v>
      </c>
      <c r="W21" s="409" t="s">
        <v>185</v>
      </c>
      <c r="X21" s="407">
        <f>I24</f>
        <v>41.308913503095965</v>
      </c>
      <c r="Y21" s="409" t="s">
        <v>183</v>
      </c>
      <c r="Z21" s="408">
        <f>I38</f>
        <v>3.1136330000000001</v>
      </c>
      <c r="AA21" s="409" t="s">
        <v>185</v>
      </c>
      <c r="AB21" s="408">
        <f>I52</f>
        <v>21.087777136443449</v>
      </c>
      <c r="AC21" s="409" t="s">
        <v>507</v>
      </c>
      <c r="AD21" s="408">
        <f>I66</f>
        <v>0.75255605006257198</v>
      </c>
      <c r="AE21" s="409" t="s">
        <v>183</v>
      </c>
      <c r="AF21" s="408">
        <f>I80</f>
        <v>-4.0508660000000002E-2</v>
      </c>
      <c r="AG21" s="409" t="s">
        <v>512</v>
      </c>
      <c r="AH21" s="414">
        <f>I94</f>
        <v>1.993841</v>
      </c>
      <c r="AI21" s="43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5"/>
      <c r="BC21" s="325"/>
      <c r="BD21" s="325"/>
      <c r="BE21" s="325"/>
      <c r="BF21" s="325"/>
      <c r="BG21" s="325"/>
      <c r="BH21" s="325"/>
      <c r="BI21" s="325"/>
      <c r="BJ21" s="325"/>
      <c r="BK21" s="325"/>
      <c r="BL21" s="325"/>
      <c r="BM21" s="325"/>
      <c r="BN21" s="325"/>
      <c r="BO21" s="325"/>
      <c r="BP21" s="325"/>
      <c r="BQ21" s="325"/>
    </row>
    <row r="22" spans="1:69" ht="14.25" customHeight="1" x14ac:dyDescent="0.2">
      <c r="A22" s="3"/>
      <c r="B22" s="376"/>
      <c r="C22" s="377" t="s">
        <v>487</v>
      </c>
      <c r="D22" s="289"/>
      <c r="E22" s="289"/>
      <c r="F22" s="289"/>
      <c r="G22" s="388"/>
      <c r="H22" s="377" t="s">
        <v>494</v>
      </c>
      <c r="I22" s="289"/>
      <c r="J22" s="289"/>
      <c r="K22" s="289"/>
      <c r="L22" s="388"/>
      <c r="M22" s="377" t="s">
        <v>495</v>
      </c>
      <c r="N22" s="289"/>
      <c r="O22" s="289"/>
      <c r="P22" s="378"/>
      <c r="Q22" s="3"/>
      <c r="R22" s="3"/>
      <c r="S22" s="412"/>
      <c r="T22" s="435"/>
      <c r="U22" s="412"/>
      <c r="V22" s="413"/>
      <c r="W22" s="410" t="s">
        <v>187</v>
      </c>
      <c r="X22" s="411">
        <f>I26</f>
        <v>0.76942907514738923</v>
      </c>
      <c r="Y22" s="410" t="s">
        <v>185</v>
      </c>
      <c r="Z22" s="411">
        <f>I40</f>
        <v>1.5303033749046111</v>
      </c>
      <c r="AA22" s="410" t="s">
        <v>187</v>
      </c>
      <c r="AB22" s="411">
        <f>I54</f>
        <v>1.0664785327129929</v>
      </c>
      <c r="AC22" s="410" t="s">
        <v>508</v>
      </c>
      <c r="AD22" s="411">
        <f>I68</f>
        <v>1.6946828022223501E-2</v>
      </c>
      <c r="AE22" s="410" t="s">
        <v>185</v>
      </c>
      <c r="AF22" s="411">
        <f>I82</f>
        <v>5.1174035740809656E-2</v>
      </c>
      <c r="AG22" s="410" t="s">
        <v>513</v>
      </c>
      <c r="AH22" s="415">
        <f>I96</f>
        <v>1.2713495829713175</v>
      </c>
      <c r="AI22" s="435"/>
      <c r="AJ22" s="325"/>
      <c r="AK22" s="325"/>
      <c r="AL22" s="325"/>
      <c r="AM22" s="325"/>
      <c r="AN22" s="325"/>
      <c r="AO22" s="325"/>
      <c r="AP22" s="325"/>
      <c r="AQ22" s="325"/>
      <c r="AR22" s="325"/>
      <c r="AS22" s="325"/>
      <c r="AT22" s="325"/>
      <c r="AU22" s="325"/>
      <c r="AV22" s="325"/>
      <c r="AW22" s="325"/>
      <c r="AX22" s="325"/>
      <c r="AY22" s="325"/>
      <c r="AZ22" s="325"/>
      <c r="BA22" s="325"/>
      <c r="BB22" s="325"/>
      <c r="BC22" s="325"/>
      <c r="BD22" s="325"/>
      <c r="BE22" s="325"/>
      <c r="BF22" s="325"/>
      <c r="BG22" s="325"/>
      <c r="BH22" s="325"/>
      <c r="BI22" s="325"/>
      <c r="BJ22" s="325"/>
      <c r="BK22" s="325"/>
      <c r="BL22" s="325"/>
      <c r="BM22" s="325"/>
      <c r="BN22" s="325"/>
      <c r="BO22" s="325"/>
      <c r="BP22" s="325"/>
      <c r="BQ22" s="325"/>
    </row>
    <row r="23" spans="1:69" ht="14.25" customHeight="1" x14ac:dyDescent="0.2">
      <c r="A23" s="3"/>
      <c r="B23" s="376"/>
      <c r="C23" s="379"/>
      <c r="D23" s="379" t="s">
        <v>500</v>
      </c>
      <c r="E23" s="379" t="s">
        <v>490</v>
      </c>
      <c r="F23" s="289"/>
      <c r="G23" s="376"/>
      <c r="H23" s="289"/>
      <c r="I23" s="289"/>
      <c r="J23" s="289"/>
      <c r="K23" s="289"/>
      <c r="L23" s="376"/>
      <c r="M23" s="289"/>
      <c r="N23" s="289"/>
      <c r="O23" s="289"/>
      <c r="P23" s="378"/>
      <c r="Q23" s="3"/>
      <c r="R23" s="3"/>
      <c r="S23" s="412"/>
      <c r="T23" s="435"/>
      <c r="U23" s="412"/>
      <c r="V23" s="413"/>
      <c r="W23" s="412"/>
      <c r="X23" s="413"/>
      <c r="Y23" s="412"/>
      <c r="Z23" s="413"/>
      <c r="AA23" s="412"/>
      <c r="AB23" s="413"/>
      <c r="AC23" s="412"/>
      <c r="AD23" s="413"/>
      <c r="AE23" s="412"/>
      <c r="AF23" s="413"/>
      <c r="AG23" s="410" t="s">
        <v>514</v>
      </c>
      <c r="AH23" s="416">
        <f>I98</f>
        <v>-1.7848299999999999</v>
      </c>
      <c r="AI23" s="435"/>
      <c r="AJ23" s="325"/>
      <c r="AK23" s="325"/>
      <c r="AL23" s="325"/>
      <c r="AM23" s="325"/>
      <c r="AN23" s="325"/>
      <c r="AO23" s="325"/>
      <c r="AP23" s="325"/>
      <c r="AQ23" s="325"/>
      <c r="AR23" s="325"/>
      <c r="AS23" s="325"/>
      <c r="AT23" s="325"/>
      <c r="AU23" s="325"/>
      <c r="AV23" s="325"/>
      <c r="AW23" s="325"/>
      <c r="AX23" s="325"/>
      <c r="AY23" s="325"/>
      <c r="AZ23" s="325"/>
      <c r="BA23" s="325"/>
      <c r="BB23" s="325"/>
      <c r="BC23" s="325"/>
      <c r="BD23" s="325"/>
      <c r="BE23" s="325"/>
      <c r="BF23" s="325"/>
      <c r="BG23" s="325"/>
      <c r="BH23" s="325"/>
      <c r="BI23" s="325"/>
      <c r="BJ23" s="325"/>
      <c r="BK23" s="325"/>
      <c r="BL23" s="325"/>
      <c r="BM23" s="325"/>
      <c r="BN23" s="325"/>
      <c r="BO23" s="325"/>
      <c r="BP23" s="325"/>
      <c r="BQ23" s="325"/>
    </row>
    <row r="24" spans="1:69" ht="14.25" customHeight="1" thickBot="1" x14ac:dyDescent="0.25">
      <c r="A24" s="3"/>
      <c r="B24" s="376"/>
      <c r="C24" s="289" t="s">
        <v>497</v>
      </c>
      <c r="D24" s="367">
        <v>3.7210782999999998</v>
      </c>
      <c r="E24" s="367">
        <v>0.12449928</v>
      </c>
      <c r="F24" s="289"/>
      <c r="G24" s="376"/>
      <c r="H24" s="390" t="s">
        <v>185</v>
      </c>
      <c r="I24" s="371">
        <f>EXP(D24)</f>
        <v>41.308913503095965</v>
      </c>
      <c r="J24" s="289"/>
      <c r="K24" s="289"/>
      <c r="L24" s="376"/>
      <c r="M24" s="289" t="s">
        <v>496</v>
      </c>
      <c r="N24" s="289"/>
      <c r="O24" s="289"/>
      <c r="P24" s="378"/>
      <c r="Q24" s="3"/>
      <c r="R24" s="3"/>
      <c r="S24" s="412"/>
      <c r="T24" s="435"/>
      <c r="U24" s="412"/>
      <c r="V24" s="413"/>
      <c r="W24" s="412"/>
      <c r="X24" s="413"/>
      <c r="Y24" s="412"/>
      <c r="Z24" s="413"/>
      <c r="AA24" s="412"/>
      <c r="AB24" s="413"/>
      <c r="AC24" s="412"/>
      <c r="AD24" s="413"/>
      <c r="AE24" s="412"/>
      <c r="AF24" s="413"/>
      <c r="AG24" s="410" t="s">
        <v>507</v>
      </c>
      <c r="AH24" s="416">
        <f>$AH$23^(-2)</f>
        <v>0.31391082029825779</v>
      </c>
      <c r="AI24" s="435"/>
      <c r="AJ24" s="325"/>
      <c r="AK24" s="443" t="s">
        <v>531</v>
      </c>
      <c r="AL24" s="325"/>
      <c r="AM24" s="325"/>
      <c r="AN24" s="325"/>
      <c r="AO24" s="325"/>
      <c r="AP24" s="325"/>
      <c r="AQ24" s="325"/>
      <c r="AR24" s="325"/>
      <c r="AS24" s="325"/>
      <c r="AT24" s="325"/>
      <c r="AU24" s="325"/>
      <c r="AV24" s="325"/>
      <c r="AW24" s="325"/>
      <c r="AX24" s="325"/>
      <c r="AY24" s="325"/>
      <c r="AZ24" s="325"/>
      <c r="BA24" s="325"/>
      <c r="BB24" s="325"/>
      <c r="BC24" s="325"/>
      <c r="BD24" s="325"/>
      <c r="BE24" s="325"/>
      <c r="BF24" s="325"/>
      <c r="BG24" s="325"/>
      <c r="BH24" s="325"/>
      <c r="BI24" s="325"/>
      <c r="BJ24" s="325"/>
      <c r="BK24" s="325"/>
      <c r="BL24" s="325"/>
      <c r="BM24" s="325"/>
      <c r="BN24" s="325"/>
      <c r="BO24" s="325"/>
      <c r="BP24" s="325"/>
      <c r="BQ24" s="325"/>
    </row>
    <row r="25" spans="1:69" ht="14.25" customHeight="1" x14ac:dyDescent="0.2">
      <c r="A25" s="3"/>
      <c r="B25" s="376"/>
      <c r="C25" s="289" t="s">
        <v>499</v>
      </c>
      <c r="D25" s="367">
        <v>0.26210650000000002</v>
      </c>
      <c r="E25" s="367">
        <v>8.008796E-2</v>
      </c>
      <c r="F25" s="289"/>
      <c r="G25" s="376"/>
      <c r="H25" s="382"/>
      <c r="I25" s="289"/>
      <c r="J25" s="289"/>
      <c r="K25" s="289"/>
      <c r="L25" s="376"/>
      <c r="M25" s="289" t="s">
        <v>497</v>
      </c>
      <c r="N25" s="370">
        <f ca="1">_xlfn.NORM.INV(RAND(),0,1)</f>
        <v>0.37569336824834532</v>
      </c>
      <c r="O25" s="289"/>
      <c r="P25" s="378"/>
      <c r="Q25" s="3"/>
      <c r="R25" s="3"/>
      <c r="S25" s="376"/>
      <c r="T25" s="289" t="s">
        <v>525</v>
      </c>
      <c r="U25" s="376"/>
      <c r="V25" s="427" t="s">
        <v>524</v>
      </c>
      <c r="W25" s="420"/>
      <c r="X25" s="427" t="s">
        <v>524</v>
      </c>
      <c r="Y25" s="422"/>
      <c r="Z25" s="427" t="s">
        <v>524</v>
      </c>
      <c r="AA25" s="422"/>
      <c r="AB25" s="427" t="s">
        <v>524</v>
      </c>
      <c r="AC25" s="423"/>
      <c r="AD25" s="427" t="s">
        <v>524</v>
      </c>
      <c r="AE25" s="423"/>
      <c r="AF25" s="427" t="s">
        <v>524</v>
      </c>
      <c r="AG25" s="422" t="s">
        <v>526</v>
      </c>
      <c r="AH25" s="427" t="s">
        <v>527</v>
      </c>
      <c r="AI25" s="428" t="s">
        <v>528</v>
      </c>
      <c r="AJ25" s="325"/>
      <c r="AK25" s="437" t="s">
        <v>529</v>
      </c>
      <c r="AL25" s="438" t="s">
        <v>530</v>
      </c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25"/>
      <c r="BF25" s="325"/>
      <c r="BG25" s="325"/>
      <c r="BH25" s="325"/>
      <c r="BI25" s="325"/>
      <c r="BJ25" s="325"/>
      <c r="BK25" s="325"/>
      <c r="BL25" s="325"/>
      <c r="BM25" s="325"/>
      <c r="BN25" s="325"/>
      <c r="BO25" s="325"/>
      <c r="BP25" s="325"/>
      <c r="BQ25" s="325"/>
    </row>
    <row r="26" spans="1:69" ht="14.25" customHeight="1" x14ac:dyDescent="0.2">
      <c r="A26" s="3"/>
      <c r="B26" s="376"/>
      <c r="C26" s="289"/>
      <c r="D26" s="289"/>
      <c r="E26" s="289"/>
      <c r="F26" s="289"/>
      <c r="G26" s="376"/>
      <c r="H26" s="390" t="s">
        <v>187</v>
      </c>
      <c r="I26" s="371">
        <f>1/EXP((D25))</f>
        <v>0.76942907514738923</v>
      </c>
      <c r="J26" s="289"/>
      <c r="K26" s="289"/>
      <c r="L26" s="376"/>
      <c r="M26" s="289" t="s">
        <v>501</v>
      </c>
      <c r="N26" s="370">
        <f ca="1">_xlfn.NORM.INV(RAND(),0,1)</f>
        <v>0.61329854627660096</v>
      </c>
      <c r="O26" s="289"/>
      <c r="P26" s="378"/>
      <c r="Q26" s="3"/>
      <c r="R26" s="3"/>
      <c r="S26" s="376"/>
      <c r="T26" s="418">
        <v>0</v>
      </c>
      <c r="U26" s="376"/>
      <c r="V26" s="370">
        <v>1</v>
      </c>
      <c r="W26" s="289"/>
      <c r="X26" s="370">
        <v>1</v>
      </c>
      <c r="Y26" s="429"/>
      <c r="Z26" s="421">
        <v>1</v>
      </c>
      <c r="AA26" s="429"/>
      <c r="AB26" s="421">
        <v>1</v>
      </c>
      <c r="AC26" s="430"/>
      <c r="AD26" s="424">
        <v>1</v>
      </c>
      <c r="AE26" s="431"/>
      <c r="AF26" s="421">
        <v>1</v>
      </c>
      <c r="AG26" s="424"/>
      <c r="AH26" s="424"/>
      <c r="AI26" s="421">
        <v>1</v>
      </c>
      <c r="AJ26" s="325"/>
      <c r="AK26" s="439">
        <v>0.17799999999999999</v>
      </c>
      <c r="AL26" s="440">
        <v>1</v>
      </c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25"/>
      <c r="BF26" s="325"/>
      <c r="BG26" s="325"/>
      <c r="BH26" s="325"/>
      <c r="BI26" s="325"/>
      <c r="BJ26" s="325"/>
      <c r="BK26" s="325"/>
      <c r="BL26" s="325"/>
      <c r="BM26" s="325"/>
      <c r="BN26" s="325"/>
      <c r="BO26" s="325"/>
      <c r="BP26" s="325"/>
      <c r="BQ26" s="325"/>
    </row>
    <row r="27" spans="1:69" ht="14.25" customHeight="1" x14ac:dyDescent="0.2">
      <c r="A27" s="3"/>
      <c r="B27" s="376"/>
      <c r="C27" s="377" t="s">
        <v>491</v>
      </c>
      <c r="D27" s="289"/>
      <c r="E27" s="289"/>
      <c r="F27" s="289"/>
      <c r="G27" s="376"/>
      <c r="H27" s="289"/>
      <c r="I27" s="289"/>
      <c r="J27" s="289"/>
      <c r="K27" s="289"/>
      <c r="L27" s="376"/>
      <c r="M27" s="289"/>
      <c r="N27" s="289"/>
      <c r="O27" s="289"/>
      <c r="P27" s="378"/>
      <c r="Q27" s="3"/>
      <c r="R27" s="3"/>
      <c r="S27" s="376"/>
      <c r="T27" s="418">
        <v>1</v>
      </c>
      <c r="U27" s="376"/>
      <c r="V27" s="370">
        <f>EXP(-1*$V$21*T27)</f>
        <v>0.97531935967688421</v>
      </c>
      <c r="W27" s="289"/>
      <c r="X27" s="370">
        <f>EXP(-1*(T27/$X$21)^$X$22)</f>
        <v>0.94450795571099744</v>
      </c>
      <c r="Y27" s="429"/>
      <c r="Z27" s="421">
        <f>1-_xlfn.NORM.DIST(LN(T27),$Z$21,$Z$22,TRUE)</f>
        <v>0.97905698946860908</v>
      </c>
      <c r="AA27" s="429"/>
      <c r="AB27" s="421">
        <f>(1+(T27/$AB$21)^$AB$22)^-1</f>
        <v>0.9627221764966124</v>
      </c>
      <c r="AC27" s="430"/>
      <c r="AD27" s="424">
        <f>1-_xlfn.GAMMA.DIST(T27,$AD$21,1/$AD$22,TRUE)</f>
        <v>0.94982191438543573</v>
      </c>
      <c r="AE27" s="431"/>
      <c r="AF27" s="421">
        <f>EXP((-$AF$22/$AF$21)*(EXP($AF$21*T27)-1))</f>
        <v>0.95108542400097373</v>
      </c>
      <c r="AG27" s="421">
        <f>(LN(T27)-$AH$21)/$AH$22</f>
        <v>-1.5682869815712854</v>
      </c>
      <c r="AH27" s="426">
        <f>$AH$24*EXP(ABS($AH$23)*-AG27)</f>
        <v>5.1576410190806801</v>
      </c>
      <c r="AI27" s="421">
        <f>_xlfn.GAMMA.DIST(AH27,$AH$24,1,TRUE)</f>
        <v>0.99941297136691376</v>
      </c>
      <c r="AJ27" s="325"/>
      <c r="AK27" s="439">
        <v>1.08</v>
      </c>
      <c r="AL27" s="440">
        <v>1</v>
      </c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25"/>
      <c r="AX27" s="325"/>
      <c r="AY27" s="325"/>
      <c r="AZ27" s="325"/>
      <c r="BA27" s="325"/>
      <c r="BB27" s="325"/>
      <c r="BC27" s="325"/>
      <c r="BD27" s="325"/>
      <c r="BE27" s="325"/>
      <c r="BF27" s="325"/>
      <c r="BG27" s="325"/>
      <c r="BH27" s="325"/>
      <c r="BI27" s="325"/>
      <c r="BJ27" s="325"/>
      <c r="BK27" s="325"/>
      <c r="BL27" s="325"/>
      <c r="BM27" s="325"/>
      <c r="BN27" s="325"/>
      <c r="BO27" s="325"/>
      <c r="BP27" s="325"/>
      <c r="BQ27" s="325"/>
    </row>
    <row r="28" spans="1:69" ht="14.25" customHeight="1" x14ac:dyDescent="0.2">
      <c r="A28" s="3"/>
      <c r="B28" s="376"/>
      <c r="C28" s="289"/>
      <c r="D28" s="379" t="s">
        <v>497</v>
      </c>
      <c r="E28" s="379" t="s">
        <v>501</v>
      </c>
      <c r="F28" s="289"/>
      <c r="G28" s="376"/>
      <c r="H28" s="289"/>
      <c r="I28" s="289"/>
      <c r="J28" s="289"/>
      <c r="K28" s="289"/>
      <c r="L28" s="376"/>
      <c r="M28" s="289" t="s">
        <v>502</v>
      </c>
      <c r="N28" s="289"/>
      <c r="O28" s="289"/>
      <c r="P28" s="378"/>
      <c r="Q28" s="3"/>
      <c r="R28" s="3"/>
      <c r="S28" s="376"/>
      <c r="T28" s="418">
        <v>2</v>
      </c>
      <c r="U28" s="376"/>
      <c r="V28" s="370">
        <f>EXP(-1*$V$21*T28)</f>
        <v>0.95124785336052753</v>
      </c>
      <c r="W28" s="289"/>
      <c r="X28" s="370">
        <f>EXP(-1*(T28/$X$21)^$X$22)</f>
        <v>0.9072680609722853</v>
      </c>
      <c r="Y28" s="429"/>
      <c r="Z28" s="421">
        <f t="shared" ref="Z28:Z91" si="2">1-_xlfn.NORM.DIST(LN(T28),$Z$21,$Z$22,TRUE)</f>
        <v>0.94314133461885608</v>
      </c>
      <c r="AA28" s="429"/>
      <c r="AB28" s="421">
        <f t="shared" ref="AB28:AB91" si="3">(1+(T28/$AB$21)^$AB$22)^-1</f>
        <v>0.92498848671902922</v>
      </c>
      <c r="AC28" s="430"/>
      <c r="AD28" s="424">
        <f t="shared" ref="AD28:AD91" si="4">1-_xlfn.GAMMA.DIST(T28,$AD$21,1/$AD$22,TRUE)</f>
        <v>0.91607095392796012</v>
      </c>
      <c r="AE28" s="431"/>
      <c r="AF28" s="421">
        <f t="shared" ref="AF28:AF91" si="5">EXP((-$AF$22/$AF$21)*(EXP($AF$21*T28)-1))</f>
        <v>0.90636623456687859</v>
      </c>
      <c r="AG28" s="421">
        <f t="shared" ref="AG28:AG91" si="6">(LN(T28)-$AH$21)/$AH$22</f>
        <v>-1.0230811704835392</v>
      </c>
      <c r="AH28" s="426">
        <f t="shared" ref="AH28:AH91" si="7">$AH$24*EXP(ABS($AH$23)*-AG28)</f>
        <v>1.9491231802770204</v>
      </c>
      <c r="AI28" s="421">
        <f t="shared" ref="AI28:AI91" si="8">_xlfn.GAMMA.DIST(AH28,$AH$24,1,TRUE)</f>
        <v>0.97502320303125201</v>
      </c>
      <c r="AJ28" s="325"/>
      <c r="AK28" s="439">
        <v>1.35</v>
      </c>
      <c r="AL28" s="440">
        <v>0.99399999999999999</v>
      </c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/>
      <c r="AX28" s="325"/>
      <c r="AY28" s="325"/>
      <c r="AZ28" s="325"/>
      <c r="BA28" s="325"/>
      <c r="BB28" s="325"/>
      <c r="BC28" s="325"/>
      <c r="BD28" s="325"/>
      <c r="BE28" s="325"/>
      <c r="BF28" s="325"/>
      <c r="BG28" s="325"/>
      <c r="BH28" s="325"/>
      <c r="BI28" s="325"/>
      <c r="BJ28" s="325"/>
      <c r="BK28" s="325"/>
      <c r="BL28" s="325"/>
      <c r="BM28" s="325"/>
      <c r="BN28" s="325"/>
      <c r="BO28" s="325"/>
      <c r="BP28" s="325"/>
      <c r="BQ28" s="325"/>
    </row>
    <row r="29" spans="1:69" ht="14.25" customHeight="1" x14ac:dyDescent="0.2">
      <c r="A29" s="3"/>
      <c r="B29" s="376"/>
      <c r="C29" s="379" t="s">
        <v>497</v>
      </c>
      <c r="D29" s="367">
        <v>0.12449929999999999</v>
      </c>
      <c r="E29" s="367">
        <v>0</v>
      </c>
      <c r="F29" s="289"/>
      <c r="G29" s="376"/>
      <c r="H29" s="289"/>
      <c r="I29" s="289"/>
      <c r="J29" s="289"/>
      <c r="K29" s="289"/>
      <c r="L29" s="376"/>
      <c r="M29" s="382" t="s">
        <v>488</v>
      </c>
      <c r="N29" s="369" cm="1">
        <f t="array" aca="1" ref="N29:N30" ca="1">D24:D25+MMULT(D29:E30,N25:N26)</f>
        <v>3.767851861361561</v>
      </c>
      <c r="O29" s="289"/>
      <c r="P29" s="378"/>
      <c r="Q29" s="3"/>
      <c r="R29" s="3"/>
      <c r="S29" s="376"/>
      <c r="T29" s="418">
        <v>3</v>
      </c>
      <c r="U29" s="376"/>
      <c r="V29" s="370">
        <f t="shared" ref="V29:V92" si="9">EXP(-1*$V$21*T29)</f>
        <v>0.92777044723360036</v>
      </c>
      <c r="W29" s="289"/>
      <c r="X29" s="370">
        <f t="shared" ref="X29:X91" si="10">EXP(-1*(T29/$X$21)^$X$22)</f>
        <v>0.87551112881564974</v>
      </c>
      <c r="Y29" s="429"/>
      <c r="Z29" s="421">
        <f t="shared" si="2"/>
        <v>0.90603809559689241</v>
      </c>
      <c r="AA29" s="429"/>
      <c r="AB29" s="421">
        <f t="shared" si="3"/>
        <v>0.88891637265349288</v>
      </c>
      <c r="AC29" s="430"/>
      <c r="AD29" s="424">
        <f t="shared" si="4"/>
        <v>0.88694281776690886</v>
      </c>
      <c r="AE29" s="431"/>
      <c r="AF29" s="421">
        <f t="shared" si="5"/>
        <v>0.86540270862813085</v>
      </c>
      <c r="AG29" s="421">
        <f t="shared" si="6"/>
        <v>-0.70415621582194454</v>
      </c>
      <c r="AH29" s="426">
        <f t="shared" si="7"/>
        <v>1.1031313235102085</v>
      </c>
      <c r="AI29" s="421">
        <f t="shared" si="8"/>
        <v>0.92318641951012514</v>
      </c>
      <c r="AJ29" s="325"/>
      <c r="AK29" s="439">
        <v>1.58</v>
      </c>
      <c r="AL29" s="440">
        <v>0.98499999999999999</v>
      </c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  <c r="BA29" s="325"/>
      <c r="BB29" s="325"/>
      <c r="BC29" s="325"/>
      <c r="BD29" s="325"/>
      <c r="BE29" s="325"/>
      <c r="BF29" s="325"/>
      <c r="BG29" s="325"/>
      <c r="BH29" s="325"/>
      <c r="BI29" s="325"/>
      <c r="BJ29" s="325"/>
      <c r="BK29" s="325"/>
      <c r="BL29" s="325"/>
      <c r="BM29" s="325"/>
      <c r="BN29" s="325"/>
      <c r="BO29" s="325"/>
      <c r="BP29" s="325"/>
      <c r="BQ29" s="325"/>
    </row>
    <row r="30" spans="1:69" ht="14.25" customHeight="1" x14ac:dyDescent="0.2">
      <c r="A30" s="3"/>
      <c r="B30" s="376"/>
      <c r="C30" s="379" t="s">
        <v>499</v>
      </c>
      <c r="D30" s="367">
        <v>1.08159E-2</v>
      </c>
      <c r="E30" s="367">
        <v>7.9354259999999996E-2</v>
      </c>
      <c r="F30" s="289"/>
      <c r="G30" s="376"/>
      <c r="H30" s="289"/>
      <c r="I30" s="289"/>
      <c r="J30" s="289"/>
      <c r="K30" s="289"/>
      <c r="L30" s="376"/>
      <c r="M30" s="382" t="s">
        <v>501</v>
      </c>
      <c r="N30" s="369">
        <f ca="1"/>
        <v>0.31483781420049273</v>
      </c>
      <c r="O30" s="289"/>
      <c r="P30" s="378"/>
      <c r="Q30" s="3"/>
      <c r="R30" s="3"/>
      <c r="S30" s="376"/>
      <c r="T30" s="418">
        <v>4</v>
      </c>
      <c r="U30" s="376"/>
      <c r="V30" s="370">
        <f t="shared" si="9"/>
        <v>0.90487247852301167</v>
      </c>
      <c r="W30" s="289"/>
      <c r="X30" s="370">
        <f t="shared" si="10"/>
        <v>0.84714226519078306</v>
      </c>
      <c r="Y30" s="429"/>
      <c r="Z30" s="421">
        <f t="shared" si="2"/>
        <v>0.87049954488659698</v>
      </c>
      <c r="AA30" s="429"/>
      <c r="AB30" s="421">
        <f t="shared" si="3"/>
        <v>0.85481956834506834</v>
      </c>
      <c r="AC30" s="430"/>
      <c r="AD30" s="424">
        <f t="shared" si="4"/>
        <v>0.86062016515594819</v>
      </c>
      <c r="AE30" s="431"/>
      <c r="AF30" s="421">
        <f t="shared" si="5"/>
        <v>0.82780902761525021</v>
      </c>
      <c r="AG30" s="421">
        <f t="shared" si="6"/>
        <v>-0.47787535939579262</v>
      </c>
      <c r="AH30" s="426">
        <f t="shared" si="7"/>
        <v>0.73659278686486951</v>
      </c>
      <c r="AI30" s="421">
        <f t="shared" si="8"/>
        <v>0.86775688288637443</v>
      </c>
      <c r="AJ30" s="325"/>
      <c r="AK30" s="439">
        <v>1.67</v>
      </c>
      <c r="AL30" s="440">
        <v>0.97699999999999998</v>
      </c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5"/>
      <c r="BK30" s="325"/>
      <c r="BL30" s="325"/>
      <c r="BM30" s="325"/>
      <c r="BN30" s="325"/>
      <c r="BO30" s="325"/>
      <c r="BP30" s="325"/>
      <c r="BQ30" s="325"/>
    </row>
    <row r="31" spans="1:69" ht="14.25" customHeight="1" x14ac:dyDescent="0.2">
      <c r="A31" s="3"/>
      <c r="B31" s="376"/>
      <c r="C31" s="289"/>
      <c r="D31" s="289"/>
      <c r="E31" s="289"/>
      <c r="F31" s="289"/>
      <c r="G31" s="376"/>
      <c r="H31" s="289"/>
      <c r="I31" s="289"/>
      <c r="J31" s="289"/>
      <c r="K31" s="289"/>
      <c r="L31" s="376"/>
      <c r="M31" s="289"/>
      <c r="N31" s="289"/>
      <c r="O31" s="289"/>
      <c r="P31" s="378"/>
      <c r="Q31" s="3"/>
      <c r="R31" s="3"/>
      <c r="S31" s="376"/>
      <c r="T31" s="418">
        <f t="shared" ref="T31:T37" si="11">T30+1</f>
        <v>5</v>
      </c>
      <c r="U31" s="376"/>
      <c r="V31" s="370">
        <f t="shared" si="9"/>
        <v>0.88253964634229887</v>
      </c>
      <c r="W31" s="289"/>
      <c r="X31" s="370">
        <f t="shared" si="10"/>
        <v>0.82122394967789547</v>
      </c>
      <c r="Y31" s="429"/>
      <c r="Z31" s="421">
        <f t="shared" si="2"/>
        <v>0.83718130425322013</v>
      </c>
      <c r="AA31" s="429"/>
      <c r="AB31" s="421">
        <f t="shared" si="3"/>
        <v>0.82272725786153533</v>
      </c>
      <c r="AC31" s="430"/>
      <c r="AD31" s="424">
        <f t="shared" si="4"/>
        <v>0.83631096379460312</v>
      </c>
      <c r="AE31" s="431"/>
      <c r="AF31" s="421">
        <f t="shared" si="5"/>
        <v>0.79324581081731615</v>
      </c>
      <c r="AG31" s="421">
        <f t="shared" si="6"/>
        <v>-0.30235829131079528</v>
      </c>
      <c r="AH31" s="426">
        <f t="shared" si="7"/>
        <v>0.53848900731540972</v>
      </c>
      <c r="AI31" s="421">
        <f t="shared" si="8"/>
        <v>0.81726914756061741</v>
      </c>
      <c r="AJ31" s="325"/>
      <c r="AK31" s="439">
        <v>1.81</v>
      </c>
      <c r="AL31" s="440">
        <v>0.96599999999999997</v>
      </c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5"/>
      <c r="BK31" s="325"/>
      <c r="BL31" s="325"/>
      <c r="BM31" s="325"/>
      <c r="BN31" s="325"/>
      <c r="BO31" s="325"/>
      <c r="BP31" s="325"/>
      <c r="BQ31" s="325"/>
    </row>
    <row r="32" spans="1:69" ht="14.25" customHeight="1" x14ac:dyDescent="0.2">
      <c r="A32" s="3"/>
      <c r="B32" s="376"/>
      <c r="C32" s="377" t="s">
        <v>492</v>
      </c>
      <c r="D32" s="289"/>
      <c r="E32" s="289"/>
      <c r="F32" s="289"/>
      <c r="G32" s="376"/>
      <c r="H32" s="289"/>
      <c r="I32" s="289"/>
      <c r="J32" s="289"/>
      <c r="K32" s="289"/>
      <c r="L32" s="376"/>
      <c r="M32" s="390" t="s">
        <v>185</v>
      </c>
      <c r="N32" s="371">
        <f ca="1">EXP(N29)</f>
        <v>43.286978459456243</v>
      </c>
      <c r="O32" s="289"/>
      <c r="P32" s="378"/>
      <c r="Q32" s="3"/>
      <c r="R32" s="3"/>
      <c r="S32" s="376"/>
      <c r="T32" s="418">
        <f t="shared" si="11"/>
        <v>6</v>
      </c>
      <c r="U32" s="376"/>
      <c r="V32" s="370">
        <f t="shared" si="9"/>
        <v>0.86075800276003478</v>
      </c>
      <c r="W32" s="289"/>
      <c r="X32" s="370">
        <f t="shared" si="10"/>
        <v>0.79722246478913084</v>
      </c>
      <c r="Y32" s="429"/>
      <c r="Z32" s="421">
        <f t="shared" si="2"/>
        <v>0.80615066287857173</v>
      </c>
      <c r="AA32" s="429"/>
      <c r="AB32" s="421">
        <f t="shared" si="3"/>
        <v>0.79257104564411518</v>
      </c>
      <c r="AC32" s="430"/>
      <c r="AD32" s="424">
        <f t="shared" si="4"/>
        <v>0.81357318743521512</v>
      </c>
      <c r="AE32" s="431"/>
      <c r="AF32" s="421">
        <f t="shared" si="5"/>
        <v>0.7614137909875538</v>
      </c>
      <c r="AG32" s="421">
        <f t="shared" si="6"/>
        <v>-0.15895040473419819</v>
      </c>
      <c r="AH32" s="426">
        <f t="shared" si="7"/>
        <v>0.41688415800731038</v>
      </c>
      <c r="AI32" s="421">
        <f t="shared" si="8"/>
        <v>0.77313281948968315</v>
      </c>
      <c r="AJ32" s="325"/>
      <c r="AK32" s="439">
        <v>2.0299999999999998</v>
      </c>
      <c r="AL32" s="440">
        <v>0.96</v>
      </c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5"/>
      <c r="BK32" s="325"/>
      <c r="BL32" s="325"/>
      <c r="BM32" s="325"/>
      <c r="BN32" s="325"/>
      <c r="BO32" s="325"/>
      <c r="BP32" s="325"/>
      <c r="BQ32" s="325"/>
    </row>
    <row r="33" spans="1:69" ht="14.25" customHeight="1" x14ac:dyDescent="0.2">
      <c r="A33" s="3"/>
      <c r="B33" s="383"/>
      <c r="C33" s="384" t="s">
        <v>493</v>
      </c>
      <c r="D33" s="385">
        <v>-514.49760000000003</v>
      </c>
      <c r="E33" s="386"/>
      <c r="F33" s="386"/>
      <c r="G33" s="383"/>
      <c r="H33" s="386"/>
      <c r="I33" s="386"/>
      <c r="J33" s="386"/>
      <c r="K33" s="386"/>
      <c r="L33" s="383"/>
      <c r="M33" s="391" t="s">
        <v>187</v>
      </c>
      <c r="N33" s="371">
        <f ca="1">1/(EXP(N30))</f>
        <v>0.72990724525988904</v>
      </c>
      <c r="O33" s="386"/>
      <c r="P33" s="387"/>
      <c r="Q33" s="3"/>
      <c r="R33" s="3"/>
      <c r="S33" s="376"/>
      <c r="T33" s="418">
        <f t="shared" si="11"/>
        <v>7</v>
      </c>
      <c r="U33" s="376"/>
      <c r="V33" s="370">
        <f t="shared" si="9"/>
        <v>0.83951394408867097</v>
      </c>
      <c r="W33" s="289"/>
      <c r="X33" s="370">
        <f t="shared" si="10"/>
        <v>0.77479281956380419</v>
      </c>
      <c r="Y33" s="429"/>
      <c r="Z33" s="421">
        <f t="shared" si="2"/>
        <v>0.77728805537862167</v>
      </c>
      <c r="AA33" s="429"/>
      <c r="AB33" s="421">
        <f t="shared" si="3"/>
        <v>0.76424492393164012</v>
      </c>
      <c r="AC33" s="430"/>
      <c r="AD33" s="424">
        <f t="shared" si="4"/>
        <v>0.79212557818210327</v>
      </c>
      <c r="AE33" s="431"/>
      <c r="AF33" s="421">
        <f t="shared" si="5"/>
        <v>0.73204844218248211</v>
      </c>
      <c r="AG33" s="421">
        <f t="shared" si="6"/>
        <v>-3.7700764279692295E-2</v>
      </c>
      <c r="AH33" s="426">
        <f t="shared" si="7"/>
        <v>0.3357605942501522</v>
      </c>
      <c r="AI33" s="421">
        <f t="shared" si="8"/>
        <v>0.73483195660976852</v>
      </c>
      <c r="AJ33" s="325"/>
      <c r="AK33" s="439">
        <v>2.2999999999999998</v>
      </c>
      <c r="AL33" s="440">
        <v>0.95099999999999996</v>
      </c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5"/>
      <c r="BK33" s="325"/>
      <c r="BL33" s="325"/>
      <c r="BM33" s="325"/>
      <c r="BN33" s="325"/>
      <c r="BO33" s="325"/>
      <c r="BP33" s="325"/>
      <c r="BQ33" s="325"/>
    </row>
    <row r="34" spans="1:69" ht="14.25" customHeight="1" x14ac:dyDescent="0.2">
      <c r="A34" s="3"/>
      <c r="B34" s="289"/>
      <c r="C34" s="3"/>
      <c r="D34" s="3"/>
      <c r="E34" s="3"/>
      <c r="F34" s="3"/>
      <c r="G34" s="289"/>
      <c r="H34" s="3"/>
      <c r="I34" s="3"/>
      <c r="J34" s="3"/>
      <c r="K34" s="3"/>
      <c r="L34" s="289"/>
      <c r="M34" s="3"/>
      <c r="N34" s="3"/>
      <c r="O34" s="3"/>
      <c r="P34" s="3"/>
      <c r="Q34" s="3"/>
      <c r="R34" s="3"/>
      <c r="S34" s="376"/>
      <c r="T34" s="418">
        <f t="shared" si="11"/>
        <v>8</v>
      </c>
      <c r="U34" s="376"/>
      <c r="V34" s="370">
        <f t="shared" si="9"/>
        <v>0.81879420238837819</v>
      </c>
      <c r="W34" s="289"/>
      <c r="X34" s="370">
        <f t="shared" si="10"/>
        <v>0.75369346261267101</v>
      </c>
      <c r="Y34" s="429"/>
      <c r="Z34" s="421">
        <f t="shared" si="2"/>
        <v>0.75041876308738131</v>
      </c>
      <c r="AA34" s="429"/>
      <c r="AB34" s="421">
        <f t="shared" si="3"/>
        <v>0.73762997672209396</v>
      </c>
      <c r="AC34" s="430"/>
      <c r="AD34" s="424">
        <f t="shared" si="4"/>
        <v>0.77177369004847174</v>
      </c>
      <c r="AE34" s="431"/>
      <c r="AF34" s="421">
        <f t="shared" si="5"/>
        <v>0.7049154038044918</v>
      </c>
      <c r="AG34" s="421">
        <f t="shared" si="6"/>
        <v>6.7330451691953702E-2</v>
      </c>
      <c r="AH34" s="426">
        <f t="shared" si="7"/>
        <v>0.27836564623085669</v>
      </c>
      <c r="AI34" s="421">
        <f t="shared" si="8"/>
        <v>0.70147805655127127</v>
      </c>
      <c r="AJ34" s="325"/>
      <c r="AK34" s="439">
        <v>2.44</v>
      </c>
      <c r="AL34" s="440">
        <v>0.93899999999999995</v>
      </c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5"/>
      <c r="BK34" s="325"/>
      <c r="BL34" s="325"/>
      <c r="BM34" s="325"/>
      <c r="BN34" s="325"/>
      <c r="BO34" s="325"/>
      <c r="BP34" s="325"/>
      <c r="BQ34" s="325"/>
    </row>
    <row r="35" spans="1:69" ht="14.25" customHeight="1" x14ac:dyDescent="0.2">
      <c r="A35" s="3"/>
      <c r="B35" s="372"/>
      <c r="C35" s="373" t="s">
        <v>168</v>
      </c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5"/>
      <c r="Q35" s="3"/>
      <c r="R35" s="3"/>
      <c r="S35" s="376"/>
      <c r="T35" s="418">
        <f t="shared" si="11"/>
        <v>9</v>
      </c>
      <c r="U35" s="376"/>
      <c r="V35" s="370">
        <f t="shared" si="9"/>
        <v>0.79858583718057807</v>
      </c>
      <c r="W35" s="289"/>
      <c r="X35" s="370">
        <f t="shared" si="10"/>
        <v>0.73374566917523898</v>
      </c>
      <c r="Y35" s="429"/>
      <c r="Z35" s="421">
        <f t="shared" si="2"/>
        <v>0.72536054491886504</v>
      </c>
      <c r="AA35" s="429"/>
      <c r="AB35" s="421">
        <f t="shared" si="3"/>
        <v>0.71260576384029573</v>
      </c>
      <c r="AC35" s="430"/>
      <c r="AD35" s="424">
        <f t="shared" si="4"/>
        <v>0.75237511266268764</v>
      </c>
      <c r="AE35" s="431"/>
      <c r="AF35" s="421">
        <f t="shared" si="5"/>
        <v>0.67980657232354513</v>
      </c>
      <c r="AG35" s="421">
        <f t="shared" si="6"/>
        <v>0.15997454992739638</v>
      </c>
      <c r="AH35" s="426">
        <f t="shared" si="7"/>
        <v>0.2359409490516052</v>
      </c>
      <c r="AI35" s="421">
        <f t="shared" si="8"/>
        <v>0.67222723897719217</v>
      </c>
      <c r="AJ35" s="325"/>
      <c r="AK35" s="439">
        <v>2.71</v>
      </c>
      <c r="AL35" s="440">
        <v>0.93400000000000005</v>
      </c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5"/>
      <c r="BK35" s="325"/>
      <c r="BL35" s="325"/>
      <c r="BM35" s="325"/>
      <c r="BN35" s="325"/>
      <c r="BO35" s="325"/>
      <c r="BP35" s="325"/>
      <c r="BQ35" s="325"/>
    </row>
    <row r="36" spans="1:69" ht="14.25" customHeight="1" x14ac:dyDescent="0.2">
      <c r="A36" s="3"/>
      <c r="B36" s="376"/>
      <c r="C36" s="377" t="s">
        <v>487</v>
      </c>
      <c r="D36" s="289"/>
      <c r="E36" s="289"/>
      <c r="F36" s="289"/>
      <c r="G36" s="388"/>
      <c r="H36" s="377" t="s">
        <v>494</v>
      </c>
      <c r="I36" s="289"/>
      <c r="J36" s="289"/>
      <c r="K36" s="289"/>
      <c r="L36" s="394"/>
      <c r="M36" s="377" t="s">
        <v>495</v>
      </c>
      <c r="N36" s="289"/>
      <c r="O36" s="289"/>
      <c r="P36" s="378"/>
      <c r="Q36" s="3"/>
      <c r="R36" s="3"/>
      <c r="S36" s="376"/>
      <c r="T36" s="418">
        <f t="shared" si="11"/>
        <v>10</v>
      </c>
      <c r="U36" s="376"/>
      <c r="V36" s="370">
        <f t="shared" si="9"/>
        <v>0.77887622736599005</v>
      </c>
      <c r="W36" s="289"/>
      <c r="X36" s="370">
        <f t="shared" si="10"/>
        <v>0.71481173703915535</v>
      </c>
      <c r="Y36" s="429"/>
      <c r="Z36" s="421">
        <f t="shared" si="2"/>
        <v>0.70194111644042256</v>
      </c>
      <c r="AA36" s="429"/>
      <c r="AB36" s="421">
        <f t="shared" si="3"/>
        <v>0.68905578185644301</v>
      </c>
      <c r="AC36" s="430"/>
      <c r="AD36" s="424">
        <f t="shared" si="4"/>
        <v>0.73382101100312314</v>
      </c>
      <c r="AE36" s="431"/>
      <c r="AF36" s="421">
        <f t="shared" si="5"/>
        <v>0.65653675448874182</v>
      </c>
      <c r="AG36" s="421">
        <f t="shared" si="6"/>
        <v>0.24284751977695138</v>
      </c>
      <c r="AH36" s="426">
        <f t="shared" si="7"/>
        <v>0.20350028290063282</v>
      </c>
      <c r="AI36" s="421">
        <f t="shared" si="8"/>
        <v>0.64637144876854047</v>
      </c>
      <c r="AJ36" s="325"/>
      <c r="AK36" s="439">
        <v>2.85</v>
      </c>
      <c r="AL36" s="440">
        <v>0.92300000000000004</v>
      </c>
      <c r="AM36" s="325"/>
      <c r="AN36" s="325"/>
      <c r="AO36" s="325"/>
      <c r="AP36" s="325"/>
      <c r="AQ36" s="325"/>
      <c r="AR36" s="325"/>
      <c r="AS36" s="325"/>
      <c r="AT36" s="325"/>
      <c r="AU36" s="325"/>
      <c r="AV36" s="325"/>
      <c r="AW36" s="325"/>
      <c r="AX36" s="325"/>
      <c r="AY36" s="325"/>
      <c r="AZ36" s="325"/>
      <c r="BA36" s="325"/>
      <c r="BB36" s="325"/>
      <c r="BC36" s="325"/>
      <c r="BD36" s="325"/>
      <c r="BE36" s="325"/>
      <c r="BF36" s="325"/>
      <c r="BG36" s="325"/>
      <c r="BH36" s="325"/>
      <c r="BI36" s="325"/>
      <c r="BJ36" s="325"/>
      <c r="BK36" s="325"/>
      <c r="BL36" s="325"/>
      <c r="BM36" s="325"/>
      <c r="BN36" s="325"/>
      <c r="BO36" s="325"/>
      <c r="BP36" s="325"/>
      <c r="BQ36" s="325"/>
    </row>
    <row r="37" spans="1:69" ht="14.25" customHeight="1" x14ac:dyDescent="0.2">
      <c r="A37" s="3"/>
      <c r="B37" s="376"/>
      <c r="C37" s="289"/>
      <c r="D37" s="379" t="s">
        <v>500</v>
      </c>
      <c r="E37" s="379" t="s">
        <v>503</v>
      </c>
      <c r="F37" s="289"/>
      <c r="G37" s="376"/>
      <c r="H37" s="289"/>
      <c r="I37" s="289"/>
      <c r="J37" s="289"/>
      <c r="K37" s="289"/>
      <c r="L37" s="376"/>
      <c r="M37" s="289"/>
      <c r="N37" s="289"/>
      <c r="O37" s="289"/>
      <c r="P37" s="378"/>
      <c r="Q37" s="3"/>
      <c r="R37" s="3"/>
      <c r="S37" s="376"/>
      <c r="T37" s="418">
        <f t="shared" si="11"/>
        <v>11</v>
      </c>
      <c r="U37" s="376"/>
      <c r="V37" s="370">
        <f t="shared" si="9"/>
        <v>0.75965306334214466</v>
      </c>
      <c r="W37" s="289"/>
      <c r="X37" s="370">
        <f t="shared" si="10"/>
        <v>0.69678223409490236</v>
      </c>
      <c r="Y37" s="429"/>
      <c r="Z37" s="421">
        <f t="shared" si="2"/>
        <v>0.68000389705465225</v>
      </c>
      <c r="AA37" s="429"/>
      <c r="AB37" s="421">
        <f t="shared" si="3"/>
        <v>0.66687002537862594</v>
      </c>
      <c r="AC37" s="430"/>
      <c r="AD37" s="424">
        <f t="shared" si="4"/>
        <v>0.71602544013823954</v>
      </c>
      <c r="AE37" s="431"/>
      <c r="AF37" s="421">
        <f t="shared" si="5"/>
        <v>0.63494079403409132</v>
      </c>
      <c r="AG37" s="421">
        <f t="shared" si="6"/>
        <v>0.3178152399704578</v>
      </c>
      <c r="AH37" s="426">
        <f t="shared" si="7"/>
        <v>0.17801409971264931</v>
      </c>
      <c r="AI37" s="421">
        <f t="shared" si="8"/>
        <v>0.62333870267721458</v>
      </c>
      <c r="AJ37" s="325"/>
      <c r="AK37" s="439">
        <v>3.34</v>
      </c>
      <c r="AL37" s="440">
        <v>0.91300000000000003</v>
      </c>
      <c r="AM37" s="325"/>
      <c r="AN37" s="325"/>
      <c r="AO37" s="325"/>
      <c r="AP37" s="325"/>
      <c r="AQ37" s="325"/>
      <c r="AR37" s="325"/>
      <c r="AS37" s="325"/>
      <c r="AT37" s="325"/>
      <c r="AU37" s="325"/>
      <c r="AV37" s="325"/>
      <c r="AW37" s="325"/>
      <c r="AX37" s="325"/>
      <c r="AY37" s="325"/>
      <c r="AZ37" s="325"/>
      <c r="BA37" s="325"/>
      <c r="BB37" s="325"/>
      <c r="BC37" s="325"/>
      <c r="BD37" s="325"/>
      <c r="BE37" s="325"/>
      <c r="BF37" s="325"/>
      <c r="BG37" s="325"/>
      <c r="BH37" s="325"/>
      <c r="BI37" s="325"/>
      <c r="BJ37" s="325"/>
      <c r="BK37" s="325"/>
      <c r="BL37" s="325"/>
      <c r="BM37" s="325"/>
      <c r="BN37" s="325"/>
      <c r="BO37" s="325"/>
      <c r="BP37" s="325"/>
      <c r="BQ37" s="325"/>
    </row>
    <row r="38" spans="1:69" ht="14.25" customHeight="1" x14ac:dyDescent="0.2">
      <c r="A38" s="3"/>
      <c r="B38" s="376"/>
      <c r="C38" s="289" t="s">
        <v>497</v>
      </c>
      <c r="D38" s="367">
        <v>3.1136330000000001</v>
      </c>
      <c r="E38" s="367">
        <v>0.12804715999999999</v>
      </c>
      <c r="F38" s="289"/>
      <c r="G38" s="376"/>
      <c r="H38" s="390" t="s">
        <v>183</v>
      </c>
      <c r="I38" s="392">
        <f>D38</f>
        <v>3.1136330000000001</v>
      </c>
      <c r="J38" s="289"/>
      <c r="K38" s="289"/>
      <c r="L38" s="376"/>
      <c r="M38" s="289" t="s">
        <v>496</v>
      </c>
      <c r="N38" s="289"/>
      <c r="O38" s="289"/>
      <c r="P38" s="378"/>
      <c r="Q38" s="3"/>
      <c r="R38" s="3"/>
      <c r="S38" s="376"/>
      <c r="T38" s="418">
        <f t="shared" ref="T38:T101" si="12">T37+1</f>
        <v>12</v>
      </c>
      <c r="U38" s="376"/>
      <c r="V38" s="370">
        <f t="shared" si="9"/>
        <v>0.74090433931544408</v>
      </c>
      <c r="W38" s="289"/>
      <c r="X38" s="370">
        <f t="shared" si="10"/>
        <v>0.67956804275844451</v>
      </c>
      <c r="Y38" s="429"/>
      <c r="Z38" s="421">
        <f t="shared" si="2"/>
        <v>0.65940902586736738</v>
      </c>
      <c r="AA38" s="429"/>
      <c r="AB38" s="421">
        <f t="shared" si="3"/>
        <v>0.64594604658063137</v>
      </c>
      <c r="AC38" s="430"/>
      <c r="AD38" s="424">
        <f t="shared" si="4"/>
        <v>0.69891874316341784</v>
      </c>
      <c r="AE38" s="431"/>
      <c r="AF38" s="421">
        <f t="shared" si="5"/>
        <v>0.61487109874859003</v>
      </c>
      <c r="AG38" s="421">
        <f t="shared" si="6"/>
        <v>0.38625540635354827</v>
      </c>
      <c r="AH38" s="426">
        <f t="shared" si="7"/>
        <v>0.15754461639657702</v>
      </c>
      <c r="AI38" s="421">
        <f>_xlfn.GAMMA.DIST(AH38,$AH$24,1,TRUE)</f>
        <v>0.60267147799071596</v>
      </c>
      <c r="AJ38" s="325"/>
      <c r="AK38" s="439">
        <v>3.53</v>
      </c>
      <c r="AL38" s="440">
        <v>0.89200000000000002</v>
      </c>
      <c r="AM38" s="325"/>
      <c r="AN38" s="325"/>
      <c r="AO38" s="325"/>
      <c r="AP38" s="325"/>
      <c r="AQ38" s="325"/>
      <c r="AR38" s="325"/>
      <c r="AS38" s="325"/>
      <c r="AT38" s="325"/>
      <c r="AU38" s="325"/>
      <c r="AV38" s="325"/>
      <c r="AW38" s="325"/>
      <c r="AX38" s="325"/>
      <c r="AY38" s="325"/>
      <c r="AZ38" s="325"/>
      <c r="BA38" s="325"/>
      <c r="BB38" s="325"/>
      <c r="BC38" s="325"/>
      <c r="BD38" s="325"/>
      <c r="BE38" s="325"/>
      <c r="BF38" s="325"/>
      <c r="BG38" s="325"/>
      <c r="BH38" s="325"/>
      <c r="BI38" s="325"/>
      <c r="BJ38" s="325"/>
      <c r="BK38" s="325"/>
      <c r="BL38" s="325"/>
      <c r="BM38" s="325"/>
      <c r="BN38" s="325"/>
      <c r="BO38" s="325"/>
      <c r="BP38" s="325"/>
      <c r="BQ38" s="325"/>
    </row>
    <row r="39" spans="1:69" ht="14.25" customHeight="1" x14ac:dyDescent="0.2">
      <c r="A39" s="3"/>
      <c r="B39" s="376"/>
      <c r="C39" s="289" t="s">
        <v>501</v>
      </c>
      <c r="D39" s="367">
        <v>0.42546600000000001</v>
      </c>
      <c r="E39" s="367">
        <v>7.2728260000000003E-2</v>
      </c>
      <c r="F39" s="289"/>
      <c r="G39" s="376"/>
      <c r="H39" s="382"/>
      <c r="I39" s="289"/>
      <c r="J39" s="289"/>
      <c r="K39" s="289"/>
      <c r="L39" s="376"/>
      <c r="M39" s="289" t="s">
        <v>497</v>
      </c>
      <c r="N39" s="370">
        <f ca="1">_xlfn.NORM.INV(RAND(),0,1)</f>
        <v>-1.0209146189217888</v>
      </c>
      <c r="O39" s="289"/>
      <c r="P39" s="378"/>
      <c r="Q39" s="3"/>
      <c r="R39" s="3"/>
      <c r="S39" s="376"/>
      <c r="T39" s="418">
        <f t="shared" si="12"/>
        <v>13</v>
      </c>
      <c r="U39" s="376"/>
      <c r="V39" s="370">
        <f t="shared" si="9"/>
        <v>0.72261834580296391</v>
      </c>
      <c r="W39" s="289"/>
      <c r="X39" s="370">
        <f t="shared" si="10"/>
        <v>0.66309513972681267</v>
      </c>
      <c r="Y39" s="429"/>
      <c r="Z39" s="421">
        <f t="shared" si="2"/>
        <v>0.64003250007632095</v>
      </c>
      <c r="AA39" s="429"/>
      <c r="AB39" s="421">
        <f t="shared" si="3"/>
        <v>0.62618921510455361</v>
      </c>
      <c r="AC39" s="430"/>
      <c r="AD39" s="424">
        <f t="shared" si="4"/>
        <v>0.68244325796037253</v>
      </c>
      <c r="AE39" s="431"/>
      <c r="AF39" s="421">
        <f t="shared" si="5"/>
        <v>0.59619550696381629</v>
      </c>
      <c r="AG39" s="421">
        <f t="shared" si="6"/>
        <v>0.44921425633914047</v>
      </c>
      <c r="AH39" s="426">
        <f t="shared" si="7"/>
        <v>0.14079963517564117</v>
      </c>
      <c r="AI39" s="421">
        <f t="shared" si="8"/>
        <v>0.58400335763230271</v>
      </c>
      <c r="AJ39" s="325"/>
      <c r="AK39" s="439">
        <v>3.98</v>
      </c>
      <c r="AL39" s="440">
        <v>0.88</v>
      </c>
      <c r="AM39" s="325"/>
      <c r="AN39" s="325"/>
      <c r="AO39" s="325"/>
      <c r="AP39" s="325"/>
      <c r="AQ39" s="325"/>
      <c r="AR39" s="325"/>
      <c r="AS39" s="325"/>
      <c r="AT39" s="325"/>
      <c r="AU39" s="325"/>
      <c r="AV39" s="325"/>
      <c r="AW39" s="325"/>
      <c r="AX39" s="325"/>
      <c r="AY39" s="325"/>
      <c r="AZ39" s="325"/>
      <c r="BA39" s="325"/>
      <c r="BB39" s="325"/>
      <c r="BC39" s="325"/>
      <c r="BD39" s="325"/>
      <c r="BE39" s="325"/>
      <c r="BF39" s="325"/>
      <c r="BG39" s="325"/>
      <c r="BH39" s="325"/>
      <c r="BI39" s="325"/>
      <c r="BJ39" s="325"/>
      <c r="BK39" s="325"/>
      <c r="BL39" s="325"/>
      <c r="BM39" s="325"/>
      <c r="BN39" s="325"/>
      <c r="BO39" s="325"/>
      <c r="BP39" s="325"/>
      <c r="BQ39" s="325"/>
    </row>
    <row r="40" spans="1:69" ht="14.25" customHeight="1" x14ac:dyDescent="0.2">
      <c r="A40" s="3"/>
      <c r="B40" s="376"/>
      <c r="C40" s="289"/>
      <c r="D40" s="289"/>
      <c r="E40" s="289"/>
      <c r="F40" s="289"/>
      <c r="G40" s="376"/>
      <c r="H40" s="390" t="s">
        <v>185</v>
      </c>
      <c r="I40" s="371">
        <f>EXP(D39)</f>
        <v>1.5303033749046111</v>
      </c>
      <c r="J40" s="289"/>
      <c r="K40" s="289"/>
      <c r="L40" s="376"/>
      <c r="M40" s="289" t="s">
        <v>501</v>
      </c>
      <c r="N40" s="370">
        <f ca="1">_xlfn.NORM.INV(RAND(),0,1)</f>
        <v>0.26822880457980375</v>
      </c>
      <c r="O40" s="289"/>
      <c r="P40" s="378"/>
      <c r="Q40" s="3"/>
      <c r="R40" s="3"/>
      <c r="S40" s="376"/>
      <c r="T40" s="418">
        <f t="shared" si="12"/>
        <v>14</v>
      </c>
      <c r="U40" s="376"/>
      <c r="V40" s="370">
        <f t="shared" si="9"/>
        <v>0.70478366231931611</v>
      </c>
      <c r="W40" s="289"/>
      <c r="X40" s="370">
        <f t="shared" si="10"/>
        <v>0.64730102829607727</v>
      </c>
      <c r="Y40" s="429"/>
      <c r="Z40" s="421">
        <f t="shared" si="2"/>
        <v>0.62176464818356814</v>
      </c>
      <c r="AA40" s="429"/>
      <c r="AB40" s="421">
        <f t="shared" si="3"/>
        <v>0.60751255159102069</v>
      </c>
      <c r="AC40" s="430"/>
      <c r="AD40" s="424">
        <f t="shared" si="4"/>
        <v>0.66655040782375341</v>
      </c>
      <c r="AE40" s="431"/>
      <c r="AF40" s="421">
        <f t="shared" si="5"/>
        <v>0.57879544252613668</v>
      </c>
      <c r="AG40" s="421">
        <f t="shared" si="6"/>
        <v>0.50750504680805397</v>
      </c>
      <c r="AH40" s="426">
        <f t="shared" si="7"/>
        <v>0.12688722515883991</v>
      </c>
      <c r="AI40" s="421">
        <f t="shared" si="8"/>
        <v>0.56703914157140956</v>
      </c>
      <c r="AJ40" s="325"/>
      <c r="AK40" s="439">
        <v>3.98</v>
      </c>
      <c r="AL40" s="440">
        <v>0.86799999999999999</v>
      </c>
      <c r="AM40" s="325"/>
      <c r="AN40" s="325"/>
      <c r="AO40" s="325"/>
      <c r="AP40" s="325"/>
      <c r="AQ40" s="325"/>
      <c r="AR40" s="325"/>
      <c r="AS40" s="325"/>
      <c r="AT40" s="325"/>
      <c r="AU40" s="325"/>
      <c r="AV40" s="325"/>
      <c r="AW40" s="325"/>
      <c r="AX40" s="325"/>
      <c r="AY40" s="325"/>
      <c r="AZ40" s="325"/>
      <c r="BA40" s="325"/>
      <c r="BB40" s="325"/>
      <c r="BC40" s="325"/>
      <c r="BD40" s="325"/>
      <c r="BE40" s="325"/>
      <c r="BF40" s="325"/>
      <c r="BG40" s="325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</row>
    <row r="41" spans="1:69" ht="14.25" customHeight="1" x14ac:dyDescent="0.2">
      <c r="A41" s="3"/>
      <c r="B41" s="376"/>
      <c r="C41" s="377" t="s">
        <v>491</v>
      </c>
      <c r="D41" s="289"/>
      <c r="E41" s="289"/>
      <c r="F41" s="289"/>
      <c r="G41" s="376"/>
      <c r="H41" s="289"/>
      <c r="I41" s="289"/>
      <c r="J41" s="289"/>
      <c r="K41" s="289"/>
      <c r="L41" s="376"/>
      <c r="M41" s="289"/>
      <c r="N41" s="289"/>
      <c r="O41" s="289"/>
      <c r="P41" s="378"/>
      <c r="Q41" s="3"/>
      <c r="R41" s="3"/>
      <c r="S41" s="376"/>
      <c r="T41" s="418">
        <f t="shared" si="12"/>
        <v>15</v>
      </c>
      <c r="U41" s="376"/>
      <c r="V41" s="370">
        <f t="shared" si="9"/>
        <v>0.68738915024400482</v>
      </c>
      <c r="W41" s="289"/>
      <c r="X41" s="370">
        <f t="shared" si="10"/>
        <v>0.63213221695969846</v>
      </c>
      <c r="Y41" s="429"/>
      <c r="Z41" s="421">
        <f t="shared" si="2"/>
        <v>0.6045084592619836</v>
      </c>
      <c r="AA41" s="429"/>
      <c r="AB41" s="421">
        <f t="shared" si="3"/>
        <v>0.58983634091041282</v>
      </c>
      <c r="AC41" s="430"/>
      <c r="AD41" s="424">
        <f t="shared" si="4"/>
        <v>0.651198661697175</v>
      </c>
      <c r="AE41" s="431"/>
      <c r="AF41" s="421">
        <f t="shared" si="5"/>
        <v>0.56256431557505204</v>
      </c>
      <c r="AG41" s="421">
        <f t="shared" si="6"/>
        <v>0.56177247443854561</v>
      </c>
      <c r="AH41" s="426">
        <f t="shared" si="7"/>
        <v>0.11517360148524405</v>
      </c>
      <c r="AI41" s="421">
        <f t="shared" si="8"/>
        <v>0.55153912319070297</v>
      </c>
      <c r="AJ41" s="325"/>
      <c r="AK41" s="439">
        <v>4.57</v>
      </c>
      <c r="AL41" s="440">
        <v>0.85599999999999998</v>
      </c>
      <c r="AM41" s="325"/>
      <c r="AN41" s="325"/>
      <c r="AO41" s="325"/>
      <c r="AP41" s="325"/>
      <c r="AQ41" s="325"/>
      <c r="AR41" s="325"/>
      <c r="AS41" s="325"/>
      <c r="AT41" s="325"/>
      <c r="AU41" s="325"/>
      <c r="AV41" s="325"/>
      <c r="AW41" s="325"/>
      <c r="AX41" s="325"/>
      <c r="AY41" s="325"/>
      <c r="AZ41" s="325"/>
      <c r="BA41" s="325"/>
      <c r="BB41" s="325"/>
      <c r="BC41" s="325"/>
      <c r="BD41" s="325"/>
      <c r="BE41" s="325"/>
      <c r="BF41" s="325"/>
      <c r="BG41" s="325"/>
      <c r="BH41" s="325"/>
      <c r="BI41" s="325"/>
      <c r="BJ41" s="325"/>
      <c r="BK41" s="325"/>
      <c r="BL41" s="325"/>
      <c r="BM41" s="325"/>
      <c r="BN41" s="325"/>
      <c r="BO41" s="325"/>
      <c r="BP41" s="325"/>
      <c r="BQ41" s="325"/>
    </row>
    <row r="42" spans="1:69" ht="14.25" customHeight="1" x14ac:dyDescent="0.2">
      <c r="A42" s="3"/>
      <c r="B42" s="376"/>
      <c r="C42" s="289"/>
      <c r="D42" s="379" t="s">
        <v>497</v>
      </c>
      <c r="E42" s="379" t="s">
        <v>501</v>
      </c>
      <c r="F42" s="289"/>
      <c r="G42" s="376"/>
      <c r="H42" s="289"/>
      <c r="I42" s="289"/>
      <c r="J42" s="289"/>
      <c r="K42" s="289"/>
      <c r="L42" s="376"/>
      <c r="M42" s="289" t="s">
        <v>504</v>
      </c>
      <c r="N42" s="289"/>
      <c r="O42" s="289"/>
      <c r="P42" s="378"/>
      <c r="Q42" s="3"/>
      <c r="R42" s="3"/>
      <c r="S42" s="376"/>
      <c r="T42" s="418">
        <f t="shared" si="12"/>
        <v>16</v>
      </c>
      <c r="U42" s="376"/>
      <c r="V42" s="370">
        <f t="shared" si="9"/>
        <v>0.67042394586482035</v>
      </c>
      <c r="W42" s="289"/>
      <c r="X42" s="370">
        <f t="shared" si="10"/>
        <v>0.61754238663628402</v>
      </c>
      <c r="Y42" s="429"/>
      <c r="Z42" s="421">
        <f t="shared" si="2"/>
        <v>0.58817798622468753</v>
      </c>
      <c r="AA42" s="429"/>
      <c r="AB42" s="421">
        <f t="shared" si="3"/>
        <v>0.5730876414915933</v>
      </c>
      <c r="AC42" s="430"/>
      <c r="AD42" s="424">
        <f t="shared" si="4"/>
        <v>0.6363520626854573</v>
      </c>
      <c r="AE42" s="431"/>
      <c r="AF42" s="421">
        <f t="shared" si="5"/>
        <v>0.54740613327235088</v>
      </c>
      <c r="AG42" s="421">
        <f t="shared" si="6"/>
        <v>0.61253626277970019</v>
      </c>
      <c r="AH42" s="426">
        <f t="shared" si="7"/>
        <v>0.1051971107826471</v>
      </c>
      <c r="AI42" s="421">
        <f t="shared" si="8"/>
        <v>0.53730698763996809</v>
      </c>
      <c r="AJ42" s="325"/>
      <c r="AK42" s="439">
        <v>4.88</v>
      </c>
      <c r="AL42" s="440">
        <v>0.84699999999999998</v>
      </c>
      <c r="AM42" s="325"/>
      <c r="AN42" s="325"/>
      <c r="AO42" s="325"/>
      <c r="AP42" s="325"/>
      <c r="AQ42" s="325"/>
      <c r="AR42" s="325"/>
      <c r="AS42" s="325"/>
      <c r="AT42" s="325"/>
      <c r="AU42" s="325"/>
      <c r="AV42" s="325"/>
      <c r="AW42" s="325"/>
      <c r="AX42" s="325"/>
      <c r="AY42" s="325"/>
      <c r="AZ42" s="325"/>
      <c r="BA42" s="325"/>
      <c r="BB42" s="325"/>
      <c r="BC42" s="325"/>
      <c r="BD42" s="325"/>
      <c r="BE42" s="325"/>
      <c r="BF42" s="325"/>
      <c r="BG42" s="325"/>
      <c r="BH42" s="325"/>
      <c r="BI42" s="325"/>
      <c r="BJ42" s="325"/>
      <c r="BK42" s="325"/>
      <c r="BL42" s="325"/>
      <c r="BM42" s="325"/>
      <c r="BN42" s="325"/>
      <c r="BO42" s="325"/>
      <c r="BP42" s="325"/>
      <c r="BQ42" s="325"/>
    </row>
    <row r="43" spans="1:69" ht="14.25" customHeight="1" x14ac:dyDescent="0.2">
      <c r="A43" s="3"/>
      <c r="B43" s="376"/>
      <c r="C43" s="289" t="s">
        <v>497</v>
      </c>
      <c r="D43" s="367">
        <v>0.12804715999999999</v>
      </c>
      <c r="E43" s="367">
        <v>0</v>
      </c>
      <c r="F43" s="289"/>
      <c r="G43" s="376"/>
      <c r="H43" s="289"/>
      <c r="I43" s="289"/>
      <c r="J43" s="289"/>
      <c r="K43" s="289"/>
      <c r="L43" s="376"/>
      <c r="M43" s="382" t="s">
        <v>488</v>
      </c>
      <c r="N43" s="369" cm="1">
        <f t="array" aca="1" ref="N43:N44" ca="1">D38:D39+MMULT(D43:E44,N39:N40)</f>
        <v>2.9829077824445829</v>
      </c>
      <c r="O43" s="289"/>
      <c r="P43" s="378"/>
      <c r="Q43" s="3"/>
      <c r="R43" s="3"/>
      <c r="S43" s="376"/>
      <c r="T43" s="418">
        <f t="shared" si="12"/>
        <v>17</v>
      </c>
      <c r="U43" s="376"/>
      <c r="V43" s="370">
        <f t="shared" si="9"/>
        <v>0.65387745359292671</v>
      </c>
      <c r="W43" s="289"/>
      <c r="X43" s="370">
        <f t="shared" si="10"/>
        <v>0.60349102619102335</v>
      </c>
      <c r="Y43" s="429"/>
      <c r="Z43" s="421">
        <f t="shared" si="2"/>
        <v>0.57269690490632985</v>
      </c>
      <c r="AA43" s="429"/>
      <c r="AB43" s="421">
        <f t="shared" si="3"/>
        <v>0.55719975708416936</v>
      </c>
      <c r="AC43" s="430"/>
      <c r="AD43" s="424">
        <f t="shared" si="4"/>
        <v>0.62197914038817381</v>
      </c>
      <c r="AE43" s="431"/>
      <c r="AF43" s="421">
        <f t="shared" si="5"/>
        <v>0.53323429028216107</v>
      </c>
      <c r="AG43" s="421">
        <f t="shared" si="6"/>
        <v>0.66022151208363045</v>
      </c>
      <c r="AH43" s="426">
        <f t="shared" si="7"/>
        <v>9.6614204253257785E-2</v>
      </c>
      <c r="AI43" s="421">
        <f t="shared" si="8"/>
        <v>0.52418057189198752</v>
      </c>
      <c r="AJ43" s="325"/>
      <c r="AK43" s="439">
        <v>5.2</v>
      </c>
      <c r="AL43" s="440">
        <v>0.83699999999999997</v>
      </c>
      <c r="AM43" s="325"/>
      <c r="AN43" s="325"/>
      <c r="AO43" s="325"/>
      <c r="AP43" s="325"/>
      <c r="AQ43" s="325"/>
      <c r="AR43" s="325"/>
      <c r="AS43" s="325"/>
      <c r="AT43" s="325"/>
      <c r="AU43" s="325"/>
      <c r="AV43" s="325"/>
      <c r="AW43" s="325"/>
      <c r="AX43" s="325"/>
      <c r="AY43" s="325"/>
      <c r="AZ43" s="325"/>
      <c r="BA43" s="325"/>
      <c r="BB43" s="325"/>
      <c r="BC43" s="325"/>
      <c r="BD43" s="325"/>
      <c r="BE43" s="325"/>
      <c r="BF43" s="325"/>
      <c r="BG43" s="325"/>
      <c r="BH43" s="325"/>
      <c r="BI43" s="325"/>
      <c r="BJ43" s="325"/>
      <c r="BK43" s="325"/>
      <c r="BL43" s="325"/>
      <c r="BM43" s="325"/>
      <c r="BN43" s="325"/>
      <c r="BO43" s="325"/>
      <c r="BP43" s="325"/>
      <c r="BQ43" s="325"/>
    </row>
    <row r="44" spans="1:69" ht="14.25" customHeight="1" x14ac:dyDescent="0.2">
      <c r="A44" s="3"/>
      <c r="B44" s="376"/>
      <c r="C44" s="289" t="s">
        <v>499</v>
      </c>
      <c r="D44" s="367">
        <v>1.8488560000000001E-2</v>
      </c>
      <c r="E44" s="367">
        <v>7.0668990000000001E-2</v>
      </c>
      <c r="F44" s="289"/>
      <c r="G44" s="376"/>
      <c r="H44" s="289"/>
      <c r="I44" s="289"/>
      <c r="J44" s="289"/>
      <c r="K44" s="289"/>
      <c r="L44" s="376"/>
      <c r="M44" s="382" t="s">
        <v>501</v>
      </c>
      <c r="N44" s="369">
        <f ca="1"/>
        <v>0.42554621752174948</v>
      </c>
      <c r="O44" s="289"/>
      <c r="P44" s="378"/>
      <c r="Q44" s="3"/>
      <c r="R44" s="3"/>
      <c r="S44" s="376"/>
      <c r="T44" s="418">
        <f t="shared" si="12"/>
        <v>18</v>
      </c>
      <c r="U44" s="376"/>
      <c r="V44" s="370">
        <f t="shared" si="9"/>
        <v>0.63773933934540483</v>
      </c>
      <c r="W44" s="289"/>
      <c r="X44" s="370">
        <f t="shared" si="10"/>
        <v>0.58994239543567661</v>
      </c>
      <c r="Y44" s="429"/>
      <c r="Z44" s="421">
        <f t="shared" si="2"/>
        <v>0.55799724961987995</v>
      </c>
      <c r="AA44" s="429"/>
      <c r="AB44" s="421">
        <f t="shared" si="3"/>
        <v>0.54211170852347923</v>
      </c>
      <c r="AC44" s="430"/>
      <c r="AD44" s="424">
        <f t="shared" si="4"/>
        <v>0.60805208989145809</v>
      </c>
      <c r="AE44" s="431"/>
      <c r="AF44" s="421">
        <f t="shared" si="5"/>
        <v>0.5199705135020114</v>
      </c>
      <c r="AG44" s="421">
        <f t="shared" si="6"/>
        <v>0.70518036101514248</v>
      </c>
      <c r="AH44" s="426">
        <f t="shared" si="7"/>
        <v>8.9164401181029446E-2</v>
      </c>
      <c r="AI44" s="421">
        <f t="shared" si="8"/>
        <v>0.5120248053349612</v>
      </c>
      <c r="AJ44" s="325"/>
      <c r="AK44" s="439">
        <v>5.56</v>
      </c>
      <c r="AL44" s="440">
        <v>0.82299999999999995</v>
      </c>
      <c r="AM44" s="325"/>
      <c r="AN44" s="325"/>
      <c r="AO44" s="325"/>
      <c r="AP44" s="325"/>
      <c r="AQ44" s="325"/>
      <c r="AR44" s="325"/>
      <c r="AS44" s="325"/>
      <c r="AT44" s="325"/>
      <c r="AU44" s="325"/>
      <c r="AV44" s="325"/>
      <c r="AW44" s="325"/>
      <c r="AX44" s="325"/>
      <c r="AY44" s="325"/>
      <c r="AZ44" s="325"/>
      <c r="BA44" s="325"/>
      <c r="BB44" s="325"/>
      <c r="BC44" s="325"/>
      <c r="BD44" s="325"/>
      <c r="BE44" s="325"/>
      <c r="BF44" s="325"/>
      <c r="BG44" s="325"/>
      <c r="BH44" s="325"/>
      <c r="BI44" s="325"/>
      <c r="BJ44" s="325"/>
      <c r="BK44" s="325"/>
      <c r="BL44" s="325"/>
      <c r="BM44" s="325"/>
      <c r="BN44" s="325"/>
      <c r="BO44" s="325"/>
      <c r="BP44" s="325"/>
      <c r="BQ44" s="325"/>
    </row>
    <row r="45" spans="1:69" ht="14.25" customHeight="1" x14ac:dyDescent="0.2">
      <c r="A45" s="3"/>
      <c r="B45" s="376"/>
      <c r="C45" s="289"/>
      <c r="D45" s="289"/>
      <c r="E45" s="289"/>
      <c r="F45" s="289"/>
      <c r="G45" s="376"/>
      <c r="H45" s="289"/>
      <c r="I45" s="289"/>
      <c r="J45" s="289"/>
      <c r="K45" s="289"/>
      <c r="L45" s="376"/>
      <c r="M45" s="289"/>
      <c r="N45" s="289"/>
      <c r="O45" s="289"/>
      <c r="P45" s="378"/>
      <c r="Q45" s="3"/>
      <c r="R45" s="3"/>
      <c r="S45" s="376"/>
      <c r="T45" s="418">
        <f t="shared" si="12"/>
        <v>19</v>
      </c>
      <c r="U45" s="376"/>
      <c r="V45" s="370">
        <f t="shared" si="9"/>
        <v>0.62199952409111947</v>
      </c>
      <c r="W45" s="289"/>
      <c r="X45" s="370">
        <f t="shared" si="10"/>
        <v>0.57686472273521561</v>
      </c>
      <c r="Y45" s="429"/>
      <c r="Z45" s="421">
        <f t="shared" si="2"/>
        <v>0.54401831926733335</v>
      </c>
      <c r="AA45" s="429"/>
      <c r="AB45" s="421">
        <f t="shared" si="3"/>
        <v>0.5277677262059296</v>
      </c>
      <c r="AC45" s="430"/>
      <c r="AD45" s="424">
        <f t="shared" si="4"/>
        <v>0.59454614059937905</v>
      </c>
      <c r="AE45" s="431"/>
      <c r="AF45" s="421">
        <f t="shared" si="5"/>
        <v>0.5075439394612089</v>
      </c>
      <c r="AG45" s="421">
        <f t="shared" si="6"/>
        <v>0.74770778383767822</v>
      </c>
      <c r="AH45" s="426">
        <f t="shared" si="7"/>
        <v>8.2646927600075512E-2</v>
      </c>
      <c r="AI45" s="421">
        <f t="shared" si="8"/>
        <v>0.50072629028080695</v>
      </c>
      <c r="AJ45" s="325"/>
      <c r="AK45" s="439">
        <v>5.88</v>
      </c>
      <c r="AL45" s="440">
        <v>0.81</v>
      </c>
      <c r="AM45" s="325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325"/>
      <c r="BO45" s="325"/>
      <c r="BP45" s="325"/>
      <c r="BQ45" s="325"/>
    </row>
    <row r="46" spans="1:69" ht="14.25" customHeight="1" x14ac:dyDescent="0.2">
      <c r="A46" s="3"/>
      <c r="B46" s="376"/>
      <c r="C46" s="377" t="s">
        <v>492</v>
      </c>
      <c r="D46" s="289"/>
      <c r="E46" s="289"/>
      <c r="F46" s="289"/>
      <c r="G46" s="376"/>
      <c r="H46" s="289"/>
      <c r="I46" s="289"/>
      <c r="J46" s="289"/>
      <c r="K46" s="289"/>
      <c r="L46" s="376"/>
      <c r="M46" s="390" t="s">
        <v>183</v>
      </c>
      <c r="N46" s="392">
        <f ca="1">N43</f>
        <v>2.9829077824445829</v>
      </c>
      <c r="O46" s="289"/>
      <c r="P46" s="378"/>
      <c r="Q46" s="3"/>
      <c r="R46" s="3"/>
      <c r="S46" s="376"/>
      <c r="T46" s="418">
        <f t="shared" si="12"/>
        <v>20</v>
      </c>
      <c r="U46" s="376"/>
      <c r="V46" s="370">
        <f t="shared" si="9"/>
        <v>0.60664817755587741</v>
      </c>
      <c r="W46" s="289"/>
      <c r="X46" s="370">
        <f t="shared" si="10"/>
        <v>0.56422957427321274</v>
      </c>
      <c r="Y46" s="429"/>
      <c r="Z46" s="421">
        <f t="shared" si="2"/>
        <v>0.530705737623139</v>
      </c>
      <c r="AA46" s="429"/>
      <c r="AB46" s="421">
        <f t="shared" si="3"/>
        <v>0.51411677398521061</v>
      </c>
      <c r="AC46" s="430"/>
      <c r="AD46" s="424">
        <f t="shared" si="4"/>
        <v>0.58143906313246374</v>
      </c>
      <c r="AE46" s="431"/>
      <c r="AF46" s="421">
        <f t="shared" si="5"/>
        <v>0.49589030607421852</v>
      </c>
      <c r="AG46" s="421">
        <f t="shared" si="6"/>
        <v>0.78805333086469753</v>
      </c>
      <c r="AH46" s="426">
        <f t="shared" si="7"/>
        <v>7.6904754931015895E-2</v>
      </c>
      <c r="AI46" s="421">
        <f t="shared" si="8"/>
        <v>0.49018911279253008</v>
      </c>
      <c r="AJ46" s="325"/>
      <c r="AK46" s="439">
        <v>5.92</v>
      </c>
      <c r="AL46" s="440">
        <v>0.80300000000000005</v>
      </c>
      <c r="AM46" s="325"/>
      <c r="AN46" s="325"/>
      <c r="AO46" s="325"/>
      <c r="AP46" s="325"/>
      <c r="AQ46" s="325"/>
      <c r="AR46" s="325"/>
      <c r="AS46" s="325"/>
      <c r="AT46" s="325"/>
      <c r="AU46" s="325"/>
      <c r="AV46" s="325"/>
      <c r="AW46" s="325"/>
      <c r="AX46" s="325"/>
      <c r="AY46" s="325"/>
      <c r="AZ46" s="325"/>
      <c r="BA46" s="325"/>
      <c r="BB46" s="325"/>
      <c r="BC46" s="325"/>
      <c r="BD46" s="325"/>
      <c r="BE46" s="325"/>
      <c r="BF46" s="325"/>
      <c r="BG46" s="325"/>
      <c r="BH46" s="325"/>
      <c r="BI46" s="325"/>
      <c r="BJ46" s="325"/>
      <c r="BK46" s="325"/>
      <c r="BL46" s="325"/>
      <c r="BM46" s="325"/>
      <c r="BN46" s="325"/>
      <c r="BO46" s="325"/>
      <c r="BP46" s="325"/>
      <c r="BQ46" s="325"/>
    </row>
    <row r="47" spans="1:69" ht="14.25" customHeight="1" x14ac:dyDescent="0.2">
      <c r="A47" s="3"/>
      <c r="B47" s="383"/>
      <c r="C47" s="393" t="s">
        <v>493</v>
      </c>
      <c r="D47" s="385">
        <v>-501.00209999999998</v>
      </c>
      <c r="E47" s="386"/>
      <c r="F47" s="386"/>
      <c r="G47" s="383"/>
      <c r="H47" s="386"/>
      <c r="I47" s="386"/>
      <c r="J47" s="386"/>
      <c r="K47" s="386"/>
      <c r="L47" s="383"/>
      <c r="M47" s="391" t="s">
        <v>185</v>
      </c>
      <c r="N47" s="371">
        <f ca="1">EXP(N44)</f>
        <v>1.5304261369726395</v>
      </c>
      <c r="O47" s="386"/>
      <c r="P47" s="387"/>
      <c r="Q47" s="3"/>
      <c r="R47" s="3"/>
      <c r="S47" s="376"/>
      <c r="T47" s="418">
        <f t="shared" si="12"/>
        <v>21</v>
      </c>
      <c r="U47" s="376"/>
      <c r="V47" s="370">
        <f t="shared" si="9"/>
        <v>0.59167571208294711</v>
      </c>
      <c r="W47" s="289"/>
      <c r="X47" s="370">
        <f t="shared" si="10"/>
        <v>0.55201135127687884</v>
      </c>
      <c r="Y47" s="429"/>
      <c r="Z47" s="421">
        <f t="shared" si="2"/>
        <v>0.51801064843129452</v>
      </c>
      <c r="AA47" s="429"/>
      <c r="AB47" s="421">
        <f t="shared" si="3"/>
        <v>0.50111210925598315</v>
      </c>
      <c r="AC47" s="430"/>
      <c r="AD47" s="424">
        <f t="shared" si="4"/>
        <v>0.56871077854879037</v>
      </c>
      <c r="AE47" s="431"/>
      <c r="AF47" s="421">
        <f t="shared" si="5"/>
        <v>0.48495124317624194</v>
      </c>
      <c r="AG47" s="421">
        <f t="shared" si="6"/>
        <v>0.82643000146964862</v>
      </c>
      <c r="AH47" s="426">
        <f t="shared" si="7"/>
        <v>7.1813456451795474E-2</v>
      </c>
      <c r="AI47" s="421">
        <f t="shared" si="8"/>
        <v>0.48033157918369657</v>
      </c>
      <c r="AJ47" s="325"/>
      <c r="AK47" s="439">
        <v>6.24</v>
      </c>
      <c r="AL47" s="440">
        <v>0.79200000000000004</v>
      </c>
      <c r="AM47" s="325"/>
      <c r="AN47" s="325"/>
      <c r="AO47" s="325"/>
      <c r="AP47" s="325"/>
      <c r="AQ47" s="325"/>
      <c r="AR47" s="325"/>
      <c r="AS47" s="325"/>
      <c r="AT47" s="325"/>
      <c r="AU47" s="325"/>
      <c r="AV47" s="325"/>
      <c r="AW47" s="325"/>
      <c r="AX47" s="325"/>
      <c r="AY47" s="325"/>
      <c r="AZ47" s="325"/>
      <c r="BA47" s="325"/>
      <c r="BB47" s="325"/>
      <c r="BC47" s="325"/>
      <c r="BD47" s="325"/>
      <c r="BE47" s="325"/>
      <c r="BF47" s="325"/>
      <c r="BG47" s="325"/>
      <c r="BH47" s="325"/>
      <c r="BI47" s="325"/>
      <c r="BJ47" s="325"/>
      <c r="BK47" s="325"/>
      <c r="BL47" s="325"/>
      <c r="BM47" s="325"/>
      <c r="BN47" s="325"/>
      <c r="BO47" s="325"/>
      <c r="BP47" s="325"/>
      <c r="BQ47" s="325"/>
    </row>
    <row r="48" spans="1:69" ht="14.25" customHeight="1" x14ac:dyDescent="0.2">
      <c r="A48" s="3"/>
      <c r="B48" s="289"/>
      <c r="C48" s="3"/>
      <c r="D48" s="3"/>
      <c r="E48" s="3"/>
      <c r="F48" s="3"/>
      <c r="G48" s="289"/>
      <c r="H48" s="3"/>
      <c r="I48" s="3"/>
      <c r="J48" s="3"/>
      <c r="K48" s="3"/>
      <c r="L48" s="289"/>
      <c r="M48" s="3"/>
      <c r="N48" s="3"/>
      <c r="O48" s="3"/>
      <c r="P48" s="3"/>
      <c r="Q48" s="3"/>
      <c r="R48" s="3"/>
      <c r="S48" s="376"/>
      <c r="T48" s="418">
        <f t="shared" si="12"/>
        <v>22</v>
      </c>
      <c r="U48" s="376"/>
      <c r="V48" s="370">
        <f t="shared" si="9"/>
        <v>0.57707277664510448</v>
      </c>
      <c r="W48" s="289"/>
      <c r="X48" s="370">
        <f t="shared" si="10"/>
        <v>0.54018688421684791</v>
      </c>
      <c r="Y48" s="429"/>
      <c r="Z48" s="421">
        <f t="shared" si="2"/>
        <v>0.50588902633466493</v>
      </c>
      <c r="AA48" s="429"/>
      <c r="AB48" s="421">
        <f t="shared" si="3"/>
        <v>0.48871088048355033</v>
      </c>
      <c r="AC48" s="430"/>
      <c r="AD48" s="424">
        <f t="shared" si="4"/>
        <v>0.55634304467692619</v>
      </c>
      <c r="AE48" s="431"/>
      <c r="AF48" s="421">
        <f t="shared" si="5"/>
        <v>0.47467364856789102</v>
      </c>
      <c r="AG48" s="421">
        <f t="shared" si="6"/>
        <v>0.86302105105820426</v>
      </c>
      <c r="AH48" s="426">
        <f t="shared" si="7"/>
        <v>6.7273276073780558E-2</v>
      </c>
      <c r="AI48" s="421">
        <f t="shared" si="8"/>
        <v>0.47108365288925919</v>
      </c>
      <c r="AJ48" s="325"/>
      <c r="AK48" s="439">
        <v>6.51</v>
      </c>
      <c r="AL48" s="440">
        <v>0.77700000000000002</v>
      </c>
      <c r="AM48" s="325"/>
      <c r="AN48" s="325"/>
      <c r="AO48" s="325"/>
      <c r="AP48" s="325"/>
      <c r="AQ48" s="325"/>
      <c r="AR48" s="325"/>
      <c r="AS48" s="325"/>
      <c r="AT48" s="325"/>
      <c r="AU48" s="325"/>
      <c r="AV48" s="325"/>
      <c r="AW48" s="325"/>
      <c r="AX48" s="325"/>
      <c r="AY48" s="325"/>
      <c r="AZ48" s="325"/>
      <c r="BA48" s="325"/>
      <c r="BB48" s="325"/>
      <c r="BC48" s="325"/>
      <c r="BD48" s="325"/>
      <c r="BE48" s="325"/>
      <c r="BF48" s="325"/>
      <c r="BG48" s="325"/>
      <c r="BH48" s="325"/>
      <c r="BI48" s="325"/>
      <c r="BJ48" s="325"/>
      <c r="BK48" s="325"/>
      <c r="BL48" s="325"/>
      <c r="BM48" s="325"/>
      <c r="BN48" s="325"/>
      <c r="BO48" s="325"/>
      <c r="BP48" s="325"/>
      <c r="BQ48" s="325"/>
    </row>
    <row r="49" spans="1:69" ht="14.25" customHeight="1" x14ac:dyDescent="0.2">
      <c r="A49" s="3"/>
      <c r="B49" s="372"/>
      <c r="C49" s="373" t="s">
        <v>505</v>
      </c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5"/>
      <c r="Q49" s="3"/>
      <c r="R49" s="3"/>
      <c r="S49" s="376"/>
      <c r="T49" s="418">
        <f t="shared" si="12"/>
        <v>23</v>
      </c>
      <c r="U49" s="376"/>
      <c r="V49" s="370">
        <f t="shared" si="9"/>
        <v>0.56283025100446493</v>
      </c>
      <c r="W49" s="289"/>
      <c r="X49" s="370">
        <f t="shared" si="10"/>
        <v>0.52873510159411174</v>
      </c>
      <c r="Y49" s="429"/>
      <c r="Z49" s="421">
        <f t="shared" si="2"/>
        <v>0.49430108640594561</v>
      </c>
      <c r="AA49" s="429"/>
      <c r="AB49" s="421">
        <f t="shared" si="3"/>
        <v>0.47687376141162224</v>
      </c>
      <c r="AC49" s="430"/>
      <c r="AD49" s="424">
        <f t="shared" si="4"/>
        <v>0.54431920143841783</v>
      </c>
      <c r="AE49" s="431"/>
      <c r="AF49" s="421">
        <f t="shared" si="5"/>
        <v>0.46500913823090062</v>
      </c>
      <c r="AG49" s="421">
        <f t="shared" si="6"/>
        <v>0.89798528368645103</v>
      </c>
      <c r="AH49" s="426">
        <f t="shared" si="7"/>
        <v>6.3203385003355428E-2</v>
      </c>
      <c r="AI49" s="421">
        <f t="shared" si="8"/>
        <v>0.46238492496058764</v>
      </c>
      <c r="AJ49" s="325"/>
      <c r="AK49" s="439">
        <v>6.78</v>
      </c>
      <c r="AL49" s="440">
        <v>0.76900000000000002</v>
      </c>
      <c r="AM49" s="325"/>
      <c r="AN49" s="325"/>
      <c r="AO49" s="325"/>
      <c r="AP49" s="325"/>
      <c r="AQ49" s="325"/>
      <c r="AR49" s="325"/>
      <c r="AS49" s="325"/>
      <c r="AT49" s="325"/>
      <c r="AU49" s="325"/>
      <c r="AV49" s="325"/>
      <c r="AW49" s="325"/>
      <c r="AX49" s="325"/>
      <c r="AY49" s="325"/>
      <c r="AZ49" s="325"/>
      <c r="BA49" s="325"/>
      <c r="BB49" s="325"/>
      <c r="BC49" s="325"/>
      <c r="BD49" s="325"/>
      <c r="BE49" s="325"/>
      <c r="BF49" s="325"/>
      <c r="BG49" s="325"/>
      <c r="BH49" s="325"/>
      <c r="BI49" s="325"/>
      <c r="BJ49" s="325"/>
      <c r="BK49" s="325"/>
      <c r="BL49" s="325"/>
      <c r="BM49" s="325"/>
      <c r="BN49" s="325"/>
      <c r="BO49" s="325"/>
      <c r="BP49" s="325"/>
      <c r="BQ49" s="325"/>
    </row>
    <row r="50" spans="1:69" ht="14.25" customHeight="1" x14ac:dyDescent="0.2">
      <c r="A50" s="3"/>
      <c r="B50" s="376"/>
      <c r="C50" s="377" t="s">
        <v>487</v>
      </c>
      <c r="D50" s="289"/>
      <c r="E50" s="289"/>
      <c r="F50" s="289"/>
      <c r="G50" s="388"/>
      <c r="H50" s="377" t="s">
        <v>494</v>
      </c>
      <c r="I50" s="289"/>
      <c r="J50" s="289"/>
      <c r="K50" s="289"/>
      <c r="L50" s="394"/>
      <c r="M50" s="377" t="s">
        <v>495</v>
      </c>
      <c r="N50" s="289"/>
      <c r="O50" s="289"/>
      <c r="P50" s="378"/>
      <c r="Q50" s="3"/>
      <c r="R50" s="3"/>
      <c r="S50" s="376"/>
      <c r="T50" s="418">
        <f t="shared" si="12"/>
        <v>24</v>
      </c>
      <c r="U50" s="376"/>
      <c r="V50" s="370">
        <f t="shared" si="9"/>
        <v>0.54893924001645478</v>
      </c>
      <c r="W50" s="289"/>
      <c r="X50" s="370">
        <f t="shared" si="10"/>
        <v>0.51763675686296018</v>
      </c>
      <c r="Y50" s="429"/>
      <c r="Z50" s="421">
        <f t="shared" si="2"/>
        <v>0.4832107772303067</v>
      </c>
      <c r="AA50" s="429"/>
      <c r="AB50" s="421">
        <f t="shared" si="3"/>
        <v>0.46556462006111671</v>
      </c>
      <c r="AC50" s="430"/>
      <c r="AD50" s="424">
        <f t="shared" si="4"/>
        <v>0.53262396190917716</v>
      </c>
      <c r="AE50" s="431"/>
      <c r="AF50" s="421">
        <f t="shared" si="5"/>
        <v>0.45591356100884833</v>
      </c>
      <c r="AG50" s="421">
        <f t="shared" si="6"/>
        <v>0.93146121744129473</v>
      </c>
      <c r="AH50" s="426">
        <f t="shared" si="7"/>
        <v>5.953765735350721E-2</v>
      </c>
      <c r="AI50" s="421">
        <f t="shared" si="8"/>
        <v>0.45418299425519765</v>
      </c>
      <c r="AJ50" s="325"/>
      <c r="AK50" s="439">
        <v>6.87</v>
      </c>
      <c r="AL50" s="440">
        <v>0.752</v>
      </c>
      <c r="AM50" s="325"/>
      <c r="AN50" s="325"/>
      <c r="AO50" s="325"/>
      <c r="AP50" s="325"/>
      <c r="AQ50" s="325"/>
      <c r="AR50" s="325"/>
      <c r="AS50" s="325"/>
      <c r="AT50" s="325"/>
      <c r="AU50" s="325"/>
      <c r="AV50" s="325"/>
      <c r="AW50" s="325"/>
      <c r="AX50" s="325"/>
      <c r="AY50" s="325"/>
      <c r="AZ50" s="325"/>
      <c r="BA50" s="325"/>
      <c r="BB50" s="325"/>
      <c r="BC50" s="325"/>
      <c r="BD50" s="325"/>
      <c r="BE50" s="325"/>
      <c r="BF50" s="325"/>
      <c r="BG50" s="325"/>
      <c r="BH50" s="325"/>
      <c r="BI50" s="325"/>
      <c r="BJ50" s="325"/>
      <c r="BK50" s="325"/>
      <c r="BL50" s="325"/>
      <c r="BM50" s="325"/>
      <c r="BN50" s="325"/>
      <c r="BO50" s="325"/>
      <c r="BP50" s="325"/>
      <c r="BQ50" s="325"/>
    </row>
    <row r="51" spans="1:69" ht="14.25" customHeight="1" x14ac:dyDescent="0.2">
      <c r="A51" s="3"/>
      <c r="B51" s="376"/>
      <c r="C51" s="289"/>
      <c r="D51" s="379" t="s">
        <v>500</v>
      </c>
      <c r="E51" s="379" t="s">
        <v>503</v>
      </c>
      <c r="F51" s="289"/>
      <c r="G51" s="376"/>
      <c r="H51" s="289"/>
      <c r="I51" s="289"/>
      <c r="J51" s="289"/>
      <c r="K51" s="289"/>
      <c r="L51" s="376"/>
      <c r="M51" s="289"/>
      <c r="N51" s="289"/>
      <c r="O51" s="289"/>
      <c r="P51" s="378"/>
      <c r="Q51" s="3"/>
      <c r="R51" s="3"/>
      <c r="S51" s="376"/>
      <c r="T51" s="418">
        <f t="shared" si="12"/>
        <v>25</v>
      </c>
      <c r="U51" s="376"/>
      <c r="V51" s="370">
        <f t="shared" si="9"/>
        <v>0.5353910680743641</v>
      </c>
      <c r="W51" s="289"/>
      <c r="X51" s="370">
        <f t="shared" si="10"/>
        <v>0.50687420121570159</v>
      </c>
      <c r="Y51" s="429"/>
      <c r="Z51" s="421">
        <f t="shared" si="2"/>
        <v>0.47258534466597224</v>
      </c>
      <c r="AA51" s="429"/>
      <c r="AB51" s="421">
        <f t="shared" si="3"/>
        <v>0.45475022006956251</v>
      </c>
      <c r="AC51" s="430"/>
      <c r="AD51" s="424">
        <f t="shared" si="4"/>
        <v>0.52124323928110416</v>
      </c>
      <c r="AE51" s="431"/>
      <c r="AF51" s="421">
        <f t="shared" si="5"/>
        <v>0.44734656942638878</v>
      </c>
      <c r="AG51" s="421">
        <f t="shared" si="6"/>
        <v>0.96357039894969487</v>
      </c>
      <c r="AH51" s="426">
        <f t="shared" si="7"/>
        <v>5.622151869949666E-2</v>
      </c>
      <c r="AI51" s="421">
        <f t="shared" si="8"/>
        <v>0.44643216465680735</v>
      </c>
      <c r="AJ51" s="325"/>
      <c r="AK51" s="439">
        <v>6.96</v>
      </c>
      <c r="AL51" s="440">
        <v>0.74</v>
      </c>
      <c r="AM51" s="325"/>
      <c r="AN51" s="325"/>
      <c r="AO51" s="325"/>
      <c r="AP51" s="325"/>
      <c r="AQ51" s="325"/>
      <c r="AR51" s="325"/>
      <c r="AS51" s="325"/>
      <c r="AT51" s="325"/>
      <c r="AU51" s="325"/>
      <c r="AV51" s="325"/>
      <c r="AW51" s="325"/>
      <c r="AX51" s="325"/>
      <c r="AY51" s="325"/>
      <c r="AZ51" s="325"/>
      <c r="BA51" s="325"/>
      <c r="BB51" s="325"/>
      <c r="BC51" s="325"/>
      <c r="BD51" s="325"/>
      <c r="BE51" s="325"/>
      <c r="BF51" s="325"/>
      <c r="BG51" s="325"/>
      <c r="BH51" s="325"/>
      <c r="BI51" s="325"/>
      <c r="BJ51" s="325"/>
      <c r="BK51" s="325"/>
      <c r="BL51" s="325"/>
      <c r="BM51" s="325"/>
      <c r="BN51" s="325"/>
      <c r="BO51" s="325"/>
      <c r="BP51" s="325"/>
      <c r="BQ51" s="325"/>
    </row>
    <row r="52" spans="1:69" ht="14.25" customHeight="1" x14ac:dyDescent="0.2">
      <c r="A52" s="3"/>
      <c r="B52" s="376"/>
      <c r="C52" s="289" t="s">
        <v>497</v>
      </c>
      <c r="D52" s="367">
        <v>3.0486935900000001</v>
      </c>
      <c r="E52" s="367">
        <v>0.13205215000000001</v>
      </c>
      <c r="F52" s="289"/>
      <c r="G52" s="376"/>
      <c r="H52" s="390" t="s">
        <v>185</v>
      </c>
      <c r="I52" s="392">
        <f>EXP(D52)</f>
        <v>21.087777136443449</v>
      </c>
      <c r="J52" s="289"/>
      <c r="K52" s="289"/>
      <c r="L52" s="376"/>
      <c r="M52" s="289" t="s">
        <v>496</v>
      </c>
      <c r="N52" s="289"/>
      <c r="O52" s="289"/>
      <c r="P52" s="378"/>
      <c r="Q52" s="3"/>
      <c r="R52" s="3"/>
      <c r="S52" s="376"/>
      <c r="T52" s="418">
        <f t="shared" si="12"/>
        <v>26</v>
      </c>
      <c r="U52" s="376"/>
      <c r="V52" s="370">
        <f t="shared" si="9"/>
        <v>0.52217727369101197</v>
      </c>
      <c r="W52" s="289"/>
      <c r="X52" s="370">
        <f t="shared" si="10"/>
        <v>0.49643119294415772</v>
      </c>
      <c r="Y52" s="429"/>
      <c r="Z52" s="421">
        <f t="shared" si="2"/>
        <v>0.46239495539701969</v>
      </c>
      <c r="AA52" s="429"/>
      <c r="AB52" s="421">
        <f t="shared" si="3"/>
        <v>0.44439995169553209</v>
      </c>
      <c r="AC52" s="430"/>
      <c r="AD52" s="424">
        <f t="shared" si="4"/>
        <v>0.51016400231630399</v>
      </c>
      <c r="AE52" s="431"/>
      <c r="AF52" s="421">
        <f t="shared" si="5"/>
        <v>0.43927123948923658</v>
      </c>
      <c r="AG52" s="421">
        <f t="shared" si="6"/>
        <v>0.99442006742688693</v>
      </c>
      <c r="AH52" s="426">
        <f t="shared" si="7"/>
        <v>5.3209564543192353E-2</v>
      </c>
      <c r="AI52" s="421">
        <f t="shared" si="8"/>
        <v>0.4390923895522027</v>
      </c>
      <c r="AJ52" s="325"/>
      <c r="AK52" s="439">
        <v>7.42</v>
      </c>
      <c r="AL52" s="440">
        <v>0.72499999999999998</v>
      </c>
      <c r="AM52" s="325"/>
      <c r="AN52" s="325"/>
      <c r="AO52" s="325"/>
      <c r="AP52" s="325"/>
      <c r="AQ52" s="325"/>
      <c r="AR52" s="325"/>
      <c r="AS52" s="325"/>
      <c r="AT52" s="325"/>
      <c r="AU52" s="325"/>
      <c r="AV52" s="325"/>
      <c r="AW52" s="325"/>
      <c r="AX52" s="325"/>
      <c r="AY52" s="325"/>
      <c r="AZ52" s="325"/>
      <c r="BA52" s="325"/>
      <c r="BB52" s="325"/>
      <c r="BC52" s="325"/>
      <c r="BD52" s="325"/>
      <c r="BE52" s="325"/>
      <c r="BF52" s="325"/>
      <c r="BG52" s="325"/>
      <c r="BH52" s="325"/>
      <c r="BI52" s="325"/>
      <c r="BJ52" s="325"/>
      <c r="BK52" s="325"/>
      <c r="BL52" s="325"/>
      <c r="BM52" s="325"/>
      <c r="BN52" s="325"/>
      <c r="BO52" s="325"/>
      <c r="BP52" s="325"/>
      <c r="BQ52" s="325"/>
    </row>
    <row r="53" spans="1:69" ht="14.25" customHeight="1" x14ac:dyDescent="0.2">
      <c r="A53" s="3"/>
      <c r="B53" s="376"/>
      <c r="C53" s="289" t="s">
        <v>501</v>
      </c>
      <c r="D53" s="367">
        <v>-6.4362130000000004E-2</v>
      </c>
      <c r="E53" s="367">
        <v>7.8341129999999995E-2</v>
      </c>
      <c r="F53" s="289"/>
      <c r="G53" s="376"/>
      <c r="H53" s="382"/>
      <c r="I53" s="289"/>
      <c r="J53" s="289"/>
      <c r="K53" s="289"/>
      <c r="L53" s="376"/>
      <c r="M53" s="289" t="s">
        <v>497</v>
      </c>
      <c r="N53" s="370">
        <f ca="1">_xlfn.NORM.INV(RAND(),0,1)</f>
        <v>-0.93234791906641756</v>
      </c>
      <c r="O53" s="289"/>
      <c r="P53" s="378"/>
      <c r="Q53" s="3"/>
      <c r="R53" s="3"/>
      <c r="S53" s="376"/>
      <c r="T53" s="418">
        <f t="shared" si="12"/>
        <v>27</v>
      </c>
      <c r="U53" s="376"/>
      <c r="V53" s="370">
        <f t="shared" si="9"/>
        <v>0.50928960421413894</v>
      </c>
      <c r="W53" s="289"/>
      <c r="X53" s="370">
        <f t="shared" si="10"/>
        <v>0.48629273626540231</v>
      </c>
      <c r="Y53" s="429"/>
      <c r="Z53" s="421">
        <f t="shared" si="2"/>
        <v>0.45261237113048647</v>
      </c>
      <c r="AA53" s="429"/>
      <c r="AB53" s="421">
        <f t="shared" si="3"/>
        <v>0.43448558978978646</v>
      </c>
      <c r="AC53" s="430"/>
      <c r="AD53" s="424">
        <f t="shared" si="4"/>
        <v>0.49937415364534588</v>
      </c>
      <c r="AE53" s="431"/>
      <c r="AF53" s="421">
        <f t="shared" si="5"/>
        <v>0.43165373329938755</v>
      </c>
      <c r="AG53" s="421">
        <f t="shared" si="6"/>
        <v>1.024105315676737</v>
      </c>
      <c r="AH53" s="426">
        <f t="shared" si="7"/>
        <v>5.0463739223933879E-2</v>
      </c>
      <c r="AI53" s="421">
        <f t="shared" si="8"/>
        <v>0.43212841063476937</v>
      </c>
      <c r="AJ53" s="325"/>
      <c r="AK53" s="439">
        <v>7.46</v>
      </c>
      <c r="AL53" s="440">
        <v>0.70799999999999996</v>
      </c>
      <c r="AM53" s="325"/>
      <c r="AN53" s="325"/>
      <c r="AO53" s="325"/>
      <c r="AP53" s="325"/>
      <c r="AQ53" s="325"/>
      <c r="AR53" s="325"/>
      <c r="AS53" s="325"/>
      <c r="AT53" s="325"/>
      <c r="AU53" s="325"/>
      <c r="AV53" s="325"/>
      <c r="AW53" s="325"/>
      <c r="AX53" s="325"/>
      <c r="AY53" s="325"/>
      <c r="AZ53" s="325"/>
      <c r="BA53" s="325"/>
      <c r="BB53" s="325"/>
      <c r="BC53" s="325"/>
      <c r="BD53" s="325"/>
      <c r="BE53" s="325"/>
      <c r="BF53" s="325"/>
      <c r="BG53" s="325"/>
      <c r="BH53" s="325"/>
      <c r="BI53" s="325"/>
      <c r="BJ53" s="325"/>
      <c r="BK53" s="325"/>
      <c r="BL53" s="325"/>
      <c r="BM53" s="325"/>
      <c r="BN53" s="325"/>
      <c r="BO53" s="325"/>
      <c r="BP53" s="325"/>
      <c r="BQ53" s="325"/>
    </row>
    <row r="54" spans="1:69" ht="14.25" customHeight="1" x14ac:dyDescent="0.2">
      <c r="A54" s="3"/>
      <c r="B54" s="376"/>
      <c r="C54" s="289"/>
      <c r="D54" s="289"/>
      <c r="E54" s="289"/>
      <c r="F54" s="289"/>
      <c r="G54" s="376"/>
      <c r="H54" s="390" t="s">
        <v>187</v>
      </c>
      <c r="I54" s="371">
        <f>1/(EXP(D53))</f>
        <v>1.0664785327129929</v>
      </c>
      <c r="J54" s="289"/>
      <c r="K54" s="289"/>
      <c r="L54" s="376"/>
      <c r="M54" s="289" t="s">
        <v>501</v>
      </c>
      <c r="N54" s="370">
        <f ca="1">_xlfn.NORM.INV(RAND(),0,1)</f>
        <v>0.78734928087801614</v>
      </c>
      <c r="O54" s="289"/>
      <c r="P54" s="378"/>
      <c r="Q54" s="3"/>
      <c r="R54" s="3"/>
      <c r="S54" s="376"/>
      <c r="T54" s="418">
        <f t="shared" si="12"/>
        <v>28</v>
      </c>
      <c r="U54" s="376"/>
      <c r="V54" s="370">
        <f t="shared" si="9"/>
        <v>0.49672001067222782</v>
      </c>
      <c r="W54" s="289"/>
      <c r="X54" s="370">
        <f t="shared" si="10"/>
        <v>0.47644494410044386</v>
      </c>
      <c r="Y54" s="429"/>
      <c r="Z54" s="421">
        <f t="shared" si="2"/>
        <v>0.44321266577258212</v>
      </c>
      <c r="AA54" s="429"/>
      <c r="AB54" s="421">
        <f t="shared" si="3"/>
        <v>0.42498107612935526</v>
      </c>
      <c r="AC54" s="430"/>
      <c r="AD54" s="424">
        <f t="shared" si="4"/>
        <v>0.4888624265521222</v>
      </c>
      <c r="AE54" s="431"/>
      <c r="AF54" s="421">
        <f t="shared" si="5"/>
        <v>0.42446299916429975</v>
      </c>
      <c r="AG54" s="421">
        <f t="shared" si="6"/>
        <v>1.0527108578958004</v>
      </c>
      <c r="AH54" s="426">
        <f t="shared" si="7"/>
        <v>4.7951928201898683E-2</v>
      </c>
      <c r="AI54" s="421">
        <f t="shared" si="8"/>
        <v>0.42550905057590038</v>
      </c>
      <c r="AJ54" s="325"/>
      <c r="AK54" s="439">
        <v>7.78</v>
      </c>
      <c r="AL54" s="440">
        <v>0.70099999999999996</v>
      </c>
      <c r="AM54" s="325"/>
      <c r="AN54" s="325"/>
      <c r="AO54" s="325"/>
      <c r="AP54" s="325"/>
      <c r="AQ54" s="325"/>
      <c r="AR54" s="325"/>
      <c r="AS54" s="325"/>
      <c r="AT54" s="325"/>
      <c r="AU54" s="325"/>
      <c r="AV54" s="325"/>
      <c r="AW54" s="325"/>
      <c r="AX54" s="325"/>
      <c r="AY54" s="325"/>
      <c r="AZ54" s="325"/>
      <c r="BA54" s="325"/>
      <c r="BB54" s="325"/>
      <c r="BC54" s="325"/>
      <c r="BD54" s="325"/>
      <c r="BE54" s="325"/>
      <c r="BF54" s="325"/>
      <c r="BG54" s="325"/>
      <c r="BH54" s="325"/>
      <c r="BI54" s="325"/>
      <c r="BJ54" s="325"/>
      <c r="BK54" s="325"/>
      <c r="BL54" s="325"/>
      <c r="BM54" s="325"/>
      <c r="BN54" s="325"/>
      <c r="BO54" s="325"/>
      <c r="BP54" s="325"/>
      <c r="BQ54" s="325"/>
    </row>
    <row r="55" spans="1:69" ht="14.25" customHeight="1" x14ac:dyDescent="0.2">
      <c r="A55" s="3"/>
      <c r="B55" s="376"/>
      <c r="C55" s="377" t="s">
        <v>491</v>
      </c>
      <c r="D55" s="289"/>
      <c r="E55" s="289"/>
      <c r="F55" s="289"/>
      <c r="G55" s="376"/>
      <c r="H55" s="289"/>
      <c r="I55" s="289"/>
      <c r="J55" s="289"/>
      <c r="K55" s="289"/>
      <c r="L55" s="376"/>
      <c r="M55" s="289"/>
      <c r="N55" s="289"/>
      <c r="O55" s="289"/>
      <c r="P55" s="378"/>
      <c r="Q55" s="3"/>
      <c r="R55" s="3"/>
      <c r="S55" s="376"/>
      <c r="T55" s="418">
        <f t="shared" si="12"/>
        <v>29</v>
      </c>
      <c r="U55" s="376"/>
      <c r="V55" s="370">
        <f t="shared" si="9"/>
        <v>0.48446064274753231</v>
      </c>
      <c r="W55" s="289"/>
      <c r="X55" s="370">
        <f t="shared" si="10"/>
        <v>0.4668749204900407</v>
      </c>
      <c r="Y55" s="429"/>
      <c r="Z55" s="421">
        <f t="shared" si="2"/>
        <v>0.43417297916658226</v>
      </c>
      <c r="AA55" s="429"/>
      <c r="AB55" s="421">
        <f t="shared" si="3"/>
        <v>0.41586232366922732</v>
      </c>
      <c r="AC55" s="430"/>
      <c r="AD55" s="424">
        <f t="shared" si="4"/>
        <v>0.4786182968478202</v>
      </c>
      <c r="AE55" s="431"/>
      <c r="AF55" s="421">
        <f t="shared" si="5"/>
        <v>0.41767050459852001</v>
      </c>
      <c r="AG55" s="421">
        <f t="shared" si="6"/>
        <v>1.0803124871261001</v>
      </c>
      <c r="AH55" s="426">
        <f t="shared" si="7"/>
        <v>4.5646858947182054E-2</v>
      </c>
      <c r="AI55" s="421">
        <f t="shared" si="8"/>
        <v>0.41920662840388062</v>
      </c>
      <c r="AJ55" s="325"/>
      <c r="AK55" s="439">
        <v>7.91</v>
      </c>
      <c r="AL55" s="440">
        <v>0.68500000000000005</v>
      </c>
      <c r="AM55" s="325"/>
      <c r="AN55" s="325"/>
      <c r="AO55" s="325"/>
      <c r="AP55" s="325"/>
      <c r="AQ55" s="325"/>
      <c r="AR55" s="325"/>
      <c r="AS55" s="325"/>
      <c r="AT55" s="325"/>
      <c r="AU55" s="325"/>
      <c r="AV55" s="325"/>
      <c r="AW55" s="325"/>
      <c r="AX55" s="325"/>
      <c r="AY55" s="325"/>
      <c r="AZ55" s="325"/>
      <c r="BA55" s="325"/>
      <c r="BB55" s="325"/>
      <c r="BC55" s="325"/>
      <c r="BD55" s="325"/>
      <c r="BE55" s="325"/>
      <c r="BF55" s="325"/>
      <c r="BG55" s="325"/>
      <c r="BH55" s="325"/>
      <c r="BI55" s="325"/>
      <c r="BJ55" s="325"/>
      <c r="BK55" s="325"/>
      <c r="BL55" s="325"/>
      <c r="BM55" s="325"/>
      <c r="BN55" s="325"/>
      <c r="BO55" s="325"/>
      <c r="BP55" s="325"/>
      <c r="BQ55" s="325"/>
    </row>
    <row r="56" spans="1:69" ht="14.25" customHeight="1" x14ac:dyDescent="0.2">
      <c r="A56" s="3"/>
      <c r="B56" s="376"/>
      <c r="C56" s="289"/>
      <c r="D56" s="379" t="s">
        <v>497</v>
      </c>
      <c r="E56" s="379" t="s">
        <v>501</v>
      </c>
      <c r="F56" s="289"/>
      <c r="G56" s="376"/>
      <c r="H56" s="289"/>
      <c r="I56" s="289"/>
      <c r="J56" s="289"/>
      <c r="K56" s="289"/>
      <c r="L56" s="376"/>
      <c r="M56" s="289" t="s">
        <v>504</v>
      </c>
      <c r="N56" s="289"/>
      <c r="O56" s="289"/>
      <c r="P56" s="378"/>
      <c r="Q56" s="3"/>
      <c r="R56" s="3"/>
      <c r="S56" s="376"/>
      <c r="T56" s="418">
        <f t="shared" si="12"/>
        <v>30</v>
      </c>
      <c r="U56" s="376"/>
      <c r="V56" s="370">
        <f t="shared" si="9"/>
        <v>0.47250384387317501</v>
      </c>
      <c r="W56" s="289"/>
      <c r="X56" s="370">
        <f t="shared" si="10"/>
        <v>0.45757065923502016</v>
      </c>
      <c r="Y56" s="429"/>
      <c r="Z56" s="421">
        <f t="shared" si="2"/>
        <v>0.42547230201686559</v>
      </c>
      <c r="AA56" s="429"/>
      <c r="AB56" s="421">
        <f t="shared" si="3"/>
        <v>0.40710704045545698</v>
      </c>
      <c r="AC56" s="430"/>
      <c r="AD56" s="424">
        <f t="shared" si="4"/>
        <v>0.46863190715885428</v>
      </c>
      <c r="AE56" s="431"/>
      <c r="AF56" s="421">
        <f t="shared" si="5"/>
        <v>0.41124999823114899</v>
      </c>
      <c r="AG56" s="421">
        <f t="shared" si="6"/>
        <v>1.1069782855262922</v>
      </c>
      <c r="AH56" s="426">
        <f t="shared" si="7"/>
        <v>4.352523480800348E-2</v>
      </c>
      <c r="AI56" s="421">
        <f t="shared" si="8"/>
        <v>0.41319647341291799</v>
      </c>
      <c r="AJ56" s="325"/>
      <c r="AK56" s="439">
        <v>8.09</v>
      </c>
      <c r="AL56" s="440">
        <v>0.67600000000000005</v>
      </c>
      <c r="AM56" s="325"/>
      <c r="AN56" s="325"/>
      <c r="AO56" s="325"/>
      <c r="AP56" s="325"/>
      <c r="AQ56" s="325"/>
      <c r="AR56" s="325"/>
      <c r="AS56" s="325"/>
      <c r="AT56" s="325"/>
      <c r="AU56" s="325"/>
      <c r="AV56" s="325"/>
      <c r="AW56" s="325"/>
      <c r="AX56" s="325"/>
      <c r="AY56" s="325"/>
      <c r="AZ56" s="325"/>
      <c r="BA56" s="325"/>
      <c r="BB56" s="325"/>
      <c r="BC56" s="325"/>
      <c r="BD56" s="325"/>
      <c r="BE56" s="325"/>
      <c r="BF56" s="325"/>
      <c r="BG56" s="325"/>
      <c r="BH56" s="325"/>
      <c r="BI56" s="325"/>
      <c r="BJ56" s="325"/>
      <c r="BK56" s="325"/>
      <c r="BL56" s="325"/>
      <c r="BM56" s="325"/>
      <c r="BN56" s="325"/>
      <c r="BO56" s="325"/>
      <c r="BP56" s="325"/>
      <c r="BQ56" s="325"/>
    </row>
    <row r="57" spans="1:69" ht="14.25" customHeight="1" x14ac:dyDescent="0.2">
      <c r="A57" s="3"/>
      <c r="B57" s="376"/>
      <c r="C57" s="289" t="s">
        <v>497</v>
      </c>
      <c r="D57" s="367">
        <v>0.13205215000000001</v>
      </c>
      <c r="E57" s="367">
        <v>0</v>
      </c>
      <c r="F57" s="289"/>
      <c r="G57" s="376"/>
      <c r="H57" s="289"/>
      <c r="I57" s="289"/>
      <c r="J57" s="289"/>
      <c r="K57" s="289"/>
      <c r="L57" s="376"/>
      <c r="M57" s="382" t="s">
        <v>488</v>
      </c>
      <c r="N57" s="369" cm="1">
        <f t="array" aca="1" ref="N57:N58" ca="1">D52:D53+MMULT(D57:E58,N53:N54)</f>
        <v>2.9255750427392537</v>
      </c>
      <c r="O57" s="289"/>
      <c r="P57" s="378"/>
      <c r="Q57" s="3"/>
      <c r="R57" s="3"/>
      <c r="S57" s="376"/>
      <c r="T57" s="418">
        <f t="shared" si="12"/>
        <v>31</v>
      </c>
      <c r="U57" s="376"/>
      <c r="V57" s="370">
        <f t="shared" si="9"/>
        <v>0.46084214645125154</v>
      </c>
      <c r="W57" s="289"/>
      <c r="X57" s="370">
        <f t="shared" si="10"/>
        <v>0.44852095603830577</v>
      </c>
      <c r="Y57" s="429"/>
      <c r="Z57" s="421">
        <f t="shared" si="2"/>
        <v>0.41709128748998947</v>
      </c>
      <c r="AA57" s="429"/>
      <c r="AB57" s="421">
        <f t="shared" si="3"/>
        <v>0.39869457114283713</v>
      </c>
      <c r="AC57" s="430"/>
      <c r="AD57" s="424">
        <f t="shared" si="4"/>
        <v>0.45889400150313753</v>
      </c>
      <c r="AE57" s="431"/>
      <c r="AF57" s="421">
        <f t="shared" si="5"/>
        <v>0.40517729715889794</v>
      </c>
      <c r="AG57" s="421">
        <f t="shared" si="6"/>
        <v>1.1327696361211117</v>
      </c>
      <c r="AH57" s="426">
        <f t="shared" si="7"/>
        <v>4.1567046592905284E-2</v>
      </c>
      <c r="AI57" s="421">
        <f t="shared" si="8"/>
        <v>0.40745651870780591</v>
      </c>
      <c r="AJ57" s="325"/>
      <c r="AK57" s="439">
        <v>8.41</v>
      </c>
      <c r="AL57" s="440">
        <v>0.66500000000000004</v>
      </c>
      <c r="AM57" s="325"/>
      <c r="AN57" s="325"/>
      <c r="AO57" s="325"/>
      <c r="AP57" s="325"/>
      <c r="AQ57" s="325"/>
      <c r="AR57" s="325"/>
      <c r="AS57" s="325"/>
      <c r="AT57" s="325"/>
      <c r="AU57" s="325"/>
      <c r="AV57" s="325"/>
      <c r="AW57" s="325"/>
      <c r="AX57" s="325"/>
      <c r="AY57" s="325"/>
      <c r="AZ57" s="325"/>
      <c r="BA57" s="325"/>
      <c r="BB57" s="325"/>
      <c r="BC57" s="325"/>
      <c r="BD57" s="325"/>
      <c r="BE57" s="325"/>
      <c r="BF57" s="325"/>
      <c r="BG57" s="325"/>
      <c r="BH57" s="325"/>
      <c r="BI57" s="325"/>
      <c r="BJ57" s="325"/>
      <c r="BK57" s="325"/>
      <c r="BL57" s="325"/>
      <c r="BM57" s="325"/>
      <c r="BN57" s="325"/>
      <c r="BO57" s="325"/>
      <c r="BP57" s="325"/>
      <c r="BQ57" s="325"/>
    </row>
    <row r="58" spans="1:69" ht="14.25" customHeight="1" x14ac:dyDescent="0.2">
      <c r="A58" s="3"/>
      <c r="B58" s="376"/>
      <c r="C58" s="289" t="s">
        <v>499</v>
      </c>
      <c r="D58" s="367">
        <v>1.453748E-2</v>
      </c>
      <c r="E58" s="367">
        <v>7.6980480000000004E-2</v>
      </c>
      <c r="F58" s="289"/>
      <c r="G58" s="376"/>
      <c r="H58" s="289"/>
      <c r="I58" s="289"/>
      <c r="J58" s="289"/>
      <c r="K58" s="289"/>
      <c r="L58" s="376"/>
      <c r="M58" s="382" t="s">
        <v>501</v>
      </c>
      <c r="N58" s="369">
        <f ca="1"/>
        <v>-1.7305593656825158E-2</v>
      </c>
      <c r="O58" s="289"/>
      <c r="P58" s="378"/>
      <c r="Q58" s="3"/>
      <c r="R58" s="3"/>
      <c r="S58" s="376"/>
      <c r="T58" s="418">
        <f t="shared" si="12"/>
        <v>32</v>
      </c>
      <c r="U58" s="376"/>
      <c r="V58" s="370">
        <f t="shared" si="9"/>
        <v>0.44946826718895555</v>
      </c>
      <c r="W58" s="289"/>
      <c r="X58" s="370">
        <f t="shared" si="10"/>
        <v>0.4397153319580917</v>
      </c>
      <c r="Y58" s="429"/>
      <c r="Z58" s="421">
        <f t="shared" si="2"/>
        <v>0.40901208570294523</v>
      </c>
      <c r="AA58" s="429"/>
      <c r="AB58" s="421">
        <f t="shared" si="3"/>
        <v>0.39060575425757632</v>
      </c>
      <c r="AC58" s="430"/>
      <c r="AD58" s="424">
        <f t="shared" si="4"/>
        <v>0.44939586845142609</v>
      </c>
      <c r="AE58" s="431"/>
      <c r="AF58" s="421">
        <f t="shared" si="5"/>
        <v>0.3994300967359305</v>
      </c>
      <c r="AG58" s="421">
        <f t="shared" si="6"/>
        <v>1.1577420738674467</v>
      </c>
      <c r="AH58" s="426">
        <f t="shared" si="7"/>
        <v>3.9755021019507605E-2</v>
      </c>
      <c r="AI58" s="421">
        <f t="shared" si="8"/>
        <v>0.40196695951540062</v>
      </c>
      <c r="AJ58" s="325"/>
      <c r="AK58" s="439">
        <v>9.23</v>
      </c>
      <c r="AL58" s="440">
        <v>0.65500000000000003</v>
      </c>
      <c r="AM58" s="325"/>
      <c r="AN58" s="325"/>
      <c r="AO58" s="325"/>
      <c r="AP58" s="325"/>
      <c r="AQ58" s="325"/>
      <c r="AR58" s="325"/>
      <c r="AS58" s="325"/>
      <c r="AT58" s="325"/>
      <c r="AU58" s="325"/>
      <c r="AV58" s="325"/>
      <c r="AW58" s="325"/>
      <c r="AX58" s="325"/>
      <c r="AY58" s="325"/>
      <c r="AZ58" s="325"/>
      <c r="BA58" s="325"/>
      <c r="BB58" s="325"/>
      <c r="BC58" s="325"/>
      <c r="BD58" s="325"/>
      <c r="BE58" s="325"/>
      <c r="BF58" s="325"/>
      <c r="BG58" s="325"/>
      <c r="BH58" s="325"/>
      <c r="BI58" s="325"/>
      <c r="BJ58" s="325"/>
      <c r="BK58" s="325"/>
      <c r="BL58" s="325"/>
      <c r="BM58" s="325"/>
      <c r="BN58" s="325"/>
      <c r="BO58" s="325"/>
      <c r="BP58" s="325"/>
      <c r="BQ58" s="325"/>
    </row>
    <row r="59" spans="1:69" ht="14.25" customHeight="1" x14ac:dyDescent="0.2">
      <c r="A59" s="3"/>
      <c r="B59" s="376"/>
      <c r="C59" s="289"/>
      <c r="D59" s="289"/>
      <c r="E59" s="289"/>
      <c r="F59" s="289"/>
      <c r="G59" s="376"/>
      <c r="H59" s="289"/>
      <c r="I59" s="289"/>
      <c r="J59" s="289"/>
      <c r="K59" s="289"/>
      <c r="L59" s="376"/>
      <c r="M59" s="289"/>
      <c r="N59" s="289"/>
      <c r="O59" s="289"/>
      <c r="P59" s="378"/>
      <c r="Q59" s="3"/>
      <c r="R59" s="3"/>
      <c r="S59" s="376"/>
      <c r="T59" s="418">
        <f t="shared" si="12"/>
        <v>33</v>
      </c>
      <c r="U59" s="376"/>
      <c r="V59" s="370">
        <f t="shared" si="9"/>
        <v>0.43837510254981088</v>
      </c>
      <c r="W59" s="289"/>
      <c r="X59" s="370">
        <f t="shared" si="10"/>
        <v>0.4311439663961083</v>
      </c>
      <c r="Y59" s="429"/>
      <c r="Z59" s="421">
        <f t="shared" si="2"/>
        <v>0.40121819790568114</v>
      </c>
      <c r="AA59" s="429"/>
      <c r="AB59" s="421">
        <f t="shared" si="3"/>
        <v>0.38282279353356546</v>
      </c>
      <c r="AC59" s="430"/>
      <c r="AD59" s="424">
        <f t="shared" si="4"/>
        <v>0.44012929149816582</v>
      </c>
      <c r="AE59" s="431"/>
      <c r="AF59" s="421">
        <f t="shared" si="5"/>
        <v>0.39398780017960894</v>
      </c>
      <c r="AG59" s="421">
        <f t="shared" si="6"/>
        <v>1.1819460057197986</v>
      </c>
      <c r="AH59" s="426">
        <f t="shared" si="7"/>
        <v>3.8074175518034693E-2</v>
      </c>
      <c r="AI59" s="421">
        <f t="shared" si="8"/>
        <v>0.39670996448378609</v>
      </c>
      <c r="AJ59" s="325"/>
      <c r="AK59" s="439">
        <v>9.4499999999999993</v>
      </c>
      <c r="AL59" s="440">
        <v>0.64200000000000002</v>
      </c>
      <c r="AM59" s="325"/>
      <c r="AN59" s="325"/>
      <c r="AO59" s="325"/>
      <c r="AP59" s="325"/>
      <c r="AQ59" s="325"/>
      <c r="AR59" s="325"/>
      <c r="AS59" s="325"/>
      <c r="AT59" s="325"/>
      <c r="AU59" s="325"/>
      <c r="AV59" s="325"/>
      <c r="AW59" s="325"/>
      <c r="AX59" s="325"/>
      <c r="AY59" s="325"/>
      <c r="AZ59" s="325"/>
      <c r="BA59" s="325"/>
      <c r="BB59" s="325"/>
      <c r="BC59" s="325"/>
      <c r="BD59" s="325"/>
      <c r="BE59" s="325"/>
      <c r="BF59" s="325"/>
      <c r="BG59" s="325"/>
      <c r="BH59" s="325"/>
      <c r="BI59" s="325"/>
      <c r="BJ59" s="325"/>
      <c r="BK59" s="325"/>
      <c r="BL59" s="325"/>
      <c r="BM59" s="325"/>
      <c r="BN59" s="325"/>
      <c r="BO59" s="325"/>
      <c r="BP59" s="325"/>
      <c r="BQ59" s="325"/>
    </row>
    <row r="60" spans="1:69" ht="14.25" customHeight="1" x14ac:dyDescent="0.2">
      <c r="A60" s="3"/>
      <c r="B60" s="376"/>
      <c r="C60" s="377" t="s">
        <v>492</v>
      </c>
      <c r="D60" s="289"/>
      <c r="E60" s="289"/>
      <c r="F60" s="289"/>
      <c r="G60" s="376"/>
      <c r="H60" s="289"/>
      <c r="I60" s="289"/>
      <c r="J60" s="289"/>
      <c r="K60" s="289"/>
      <c r="L60" s="376"/>
      <c r="M60" s="390" t="s">
        <v>185</v>
      </c>
      <c r="N60" s="392">
        <f ca="1">EXP(N57)</f>
        <v>18.644944607809698</v>
      </c>
      <c r="O60" s="289"/>
      <c r="P60" s="378"/>
      <c r="Q60" s="3"/>
      <c r="R60" s="3"/>
      <c r="S60" s="376"/>
      <c r="T60" s="418">
        <f t="shared" si="12"/>
        <v>34</v>
      </c>
      <c r="U60" s="376"/>
      <c r="V60" s="370">
        <f t="shared" si="9"/>
        <v>0.42755572431716998</v>
      </c>
      <c r="W60" s="289"/>
      <c r="X60" s="370">
        <f t="shared" si="10"/>
        <v>0.42279763817057203</v>
      </c>
      <c r="Y60" s="429"/>
      <c r="Z60" s="421">
        <f t="shared" si="2"/>
        <v>0.39369434766083478</v>
      </c>
      <c r="AA60" s="429"/>
      <c r="AB60" s="421">
        <f t="shared" si="3"/>
        <v>0.3753291418260708</v>
      </c>
      <c r="AC60" s="430"/>
      <c r="AD60" s="424">
        <f t="shared" si="4"/>
        <v>0.43108650552276984</v>
      </c>
      <c r="AE60" s="431"/>
      <c r="AF60" s="421">
        <f t="shared" si="5"/>
        <v>0.38883136570522792</v>
      </c>
      <c r="AG60" s="421">
        <f t="shared" si="6"/>
        <v>1.2054273231713768</v>
      </c>
      <c r="AH60" s="426">
        <f t="shared" si="7"/>
        <v>3.6511456372667263E-2</v>
      </c>
      <c r="AI60" s="421">
        <f t="shared" si="8"/>
        <v>0.39166943057778719</v>
      </c>
      <c r="AJ60" s="325"/>
      <c r="AK60" s="439">
        <v>10.1</v>
      </c>
      <c r="AL60" s="440">
        <v>0.64100000000000001</v>
      </c>
      <c r="AM60" s="325"/>
      <c r="AN60" s="325"/>
      <c r="AO60" s="325"/>
      <c r="AP60" s="325"/>
      <c r="AQ60" s="325"/>
      <c r="AR60" s="325"/>
      <c r="AS60" s="325"/>
      <c r="AT60" s="325"/>
      <c r="AU60" s="325"/>
      <c r="AV60" s="325"/>
      <c r="AW60" s="325"/>
      <c r="AX60" s="325"/>
      <c r="AY60" s="325"/>
      <c r="AZ60" s="325"/>
      <c r="BA60" s="325"/>
      <c r="BB60" s="325"/>
      <c r="BC60" s="325"/>
      <c r="BD60" s="325"/>
      <c r="BE60" s="325"/>
      <c r="BF60" s="325"/>
      <c r="BG60" s="325"/>
      <c r="BH60" s="325"/>
      <c r="BI60" s="325"/>
      <c r="BJ60" s="325"/>
      <c r="BK60" s="325"/>
      <c r="BL60" s="325"/>
      <c r="BM60" s="325"/>
      <c r="BN60" s="325"/>
      <c r="BO60" s="325"/>
      <c r="BP60" s="325"/>
      <c r="BQ60" s="325"/>
    </row>
    <row r="61" spans="1:69" ht="14.25" customHeight="1" x14ac:dyDescent="0.2">
      <c r="A61" s="3"/>
      <c r="B61" s="383"/>
      <c r="C61" s="393" t="s">
        <v>493</v>
      </c>
      <c r="D61" s="385">
        <v>-504.65550000000002</v>
      </c>
      <c r="E61" s="386"/>
      <c r="F61" s="386"/>
      <c r="G61" s="383"/>
      <c r="H61" s="386"/>
      <c r="I61" s="386"/>
      <c r="J61" s="386"/>
      <c r="K61" s="386"/>
      <c r="L61" s="383"/>
      <c r="M61" s="391" t="s">
        <v>187</v>
      </c>
      <c r="N61" s="371">
        <f ca="1">1/(EXP(N58))</f>
        <v>1.0174562029829719</v>
      </c>
      <c r="O61" s="386"/>
      <c r="P61" s="387"/>
      <c r="Q61" s="3"/>
      <c r="R61" s="3"/>
      <c r="S61" s="376"/>
      <c r="T61" s="418">
        <f t="shared" si="12"/>
        <v>35</v>
      </c>
      <c r="U61" s="376"/>
      <c r="V61" s="370">
        <f t="shared" si="9"/>
        <v>0.41700337526720871</v>
      </c>
      <c r="W61" s="289"/>
      <c r="X61" s="370">
        <f t="shared" si="10"/>
        <v>0.41466767348134326</v>
      </c>
      <c r="Y61" s="429"/>
      <c r="Z61" s="421">
        <f t="shared" si="2"/>
        <v>0.38642636673614283</v>
      </c>
      <c r="AA61" s="429"/>
      <c r="AB61" s="421">
        <f t="shared" si="3"/>
        <v>0.36810939626735878</v>
      </c>
      <c r="AC61" s="430"/>
      <c r="AD61" s="424">
        <f t="shared" si="4"/>
        <v>0.42226015842468434</v>
      </c>
      <c r="AE61" s="431"/>
      <c r="AF61" s="421">
        <f t="shared" si="5"/>
        <v>0.38394316919085314</v>
      </c>
      <c r="AG61" s="421">
        <f t="shared" si="6"/>
        <v>1.2282279259807978</v>
      </c>
      <c r="AH61" s="426">
        <f t="shared" si="7"/>
        <v>3.5055442677091105E-2</v>
      </c>
      <c r="AI61" s="421">
        <f t="shared" si="8"/>
        <v>0.38683077403729882</v>
      </c>
      <c r="AJ61" s="325"/>
      <c r="AK61" s="439">
        <v>10.1</v>
      </c>
      <c r="AL61" s="440">
        <v>0.621</v>
      </c>
      <c r="AM61" s="325"/>
      <c r="AN61" s="325"/>
      <c r="AO61" s="325"/>
      <c r="AP61" s="325"/>
      <c r="AQ61" s="325"/>
      <c r="AR61" s="325"/>
      <c r="AS61" s="325"/>
      <c r="AT61" s="325"/>
      <c r="AU61" s="325"/>
      <c r="AV61" s="325"/>
      <c r="AW61" s="325"/>
      <c r="AX61" s="325"/>
      <c r="AY61" s="325"/>
      <c r="AZ61" s="325"/>
      <c r="BA61" s="325"/>
      <c r="BB61" s="325"/>
      <c r="BC61" s="325"/>
      <c r="BD61" s="325"/>
      <c r="BE61" s="325"/>
      <c r="BF61" s="325"/>
      <c r="BG61" s="325"/>
      <c r="BH61" s="325"/>
      <c r="BI61" s="325"/>
      <c r="BJ61" s="325"/>
      <c r="BK61" s="325"/>
      <c r="BL61" s="325"/>
      <c r="BM61" s="325"/>
      <c r="BN61" s="325"/>
      <c r="BO61" s="325"/>
      <c r="BP61" s="325"/>
      <c r="BQ61" s="325"/>
    </row>
    <row r="62" spans="1:69" ht="14.25" customHeight="1" x14ac:dyDescent="0.2">
      <c r="A62" s="3"/>
      <c r="B62" s="289"/>
      <c r="C62" s="3"/>
      <c r="D62" s="3"/>
      <c r="E62" s="3"/>
      <c r="F62" s="3"/>
      <c r="G62" s="289"/>
      <c r="H62" s="3"/>
      <c r="I62" s="3"/>
      <c r="J62" s="3"/>
      <c r="K62" s="3"/>
      <c r="L62" s="289"/>
      <c r="M62" s="3"/>
      <c r="N62" s="3"/>
      <c r="O62" s="3"/>
      <c r="P62" s="3"/>
      <c r="Q62" s="3"/>
      <c r="R62" s="3"/>
      <c r="S62" s="376"/>
      <c r="T62" s="418">
        <f t="shared" si="12"/>
        <v>36</v>
      </c>
      <c r="U62" s="376"/>
      <c r="V62" s="370">
        <f t="shared" si="9"/>
        <v>0.40671146494871341</v>
      </c>
      <c r="W62" s="289"/>
      <c r="X62" s="370">
        <f t="shared" si="10"/>
        <v>0.40674589978067127</v>
      </c>
      <c r="Y62" s="429"/>
      <c r="Z62" s="421">
        <f t="shared" si="2"/>
        <v>0.37940109376887998</v>
      </c>
      <c r="AA62" s="429"/>
      <c r="AB62" s="421">
        <f t="shared" si="3"/>
        <v>0.3611492034744555</v>
      </c>
      <c r="AC62" s="430"/>
      <c r="AD62" s="424">
        <f t="shared" si="4"/>
        <v>0.41364327717658533</v>
      </c>
      <c r="AE62" s="431"/>
      <c r="AF62" s="421">
        <f t="shared" si="5"/>
        <v>0.37930688062224527</v>
      </c>
      <c r="AG62" s="421">
        <f t="shared" si="6"/>
        <v>1.250386172102889</v>
      </c>
      <c r="AH62" s="426">
        <f t="shared" si="7"/>
        <v>3.3696102647415661E-2</v>
      </c>
      <c r="AI62" s="421">
        <f t="shared" si="8"/>
        <v>0.38218075131969592</v>
      </c>
      <c r="AJ62" s="325"/>
      <c r="AK62" s="439">
        <v>10.4</v>
      </c>
      <c r="AL62" s="440">
        <v>0.61</v>
      </c>
      <c r="AM62" s="325"/>
      <c r="AN62" s="325"/>
      <c r="AO62" s="325"/>
      <c r="AP62" s="325"/>
      <c r="AQ62" s="325"/>
      <c r="AR62" s="325"/>
      <c r="AS62" s="325"/>
      <c r="AT62" s="325"/>
      <c r="AU62" s="325"/>
      <c r="AV62" s="325"/>
      <c r="AW62" s="325"/>
      <c r="AX62" s="325"/>
      <c r="AY62" s="325"/>
      <c r="AZ62" s="325"/>
      <c r="BA62" s="325"/>
      <c r="BB62" s="325"/>
      <c r="BC62" s="325"/>
      <c r="BD62" s="325"/>
      <c r="BE62" s="325"/>
      <c r="BF62" s="325"/>
      <c r="BG62" s="325"/>
      <c r="BH62" s="325"/>
      <c r="BI62" s="325"/>
      <c r="BJ62" s="325"/>
      <c r="BK62" s="325"/>
      <c r="BL62" s="325"/>
      <c r="BM62" s="325"/>
      <c r="BN62" s="325"/>
      <c r="BO62" s="325"/>
      <c r="BP62" s="325"/>
      <c r="BQ62" s="325"/>
    </row>
    <row r="63" spans="1:69" ht="14.25" customHeight="1" x14ac:dyDescent="0.2">
      <c r="A63" s="3"/>
      <c r="B63" s="372"/>
      <c r="C63" s="373" t="s">
        <v>506</v>
      </c>
      <c r="D63" s="374"/>
      <c r="E63" s="374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5"/>
      <c r="Q63" s="3"/>
      <c r="R63" s="3"/>
      <c r="S63" s="376"/>
      <c r="T63" s="418">
        <f t="shared" si="12"/>
        <v>37</v>
      </c>
      <c r="U63" s="376"/>
      <c r="V63" s="370">
        <f t="shared" si="9"/>
        <v>0.39667356556702671</v>
      </c>
      <c r="W63" s="289"/>
      <c r="X63" s="370">
        <f t="shared" si="10"/>
        <v>0.39902460472837636</v>
      </c>
      <c r="Y63" s="429"/>
      <c r="Z63" s="421">
        <f t="shared" si="2"/>
        <v>0.37260628404902441</v>
      </c>
      <c r="AA63" s="429"/>
      <c r="AB63" s="421">
        <f t="shared" si="3"/>
        <v>0.35443517375033246</v>
      </c>
      <c r="AC63" s="430"/>
      <c r="AD63" s="424">
        <f t="shared" si="4"/>
        <v>0.40522923766901497</v>
      </c>
      <c r="AE63" s="431"/>
      <c r="AF63" s="421">
        <f t="shared" si="5"/>
        <v>0.37490735278325232</v>
      </c>
      <c r="AG63" s="421">
        <f t="shared" si="6"/>
        <v>1.2719372659602364</v>
      </c>
      <c r="AH63" s="426">
        <f t="shared" si="7"/>
        <v>3.242459187473426E-2</v>
      </c>
      <c r="AI63" s="421">
        <f t="shared" si="8"/>
        <v>0.37770730509396888</v>
      </c>
      <c r="AJ63" s="325"/>
      <c r="AK63" s="439">
        <v>10.8</v>
      </c>
      <c r="AL63" s="440">
        <v>0.6</v>
      </c>
      <c r="AM63" s="325"/>
      <c r="AN63" s="325"/>
      <c r="AO63" s="325"/>
      <c r="AP63" s="325"/>
      <c r="AQ63" s="325"/>
      <c r="AR63" s="325"/>
      <c r="AS63" s="325"/>
      <c r="AT63" s="325"/>
      <c r="AU63" s="325"/>
      <c r="AV63" s="325"/>
      <c r="AW63" s="325"/>
      <c r="AX63" s="325"/>
      <c r="AY63" s="325"/>
      <c r="AZ63" s="325"/>
      <c r="BA63" s="325"/>
      <c r="BB63" s="325"/>
      <c r="BC63" s="325"/>
      <c r="BD63" s="325"/>
      <c r="BE63" s="325"/>
      <c r="BF63" s="325"/>
      <c r="BG63" s="325"/>
      <c r="BH63" s="325"/>
      <c r="BI63" s="325"/>
      <c r="BJ63" s="325"/>
      <c r="BK63" s="325"/>
      <c r="BL63" s="325"/>
      <c r="BM63" s="325"/>
      <c r="BN63" s="325"/>
      <c r="BO63" s="325"/>
      <c r="BP63" s="325"/>
      <c r="BQ63" s="325"/>
    </row>
    <row r="64" spans="1:69" ht="14.25" customHeight="1" x14ac:dyDescent="0.2">
      <c r="A64" s="3"/>
      <c r="B64" s="376"/>
      <c r="C64" s="377" t="s">
        <v>487</v>
      </c>
      <c r="D64" s="289"/>
      <c r="E64" s="289"/>
      <c r="F64" s="289"/>
      <c r="G64" s="388"/>
      <c r="H64" s="377" t="s">
        <v>494</v>
      </c>
      <c r="I64" s="289"/>
      <c r="J64" s="289"/>
      <c r="K64" s="289"/>
      <c r="L64" s="394"/>
      <c r="M64" s="377" t="s">
        <v>495</v>
      </c>
      <c r="N64" s="289"/>
      <c r="O64" s="289"/>
      <c r="P64" s="378"/>
      <c r="Q64" s="3"/>
      <c r="R64" s="3"/>
      <c r="S64" s="376"/>
      <c r="T64" s="418">
        <f t="shared" si="12"/>
        <v>38</v>
      </c>
      <c r="U64" s="376"/>
      <c r="V64" s="370">
        <f t="shared" si="9"/>
        <v>0.3868834079695791</v>
      </c>
      <c r="W64" s="289"/>
      <c r="X64" s="370">
        <f t="shared" si="10"/>
        <v>0.39149649954422472</v>
      </c>
      <c r="Y64" s="429"/>
      <c r="Z64" s="421">
        <f t="shared" si="2"/>
        <v>0.36603052900856015</v>
      </c>
      <c r="AA64" s="429"/>
      <c r="AB64" s="421">
        <f t="shared" si="3"/>
        <v>0.34795480333711165</v>
      </c>
      <c r="AC64" s="430"/>
      <c r="AD64" s="424">
        <f t="shared" si="4"/>
        <v>0.39701173782375887</v>
      </c>
      <c r="AE64" s="431"/>
      <c r="AF64" s="421">
        <f t="shared" si="5"/>
        <v>0.37073052084380048</v>
      </c>
      <c r="AG64" s="421">
        <f t="shared" si="6"/>
        <v>1.2929135949254247</v>
      </c>
      <c r="AH64" s="426">
        <f t="shared" si="7"/>
        <v>3.1233085390789173E-2</v>
      </c>
      <c r="AI64" s="421">
        <f t="shared" si="8"/>
        <v>0.373399431262949</v>
      </c>
      <c r="AJ64" s="325"/>
      <c r="AK64" s="439">
        <v>11.4</v>
      </c>
      <c r="AL64" s="440">
        <v>0.58499999999999996</v>
      </c>
      <c r="AM64" s="325"/>
      <c r="AN64" s="325"/>
      <c r="AO64" s="325"/>
      <c r="AP64" s="325"/>
      <c r="AQ64" s="325"/>
      <c r="AR64" s="325"/>
      <c r="AS64" s="325"/>
      <c r="AT64" s="325"/>
      <c r="AU64" s="325"/>
      <c r="AV64" s="325"/>
      <c r="AW64" s="325"/>
      <c r="AX64" s="325"/>
      <c r="AY64" s="325"/>
      <c r="AZ64" s="325"/>
      <c r="BA64" s="325"/>
      <c r="BB64" s="325"/>
      <c r="BC64" s="325"/>
      <c r="BD64" s="325"/>
      <c r="BE64" s="325"/>
      <c r="BF64" s="325"/>
      <c r="BG64" s="325"/>
      <c r="BH64" s="325"/>
      <c r="BI64" s="325"/>
      <c r="BJ64" s="325"/>
      <c r="BK64" s="325"/>
      <c r="BL64" s="325"/>
      <c r="BM64" s="325"/>
      <c r="BN64" s="325"/>
      <c r="BO64" s="325"/>
      <c r="BP64" s="325"/>
      <c r="BQ64" s="325"/>
    </row>
    <row r="65" spans="1:69" ht="14.25" customHeight="1" x14ac:dyDescent="0.2">
      <c r="A65" s="3"/>
      <c r="B65" s="376"/>
      <c r="C65" s="289"/>
      <c r="D65" s="379" t="s">
        <v>500</v>
      </c>
      <c r="E65" s="379" t="s">
        <v>503</v>
      </c>
      <c r="F65" s="289"/>
      <c r="G65" s="376"/>
      <c r="H65" s="289"/>
      <c r="I65" s="289"/>
      <c r="J65" s="289"/>
      <c r="K65" s="289"/>
      <c r="L65" s="376"/>
      <c r="M65" s="289"/>
      <c r="N65" s="289"/>
      <c r="O65" s="289"/>
      <c r="P65" s="378"/>
      <c r="Q65" s="3"/>
      <c r="R65" s="3"/>
      <c r="S65" s="376"/>
      <c r="T65" s="418">
        <f t="shared" si="12"/>
        <v>39</v>
      </c>
      <c r="U65" s="376"/>
      <c r="V65" s="370">
        <f t="shared" si="9"/>
        <v>0.37733487773050067</v>
      </c>
      <c r="W65" s="289"/>
      <c r="X65" s="370">
        <f t="shared" si="10"/>
        <v>0.38415468617929382</v>
      </c>
      <c r="Y65" s="429"/>
      <c r="Z65" s="421">
        <f t="shared" si="2"/>
        <v>0.35966318420651966</v>
      </c>
      <c r="AA65" s="429"/>
      <c r="AB65" s="421">
        <f t="shared" si="3"/>
        <v>0.34169640388442662</v>
      </c>
      <c r="AC65" s="430"/>
      <c r="AD65" s="424">
        <f t="shared" si="4"/>
        <v>0.38898477353768746</v>
      </c>
      <c r="AE65" s="431"/>
      <c r="AF65" s="421">
        <f t="shared" si="5"/>
        <v>0.36676331165980391</v>
      </c>
      <c r="AG65" s="421">
        <f t="shared" si="6"/>
        <v>1.3133450220884813</v>
      </c>
      <c r="AH65" s="426">
        <f t="shared" si="7"/>
        <v>3.0114637161921858E-2</v>
      </c>
      <c r="AI65" s="421">
        <f t="shared" si="8"/>
        <v>0.36924706371448757</v>
      </c>
      <c r="AJ65" s="325"/>
      <c r="AK65" s="439">
        <v>11.6</v>
      </c>
      <c r="AL65" s="440">
        <v>0.57499999999999996</v>
      </c>
      <c r="AM65" s="325"/>
      <c r="AN65" s="395" t="s">
        <v>546</v>
      </c>
      <c r="AO65" s="374"/>
      <c r="AP65" s="374"/>
      <c r="AQ65" s="374"/>
      <c r="AR65" s="374"/>
      <c r="AS65" s="375"/>
      <c r="AT65" s="325"/>
      <c r="AU65" s="325"/>
      <c r="AV65" s="325"/>
      <c r="AW65" s="325"/>
      <c r="AX65" s="325"/>
      <c r="AY65" s="325"/>
      <c r="AZ65" s="325"/>
      <c r="BA65" s="325"/>
      <c r="BB65" s="325"/>
      <c r="BC65" s="325"/>
      <c r="BD65" s="325"/>
      <c r="BE65" s="325"/>
      <c r="BF65" s="325"/>
      <c r="BG65" s="325"/>
      <c r="BH65" s="325"/>
      <c r="BI65" s="325"/>
      <c r="BJ65" s="325"/>
      <c r="BK65" s="325"/>
      <c r="BL65" s="325"/>
      <c r="BM65" s="325"/>
      <c r="BN65" s="325"/>
      <c r="BO65" s="325"/>
      <c r="BP65" s="325"/>
      <c r="BQ65" s="325"/>
    </row>
    <row r="66" spans="1:69" ht="14.25" customHeight="1" x14ac:dyDescent="0.2">
      <c r="A66" s="3"/>
      <c r="B66" s="376"/>
      <c r="C66" s="289" t="s">
        <v>507</v>
      </c>
      <c r="D66" s="367">
        <v>-0.28427980000000003</v>
      </c>
      <c r="E66" s="367">
        <v>0.1116862</v>
      </c>
      <c r="F66" s="289"/>
      <c r="G66" s="376"/>
      <c r="H66" s="390" t="s">
        <v>507</v>
      </c>
      <c r="I66" s="392">
        <f>EXP(D66)</f>
        <v>0.75255605006257198</v>
      </c>
      <c r="J66" s="289"/>
      <c r="K66" s="289"/>
      <c r="L66" s="376"/>
      <c r="M66" s="289" t="s">
        <v>496</v>
      </c>
      <c r="N66" s="289"/>
      <c r="O66" s="289"/>
      <c r="P66" s="378"/>
      <c r="Q66" s="3"/>
      <c r="R66" s="3"/>
      <c r="S66" s="376"/>
      <c r="T66" s="418">
        <f t="shared" si="12"/>
        <v>40</v>
      </c>
      <c r="U66" s="376"/>
      <c r="V66" s="370">
        <f t="shared" si="9"/>
        <v>0.36802201133186729</v>
      </c>
      <c r="W66" s="289"/>
      <c r="X66" s="370">
        <f t="shared" si="10"/>
        <v>0.37699262781745579</v>
      </c>
      <c r="Y66" s="429"/>
      <c r="Z66" s="421">
        <f t="shared" si="2"/>
        <v>0.35349430476967658</v>
      </c>
      <c r="AA66" s="429"/>
      <c r="AB66" s="421">
        <f t="shared" si="3"/>
        <v>0.33564903838898935</v>
      </c>
      <c r="AC66" s="430"/>
      <c r="AD66" s="424">
        <f t="shared" si="4"/>
        <v>0.38114261708770525</v>
      </c>
      <c r="AE66" s="431"/>
      <c r="AF66" s="421">
        <f t="shared" si="5"/>
        <v>0.36299356174039782</v>
      </c>
      <c r="AG66" s="421">
        <f t="shared" si="6"/>
        <v>1.333259141952444</v>
      </c>
      <c r="AH66" s="426">
        <f t="shared" si="7"/>
        <v>2.9063061960889397E-2</v>
      </c>
      <c r="AI66" s="421">
        <f t="shared" si="8"/>
        <v>0.36524097408327921</v>
      </c>
      <c r="AJ66" s="325"/>
      <c r="AK66" s="439">
        <v>12</v>
      </c>
      <c r="AL66" s="440">
        <v>0.56299999999999994</v>
      </c>
      <c r="AM66" s="325"/>
      <c r="AN66" s="528" t="s">
        <v>547</v>
      </c>
      <c r="AO66" s="396" t="s">
        <v>254</v>
      </c>
      <c r="AP66" s="396" t="s">
        <v>551</v>
      </c>
      <c r="AQ66" s="396" t="s">
        <v>548</v>
      </c>
      <c r="AR66" s="396" t="s">
        <v>549</v>
      </c>
      <c r="AS66" s="397" t="s">
        <v>550</v>
      </c>
      <c r="AT66" s="325"/>
      <c r="AU66" s="325"/>
      <c r="AV66" s="325"/>
      <c r="AW66" s="325"/>
      <c r="AX66" s="325"/>
      <c r="AY66" s="325"/>
      <c r="AZ66" s="325"/>
      <c r="BA66" s="325"/>
      <c r="BB66" s="325"/>
      <c r="BC66" s="325"/>
      <c r="BD66" s="325"/>
      <c r="BE66" s="325"/>
      <c r="BF66" s="325"/>
      <c r="BG66" s="325"/>
      <c r="BH66" s="325"/>
      <c r="BI66" s="325"/>
      <c r="BJ66" s="325"/>
      <c r="BK66" s="325"/>
      <c r="BL66" s="325"/>
      <c r="BM66" s="325"/>
      <c r="BN66" s="325"/>
      <c r="BO66" s="325"/>
      <c r="BP66" s="325"/>
      <c r="BQ66" s="325"/>
    </row>
    <row r="67" spans="1:69" ht="14.25" customHeight="1" x14ac:dyDescent="0.2">
      <c r="A67" s="3"/>
      <c r="B67" s="376"/>
      <c r="C67" s="289" t="s">
        <v>508</v>
      </c>
      <c r="D67" s="367">
        <v>-4.0776745999999999</v>
      </c>
      <c r="E67" s="367">
        <v>0.19412260000000001</v>
      </c>
      <c r="F67" s="289"/>
      <c r="G67" s="376"/>
      <c r="H67" s="382"/>
      <c r="I67" s="289"/>
      <c r="J67" s="289"/>
      <c r="K67" s="289"/>
      <c r="L67" s="376"/>
      <c r="M67" s="289" t="s">
        <v>507</v>
      </c>
      <c r="N67" s="370">
        <f ca="1">_xlfn.NORM.INV(RAND(),0,1)</f>
        <v>0.60120957396736041</v>
      </c>
      <c r="O67" s="289"/>
      <c r="P67" s="378"/>
      <c r="Q67" s="3"/>
      <c r="R67" s="3"/>
      <c r="S67" s="376"/>
      <c r="T67" s="418">
        <f t="shared" si="12"/>
        <v>41</v>
      </c>
      <c r="U67" s="376"/>
      <c r="V67" s="370">
        <f t="shared" si="9"/>
        <v>0.35893899243919586</v>
      </c>
      <c r="W67" s="289"/>
      <c r="X67" s="370">
        <f t="shared" si="10"/>
        <v>0.37000412229169821</v>
      </c>
      <c r="Y67" s="429"/>
      <c r="Z67" s="421">
        <f t="shared" si="2"/>
        <v>0.34751458739265395</v>
      </c>
      <c r="AA67" s="429"/>
      <c r="AB67" s="421">
        <f t="shared" si="3"/>
        <v>0.32980246294383142</v>
      </c>
      <c r="AC67" s="430"/>
      <c r="AD67" s="424">
        <f t="shared" si="4"/>
        <v>0.3734797976840567</v>
      </c>
      <c r="AE67" s="431"/>
      <c r="AF67" s="421">
        <f t="shared" si="5"/>
        <v>0.35940994296082684</v>
      </c>
      <c r="AG67" s="421">
        <f t="shared" si="6"/>
        <v>1.3526815045512988</v>
      </c>
      <c r="AH67" s="426">
        <f t="shared" si="7"/>
        <v>2.8072835596038622E-2</v>
      </c>
      <c r="AI67" s="421">
        <f t="shared" si="8"/>
        <v>0.36137268427308467</v>
      </c>
      <c r="AJ67" s="325"/>
      <c r="AK67" s="439">
        <v>12.3</v>
      </c>
      <c r="AL67" s="440">
        <v>0.54300000000000004</v>
      </c>
      <c r="AM67" s="325"/>
      <c r="AN67" s="527" t="s">
        <v>486</v>
      </c>
      <c r="AO67" s="529">
        <v>66864</v>
      </c>
      <c r="AP67" s="527">
        <v>5.37</v>
      </c>
      <c r="AQ67" s="527">
        <v>5.0599999999999996</v>
      </c>
      <c r="AR67" s="527">
        <v>3.26</v>
      </c>
      <c r="AS67" s="527">
        <v>3.06</v>
      </c>
      <c r="AT67" s="325"/>
      <c r="AU67" s="325"/>
      <c r="AV67" s="325"/>
      <c r="AW67" s="325"/>
      <c r="AX67" s="325"/>
      <c r="AY67" s="325"/>
      <c r="AZ67" s="325"/>
      <c r="BA67" s="325"/>
      <c r="BB67" s="325"/>
      <c r="BC67" s="325"/>
      <c r="BD67" s="325"/>
      <c r="BE67" s="325"/>
      <c r="BF67" s="325"/>
      <c r="BG67" s="325"/>
      <c r="BH67" s="325"/>
      <c r="BI67" s="325"/>
      <c r="BJ67" s="325"/>
      <c r="BK67" s="325"/>
      <c r="BL67" s="325"/>
      <c r="BM67" s="325"/>
      <c r="BN67" s="325"/>
      <c r="BO67" s="325"/>
      <c r="BP67" s="325"/>
      <c r="BQ67" s="325"/>
    </row>
    <row r="68" spans="1:69" ht="14.25" customHeight="1" x14ac:dyDescent="0.2">
      <c r="A68" s="3"/>
      <c r="B68" s="376"/>
      <c r="C68" s="289"/>
      <c r="D68" s="289"/>
      <c r="E68" s="289"/>
      <c r="F68" s="289"/>
      <c r="G68" s="376"/>
      <c r="H68" s="390" t="s">
        <v>508</v>
      </c>
      <c r="I68" s="371">
        <f>EXP(D67)</f>
        <v>1.6946828022223501E-2</v>
      </c>
      <c r="J68" s="289"/>
      <c r="K68" s="289"/>
      <c r="L68" s="376"/>
      <c r="M68" s="289" t="s">
        <v>508</v>
      </c>
      <c r="N68" s="370">
        <f ca="1">_xlfn.NORM.INV(RAND(),0,1)</f>
        <v>-0.23588367849826561</v>
      </c>
      <c r="O68" s="289"/>
      <c r="P68" s="378"/>
      <c r="Q68" s="3"/>
      <c r="R68" s="3"/>
      <c r="S68" s="376"/>
      <c r="T68" s="418">
        <f t="shared" si="12"/>
        <v>42</v>
      </c>
      <c r="U68" s="376"/>
      <c r="V68" s="370">
        <f t="shared" si="9"/>
        <v>0.35008014826886252</v>
      </c>
      <c r="W68" s="289"/>
      <c r="X68" s="370">
        <f t="shared" si="10"/>
        <v>0.3631832780609478</v>
      </c>
      <c r="Y68" s="429"/>
      <c r="Z68" s="421">
        <f t="shared" si="2"/>
        <v>0.34171531812306122</v>
      </c>
      <c r="AA68" s="429"/>
      <c r="AB68" s="421">
        <f t="shared" si="3"/>
        <v>0.32414707370870155</v>
      </c>
      <c r="AC68" s="430"/>
      <c r="AD68" s="424">
        <f t="shared" si="4"/>
        <v>0.36599108390596047</v>
      </c>
      <c r="AE68" s="431"/>
      <c r="AF68" s="421">
        <f t="shared" si="5"/>
        <v>0.3560018952065947</v>
      </c>
      <c r="AG68" s="421">
        <f t="shared" si="6"/>
        <v>1.3716358125573951</v>
      </c>
      <c r="AH68" s="426">
        <f t="shared" si="7"/>
        <v>2.7139010277795226E-2</v>
      </c>
      <c r="AI68" s="421">
        <f t="shared" si="8"/>
        <v>0.35763438986827745</v>
      </c>
      <c r="AJ68" s="325"/>
      <c r="AK68" s="439">
        <v>13.6</v>
      </c>
      <c r="AL68" s="440">
        <v>0.54100000000000004</v>
      </c>
      <c r="AM68" s="325"/>
      <c r="AN68" s="527" t="s">
        <v>498</v>
      </c>
      <c r="AO68" s="529">
        <v>62495</v>
      </c>
      <c r="AP68" s="527">
        <v>5.77</v>
      </c>
      <c r="AQ68" s="527">
        <v>5.43</v>
      </c>
      <c r="AR68" s="527">
        <v>3.52</v>
      </c>
      <c r="AS68" s="527">
        <v>3.31</v>
      </c>
      <c r="AT68" s="325"/>
      <c r="AU68" s="325"/>
      <c r="AV68" s="325"/>
      <c r="AW68" s="325"/>
      <c r="AX68" s="325"/>
      <c r="AY68" s="325"/>
      <c r="AZ68" s="325"/>
      <c r="BA68" s="325"/>
      <c r="BB68" s="325"/>
      <c r="BC68" s="325"/>
      <c r="BD68" s="325"/>
      <c r="BE68" s="325"/>
      <c r="BF68" s="325"/>
      <c r="BG68" s="325"/>
      <c r="BH68" s="325"/>
      <c r="BI68" s="325"/>
      <c r="BJ68" s="325"/>
      <c r="BK68" s="325"/>
      <c r="BL68" s="325"/>
      <c r="BM68" s="325"/>
      <c r="BN68" s="325"/>
      <c r="BO68" s="325"/>
      <c r="BP68" s="325"/>
      <c r="BQ68" s="325"/>
    </row>
    <row r="69" spans="1:69" ht="14.25" customHeight="1" x14ac:dyDescent="0.2">
      <c r="A69" s="3"/>
      <c r="B69" s="376"/>
      <c r="C69" s="377" t="s">
        <v>491</v>
      </c>
      <c r="D69" s="289"/>
      <c r="E69" s="289"/>
      <c r="F69" s="289"/>
      <c r="G69" s="376"/>
      <c r="H69" s="289"/>
      <c r="I69" s="289"/>
      <c r="J69" s="289"/>
      <c r="K69" s="289"/>
      <c r="L69" s="376"/>
      <c r="M69" s="289"/>
      <c r="N69" s="289"/>
      <c r="O69" s="289"/>
      <c r="P69" s="378"/>
      <c r="Q69" s="3"/>
      <c r="R69" s="3"/>
      <c r="S69" s="376"/>
      <c r="T69" s="418">
        <f t="shared" si="12"/>
        <v>43</v>
      </c>
      <c r="U69" s="376"/>
      <c r="V69" s="370">
        <f t="shared" si="9"/>
        <v>0.34143994604517569</v>
      </c>
      <c r="W69" s="289"/>
      <c r="X69" s="370">
        <f t="shared" si="10"/>
        <v>0.35652449244379675</v>
      </c>
      <c r="Y69" s="429"/>
      <c r="Z69" s="421">
        <f t="shared" si="2"/>
        <v>0.33608832526077614</v>
      </c>
      <c r="AA69" s="429"/>
      <c r="AB69" s="421">
        <f t="shared" si="3"/>
        <v>0.31867385857773489</v>
      </c>
      <c r="AC69" s="430"/>
      <c r="AD69" s="424">
        <f t="shared" si="4"/>
        <v>0.35867146779233194</v>
      </c>
      <c r="AE69" s="431"/>
      <c r="AF69" s="421">
        <f t="shared" si="5"/>
        <v>0.35275956522824164</v>
      </c>
      <c r="AG69" s="421">
        <f t="shared" si="6"/>
        <v>1.3901440951929231</v>
      </c>
      <c r="AH69" s="426">
        <f t="shared" si="7"/>
        <v>2.6257142528687553E-2</v>
      </c>
      <c r="AI69" s="421">
        <f t="shared" si="8"/>
        <v>0.35401889287221355</v>
      </c>
      <c r="AJ69" s="325"/>
      <c r="AK69" s="439">
        <v>14</v>
      </c>
      <c r="AL69" s="440">
        <v>0.52600000000000002</v>
      </c>
      <c r="AM69" s="325"/>
      <c r="AN69" s="527" t="s">
        <v>552</v>
      </c>
      <c r="AO69" s="529">
        <v>61418</v>
      </c>
      <c r="AP69" s="527">
        <v>5.86</v>
      </c>
      <c r="AQ69" s="527">
        <v>5.52</v>
      </c>
      <c r="AR69" s="527">
        <v>3.58</v>
      </c>
      <c r="AS69" s="527">
        <v>3.36</v>
      </c>
      <c r="AT69" s="325"/>
      <c r="AU69" s="325"/>
      <c r="AV69" s="325"/>
      <c r="AW69" s="325"/>
      <c r="AX69" s="325"/>
      <c r="AY69" s="325"/>
      <c r="AZ69" s="325"/>
      <c r="BA69" s="325"/>
      <c r="BB69" s="325"/>
      <c r="BC69" s="325"/>
      <c r="BD69" s="325"/>
      <c r="BE69" s="325"/>
      <c r="BF69" s="325"/>
      <c r="BG69" s="325"/>
      <c r="BH69" s="325"/>
      <c r="BI69" s="325"/>
      <c r="BJ69" s="325"/>
      <c r="BK69" s="325"/>
      <c r="BL69" s="325"/>
      <c r="BM69" s="325"/>
      <c r="BN69" s="325"/>
      <c r="BO69" s="325"/>
      <c r="BP69" s="325"/>
      <c r="BQ69" s="325"/>
    </row>
    <row r="70" spans="1:69" ht="14.25" customHeight="1" x14ac:dyDescent="0.2">
      <c r="A70" s="3"/>
      <c r="B70" s="376"/>
      <c r="C70" s="289"/>
      <c r="D70" s="379" t="s">
        <v>507</v>
      </c>
      <c r="E70" s="379" t="s">
        <v>508</v>
      </c>
      <c r="F70" s="289"/>
      <c r="G70" s="376"/>
      <c r="H70" s="289"/>
      <c r="I70" s="289"/>
      <c r="J70" s="289"/>
      <c r="K70" s="289"/>
      <c r="L70" s="376"/>
      <c r="M70" s="289" t="s">
        <v>504</v>
      </c>
      <c r="N70" s="289"/>
      <c r="O70" s="289"/>
      <c r="P70" s="378"/>
      <c r="Q70" s="3"/>
      <c r="R70" s="3"/>
      <c r="S70" s="376"/>
      <c r="T70" s="418">
        <f t="shared" si="12"/>
        <v>44</v>
      </c>
      <c r="U70" s="376"/>
      <c r="V70" s="370">
        <f t="shared" si="9"/>
        <v>0.33301298954489067</v>
      </c>
      <c r="W70" s="289"/>
      <c r="X70" s="370">
        <f t="shared" si="10"/>
        <v>0.35002243184795773</v>
      </c>
      <c r="Y70" s="429"/>
      <c r="Z70" s="421">
        <f t="shared" si="2"/>
        <v>0.33062593678864916</v>
      </c>
      <c r="AA70" s="429"/>
      <c r="AB70" s="421">
        <f t="shared" si="3"/>
        <v>0.31337435307770045</v>
      </c>
      <c r="AC70" s="430"/>
      <c r="AD70" s="424">
        <f t="shared" si="4"/>
        <v>0.35151615039267736</v>
      </c>
      <c r="AE70" s="431"/>
      <c r="AF70" s="421">
        <f t="shared" si="5"/>
        <v>0.34967375106819143</v>
      </c>
      <c r="AG70" s="421">
        <f t="shared" si="6"/>
        <v>1.4082268621459504</v>
      </c>
      <c r="AH70" s="426">
        <f t="shared" si="7"/>
        <v>2.5423231536178773E-2</v>
      </c>
      <c r="AI70" s="421">
        <f t="shared" si="8"/>
        <v>0.35051954246231726</v>
      </c>
      <c r="AJ70" s="325"/>
      <c r="AK70" s="439">
        <v>14.2</v>
      </c>
      <c r="AL70" s="440">
        <v>0.50700000000000001</v>
      </c>
      <c r="AM70" s="325"/>
      <c r="AN70" s="527" t="s">
        <v>553</v>
      </c>
      <c r="AO70" s="529">
        <v>61314</v>
      </c>
      <c r="AP70" s="527">
        <v>5.86</v>
      </c>
      <c r="AQ70" s="527">
        <v>5.52</v>
      </c>
      <c r="AR70" s="527">
        <v>3.58</v>
      </c>
      <c r="AS70" s="527">
        <v>3.36</v>
      </c>
      <c r="AT70" s="325"/>
      <c r="AU70" s="325"/>
      <c r="AV70" s="325"/>
      <c r="AW70" s="325"/>
      <c r="AX70" s="325"/>
      <c r="AY70" s="325"/>
      <c r="AZ70" s="325"/>
      <c r="BA70" s="325"/>
      <c r="BB70" s="325"/>
      <c r="BC70" s="325"/>
      <c r="BD70" s="325"/>
      <c r="BE70" s="325"/>
      <c r="BF70" s="325"/>
      <c r="BG70" s="325"/>
      <c r="BH70" s="325"/>
      <c r="BI70" s="325"/>
      <c r="BJ70" s="325"/>
      <c r="BK70" s="325"/>
      <c r="BL70" s="325"/>
      <c r="BM70" s="325"/>
      <c r="BN70" s="325"/>
      <c r="BO70" s="325"/>
      <c r="BP70" s="325"/>
      <c r="BQ70" s="325"/>
    </row>
    <row r="71" spans="1:69" ht="14.25" customHeight="1" x14ac:dyDescent="0.2">
      <c r="A71" s="3"/>
      <c r="B71" s="376"/>
      <c r="C71" s="289" t="s">
        <v>507</v>
      </c>
      <c r="D71" s="367">
        <v>0.1116762</v>
      </c>
      <c r="E71" s="367">
        <v>0</v>
      </c>
      <c r="F71" s="289"/>
      <c r="G71" s="376"/>
      <c r="H71" s="289"/>
      <c r="I71" s="289"/>
      <c r="J71" s="289"/>
      <c r="K71" s="289"/>
      <c r="L71" s="376"/>
      <c r="M71" s="382" t="s">
        <v>507</v>
      </c>
      <c r="N71" s="369" cm="1">
        <f t="array" aca="1" ref="N71:N72" ca="1">D66:D67+MMULT(D71:E72,N67:N68)</f>
        <v>-0.2171389993757063</v>
      </c>
      <c r="O71" s="289"/>
      <c r="P71" s="378"/>
      <c r="Q71" s="3"/>
      <c r="R71" s="3"/>
      <c r="S71" s="376"/>
      <c r="T71" s="418">
        <f t="shared" si="12"/>
        <v>45</v>
      </c>
      <c r="U71" s="376"/>
      <c r="V71" s="370">
        <f t="shared" si="9"/>
        <v>0.32479401572700767</v>
      </c>
      <c r="W71" s="289"/>
      <c r="X71" s="370">
        <f t="shared" si="10"/>
        <v>0.34367201376992579</v>
      </c>
      <c r="Y71" s="429"/>
      <c r="Z71" s="421">
        <f t="shared" si="2"/>
        <v>0.32532094182720162</v>
      </c>
      <c r="AA71" s="429"/>
      <c r="AB71" s="421">
        <f t="shared" si="3"/>
        <v>0.30824060008073939</v>
      </c>
      <c r="AC71" s="430"/>
      <c r="AD71" s="424">
        <f t="shared" si="4"/>
        <v>0.34452052861033911</v>
      </c>
      <c r="AE71" s="431"/>
      <c r="AF71" s="421">
        <f t="shared" si="5"/>
        <v>0.34673585149305702</v>
      </c>
      <c r="AG71" s="421">
        <f t="shared" si="6"/>
        <v>1.4259032401878864</v>
      </c>
      <c r="AH71" s="426">
        <f t="shared" si="7"/>
        <v>2.4633666238078125E-2</v>
      </c>
      <c r="AI71" s="421">
        <f t="shared" si="8"/>
        <v>0.34713018265902279</v>
      </c>
      <c r="AJ71" s="325"/>
      <c r="AK71" s="439">
        <v>14.8</v>
      </c>
      <c r="AL71" s="440">
        <v>0.5</v>
      </c>
      <c r="AM71" s="325"/>
      <c r="AN71" s="527" t="s">
        <v>131</v>
      </c>
      <c r="AO71" s="529">
        <v>63735</v>
      </c>
      <c r="AP71" s="527">
        <v>5.65</v>
      </c>
      <c r="AQ71" s="527">
        <v>5.33</v>
      </c>
      <c r="AR71" s="527">
        <v>3.45</v>
      </c>
      <c r="AS71" s="527">
        <v>3.24</v>
      </c>
      <c r="AT71" s="325"/>
      <c r="AU71" s="325"/>
      <c r="AV71" s="325"/>
      <c r="AW71" s="325"/>
      <c r="AX71" s="325"/>
      <c r="AY71" s="325"/>
      <c r="AZ71" s="325"/>
      <c r="BA71" s="325"/>
      <c r="BB71" s="325"/>
      <c r="BC71" s="325"/>
      <c r="BD71" s="325"/>
      <c r="BE71" s="325"/>
      <c r="BF71" s="325"/>
      <c r="BG71" s="325"/>
      <c r="BH71" s="325"/>
      <c r="BI71" s="325"/>
      <c r="BJ71" s="325"/>
      <c r="BK71" s="325"/>
      <c r="BL71" s="325"/>
      <c r="BM71" s="325"/>
      <c r="BN71" s="325"/>
      <c r="BO71" s="325"/>
      <c r="BP71" s="325"/>
      <c r="BQ71" s="325"/>
    </row>
    <row r="72" spans="1:69" ht="14.25" customHeight="1" x14ac:dyDescent="0.2">
      <c r="A72" s="3"/>
      <c r="B72" s="376"/>
      <c r="C72" s="289" t="s">
        <v>508</v>
      </c>
      <c r="D72" s="367">
        <v>0.15756819999999999</v>
      </c>
      <c r="E72" s="367">
        <v>0.1133836</v>
      </c>
      <c r="F72" s="289"/>
      <c r="G72" s="376"/>
      <c r="H72" s="289"/>
      <c r="I72" s="289"/>
      <c r="J72" s="289"/>
      <c r="K72" s="289"/>
      <c r="L72" s="376"/>
      <c r="M72" s="382" t="s">
        <v>508</v>
      </c>
      <c r="N72" s="369">
        <f ca="1"/>
        <v>-4.0096884302565723</v>
      </c>
      <c r="O72" s="289"/>
      <c r="P72" s="378"/>
      <c r="Q72" s="3"/>
      <c r="R72" s="3"/>
      <c r="S72" s="376"/>
      <c r="T72" s="418">
        <f t="shared" si="12"/>
        <v>46</v>
      </c>
      <c r="U72" s="376"/>
      <c r="V72" s="370">
        <f t="shared" si="9"/>
        <v>0.31677789144574897</v>
      </c>
      <c r="W72" s="289"/>
      <c r="X72" s="370">
        <f t="shared" si="10"/>
        <v>0.33746839036940135</v>
      </c>
      <c r="Y72" s="429"/>
      <c r="Z72" s="421">
        <f t="shared" si="2"/>
        <v>0.32016655567037522</v>
      </c>
      <c r="AA72" s="429"/>
      <c r="AB72" s="421">
        <f t="shared" si="3"/>
        <v>0.30326511296028874</v>
      </c>
      <c r="AC72" s="430"/>
      <c r="AD72" s="424">
        <f t="shared" si="4"/>
        <v>0.33768018319305115</v>
      </c>
      <c r="AE72" s="431"/>
      <c r="AF72" s="421">
        <f t="shared" si="5"/>
        <v>0.34393781992796413</v>
      </c>
      <c r="AG72" s="421">
        <f t="shared" si="6"/>
        <v>1.4431910947741975</v>
      </c>
      <c r="AH72" s="426">
        <f t="shared" si="7"/>
        <v>2.3885179741332817E-2</v>
      </c>
      <c r="AI72" s="421">
        <f t="shared" si="8"/>
        <v>0.34384510597673001</v>
      </c>
      <c r="AJ72" s="325"/>
      <c r="AK72" s="439">
        <v>15.1</v>
      </c>
      <c r="AL72" s="440">
        <v>0.48599999999999999</v>
      </c>
      <c r="AM72" s="325"/>
      <c r="AN72" s="527" t="s">
        <v>554</v>
      </c>
      <c r="AO72" s="529">
        <v>56918</v>
      </c>
      <c r="AP72" s="527">
        <v>6.35</v>
      </c>
      <c r="AQ72" s="527">
        <v>5.98</v>
      </c>
      <c r="AR72" s="527">
        <v>3.89</v>
      </c>
      <c r="AS72" s="527">
        <v>3.66</v>
      </c>
      <c r="AT72" s="325"/>
      <c r="AU72" s="325"/>
      <c r="AV72" s="325"/>
      <c r="AW72" s="325"/>
      <c r="AX72" s="325"/>
      <c r="AY72" s="325"/>
      <c r="AZ72" s="325"/>
      <c r="BA72" s="325"/>
      <c r="BB72" s="325"/>
      <c r="BC72" s="325"/>
      <c r="BD72" s="325"/>
      <c r="BE72" s="325"/>
      <c r="BF72" s="325"/>
      <c r="BG72" s="325"/>
      <c r="BH72" s="325"/>
      <c r="BI72" s="325"/>
      <c r="BJ72" s="325"/>
      <c r="BK72" s="325"/>
      <c r="BL72" s="325"/>
      <c r="BM72" s="325"/>
      <c r="BN72" s="325"/>
      <c r="BO72" s="325"/>
      <c r="BP72" s="325"/>
      <c r="BQ72" s="325"/>
    </row>
    <row r="73" spans="1:69" ht="14.25" customHeight="1" x14ac:dyDescent="0.2">
      <c r="A73" s="3"/>
      <c r="B73" s="376"/>
      <c r="C73" s="289"/>
      <c r="D73" s="289"/>
      <c r="E73" s="289"/>
      <c r="F73" s="289"/>
      <c r="G73" s="376"/>
      <c r="H73" s="289"/>
      <c r="I73" s="289"/>
      <c r="J73" s="289"/>
      <c r="K73" s="289"/>
      <c r="L73" s="376"/>
      <c r="M73" s="289"/>
      <c r="N73" s="289"/>
      <c r="O73" s="289"/>
      <c r="P73" s="378"/>
      <c r="Q73" s="3"/>
      <c r="R73" s="3"/>
      <c r="S73" s="376"/>
      <c r="T73" s="418">
        <f t="shared" si="12"/>
        <v>47</v>
      </c>
      <c r="U73" s="376"/>
      <c r="V73" s="370">
        <f t="shared" si="9"/>
        <v>0.30895961024466145</v>
      </c>
      <c r="W73" s="289"/>
      <c r="X73" s="370">
        <f t="shared" si="10"/>
        <v>0.33140693344851507</v>
      </c>
      <c r="Y73" s="429"/>
      <c r="Z73" s="421">
        <f t="shared" si="2"/>
        <v>0.31515638801475465</v>
      </c>
      <c r="AA73" s="429"/>
      <c r="AB73" s="421">
        <f t="shared" si="3"/>
        <v>0.29844084185853131</v>
      </c>
      <c r="AC73" s="430"/>
      <c r="AD73" s="424">
        <f t="shared" si="4"/>
        <v>0.33099086774502062</v>
      </c>
      <c r="AE73" s="431"/>
      <c r="AF73" s="421">
        <f t="shared" si="5"/>
        <v>0.3412721224449855</v>
      </c>
      <c r="AG73" s="421">
        <f t="shared" si="6"/>
        <v>1.4601071385665747</v>
      </c>
      <c r="AH73" s="426">
        <f t="shared" si="7"/>
        <v>2.3174809924077947E-2</v>
      </c>
      <c r="AI73" s="421">
        <f t="shared" si="8"/>
        <v>0.34065901226656015</v>
      </c>
      <c r="AJ73" s="325"/>
      <c r="AK73" s="439">
        <v>16.2</v>
      </c>
      <c r="AL73" s="440">
        <v>0.48399999999999999</v>
      </c>
      <c r="AM73" s="325"/>
      <c r="AN73" s="526"/>
      <c r="AO73" s="526"/>
      <c r="AP73" s="526"/>
      <c r="AQ73" s="526"/>
      <c r="AR73" s="526"/>
      <c r="AS73" s="526"/>
      <c r="AT73" s="325"/>
      <c r="AU73" s="325"/>
      <c r="AV73" s="325"/>
      <c r="AW73" s="325"/>
      <c r="AX73" s="325"/>
      <c r="AY73" s="325"/>
      <c r="AZ73" s="325"/>
      <c r="BA73" s="325"/>
      <c r="BB73" s="325"/>
      <c r="BC73" s="325"/>
      <c r="BD73" s="325"/>
      <c r="BE73" s="325"/>
      <c r="BF73" s="325"/>
      <c r="BG73" s="325"/>
      <c r="BH73" s="325"/>
      <c r="BI73" s="325"/>
      <c r="BJ73" s="325"/>
      <c r="BK73" s="325"/>
      <c r="BL73" s="325"/>
      <c r="BM73" s="325"/>
      <c r="BN73" s="325"/>
      <c r="BO73" s="325"/>
      <c r="BP73" s="325"/>
      <c r="BQ73" s="325"/>
    </row>
    <row r="74" spans="1:69" ht="14.25" customHeight="1" x14ac:dyDescent="0.2">
      <c r="A74" s="3"/>
      <c r="B74" s="376"/>
      <c r="C74" s="377" t="s">
        <v>492</v>
      </c>
      <c r="D74" s="289"/>
      <c r="E74" s="289"/>
      <c r="F74" s="289"/>
      <c r="G74" s="376"/>
      <c r="H74" s="289"/>
      <c r="I74" s="289"/>
      <c r="J74" s="289"/>
      <c r="K74" s="289"/>
      <c r="L74" s="376"/>
      <c r="M74" s="390" t="s">
        <v>507</v>
      </c>
      <c r="N74" s="392">
        <f ca="1">EXP(N71)</f>
        <v>0.80481809231737667</v>
      </c>
      <c r="O74" s="289"/>
      <c r="P74" s="378"/>
      <c r="Q74" s="3"/>
      <c r="R74" s="3"/>
      <c r="S74" s="376"/>
      <c r="T74" s="418">
        <f t="shared" si="12"/>
        <v>48</v>
      </c>
      <c r="U74" s="376"/>
      <c r="V74" s="370">
        <f t="shared" si="9"/>
        <v>0.3013342892298429</v>
      </c>
      <c r="W74" s="289"/>
      <c r="X74" s="370">
        <f t="shared" si="10"/>
        <v>0.32548322068757185</v>
      </c>
      <c r="Y74" s="429"/>
      <c r="Z74" s="421">
        <f t="shared" si="2"/>
        <v>0.31028441404234708</v>
      </c>
      <c r="AA74" s="429"/>
      <c r="AB74" s="421">
        <f t="shared" si="3"/>
        <v>0.29376114276882992</v>
      </c>
      <c r="AC74" s="430"/>
      <c r="AD74" s="424">
        <f t="shared" si="4"/>
        <v>0.32444849865108605</v>
      </c>
      <c r="AE74" s="431"/>
      <c r="AF74" s="421">
        <f t="shared" si="5"/>
        <v>0.33873169940667702</v>
      </c>
      <c r="AG74" s="421">
        <f t="shared" si="6"/>
        <v>1.4766670285290413</v>
      </c>
      <c r="AH74" s="426">
        <f t="shared" si="7"/>
        <v>2.2499865271312744E-2</v>
      </c>
      <c r="AI74" s="421">
        <f t="shared" si="8"/>
        <v>0.33756697207847958</v>
      </c>
      <c r="AJ74" s="325"/>
      <c r="AK74" s="439">
        <v>16.7</v>
      </c>
      <c r="AL74" s="440">
        <v>0.48</v>
      </c>
      <c r="AM74" s="325"/>
      <c r="AN74" s="325"/>
      <c r="AO74" s="325"/>
      <c r="AP74" s="325"/>
      <c r="AQ74" s="325"/>
      <c r="AR74" s="325"/>
      <c r="AS74" s="325"/>
      <c r="AT74" s="325"/>
      <c r="AU74" s="325"/>
      <c r="AV74" s="325"/>
      <c r="AW74" s="325"/>
      <c r="AX74" s="325"/>
      <c r="AY74" s="325"/>
      <c r="AZ74" s="325"/>
      <c r="BA74" s="325"/>
      <c r="BB74" s="325"/>
      <c r="BC74" s="325"/>
      <c r="BD74" s="325"/>
      <c r="BE74" s="325"/>
      <c r="BF74" s="325"/>
      <c r="BG74" s="325"/>
      <c r="BH74" s="325"/>
      <c r="BI74" s="325"/>
      <c r="BJ74" s="325"/>
      <c r="BK74" s="325"/>
      <c r="BL74" s="325"/>
      <c r="BM74" s="325"/>
      <c r="BN74" s="325"/>
      <c r="BO74" s="325"/>
      <c r="BP74" s="325"/>
      <c r="BQ74" s="325"/>
    </row>
    <row r="75" spans="1:69" ht="14.25" customHeight="1" x14ac:dyDescent="0.2">
      <c r="A75" s="3"/>
      <c r="B75" s="383"/>
      <c r="C75" s="393" t="s">
        <v>493</v>
      </c>
      <c r="D75" s="385">
        <v>-517.03779999999995</v>
      </c>
      <c r="E75" s="386"/>
      <c r="F75" s="386"/>
      <c r="G75" s="383"/>
      <c r="H75" s="386"/>
      <c r="I75" s="386"/>
      <c r="J75" s="386"/>
      <c r="K75" s="386"/>
      <c r="L75" s="383"/>
      <c r="M75" s="391" t="s">
        <v>508</v>
      </c>
      <c r="N75" s="371">
        <f ca="1">EXP(N72)</f>
        <v>1.8139045934349958E-2</v>
      </c>
      <c r="O75" s="386"/>
      <c r="P75" s="387"/>
      <c r="Q75" s="3"/>
      <c r="R75" s="3"/>
      <c r="S75" s="376"/>
      <c r="T75" s="418">
        <f t="shared" si="12"/>
        <v>49</v>
      </c>
      <c r="U75" s="376"/>
      <c r="V75" s="370">
        <f t="shared" si="9"/>
        <v>0.29389716602033944</v>
      </c>
      <c r="W75" s="289"/>
      <c r="X75" s="370">
        <f t="shared" si="10"/>
        <v>0.31969302300753849</v>
      </c>
      <c r="Y75" s="429"/>
      <c r="Z75" s="421">
        <f t="shared" si="2"/>
        <v>0.30554494805813359</v>
      </c>
      <c r="AA75" s="429"/>
      <c r="AB75" s="421">
        <f t="shared" si="3"/>
        <v>0.28921974916772863</v>
      </c>
      <c r="AC75" s="430"/>
      <c r="AD75" s="424">
        <f t="shared" si="4"/>
        <v>0.31804914581739863</v>
      </c>
      <c r="AE75" s="431"/>
      <c r="AF75" s="421">
        <f t="shared" si="5"/>
        <v>0.33630993040881074</v>
      </c>
      <c r="AG75" s="421">
        <f t="shared" si="6"/>
        <v>1.4928854530119009</v>
      </c>
      <c r="AH75" s="426">
        <f t="shared" si="7"/>
        <v>2.1857895156749334E-2</v>
      </c>
      <c r="AI75" s="421">
        <f t="shared" si="8"/>
        <v>0.33456439396869692</v>
      </c>
      <c r="AJ75" s="325"/>
      <c r="AK75" s="439">
        <v>17.100000000000001</v>
      </c>
      <c r="AL75" s="440">
        <v>0.47499999999999998</v>
      </c>
      <c r="AM75" s="325"/>
      <c r="AN75" s="325"/>
      <c r="AO75" s="325"/>
      <c r="AP75" s="325"/>
      <c r="AQ75" s="325"/>
      <c r="AR75" s="325"/>
      <c r="AS75" s="325"/>
      <c r="AT75" s="325"/>
      <c r="AU75" s="325"/>
      <c r="AV75" s="325"/>
      <c r="AW75" s="325"/>
      <c r="AX75" s="325"/>
      <c r="AY75" s="325"/>
      <c r="AZ75" s="325"/>
      <c r="BA75" s="325"/>
      <c r="BB75" s="325"/>
      <c r="BC75" s="325"/>
      <c r="BD75" s="325"/>
      <c r="BE75" s="325"/>
      <c r="BF75" s="325"/>
      <c r="BG75" s="325"/>
      <c r="BH75" s="325"/>
      <c r="BI75" s="325"/>
      <c r="BJ75" s="325"/>
      <c r="BK75" s="325"/>
      <c r="BL75" s="325"/>
      <c r="BM75" s="325"/>
      <c r="BN75" s="325"/>
      <c r="BO75" s="325"/>
      <c r="BP75" s="325"/>
      <c r="BQ75" s="325"/>
    </row>
    <row r="76" spans="1:69" ht="14.25" customHeight="1" x14ac:dyDescent="0.2">
      <c r="A76" s="3"/>
      <c r="B76" s="289"/>
      <c r="C76" s="3"/>
      <c r="D76" s="3"/>
      <c r="E76" s="3"/>
      <c r="F76" s="3"/>
      <c r="G76" s="289"/>
      <c r="H76" s="3"/>
      <c r="I76" s="3"/>
      <c r="J76" s="3"/>
      <c r="K76" s="3"/>
      <c r="L76" s="289"/>
      <c r="M76" s="3"/>
      <c r="N76" s="3"/>
      <c r="O76" s="3"/>
      <c r="P76" s="3"/>
      <c r="Q76" s="3"/>
      <c r="R76" s="3"/>
      <c r="S76" s="376"/>
      <c r="T76" s="418">
        <f t="shared" si="12"/>
        <v>50</v>
      </c>
      <c r="U76" s="376"/>
      <c r="V76" s="370">
        <f t="shared" si="9"/>
        <v>0.28664359577380844</v>
      </c>
      <c r="W76" s="289"/>
      <c r="X76" s="370">
        <f t="shared" si="10"/>
        <v>0.31403229294535745</v>
      </c>
      <c r="Y76" s="429"/>
      <c r="Z76" s="421">
        <f t="shared" si="2"/>
        <v>0.30093261941918703</v>
      </c>
      <c r="AA76" s="429"/>
      <c r="AB76" s="421">
        <f t="shared" si="3"/>
        <v>0.28481074595871042</v>
      </c>
      <c r="AC76" s="430"/>
      <c r="AD76" s="424">
        <f t="shared" si="4"/>
        <v>0.31178902414496279</v>
      </c>
      <c r="AE76" s="431"/>
      <c r="AF76" s="421">
        <f t="shared" si="5"/>
        <v>0.33400060220446293</v>
      </c>
      <c r="AG76" s="421">
        <f t="shared" si="6"/>
        <v>1.5087762100374413</v>
      </c>
      <c r="AH76" s="426">
        <f t="shared" si="7"/>
        <v>2.124666391518255E-2</v>
      </c>
      <c r="AI76" s="421">
        <f t="shared" si="8"/>
        <v>0.33164699526059888</v>
      </c>
      <c r="AJ76" s="325"/>
      <c r="AK76" s="439">
        <v>19.7</v>
      </c>
      <c r="AL76" s="440">
        <v>0.47199999999999998</v>
      </c>
      <c r="AM76" s="325"/>
      <c r="AN76" s="325"/>
      <c r="AO76" s="325"/>
      <c r="AP76" s="325"/>
      <c r="AQ76" s="325"/>
      <c r="AR76" s="325"/>
      <c r="AS76" s="325"/>
      <c r="AT76" s="325"/>
      <c r="AU76" s="325"/>
      <c r="AV76" s="325"/>
      <c r="AW76" s="325"/>
      <c r="AX76" s="325"/>
      <c r="AY76" s="325"/>
      <c r="AZ76" s="325"/>
      <c r="BA76" s="325"/>
      <c r="BB76" s="325"/>
      <c r="BC76" s="325"/>
      <c r="BD76" s="325"/>
      <c r="BE76" s="325"/>
      <c r="BF76" s="325"/>
      <c r="BG76" s="325"/>
      <c r="BH76" s="325"/>
      <c r="BI76" s="325"/>
      <c r="BJ76" s="325"/>
      <c r="BK76" s="325"/>
      <c r="BL76" s="325"/>
      <c r="BM76" s="325"/>
      <c r="BN76" s="325"/>
      <c r="BO76" s="325"/>
      <c r="BP76" s="325"/>
      <c r="BQ76" s="325"/>
    </row>
    <row r="77" spans="1:69" ht="14.25" customHeight="1" x14ac:dyDescent="0.2">
      <c r="A77" s="3"/>
      <c r="B77" s="372"/>
      <c r="C77" s="373" t="s">
        <v>509</v>
      </c>
      <c r="D77" s="374"/>
      <c r="E77" s="374"/>
      <c r="F77" s="374"/>
      <c r="G77" s="374"/>
      <c r="H77" s="374"/>
      <c r="I77" s="374"/>
      <c r="J77" s="374"/>
      <c r="K77" s="374"/>
      <c r="L77" s="374"/>
      <c r="M77" s="374"/>
      <c r="N77" s="374"/>
      <c r="O77" s="374"/>
      <c r="P77" s="375"/>
      <c r="Q77" s="3"/>
      <c r="R77" s="3"/>
      <c r="S77" s="376"/>
      <c r="T77" s="418">
        <f t="shared" si="12"/>
        <v>51</v>
      </c>
      <c r="U77" s="376"/>
      <c r="V77" s="370">
        <f t="shared" si="9"/>
        <v>0.27956904828559048</v>
      </c>
      <c r="W77" s="289"/>
      <c r="X77" s="370">
        <f t="shared" si="10"/>
        <v>0.30849715394180077</v>
      </c>
      <c r="Y77" s="429"/>
      <c r="Z77" s="421">
        <f t="shared" si="2"/>
        <v>0.29644235052300716</v>
      </c>
      <c r="AA77" s="429"/>
      <c r="AB77" s="421">
        <f t="shared" si="3"/>
        <v>0.28052854551440881</v>
      </c>
      <c r="AC77" s="430"/>
      <c r="AD77" s="424">
        <f t="shared" si="4"/>
        <v>0.305664485662557</v>
      </c>
      <c r="AE77" s="431"/>
      <c r="AF77" s="421">
        <f t="shared" si="5"/>
        <v>0.33179787932524962</v>
      </c>
      <c r="AG77" s="421">
        <f t="shared" si="6"/>
        <v>1.5243522778329712</v>
      </c>
      <c r="AH77" s="426">
        <f t="shared" si="7"/>
        <v>2.0664128157329341E-2</v>
      </c>
      <c r="AI77" s="421">
        <f t="shared" si="8"/>
        <v>0.32881077583676721</v>
      </c>
      <c r="AJ77" s="325"/>
      <c r="AK77" s="439">
        <v>20.3</v>
      </c>
      <c r="AL77" s="440">
        <v>0.46200000000000002</v>
      </c>
      <c r="AM77" s="325"/>
      <c r="AN77" s="325"/>
      <c r="AO77" s="325"/>
      <c r="AP77" s="325"/>
      <c r="AQ77" s="325"/>
      <c r="AR77" s="325"/>
      <c r="AS77" s="325"/>
      <c r="AT77" s="325"/>
      <c r="AU77" s="325"/>
      <c r="AV77" s="325"/>
      <c r="AW77" s="325"/>
      <c r="AX77" s="325"/>
      <c r="AY77" s="325"/>
      <c r="AZ77" s="325"/>
      <c r="BA77" s="325"/>
      <c r="BB77" s="325"/>
      <c r="BC77" s="325"/>
      <c r="BD77" s="325"/>
      <c r="BE77" s="325"/>
      <c r="BF77" s="325"/>
      <c r="BG77" s="325"/>
      <c r="BH77" s="325"/>
      <c r="BI77" s="325"/>
      <c r="BJ77" s="325"/>
      <c r="BK77" s="325"/>
      <c r="BL77" s="325"/>
      <c r="BM77" s="325"/>
      <c r="BN77" s="325"/>
      <c r="BO77" s="325"/>
      <c r="BP77" s="325"/>
      <c r="BQ77" s="325"/>
    </row>
    <row r="78" spans="1:69" ht="14.25" customHeight="1" x14ac:dyDescent="0.2">
      <c r="A78" s="3"/>
      <c r="B78" s="376"/>
      <c r="C78" s="377" t="s">
        <v>487</v>
      </c>
      <c r="D78" s="289"/>
      <c r="E78" s="289"/>
      <c r="F78" s="289"/>
      <c r="G78" s="388"/>
      <c r="H78" s="377" t="s">
        <v>494</v>
      </c>
      <c r="I78" s="289"/>
      <c r="J78" s="289"/>
      <c r="K78" s="289"/>
      <c r="L78" s="394"/>
      <c r="M78" s="377" t="s">
        <v>495</v>
      </c>
      <c r="N78" s="289"/>
      <c r="O78" s="289"/>
      <c r="P78" s="378"/>
      <c r="Q78" s="3"/>
      <c r="R78" s="3"/>
      <c r="S78" s="376"/>
      <c r="T78" s="418">
        <f t="shared" si="12"/>
        <v>52</v>
      </c>
      <c r="U78" s="376"/>
      <c r="V78" s="370">
        <f t="shared" si="9"/>
        <v>0.27266910515937803</v>
      </c>
      <c r="W78" s="289"/>
      <c r="X78" s="370">
        <f t="shared" si="10"/>
        <v>0.30308389045334067</v>
      </c>
      <c r="Y78" s="429"/>
      <c r="Z78" s="421">
        <f t="shared" si="2"/>
        <v>0.29206933664954038</v>
      </c>
      <c r="AA78" s="429"/>
      <c r="AB78" s="421">
        <f t="shared" si="3"/>
        <v>0.27636786562574372</v>
      </c>
      <c r="AC78" s="430"/>
      <c r="AD78" s="424">
        <f t="shared" si="4"/>
        <v>0.29967201225431905</v>
      </c>
      <c r="AE78" s="431"/>
      <c r="AF78" s="421">
        <f t="shared" si="5"/>
        <v>0.32969627714528787</v>
      </c>
      <c r="AG78" s="421">
        <f t="shared" si="6"/>
        <v>1.5396258785146335</v>
      </c>
      <c r="AH78" s="426">
        <f t="shared" si="7"/>
        <v>2.0108416867304284E-2</v>
      </c>
      <c r="AI78" s="421">
        <f t="shared" si="8"/>
        <v>0.32605199459804274</v>
      </c>
      <c r="AJ78" s="325"/>
      <c r="AK78" s="439">
        <v>21</v>
      </c>
      <c r="AL78" s="440">
        <v>0.46</v>
      </c>
      <c r="AM78" s="325"/>
      <c r="AN78" s="325"/>
      <c r="AO78" s="325"/>
      <c r="AP78" s="325"/>
      <c r="AQ78" s="325"/>
      <c r="AR78" s="325"/>
      <c r="AS78" s="325"/>
      <c r="AT78" s="325"/>
      <c r="AU78" s="325"/>
      <c r="AV78" s="325"/>
      <c r="AW78" s="325"/>
      <c r="AX78" s="325"/>
      <c r="AY78" s="325"/>
      <c r="AZ78" s="325"/>
      <c r="BA78" s="325"/>
      <c r="BB78" s="325"/>
      <c r="BC78" s="325"/>
      <c r="BD78" s="325"/>
      <c r="BE78" s="325"/>
      <c r="BF78" s="325"/>
      <c r="BG78" s="325"/>
      <c r="BH78" s="325"/>
      <c r="BI78" s="325"/>
      <c r="BJ78" s="325"/>
      <c r="BK78" s="325"/>
      <c r="BL78" s="325"/>
      <c r="BM78" s="325"/>
      <c r="BN78" s="325"/>
      <c r="BO78" s="325"/>
      <c r="BP78" s="325"/>
      <c r="BQ78" s="325"/>
    </row>
    <row r="79" spans="1:69" ht="14.25" customHeight="1" x14ac:dyDescent="0.2">
      <c r="A79" s="3"/>
      <c r="B79" s="376"/>
      <c r="C79" s="289"/>
      <c r="D79" s="379" t="s">
        <v>500</v>
      </c>
      <c r="E79" s="379" t="s">
        <v>503</v>
      </c>
      <c r="F79" s="289"/>
      <c r="G79" s="376"/>
      <c r="H79" s="289"/>
      <c r="I79" s="289"/>
      <c r="J79" s="289"/>
      <c r="K79" s="289"/>
      <c r="L79" s="376"/>
      <c r="M79" s="289"/>
      <c r="N79" s="289"/>
      <c r="O79" s="289"/>
      <c r="P79" s="378"/>
      <c r="Q79" s="3"/>
      <c r="R79" s="3"/>
      <c r="S79" s="376"/>
      <c r="T79" s="418">
        <f t="shared" si="12"/>
        <v>53</v>
      </c>
      <c r="U79" s="376"/>
      <c r="V79" s="370">
        <f t="shared" si="9"/>
        <v>0.2659394570477136</v>
      </c>
      <c r="W79" s="289"/>
      <c r="X79" s="370">
        <f t="shared" si="10"/>
        <v>0.29778893880968427</v>
      </c>
      <c r="Y79" s="429"/>
      <c r="Z79" s="421">
        <f t="shared" si="2"/>
        <v>0.28780902747470616</v>
      </c>
      <c r="AA79" s="429"/>
      <c r="AB79" s="421">
        <f t="shared" si="3"/>
        <v>0.27232370918581872</v>
      </c>
      <c r="AC79" s="430"/>
      <c r="AD79" s="424">
        <f t="shared" si="4"/>
        <v>0.29380820892485704</v>
      </c>
      <c r="AE79" s="431"/>
      <c r="AF79" s="421">
        <f t="shared" si="5"/>
        <v>0.32769063715984725</v>
      </c>
      <c r="AG79" s="421">
        <f t="shared" si="6"/>
        <v>1.5546085357049368</v>
      </c>
      <c r="AH79" s="426">
        <f t="shared" si="7"/>
        <v>1.9577813895525494E-2</v>
      </c>
      <c r="AI79" s="421">
        <f t="shared" si="8"/>
        <v>0.32336714827505436</v>
      </c>
      <c r="AJ79" s="325"/>
      <c r="AK79" s="439">
        <v>21.5</v>
      </c>
      <c r="AL79" s="440">
        <v>0.45400000000000001</v>
      </c>
      <c r="AM79" s="325"/>
      <c r="AN79" s="325"/>
      <c r="AO79" s="325"/>
      <c r="AP79" s="325"/>
      <c r="AQ79" s="325"/>
      <c r="AR79" s="325"/>
      <c r="AS79" s="325"/>
      <c r="AT79" s="325"/>
      <c r="AU79" s="325"/>
      <c r="AV79" s="325"/>
      <c r="AW79" s="325"/>
      <c r="AX79" s="325"/>
      <c r="AY79" s="325"/>
      <c r="AZ79" s="325"/>
      <c r="BA79" s="325"/>
      <c r="BB79" s="325"/>
      <c r="BC79" s="325"/>
      <c r="BD79" s="325"/>
      <c r="BE79" s="325"/>
      <c r="BF79" s="325"/>
      <c r="BG79" s="325"/>
      <c r="BH79" s="325"/>
      <c r="BI79" s="325"/>
      <c r="BJ79" s="325"/>
      <c r="BK79" s="325"/>
      <c r="BL79" s="325"/>
      <c r="BM79" s="325"/>
      <c r="BN79" s="325"/>
      <c r="BO79" s="325"/>
      <c r="BP79" s="325"/>
      <c r="BQ79" s="325"/>
    </row>
    <row r="80" spans="1:69" ht="14.25" customHeight="1" x14ac:dyDescent="0.2">
      <c r="A80" s="3"/>
      <c r="B80" s="376"/>
      <c r="C80" s="289" t="s">
        <v>507</v>
      </c>
      <c r="D80" s="367">
        <v>-4.0508660000000002E-2</v>
      </c>
      <c r="E80" s="367">
        <v>7.2989509999999997E-3</v>
      </c>
      <c r="F80" s="289"/>
      <c r="G80" s="376"/>
      <c r="H80" s="390" t="s">
        <v>183</v>
      </c>
      <c r="I80" s="392">
        <f>D80</f>
        <v>-4.0508660000000002E-2</v>
      </c>
      <c r="J80" s="289"/>
      <c r="K80" s="289"/>
      <c r="L80" s="376"/>
      <c r="M80" s="289" t="s">
        <v>496</v>
      </c>
      <c r="N80" s="289"/>
      <c r="O80" s="289"/>
      <c r="P80" s="378"/>
      <c r="Q80" s="3"/>
      <c r="R80" s="3"/>
      <c r="S80" s="376"/>
      <c r="T80" s="418">
        <f t="shared" si="12"/>
        <v>54</v>
      </c>
      <c r="U80" s="376"/>
      <c r="V80" s="370">
        <f t="shared" si="9"/>
        <v>0.25937590096059432</v>
      </c>
      <c r="W80" s="289"/>
      <c r="X80" s="370">
        <f t="shared" si="10"/>
        <v>0.29260887874745573</v>
      </c>
      <c r="Y80" s="429"/>
      <c r="Z80" s="421">
        <f t="shared" si="2"/>
        <v>0.28365711009365491</v>
      </c>
      <c r="AA80" s="429"/>
      <c r="AB80" s="421">
        <f t="shared" si="3"/>
        <v>0.26839134545365262</v>
      </c>
      <c r="AC80" s="430"/>
      <c r="AD80" s="424">
        <f t="shared" si="4"/>
        <v>0.28806979755127804</v>
      </c>
      <c r="AE80" s="431"/>
      <c r="AF80" s="421">
        <f t="shared" si="5"/>
        <v>0.32577610427407805</v>
      </c>
      <c r="AG80" s="421">
        <f t="shared" si="6"/>
        <v>1.5693111267644835</v>
      </c>
      <c r="AH80" s="426">
        <f t="shared" si="7"/>
        <v>1.9070742519873222E-2</v>
      </c>
      <c r="AI80" s="421">
        <f t="shared" si="8"/>
        <v>0.32075295231962714</v>
      </c>
      <c r="AJ80" s="325"/>
      <c r="AK80" s="439">
        <v>21.9</v>
      </c>
      <c r="AL80" s="440">
        <v>0.439</v>
      </c>
      <c r="AM80" s="325"/>
      <c r="AN80" s="325"/>
      <c r="AO80" s="325"/>
      <c r="AP80" s="325"/>
      <c r="AQ80" s="325"/>
      <c r="AR80" s="325"/>
      <c r="AS80" s="325"/>
      <c r="AT80" s="325"/>
      <c r="AU80" s="325"/>
      <c r="AV80" s="325"/>
      <c r="AW80" s="325"/>
      <c r="AX80" s="325"/>
      <c r="AY80" s="325"/>
      <c r="AZ80" s="325"/>
      <c r="BA80" s="325"/>
      <c r="BB80" s="325"/>
      <c r="BC80" s="325"/>
      <c r="BD80" s="325"/>
      <c r="BE80" s="325"/>
      <c r="BF80" s="325"/>
      <c r="BG80" s="325"/>
      <c r="BH80" s="325"/>
      <c r="BI80" s="325"/>
      <c r="BJ80" s="325"/>
      <c r="BK80" s="325"/>
      <c r="BL80" s="325"/>
      <c r="BM80" s="325"/>
      <c r="BN80" s="325"/>
      <c r="BO80" s="325"/>
      <c r="BP80" s="325"/>
      <c r="BQ80" s="325"/>
    </row>
    <row r="81" spans="1:69" ht="14.25" customHeight="1" x14ac:dyDescent="0.2">
      <c r="A81" s="3"/>
      <c r="B81" s="376"/>
      <c r="C81" s="289" t="s">
        <v>508</v>
      </c>
      <c r="D81" s="367">
        <v>-2.9725229899999999</v>
      </c>
      <c r="E81" s="367">
        <v>0.13637406199999999</v>
      </c>
      <c r="F81" s="289"/>
      <c r="G81" s="376"/>
      <c r="H81" s="382"/>
      <c r="I81" s="289"/>
      <c r="J81" s="289"/>
      <c r="K81" s="289"/>
      <c r="L81" s="376"/>
      <c r="M81" s="382" t="s">
        <v>507</v>
      </c>
      <c r="N81" s="370">
        <f ca="1">_xlfn.NORM.INV(RAND(),0,1)</f>
        <v>0.25719766500314684</v>
      </c>
      <c r="O81" s="289"/>
      <c r="P81" s="378"/>
      <c r="Q81" s="3"/>
      <c r="R81" s="3"/>
      <c r="S81" s="376"/>
      <c r="T81" s="418">
        <f t="shared" si="12"/>
        <v>55</v>
      </c>
      <c r="U81" s="376"/>
      <c r="V81" s="370">
        <f t="shared" si="9"/>
        <v>0.25297433764050176</v>
      </c>
      <c r="W81" s="289"/>
      <c r="X81" s="370">
        <f t="shared" si="10"/>
        <v>0.28754042555819076</v>
      </c>
      <c r="Y81" s="429"/>
      <c r="Z81" s="421">
        <f t="shared" si="2"/>
        <v>0.27960949340981456</v>
      </c>
      <c r="AA81" s="429"/>
      <c r="AB81" s="421">
        <f t="shared" si="3"/>
        <v>0.26456629275817989</v>
      </c>
      <c r="AC81" s="430"/>
      <c r="AD81" s="424">
        <f t="shared" si="4"/>
        <v>0.28245361107723466</v>
      </c>
      <c r="AE81" s="431"/>
      <c r="AF81" s="421">
        <f t="shared" si="5"/>
        <v>0.32394810591801076</v>
      </c>
      <c r="AG81" s="421">
        <f t="shared" si="6"/>
        <v>1.5837439302309482</v>
      </c>
      <c r="AH81" s="426">
        <f t="shared" si="7"/>
        <v>1.8585751797727312E-2</v>
      </c>
      <c r="AI81" s="421">
        <f t="shared" si="8"/>
        <v>0.31820632363923518</v>
      </c>
      <c r="AJ81" s="325"/>
      <c r="AK81" s="439">
        <v>22.6</v>
      </c>
      <c r="AL81" s="440">
        <v>0.439</v>
      </c>
      <c r="AM81" s="325"/>
      <c r="AN81" s="325"/>
      <c r="AO81" s="325"/>
      <c r="AP81" s="325"/>
      <c r="AQ81" s="325"/>
      <c r="AR81" s="325"/>
      <c r="AS81" s="325"/>
      <c r="AT81" s="325"/>
      <c r="AU81" s="325"/>
      <c r="AV81" s="325"/>
      <c r="AW81" s="325"/>
      <c r="AX81" s="325"/>
      <c r="AY81" s="325"/>
      <c r="AZ81" s="325"/>
      <c r="BA81" s="325"/>
      <c r="BB81" s="325"/>
      <c r="BC81" s="325"/>
      <c r="BD81" s="325"/>
      <c r="BE81" s="325"/>
      <c r="BF81" s="325"/>
      <c r="BG81" s="325"/>
      <c r="BH81" s="325"/>
      <c r="BI81" s="325"/>
      <c r="BJ81" s="325"/>
      <c r="BK81" s="325"/>
      <c r="BL81" s="325"/>
      <c r="BM81" s="325"/>
      <c r="BN81" s="325"/>
      <c r="BO81" s="325"/>
      <c r="BP81" s="325"/>
      <c r="BQ81" s="325"/>
    </row>
    <row r="82" spans="1:69" ht="14.25" customHeight="1" x14ac:dyDescent="0.2">
      <c r="A82" s="3"/>
      <c r="B82" s="376"/>
      <c r="C82" s="289"/>
      <c r="D82" s="289"/>
      <c r="E82" s="289"/>
      <c r="F82" s="289"/>
      <c r="G82" s="376"/>
      <c r="H82" s="390" t="s">
        <v>185</v>
      </c>
      <c r="I82" s="371">
        <f>EXP(D81)</f>
        <v>5.1174035740809656E-2</v>
      </c>
      <c r="J82" s="289"/>
      <c r="K82" s="289"/>
      <c r="L82" s="376"/>
      <c r="M82" s="382" t="s">
        <v>508</v>
      </c>
      <c r="N82" s="370">
        <f ca="1">_xlfn.NORM.INV(RAND(),0,1)</f>
        <v>-0.20497863948451645</v>
      </c>
      <c r="O82" s="289"/>
      <c r="P82" s="378"/>
      <c r="Q82" s="3"/>
      <c r="R82" s="3"/>
      <c r="S82" s="376"/>
      <c r="T82" s="418">
        <f t="shared" si="12"/>
        <v>56</v>
      </c>
      <c r="U82" s="376"/>
      <c r="V82" s="370">
        <f t="shared" si="9"/>
        <v>0.24673076900221813</v>
      </c>
      <c r="W82" s="289"/>
      <c r="X82" s="370">
        <f t="shared" si="10"/>
        <v>0.28258042279552015</v>
      </c>
      <c r="Y82" s="429"/>
      <c r="Z82" s="421">
        <f t="shared" si="2"/>
        <v>0.27566229376142837</v>
      </c>
      <c r="AA82" s="429"/>
      <c r="AB82" s="421">
        <f t="shared" si="3"/>
        <v>0.26084430251665525</v>
      </c>
      <c r="AC82" s="430"/>
      <c r="AD82" s="424">
        <f t="shared" si="4"/>
        <v>0.27695658810902546</v>
      </c>
      <c r="AE82" s="431"/>
      <c r="AF82" s="421">
        <f t="shared" si="5"/>
        <v>0.32220233282252736</v>
      </c>
      <c r="AG82" s="421">
        <f t="shared" si="6"/>
        <v>1.5979166689835476</v>
      </c>
      <c r="AH82" s="426">
        <f t="shared" si="7"/>
        <v>1.8121504472980828E-2</v>
      </c>
      <c r="AI82" s="421">
        <f t="shared" si="8"/>
        <v>0.31572436496821371</v>
      </c>
      <c r="AJ82" s="325"/>
      <c r="AK82" s="439">
        <v>22.9</v>
      </c>
      <c r="AL82" s="440">
        <v>0.433</v>
      </c>
      <c r="AM82" s="325"/>
      <c r="AN82" s="325"/>
      <c r="AO82" s="325"/>
      <c r="AP82" s="325"/>
      <c r="AQ82" s="325"/>
      <c r="AR82" s="325"/>
      <c r="AS82" s="325"/>
      <c r="AT82" s="325"/>
      <c r="AU82" s="325"/>
      <c r="AV82" s="325"/>
      <c r="AW82" s="325"/>
      <c r="AX82" s="325"/>
      <c r="AY82" s="325"/>
      <c r="AZ82" s="325"/>
      <c r="BA82" s="325"/>
      <c r="BB82" s="325"/>
      <c r="BC82" s="325"/>
      <c r="BD82" s="325"/>
      <c r="BE82" s="325"/>
      <c r="BF82" s="325"/>
      <c r="BG82" s="325"/>
      <c r="BH82" s="325"/>
      <c r="BI82" s="325"/>
      <c r="BJ82" s="325"/>
      <c r="BK82" s="325"/>
      <c r="BL82" s="325"/>
      <c r="BM82" s="325"/>
      <c r="BN82" s="325"/>
      <c r="BO82" s="325"/>
      <c r="BP82" s="325"/>
      <c r="BQ82" s="325"/>
    </row>
    <row r="83" spans="1:69" ht="14.25" customHeight="1" x14ac:dyDescent="0.2">
      <c r="A83" s="3"/>
      <c r="B83" s="376"/>
      <c r="C83" s="377" t="s">
        <v>491</v>
      </c>
      <c r="D83" s="289"/>
      <c r="E83" s="289"/>
      <c r="F83" s="289"/>
      <c r="G83" s="376"/>
      <c r="H83" s="289"/>
      <c r="I83" s="289"/>
      <c r="J83" s="289"/>
      <c r="K83" s="289"/>
      <c r="L83" s="376"/>
      <c r="M83" s="289"/>
      <c r="N83" s="289"/>
      <c r="O83" s="289"/>
      <c r="P83" s="378"/>
      <c r="Q83" s="3"/>
      <c r="R83" s="3"/>
      <c r="S83" s="376"/>
      <c r="T83" s="418">
        <f t="shared" si="12"/>
        <v>57</v>
      </c>
      <c r="U83" s="376"/>
      <c r="V83" s="370">
        <f t="shared" si="9"/>
        <v>0.24064129563582862</v>
      </c>
      <c r="W83" s="289"/>
      <c r="X83" s="370">
        <f t="shared" si="10"/>
        <v>0.27772583549228635</v>
      </c>
      <c r="Y83" s="429"/>
      <c r="Z83" s="421">
        <f t="shared" si="2"/>
        <v>0.27181182167102569</v>
      </c>
      <c r="AA83" s="429"/>
      <c r="AB83" s="421">
        <f t="shared" si="3"/>
        <v>0.25722134445383082</v>
      </c>
      <c r="AC83" s="430"/>
      <c r="AD83" s="424">
        <f t="shared" si="4"/>
        <v>0.27157576787811766</v>
      </c>
      <c r="AE83" s="431"/>
      <c r="AF83" s="421">
        <f t="shared" si="5"/>
        <v>0.32053472130749355</v>
      </c>
      <c r="AG83" s="421">
        <f t="shared" si="6"/>
        <v>1.6118385495870196</v>
      </c>
      <c r="AH83" s="426">
        <f t="shared" si="7"/>
        <v>1.7676766236781282E-2</v>
      </c>
      <c r="AI83" s="421">
        <f t="shared" si="8"/>
        <v>0.31330435069559592</v>
      </c>
      <c r="AJ83" s="325"/>
      <c r="AK83" s="439">
        <v>25.3</v>
      </c>
      <c r="AL83" s="440">
        <v>0.434</v>
      </c>
      <c r="AM83" s="325"/>
      <c r="AN83" s="325"/>
      <c r="AO83" s="325"/>
      <c r="AP83" s="325"/>
      <c r="AQ83" s="325"/>
      <c r="AR83" s="325"/>
      <c r="AS83" s="325"/>
      <c r="AT83" s="325"/>
      <c r="AU83" s="325"/>
      <c r="AV83" s="325"/>
      <c r="AW83" s="325"/>
      <c r="AX83" s="325"/>
      <c r="AY83" s="325"/>
      <c r="AZ83" s="325"/>
      <c r="BA83" s="325"/>
      <c r="BB83" s="325"/>
      <c r="BC83" s="325"/>
      <c r="BD83" s="325"/>
      <c r="BE83" s="325"/>
      <c r="BF83" s="325"/>
      <c r="BG83" s="325"/>
      <c r="BH83" s="325"/>
      <c r="BI83" s="325"/>
      <c r="BJ83" s="325"/>
      <c r="BK83" s="325"/>
      <c r="BL83" s="325"/>
      <c r="BM83" s="325"/>
      <c r="BN83" s="325"/>
      <c r="BO83" s="325"/>
      <c r="BP83" s="325"/>
      <c r="BQ83" s="325"/>
    </row>
    <row r="84" spans="1:69" ht="14.25" customHeight="1" x14ac:dyDescent="0.2">
      <c r="A84" s="3"/>
      <c r="B84" s="376"/>
      <c r="C84" s="289"/>
      <c r="D84" s="379" t="s">
        <v>507</v>
      </c>
      <c r="E84" s="379" t="s">
        <v>508</v>
      </c>
      <c r="F84" s="289"/>
      <c r="G84" s="376"/>
      <c r="H84" s="289"/>
      <c r="I84" s="289"/>
      <c r="J84" s="289"/>
      <c r="K84" s="289"/>
      <c r="L84" s="376"/>
      <c r="M84" s="289" t="s">
        <v>504</v>
      </c>
      <c r="N84" s="289"/>
      <c r="O84" s="289"/>
      <c r="P84" s="378"/>
      <c r="Q84" s="3"/>
      <c r="R84" s="3"/>
      <c r="S84" s="376"/>
      <c r="T84" s="418">
        <f t="shared" si="12"/>
        <v>58</v>
      </c>
      <c r="U84" s="376"/>
      <c r="V84" s="370">
        <f t="shared" si="9"/>
        <v>0.23470211437135213</v>
      </c>
      <c r="W84" s="289"/>
      <c r="X84" s="370">
        <f t="shared" si="10"/>
        <v>0.27297374384349204</v>
      </c>
      <c r="Y84" s="429"/>
      <c r="Z84" s="421">
        <f t="shared" si="2"/>
        <v>0.26805456961536012</v>
      </c>
      <c r="AA84" s="429"/>
      <c r="AB84" s="421">
        <f t="shared" si="3"/>
        <v>0.25369359291921145</v>
      </c>
      <c r="AC84" s="430"/>
      <c r="AD84" s="424">
        <f t="shared" si="4"/>
        <v>0.26630828553824171</v>
      </c>
      <c r="AE84" s="431"/>
      <c r="AF84" s="421">
        <f t="shared" si="5"/>
        <v>0.31894143694793475</v>
      </c>
      <c r="AG84" s="421">
        <f t="shared" si="6"/>
        <v>1.6255182982138463</v>
      </c>
      <c r="AH84" s="426">
        <f t="shared" si="7"/>
        <v>1.7250396169806843E-2</v>
      </c>
      <c r="AI84" s="421">
        <f t="shared" si="8"/>
        <v>0.31094371399191817</v>
      </c>
      <c r="AJ84" s="325"/>
      <c r="AK84" s="439">
        <v>26.3</v>
      </c>
      <c r="AL84" s="440">
        <v>0.42</v>
      </c>
      <c r="AM84" s="325"/>
      <c r="AN84" s="325"/>
      <c r="AO84" s="325"/>
      <c r="AP84" s="325"/>
      <c r="AQ84" s="325"/>
      <c r="AR84" s="325"/>
      <c r="AS84" s="325"/>
      <c r="AT84" s="325"/>
      <c r="AU84" s="325"/>
      <c r="AV84" s="325"/>
      <c r="AW84" s="325"/>
      <c r="AX84" s="325"/>
      <c r="AY84" s="325"/>
      <c r="AZ84" s="325"/>
      <c r="BA84" s="325"/>
      <c r="BB84" s="325"/>
      <c r="BC84" s="325"/>
      <c r="BD84" s="325"/>
      <c r="BE84" s="325"/>
      <c r="BF84" s="325"/>
      <c r="BG84" s="325"/>
      <c r="BH84" s="325"/>
      <c r="BI84" s="325"/>
      <c r="BJ84" s="325"/>
      <c r="BK84" s="325"/>
      <c r="BL84" s="325"/>
      <c r="BM84" s="325"/>
      <c r="BN84" s="325"/>
      <c r="BO84" s="325"/>
      <c r="BP84" s="325"/>
      <c r="BQ84" s="325"/>
    </row>
    <row r="85" spans="1:69" ht="14.25" customHeight="1" x14ac:dyDescent="0.2">
      <c r="A85" s="3"/>
      <c r="B85" s="376"/>
      <c r="C85" s="289" t="s">
        <v>507</v>
      </c>
      <c r="D85" s="367">
        <v>7.2989509999999997E-3</v>
      </c>
      <c r="E85" s="367">
        <v>0</v>
      </c>
      <c r="F85" s="289"/>
      <c r="G85" s="376"/>
      <c r="H85" s="289" t="s">
        <v>510</v>
      </c>
      <c r="I85" s="289"/>
      <c r="J85" s="289"/>
      <c r="K85" s="289"/>
      <c r="L85" s="376"/>
      <c r="M85" s="382" t="s">
        <v>507</v>
      </c>
      <c r="N85" s="369" cm="1">
        <f t="array" aca="1" ref="N85:N86" ca="1">D80:D81+MMULT(D85:E86,N81:N82)</f>
        <v>-3.863138684582762E-2</v>
      </c>
      <c r="O85" s="289"/>
      <c r="P85" s="378"/>
      <c r="Q85" s="3"/>
      <c r="R85" s="3"/>
      <c r="S85" s="376"/>
      <c r="T85" s="418">
        <f t="shared" si="12"/>
        <v>59</v>
      </c>
      <c r="U85" s="376"/>
      <c r="V85" s="370">
        <f t="shared" si="9"/>
        <v>0.22890951590347799</v>
      </c>
      <c r="W85" s="289"/>
      <c r="X85" s="370">
        <f t="shared" si="10"/>
        <v>0.26832133731550545</v>
      </c>
      <c r="Y85" s="429"/>
      <c r="Z85" s="421">
        <f t="shared" si="2"/>
        <v>0.26438720072401245</v>
      </c>
      <c r="AA85" s="429"/>
      <c r="AB85" s="421">
        <f t="shared" si="3"/>
        <v>0.25025741420947351</v>
      </c>
      <c r="AC85" s="430"/>
      <c r="AD85" s="424">
        <f t="shared" si="4"/>
        <v>0.26115136776853154</v>
      </c>
      <c r="AE85" s="431"/>
      <c r="AF85" s="421">
        <f t="shared" si="5"/>
        <v>0.31741885949726034</v>
      </c>
      <c r="AG85" s="421">
        <f t="shared" si="6"/>
        <v>1.6389641934957315</v>
      </c>
      <c r="AH85" s="426">
        <f t="shared" si="7"/>
        <v>1.6841338218325692E-2</v>
      </c>
      <c r="AI85" s="421">
        <f t="shared" si="8"/>
        <v>0.30864003509667731</v>
      </c>
      <c r="AJ85" s="325"/>
      <c r="AK85" s="439">
        <v>29</v>
      </c>
      <c r="AL85" s="440">
        <v>0.41499999999999998</v>
      </c>
      <c r="AM85" s="325"/>
      <c r="AN85" s="325"/>
      <c r="AO85" s="325"/>
      <c r="AP85" s="325"/>
      <c r="AQ85" s="325"/>
      <c r="AR85" s="325"/>
      <c r="AS85" s="325"/>
      <c r="AT85" s="325"/>
      <c r="AU85" s="325"/>
      <c r="AV85" s="325"/>
      <c r="AW85" s="325"/>
      <c r="AX85" s="325"/>
      <c r="AY85" s="325"/>
      <c r="AZ85" s="325"/>
      <c r="BA85" s="325"/>
      <c r="BB85" s="325"/>
      <c r="BC85" s="325"/>
      <c r="BD85" s="325"/>
      <c r="BE85" s="325"/>
      <c r="BF85" s="325"/>
      <c r="BG85" s="325"/>
      <c r="BH85" s="325"/>
      <c r="BI85" s="325"/>
      <c r="BJ85" s="325"/>
      <c r="BK85" s="325"/>
      <c r="BL85" s="325"/>
      <c r="BM85" s="325"/>
      <c r="BN85" s="325"/>
      <c r="BO85" s="325"/>
      <c r="BP85" s="325"/>
      <c r="BQ85" s="325"/>
    </row>
    <row r="86" spans="1:69" ht="14.25" customHeight="1" x14ac:dyDescent="0.2">
      <c r="A86" s="3"/>
      <c r="B86" s="376"/>
      <c r="C86" s="289" t="s">
        <v>508</v>
      </c>
      <c r="D86" s="367">
        <v>-9.7924896999999997E-2</v>
      </c>
      <c r="E86" s="367">
        <v>9.4913639999999994E-2</v>
      </c>
      <c r="F86" s="289"/>
      <c r="G86" s="376"/>
      <c r="H86" s="289"/>
      <c r="I86" s="289"/>
      <c r="J86" s="289"/>
      <c r="K86" s="289"/>
      <c r="L86" s="376"/>
      <c r="M86" s="382" t="s">
        <v>508</v>
      </c>
      <c r="N86" s="369">
        <f ca="1"/>
        <v>-3.0171643136497965</v>
      </c>
      <c r="O86" s="289"/>
      <c r="P86" s="378"/>
      <c r="Q86" s="3"/>
      <c r="R86" s="3"/>
      <c r="S86" s="376"/>
      <c r="T86" s="418">
        <f t="shared" si="12"/>
        <v>60</v>
      </c>
      <c r="U86" s="376"/>
      <c r="V86" s="370">
        <f t="shared" si="9"/>
        <v>0.22325988247492573</v>
      </c>
      <c r="W86" s="289"/>
      <c r="X86" s="370">
        <f t="shared" si="10"/>
        <v>0.26376590914594378</v>
      </c>
      <c r="Y86" s="429"/>
      <c r="Z86" s="421">
        <f t="shared" si="2"/>
        <v>0.26080653832428069</v>
      </c>
      <c r="AA86" s="429"/>
      <c r="AB86" s="421">
        <f t="shared" si="3"/>
        <v>0.24690935481190301</v>
      </c>
      <c r="AC86" s="430"/>
      <c r="AD86" s="424">
        <f t="shared" si="4"/>
        <v>0.25610232865710136</v>
      </c>
      <c r="AE86" s="431"/>
      <c r="AF86" s="421">
        <f t="shared" si="5"/>
        <v>0.31596356895826566</v>
      </c>
      <c r="AG86" s="421">
        <f t="shared" si="6"/>
        <v>1.6521840966140384</v>
      </c>
      <c r="AH86" s="426">
        <f t="shared" si="7"/>
        <v>1.644861357691027E-2</v>
      </c>
      <c r="AI86" s="421">
        <f t="shared" si="8"/>
        <v>0.30639103064483253</v>
      </c>
      <c r="AJ86" s="325"/>
      <c r="AK86" s="439">
        <v>29.8</v>
      </c>
      <c r="AL86" s="440">
        <v>0.40100000000000002</v>
      </c>
      <c r="AM86" s="325"/>
      <c r="AN86" s="325"/>
      <c r="AO86" s="325"/>
      <c r="AP86" s="325"/>
      <c r="AQ86" s="325"/>
      <c r="AR86" s="325"/>
      <c r="AS86" s="325"/>
      <c r="AT86" s="325"/>
      <c r="AU86" s="325"/>
      <c r="AV86" s="325"/>
      <c r="AW86" s="325"/>
      <c r="AX86" s="325"/>
      <c r="AY86" s="325"/>
      <c r="AZ86" s="325"/>
      <c r="BA86" s="325"/>
      <c r="BB86" s="325"/>
      <c r="BC86" s="325"/>
      <c r="BD86" s="325"/>
      <c r="BE86" s="325"/>
      <c r="BF86" s="325"/>
      <c r="BG86" s="325"/>
      <c r="BH86" s="325"/>
      <c r="BI86" s="325"/>
      <c r="BJ86" s="325"/>
      <c r="BK86" s="325"/>
      <c r="BL86" s="325"/>
      <c r="BM86" s="325"/>
      <c r="BN86" s="325"/>
      <c r="BO86" s="325"/>
      <c r="BP86" s="325"/>
      <c r="BQ86" s="325"/>
    </row>
    <row r="87" spans="1:69" ht="14.25" customHeight="1" x14ac:dyDescent="0.2">
      <c r="A87" s="3"/>
      <c r="B87" s="376"/>
      <c r="C87" s="289"/>
      <c r="D87" s="289"/>
      <c r="E87" s="289"/>
      <c r="F87" s="289"/>
      <c r="G87" s="376"/>
      <c r="H87" s="289"/>
      <c r="I87" s="289"/>
      <c r="J87" s="289"/>
      <c r="K87" s="289"/>
      <c r="L87" s="376"/>
      <c r="M87" s="289"/>
      <c r="N87" s="289"/>
      <c r="O87" s="289"/>
      <c r="P87" s="378"/>
      <c r="Q87" s="3"/>
      <c r="R87" s="3"/>
      <c r="S87" s="376"/>
      <c r="T87" s="418">
        <f t="shared" si="12"/>
        <v>61</v>
      </c>
      <c r="U87" s="376"/>
      <c r="V87" s="370">
        <f t="shared" si="9"/>
        <v>0.21774968561698099</v>
      </c>
      <c r="W87" s="289"/>
      <c r="X87" s="370">
        <f t="shared" si="10"/>
        <v>0.25930485120218527</v>
      </c>
      <c r="Y87" s="429"/>
      <c r="Z87" s="421">
        <f t="shared" si="2"/>
        <v>0.2573095562583092</v>
      </c>
      <c r="AA87" s="429"/>
      <c r="AB87" s="421">
        <f t="shared" si="3"/>
        <v>0.2436461304925609</v>
      </c>
      <c r="AC87" s="430"/>
      <c r="AD87" s="424">
        <f t="shared" si="4"/>
        <v>0.25115856584203411</v>
      </c>
      <c r="AE87" s="431"/>
      <c r="AF87" s="421">
        <f t="shared" si="5"/>
        <v>0.31457233270312679</v>
      </c>
      <c r="AG87" s="421">
        <f t="shared" si="6"/>
        <v>1.66518547890307</v>
      </c>
      <c r="AH87" s="426">
        <f t="shared" si="7"/>
        <v>1.6071313868132469E-2</v>
      </c>
      <c r="AI87" s="421">
        <f t="shared" si="8"/>
        <v>0.30419454392519413</v>
      </c>
      <c r="AJ87" s="325"/>
      <c r="AK87" s="439">
        <v>30.9</v>
      </c>
      <c r="AL87" s="440">
        <v>0.39300000000000002</v>
      </c>
      <c r="AM87" s="325"/>
      <c r="AN87" s="325"/>
      <c r="AO87" s="325"/>
      <c r="AP87" s="325"/>
      <c r="AQ87" s="325"/>
      <c r="AR87" s="325"/>
      <c r="AS87" s="325"/>
      <c r="AT87" s="325"/>
      <c r="AU87" s="325"/>
      <c r="AV87" s="325"/>
      <c r="AW87" s="325"/>
      <c r="AX87" s="325"/>
      <c r="AY87" s="325"/>
      <c r="AZ87" s="325"/>
      <c r="BA87" s="325"/>
      <c r="BB87" s="325"/>
      <c r="BC87" s="325"/>
      <c r="BD87" s="325"/>
      <c r="BE87" s="325"/>
      <c r="BF87" s="325"/>
      <c r="BG87" s="325"/>
      <c r="BH87" s="325"/>
      <c r="BI87" s="325"/>
      <c r="BJ87" s="325"/>
      <c r="BK87" s="325"/>
      <c r="BL87" s="325"/>
      <c r="BM87" s="325"/>
      <c r="BN87" s="325"/>
      <c r="BO87" s="325"/>
      <c r="BP87" s="325"/>
      <c r="BQ87" s="325"/>
    </row>
    <row r="88" spans="1:69" ht="14.25" customHeight="1" x14ac:dyDescent="0.2">
      <c r="A88" s="3"/>
      <c r="B88" s="376"/>
      <c r="C88" s="377" t="s">
        <v>492</v>
      </c>
      <c r="D88" s="289"/>
      <c r="E88" s="289"/>
      <c r="F88" s="289"/>
      <c r="G88" s="376"/>
      <c r="H88" s="289"/>
      <c r="I88" s="289"/>
      <c r="J88" s="289"/>
      <c r="K88" s="289"/>
      <c r="L88" s="376"/>
      <c r="M88" s="390" t="s">
        <v>183</v>
      </c>
      <c r="N88" s="392">
        <f ca="1">N85</f>
        <v>-3.863138684582762E-2</v>
      </c>
      <c r="O88" s="289"/>
      <c r="P88" s="378"/>
      <c r="Q88" s="3"/>
      <c r="R88" s="3"/>
      <c r="S88" s="376"/>
      <c r="T88" s="418">
        <f t="shared" si="12"/>
        <v>62</v>
      </c>
      <c r="U88" s="376"/>
      <c r="V88" s="370">
        <f t="shared" si="9"/>
        <v>0.21237548394579675</v>
      </c>
      <c r="W88" s="289"/>
      <c r="X88" s="370">
        <f t="shared" si="10"/>
        <v>0.25493564916958394</v>
      </c>
      <c r="Y88" s="429"/>
      <c r="Z88" s="421">
        <f t="shared" si="2"/>
        <v>0.25389336990581635</v>
      </c>
      <c r="AA88" s="429"/>
      <c r="AB88" s="421">
        <f t="shared" si="3"/>
        <v>0.24046461615994102</v>
      </c>
      <c r="AC88" s="430"/>
      <c r="AD88" s="424">
        <f t="shared" si="4"/>
        <v>0.24631755688902457</v>
      </c>
      <c r="AE88" s="431"/>
      <c r="AF88" s="421">
        <f t="shared" si="5"/>
        <v>0.31324209355300092</v>
      </c>
      <c r="AG88" s="421">
        <f t="shared" si="6"/>
        <v>1.6779754472088582</v>
      </c>
      <c r="AH88" s="426">
        <f t="shared" si="7"/>
        <v>1.5708595024383421E-2</v>
      </c>
      <c r="AI88" s="421">
        <f t="shared" si="8"/>
        <v>0.30204853597609171</v>
      </c>
      <c r="AJ88" s="325"/>
      <c r="AK88" s="439">
        <v>35.700000000000003</v>
      </c>
      <c r="AL88" s="440">
        <v>0.39</v>
      </c>
      <c r="AM88" s="325"/>
      <c r="AN88" s="325"/>
      <c r="AO88" s="325"/>
      <c r="AP88" s="325"/>
      <c r="AQ88" s="325"/>
      <c r="AR88" s="325"/>
      <c r="AS88" s="325"/>
      <c r="AT88" s="325"/>
      <c r="AU88" s="325"/>
      <c r="AV88" s="325"/>
      <c r="AW88" s="325"/>
      <c r="AX88" s="325"/>
      <c r="AY88" s="325"/>
      <c r="AZ88" s="325"/>
      <c r="BA88" s="325"/>
      <c r="BB88" s="325"/>
      <c r="BC88" s="325"/>
      <c r="BD88" s="325"/>
      <c r="BE88" s="325"/>
      <c r="BF88" s="325"/>
      <c r="BG88" s="325"/>
      <c r="BH88" s="325"/>
      <c r="BI88" s="325"/>
      <c r="BJ88" s="325"/>
      <c r="BK88" s="325"/>
      <c r="BL88" s="325"/>
      <c r="BM88" s="325"/>
      <c r="BN88" s="325"/>
      <c r="BO88" s="325"/>
      <c r="BP88" s="325"/>
      <c r="BQ88" s="325"/>
    </row>
    <row r="89" spans="1:69" ht="14.25" customHeight="1" x14ac:dyDescent="0.2">
      <c r="A89" s="3"/>
      <c r="B89" s="383"/>
      <c r="C89" s="393" t="s">
        <v>493</v>
      </c>
      <c r="D89" s="385">
        <v>-501.26150000000001</v>
      </c>
      <c r="E89" s="386"/>
      <c r="F89" s="386"/>
      <c r="G89" s="383"/>
      <c r="H89" s="386"/>
      <c r="I89" s="386"/>
      <c r="J89" s="386"/>
      <c r="K89" s="386"/>
      <c r="L89" s="383"/>
      <c r="M89" s="391" t="s">
        <v>185</v>
      </c>
      <c r="N89" s="371">
        <f ca="1">EXP(N86)</f>
        <v>4.8939799704543735E-2</v>
      </c>
      <c r="O89" s="386"/>
      <c r="P89" s="387"/>
      <c r="Q89" s="3"/>
      <c r="R89" s="3"/>
      <c r="S89" s="376"/>
      <c r="T89" s="418">
        <f t="shared" si="12"/>
        <v>63</v>
      </c>
      <c r="U89" s="376"/>
      <c r="V89" s="370">
        <f t="shared" si="9"/>
        <v>0.20713392101308289</v>
      </c>
      <c r="W89" s="289"/>
      <c r="X89" s="370">
        <f t="shared" si="10"/>
        <v>0.25065587804323802</v>
      </c>
      <c r="Y89" s="429"/>
      <c r="Z89" s="421">
        <f t="shared" si="2"/>
        <v>0.25055522785232753</v>
      </c>
      <c r="AA89" s="429"/>
      <c r="AB89" s="421">
        <f t="shared" si="3"/>
        <v>0.23736183644122344</v>
      </c>
      <c r="AC89" s="430"/>
      <c r="AD89" s="424">
        <f t="shared" si="4"/>
        <v>0.24157685588694822</v>
      </c>
      <c r="AE89" s="431"/>
      <c r="AF89" s="421">
        <f t="shared" si="5"/>
        <v>0.3119699587362631</v>
      </c>
      <c r="AG89" s="421">
        <f t="shared" si="6"/>
        <v>1.6905607672189895</v>
      </c>
      <c r="AH89" s="426">
        <f t="shared" si="7"/>
        <v>1.5359671789571793E-2</v>
      </c>
      <c r="AI89" s="421">
        <f t="shared" si="8"/>
        <v>0.29995107743461036</v>
      </c>
      <c r="AJ89" s="325"/>
      <c r="AK89" s="439">
        <v>35.9</v>
      </c>
      <c r="AL89" s="440">
        <v>0.38</v>
      </c>
      <c r="AM89" s="325"/>
      <c r="AN89" s="325"/>
      <c r="AO89" s="325"/>
      <c r="AP89" s="325"/>
      <c r="AQ89" s="325"/>
      <c r="AR89" s="325"/>
      <c r="AS89" s="325"/>
      <c r="AT89" s="325"/>
      <c r="AU89" s="325"/>
      <c r="AV89" s="325"/>
      <c r="AW89" s="325"/>
      <c r="AX89" s="325"/>
      <c r="AY89" s="325"/>
      <c r="AZ89" s="325"/>
      <c r="BA89" s="325"/>
      <c r="BB89" s="325"/>
      <c r="BC89" s="325"/>
      <c r="BD89" s="325"/>
      <c r="BE89" s="325"/>
      <c r="BF89" s="325"/>
      <c r="BG89" s="325"/>
      <c r="BH89" s="325"/>
      <c r="BI89" s="325"/>
      <c r="BJ89" s="325"/>
      <c r="BK89" s="325"/>
      <c r="BL89" s="325"/>
      <c r="BM89" s="325"/>
      <c r="BN89" s="325"/>
      <c r="BO89" s="325"/>
      <c r="BP89" s="325"/>
      <c r="BQ89" s="325"/>
    </row>
    <row r="90" spans="1:69" ht="14.25" customHeight="1" x14ac:dyDescent="0.2">
      <c r="A90" s="3"/>
      <c r="B90" s="289"/>
      <c r="C90" s="3"/>
      <c r="D90" s="3"/>
      <c r="E90" s="3"/>
      <c r="F90" s="3"/>
      <c r="G90" s="289"/>
      <c r="H90" s="3"/>
      <c r="I90" s="3"/>
      <c r="J90" s="3"/>
      <c r="K90" s="3"/>
      <c r="L90" s="289"/>
      <c r="M90" s="3"/>
      <c r="N90" s="3"/>
      <c r="O90" s="3"/>
      <c r="P90" s="3"/>
      <c r="Q90" s="3"/>
      <c r="R90" s="3"/>
      <c r="S90" s="376"/>
      <c r="T90" s="418">
        <f t="shared" si="12"/>
        <v>64</v>
      </c>
      <c r="U90" s="376"/>
      <c r="V90" s="370">
        <f t="shared" si="9"/>
        <v>0.20202172320984235</v>
      </c>
      <c r="W90" s="289"/>
      <c r="X90" s="370">
        <f t="shared" si="10"/>
        <v>0.24646319789962676</v>
      </c>
      <c r="Y90" s="429"/>
      <c r="Z90" s="421">
        <f t="shared" si="2"/>
        <v>0.2472925041486782</v>
      </c>
      <c r="AA90" s="429"/>
      <c r="AB90" s="421">
        <f t="shared" si="3"/>
        <v>0.23433495691392486</v>
      </c>
      <c r="AC90" s="430"/>
      <c r="AD90" s="424">
        <f t="shared" si="4"/>
        <v>0.23693409024440337</v>
      </c>
      <c r="AE90" s="431"/>
      <c r="AF90" s="421">
        <f t="shared" si="5"/>
        <v>0.31075318965196952</v>
      </c>
      <c r="AG90" s="421">
        <f t="shared" si="6"/>
        <v>1.7029478849551929</v>
      </c>
      <c r="AH90" s="426">
        <f t="shared" si="7"/>
        <v>1.5023812769221021E-2</v>
      </c>
      <c r="AI90" s="421">
        <f t="shared" si="8"/>
        <v>0.29790034106519253</v>
      </c>
      <c r="AJ90" s="325"/>
      <c r="AK90" s="439">
        <v>40</v>
      </c>
      <c r="AL90" s="440">
        <v>0.379</v>
      </c>
      <c r="AM90" s="325"/>
      <c r="AN90" s="325"/>
      <c r="AO90" s="325"/>
      <c r="AP90" s="325"/>
      <c r="AQ90" s="325"/>
      <c r="AR90" s="325"/>
      <c r="AS90" s="325"/>
      <c r="AT90" s="325"/>
      <c r="AU90" s="325"/>
      <c r="AV90" s="325"/>
      <c r="AW90" s="325"/>
      <c r="AX90" s="325"/>
      <c r="AY90" s="325"/>
      <c r="AZ90" s="325"/>
      <c r="BA90" s="325"/>
      <c r="BB90" s="325"/>
      <c r="BC90" s="325"/>
      <c r="BD90" s="325"/>
      <c r="BE90" s="325"/>
      <c r="BF90" s="325"/>
      <c r="BG90" s="325"/>
      <c r="BH90" s="325"/>
      <c r="BI90" s="325"/>
      <c r="BJ90" s="325"/>
      <c r="BK90" s="325"/>
      <c r="BL90" s="325"/>
      <c r="BM90" s="325"/>
      <c r="BN90" s="325"/>
      <c r="BO90" s="325"/>
      <c r="BP90" s="325"/>
      <c r="BQ90" s="325"/>
    </row>
    <row r="91" spans="1:69" ht="14.25" customHeight="1" x14ac:dyDescent="0.2">
      <c r="A91" s="3"/>
      <c r="B91" s="372"/>
      <c r="C91" s="373" t="s">
        <v>511</v>
      </c>
      <c r="D91" s="374"/>
      <c r="E91" s="374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5"/>
      <c r="Q91" s="3"/>
      <c r="R91" s="3"/>
      <c r="S91" s="376"/>
      <c r="T91" s="418">
        <f t="shared" si="12"/>
        <v>65</v>
      </c>
      <c r="U91" s="376"/>
      <c r="V91" s="370">
        <f t="shared" si="9"/>
        <v>0.19703569772184418</v>
      </c>
      <c r="W91" s="289"/>
      <c r="X91" s="370">
        <f t="shared" si="10"/>
        <v>0.24235534992663021</v>
      </c>
      <c r="Y91" s="429"/>
      <c r="Z91" s="421">
        <f t="shared" si="2"/>
        <v>0.2441026911127413</v>
      </c>
      <c r="AA91" s="429"/>
      <c r="AB91" s="421">
        <f t="shared" si="3"/>
        <v>0.23138127594088342</v>
      </c>
      <c r="AC91" s="430"/>
      <c r="AD91" s="424">
        <f t="shared" si="4"/>
        <v>0.23238695767188278</v>
      </c>
      <c r="AE91" s="431"/>
      <c r="AF91" s="421">
        <f t="shared" si="5"/>
        <v>0.309589192371928</v>
      </c>
      <c r="AG91" s="421">
        <f t="shared" si="6"/>
        <v>1.7151429465996306</v>
      </c>
      <c r="AH91" s="426">
        <f t="shared" si="7"/>
        <v>1.4700335966696881E-2</v>
      </c>
      <c r="AI91" s="421">
        <f t="shared" si="8"/>
        <v>0.29589459490169845</v>
      </c>
      <c r="AJ91" s="325"/>
      <c r="AK91" s="439">
        <v>40.6</v>
      </c>
      <c r="AL91" s="440">
        <v>0.37</v>
      </c>
      <c r="AM91" s="325"/>
      <c r="AN91" s="325"/>
      <c r="AO91" s="325"/>
      <c r="AP91" s="325"/>
      <c r="AQ91" s="325"/>
      <c r="AR91" s="325"/>
      <c r="AS91" s="325"/>
      <c r="AT91" s="325"/>
      <c r="AU91" s="325"/>
      <c r="AV91" s="325"/>
      <c r="AW91" s="325"/>
      <c r="AX91" s="325"/>
      <c r="AY91" s="325"/>
      <c r="AZ91" s="325"/>
      <c r="BA91" s="325"/>
      <c r="BB91" s="325"/>
      <c r="BC91" s="325"/>
      <c r="BD91" s="325"/>
      <c r="BE91" s="325"/>
      <c r="BF91" s="325"/>
      <c r="BG91" s="325"/>
      <c r="BH91" s="325"/>
      <c r="BI91" s="325"/>
      <c r="BJ91" s="325"/>
      <c r="BK91" s="325"/>
      <c r="BL91" s="325"/>
      <c r="BM91" s="325"/>
      <c r="BN91" s="325"/>
      <c r="BO91" s="325"/>
      <c r="BP91" s="325"/>
      <c r="BQ91" s="325"/>
    </row>
    <row r="92" spans="1:69" ht="14.25" customHeight="1" x14ac:dyDescent="0.2">
      <c r="A92" s="3"/>
      <c r="B92" s="376"/>
      <c r="C92" s="377" t="s">
        <v>487</v>
      </c>
      <c r="D92" s="289"/>
      <c r="E92" s="289"/>
      <c r="F92" s="289"/>
      <c r="G92" s="388"/>
      <c r="H92" s="377" t="s">
        <v>494</v>
      </c>
      <c r="I92" s="289"/>
      <c r="J92" s="289"/>
      <c r="K92" s="289"/>
      <c r="L92" s="394"/>
      <c r="M92" s="377" t="s">
        <v>495</v>
      </c>
      <c r="N92" s="289"/>
      <c r="O92" s="289"/>
      <c r="P92" s="378"/>
      <c r="Q92" s="3"/>
      <c r="R92" s="3"/>
      <c r="S92" s="376"/>
      <c r="T92" s="418">
        <f t="shared" si="12"/>
        <v>66</v>
      </c>
      <c r="U92" s="376"/>
      <c r="V92" s="370">
        <f t="shared" si="9"/>
        <v>0.1921727305355572</v>
      </c>
      <c r="W92" s="289"/>
      <c r="X92" s="370">
        <f t="shared" ref="X92:X155" si="13">EXP(-1*(T92/$X$21)^$X$22)</f>
        <v>0.2383301526924104</v>
      </c>
      <c r="Y92" s="429"/>
      <c r="Z92" s="421">
        <f t="shared" ref="Z92:Z155" si="14">1-_xlfn.NORM.DIST(LN(T92),$Z$21,$Z$22,TRUE)</f>
        <v>0.24098339262899171</v>
      </c>
      <c r="AA92" s="429"/>
      <c r="AB92" s="421">
        <f t="shared" ref="AB92:AB155" si="15">(1+(T92/$AB$21)^$AB$22)^-1</f>
        <v>0.22849821706114079</v>
      </c>
      <c r="AC92" s="430"/>
      <c r="AD92" s="424">
        <f t="shared" ref="AD92:AD155" si="16">1-_xlfn.GAMMA.DIST(T92,$AD$21,1/$AD$22,TRUE)</f>
        <v>0.22793322333563037</v>
      </c>
      <c r="AE92" s="431"/>
      <c r="AF92" s="421">
        <f t="shared" ref="AF92:AF155" si="17">EXP((-$AF$22/$AF$21)*(EXP($AF$21*T92)-1))</f>
        <v>0.30847550882086106</v>
      </c>
      <c r="AG92" s="421">
        <f t="shared" ref="AG92:AG155" si="18">(LN(T92)-$AH$21)/$AH$22</f>
        <v>1.7271518168075448</v>
      </c>
      <c r="AH92" s="426">
        <f t="shared" ref="AH92:AH155" si="19">$AH$24*EXP(ABS($AH$23)*-AG92)</f>
        <v>1.4388604751201732E-2</v>
      </c>
      <c r="AI92" s="421">
        <f t="shared" ref="AI92:AI155" si="20">_xlfn.GAMMA.DIST(AH92,$AH$24,1,TRUE)</f>
        <v>0.29393219594428982</v>
      </c>
      <c r="AJ92" s="325"/>
      <c r="AK92" s="439">
        <v>40.9</v>
      </c>
      <c r="AL92" s="440">
        <v>0.36199999999999999</v>
      </c>
      <c r="AM92" s="325"/>
      <c r="AN92" s="325"/>
      <c r="AO92" s="325"/>
      <c r="AP92" s="325"/>
      <c r="AQ92" s="325"/>
      <c r="AR92" s="325"/>
      <c r="AS92" s="325"/>
      <c r="AT92" s="325"/>
      <c r="AU92" s="325"/>
      <c r="AV92" s="325"/>
      <c r="AW92" s="325"/>
      <c r="AX92" s="325"/>
      <c r="AY92" s="325"/>
      <c r="AZ92" s="325"/>
      <c r="BA92" s="325"/>
      <c r="BB92" s="325"/>
      <c r="BC92" s="325"/>
      <c r="BD92" s="325"/>
      <c r="BE92" s="325"/>
      <c r="BF92" s="325"/>
      <c r="BG92" s="325"/>
      <c r="BH92" s="325"/>
      <c r="BI92" s="325"/>
      <c r="BJ92" s="325"/>
      <c r="BK92" s="325"/>
      <c r="BL92" s="325"/>
      <c r="BM92" s="325"/>
      <c r="BN92" s="325"/>
      <c r="BO92" s="325"/>
      <c r="BP92" s="325"/>
      <c r="BQ92" s="325"/>
    </row>
    <row r="93" spans="1:69" ht="14.25" customHeight="1" x14ac:dyDescent="0.2">
      <c r="A93" s="3"/>
      <c r="B93" s="376"/>
      <c r="C93" s="289"/>
      <c r="D93" s="379" t="s">
        <v>500</v>
      </c>
      <c r="E93" s="379" t="s">
        <v>503</v>
      </c>
      <c r="F93" s="289"/>
      <c r="G93" s="376"/>
      <c r="H93" s="289"/>
      <c r="I93" s="289"/>
      <c r="J93" s="289"/>
      <c r="K93" s="289"/>
      <c r="L93" s="376"/>
      <c r="M93" s="289"/>
      <c r="N93" s="289"/>
      <c r="O93" s="289"/>
      <c r="P93" s="378"/>
      <c r="Q93" s="3"/>
      <c r="R93" s="3"/>
      <c r="S93" s="376"/>
      <c r="T93" s="418">
        <f t="shared" si="12"/>
        <v>67</v>
      </c>
      <c r="U93" s="376"/>
      <c r="V93" s="370">
        <f t="shared" ref="V93:V156" si="21">EXP(-1*$V$21*T93)</f>
        <v>0.18742978449329806</v>
      </c>
      <c r="W93" s="289"/>
      <c r="X93" s="370">
        <f t="shared" si="13"/>
        <v>0.23438549863538408</v>
      </c>
      <c r="Y93" s="429"/>
      <c r="Z93" s="421">
        <f t="shared" si="14"/>
        <v>0.2379323179056555</v>
      </c>
      <c r="AA93" s="429"/>
      <c r="AB93" s="421">
        <f t="shared" si="15"/>
        <v>0.22568332189345683</v>
      </c>
      <c r="AC93" s="430"/>
      <c r="AD93" s="424">
        <f t="shared" si="16"/>
        <v>0.2235707171705279</v>
      </c>
      <c r="AE93" s="431"/>
      <c r="AF93" s="421">
        <f t="shared" si="17"/>
        <v>0.30740980857964306</v>
      </c>
      <c r="AG93" s="421">
        <f t="shared" si="18"/>
        <v>1.7389800956428554</v>
      </c>
      <c r="AH93" s="426">
        <f t="shared" si="19"/>
        <v>1.408802420996897E-2</v>
      </c>
      <c r="AI93" s="421">
        <f t="shared" si="20"/>
        <v>0.2920115843588616</v>
      </c>
      <c r="AJ93" s="325"/>
      <c r="AK93" s="439">
        <v>41.4</v>
      </c>
      <c r="AL93" s="440">
        <v>0.36099999999999999</v>
      </c>
      <c r="AM93" s="325"/>
      <c r="AN93" s="325"/>
      <c r="AO93" s="325"/>
      <c r="AP93" s="325"/>
      <c r="AQ93" s="325"/>
      <c r="AR93" s="325"/>
      <c r="AS93" s="325"/>
      <c r="AT93" s="325"/>
      <c r="AU93" s="325"/>
      <c r="AV93" s="325"/>
      <c r="AW93" s="325"/>
      <c r="AX93" s="325"/>
      <c r="AY93" s="325"/>
      <c r="AZ93" s="325"/>
      <c r="BA93" s="325"/>
      <c r="BB93" s="325"/>
      <c r="BC93" s="325"/>
      <c r="BD93" s="325"/>
      <c r="BE93" s="325"/>
      <c r="BF93" s="325"/>
      <c r="BG93" s="325"/>
      <c r="BH93" s="325"/>
      <c r="BI93" s="325"/>
      <c r="BJ93" s="325"/>
      <c r="BK93" s="325"/>
      <c r="BL93" s="325"/>
      <c r="BM93" s="325"/>
      <c r="BN93" s="325"/>
      <c r="BO93" s="325"/>
      <c r="BP93" s="325"/>
      <c r="BQ93" s="325"/>
    </row>
    <row r="94" spans="1:69" ht="14.25" customHeight="1" x14ac:dyDescent="0.2">
      <c r="A94" s="3"/>
      <c r="B94" s="376"/>
      <c r="C94" s="382" t="s">
        <v>512</v>
      </c>
      <c r="D94" s="367">
        <v>1.993841</v>
      </c>
      <c r="E94" s="367">
        <v>0.22154599999999999</v>
      </c>
      <c r="F94" s="289"/>
      <c r="G94" s="376"/>
      <c r="H94" s="390" t="s">
        <v>512</v>
      </c>
      <c r="I94" s="392">
        <f>D94</f>
        <v>1.993841</v>
      </c>
      <c r="J94" s="289"/>
      <c r="K94" s="289"/>
      <c r="L94" s="376"/>
      <c r="M94" s="289" t="s">
        <v>496</v>
      </c>
      <c r="N94" s="289"/>
      <c r="O94" s="289"/>
      <c r="P94" s="378"/>
      <c r="Q94" s="3"/>
      <c r="R94" s="3"/>
      <c r="S94" s="376"/>
      <c r="T94" s="418">
        <f t="shared" si="12"/>
        <v>68</v>
      </c>
      <c r="U94" s="376"/>
      <c r="V94" s="370">
        <f t="shared" si="21"/>
        <v>0.18280389739637987</v>
      </c>
      <c r="W94" s="289"/>
      <c r="X94" s="370">
        <f t="shared" si="13"/>
        <v>0.23051935075909533</v>
      </c>
      <c r="Y94" s="429"/>
      <c r="Z94" s="421">
        <f t="shared" si="14"/>
        <v>0.23494727565292262</v>
      </c>
      <c r="AA94" s="429"/>
      <c r="AB94" s="421">
        <f t="shared" si="15"/>
        <v>0.22293424351296479</v>
      </c>
      <c r="AC94" s="430"/>
      <c r="AD94" s="424">
        <f t="shared" si="16"/>
        <v>0.21929733134047114</v>
      </c>
      <c r="AE94" s="431"/>
      <c r="AF94" s="421">
        <f t="shared" si="17"/>
        <v>0.30638988126154793</v>
      </c>
      <c r="AG94" s="421">
        <f t="shared" si="18"/>
        <v>1.7506331342591235</v>
      </c>
      <c r="AH94" s="426">
        <f t="shared" si="19"/>
        <v>1.3798037842952407E-2</v>
      </c>
      <c r="AI94" s="421">
        <f t="shared" si="20"/>
        <v>0.29013127813235096</v>
      </c>
      <c r="AJ94" s="325"/>
      <c r="AK94" s="439">
        <v>41.7</v>
      </c>
      <c r="AL94" s="440">
        <v>0.35199999999999998</v>
      </c>
      <c r="AM94" s="325"/>
      <c r="AN94" s="325"/>
      <c r="AO94" s="325"/>
      <c r="AP94" s="325"/>
      <c r="AQ94" s="325"/>
      <c r="AR94" s="325"/>
      <c r="AS94" s="325"/>
      <c r="AT94" s="325"/>
      <c r="AU94" s="325"/>
      <c r="AV94" s="325"/>
      <c r="AW94" s="325"/>
      <c r="AX94" s="325"/>
      <c r="AY94" s="325"/>
      <c r="AZ94" s="325"/>
      <c r="BA94" s="325"/>
      <c r="BB94" s="325"/>
      <c r="BC94" s="325"/>
      <c r="BD94" s="325"/>
      <c r="BE94" s="325"/>
      <c r="BF94" s="325"/>
      <c r="BG94" s="325"/>
      <c r="BH94" s="325"/>
      <c r="BI94" s="325"/>
      <c r="BJ94" s="325"/>
      <c r="BK94" s="325"/>
      <c r="BL94" s="325"/>
      <c r="BM94" s="325"/>
      <c r="BN94" s="325"/>
      <c r="BO94" s="325"/>
      <c r="BP94" s="325"/>
      <c r="BQ94" s="325"/>
    </row>
    <row r="95" spans="1:69" ht="14.25" customHeight="1" x14ac:dyDescent="0.2">
      <c r="A95" s="3"/>
      <c r="B95" s="376"/>
      <c r="C95" s="382" t="s">
        <v>513</v>
      </c>
      <c r="D95" s="367">
        <v>0.24007899999999999</v>
      </c>
      <c r="E95" s="367">
        <v>9.8072160000000005E-2</v>
      </c>
      <c r="F95" s="289"/>
      <c r="G95" s="376"/>
      <c r="H95" s="382"/>
      <c r="I95" s="289"/>
      <c r="J95" s="289"/>
      <c r="K95" s="289"/>
      <c r="L95" s="376"/>
      <c r="M95" s="382" t="s">
        <v>512</v>
      </c>
      <c r="N95" s="370">
        <f ca="1">_xlfn.NORM.INV(RAND(),0,1)</f>
        <v>1.6224261054731761</v>
      </c>
      <c r="O95" s="289"/>
      <c r="P95" s="378"/>
      <c r="Q95" s="3"/>
      <c r="R95" s="3"/>
      <c r="S95" s="376"/>
      <c r="T95" s="418">
        <f t="shared" si="12"/>
        <v>69</v>
      </c>
      <c r="U95" s="376"/>
      <c r="V95" s="370">
        <f t="shared" si="21"/>
        <v>0.17829218015507606</v>
      </c>
      <c r="W95" s="289"/>
      <c r="X95" s="370">
        <f t="shared" si="13"/>
        <v>0.22672973951720313</v>
      </c>
      <c r="Y95" s="429"/>
      <c r="Z95" s="421">
        <f t="shared" si="14"/>
        <v>0.23202616864902403</v>
      </c>
      <c r="AA95" s="429"/>
      <c r="AB95" s="421">
        <f t="shared" si="15"/>
        <v>0.22024874026488156</v>
      </c>
      <c r="AC95" s="430"/>
      <c r="AD95" s="424">
        <f t="shared" si="16"/>
        <v>0.21511101783571518</v>
      </c>
      <c r="AE95" s="431"/>
      <c r="AF95" s="421">
        <f t="shared" si="17"/>
        <v>0.30541362941590433</v>
      </c>
      <c r="AG95" s="421">
        <f t="shared" si="18"/>
        <v>1.7621160494357921</v>
      </c>
      <c r="AH95" s="426">
        <f t="shared" si="19"/>
        <v>1.3518124563369508E-2</v>
      </c>
      <c r="AI95" s="421">
        <f t="shared" si="20"/>
        <v>0.2882898681421866</v>
      </c>
      <c r="AJ95" s="325"/>
      <c r="AK95" s="439">
        <v>45.5</v>
      </c>
      <c r="AL95" s="440">
        <v>0.35</v>
      </c>
      <c r="AM95" s="325"/>
      <c r="AN95" s="325"/>
      <c r="AO95" s="325"/>
      <c r="AP95" s="325"/>
      <c r="AQ95" s="325"/>
      <c r="AR95" s="325"/>
      <c r="AS95" s="325"/>
      <c r="AT95" s="325"/>
      <c r="AU95" s="325"/>
      <c r="AV95" s="325"/>
      <c r="AW95" s="325"/>
      <c r="AX95" s="325"/>
      <c r="AY95" s="325"/>
      <c r="AZ95" s="325"/>
      <c r="BA95" s="325"/>
      <c r="BB95" s="325"/>
      <c r="BC95" s="325"/>
      <c r="BD95" s="325"/>
      <c r="BE95" s="325"/>
      <c r="BF95" s="325"/>
      <c r="BG95" s="325"/>
      <c r="BH95" s="325"/>
      <c r="BI95" s="325"/>
      <c r="BJ95" s="325"/>
      <c r="BK95" s="325"/>
      <c r="BL95" s="325"/>
      <c r="BM95" s="325"/>
      <c r="BN95" s="325"/>
      <c r="BO95" s="325"/>
      <c r="BP95" s="325"/>
      <c r="BQ95" s="325"/>
    </row>
    <row r="96" spans="1:69" ht="14.25" customHeight="1" x14ac:dyDescent="0.2">
      <c r="A96" s="3"/>
      <c r="B96" s="376"/>
      <c r="C96" s="382" t="s">
        <v>514</v>
      </c>
      <c r="D96" s="367">
        <v>-1.7848299999999999</v>
      </c>
      <c r="E96" s="367">
        <v>0.36753464000000002</v>
      </c>
      <c r="F96" s="289"/>
      <c r="G96" s="376"/>
      <c r="H96" s="390" t="s">
        <v>513</v>
      </c>
      <c r="I96" s="371">
        <f>EXP(D95)</f>
        <v>1.2713495829713175</v>
      </c>
      <c r="J96" s="289"/>
      <c r="K96" s="289"/>
      <c r="L96" s="376"/>
      <c r="M96" s="382" t="s">
        <v>513</v>
      </c>
      <c r="N96" s="370">
        <f ca="1">_xlfn.NORM.INV(RAND(),0,1)</f>
        <v>-1.5019177489848698</v>
      </c>
      <c r="O96" s="289"/>
      <c r="P96" s="378"/>
      <c r="Q96" s="3"/>
      <c r="R96" s="3"/>
      <c r="S96" s="376"/>
      <c r="T96" s="418">
        <f t="shared" si="12"/>
        <v>70</v>
      </c>
      <c r="U96" s="376"/>
      <c r="V96" s="370">
        <f t="shared" si="21"/>
        <v>0.1738918149842445</v>
      </c>
      <c r="W96" s="289"/>
      <c r="X96" s="370">
        <f t="shared" si="13"/>
        <v>0.22301475987507466</v>
      </c>
      <c r="Y96" s="429"/>
      <c r="Z96" s="421">
        <f t="shared" si="14"/>
        <v>0.22916698866396323</v>
      </c>
      <c r="AA96" s="429"/>
      <c r="AB96" s="421">
        <f t="shared" si="15"/>
        <v>0.2176246699822702</v>
      </c>
      <c r="AC96" s="430"/>
      <c r="AD96" s="424">
        <f t="shared" si="16"/>
        <v>0.21100978619759225</v>
      </c>
      <c r="AE96" s="431"/>
      <c r="AF96" s="421">
        <f t="shared" si="17"/>
        <v>0.30447906191759616</v>
      </c>
      <c r="AG96" s="421">
        <f t="shared" si="18"/>
        <v>1.7734337370685449</v>
      </c>
      <c r="AH96" s="426">
        <f t="shared" si="19"/>
        <v>1.3247795971843239E-2</v>
      </c>
      <c r="AI96" s="421">
        <f t="shared" si="20"/>
        <v>0.28648601360247</v>
      </c>
      <c r="AJ96" s="325"/>
      <c r="AK96" s="439">
        <v>45.7</v>
      </c>
      <c r="AL96" s="440">
        <v>0.34599999999999997</v>
      </c>
      <c r="AM96" s="325"/>
      <c r="AN96" s="325"/>
      <c r="AO96" s="325"/>
      <c r="AP96" s="325"/>
      <c r="AQ96" s="325"/>
      <c r="AR96" s="325"/>
      <c r="AS96" s="325"/>
      <c r="AT96" s="325"/>
      <c r="AU96" s="325"/>
      <c r="AV96" s="325"/>
      <c r="AW96" s="325"/>
      <c r="AX96" s="325"/>
      <c r="AY96" s="325"/>
      <c r="AZ96" s="325"/>
      <c r="BA96" s="325"/>
      <c r="BB96" s="325"/>
      <c r="BC96" s="325"/>
      <c r="BD96" s="325"/>
      <c r="BE96" s="325"/>
      <c r="BF96" s="325"/>
      <c r="BG96" s="325"/>
      <c r="BH96" s="325"/>
      <c r="BI96" s="325"/>
      <c r="BJ96" s="325"/>
      <c r="BK96" s="325"/>
      <c r="BL96" s="325"/>
      <c r="BM96" s="325"/>
      <c r="BN96" s="325"/>
      <c r="BO96" s="325"/>
      <c r="BP96" s="325"/>
      <c r="BQ96" s="325"/>
    </row>
    <row r="97" spans="1:69" ht="14.25" customHeight="1" x14ac:dyDescent="0.2">
      <c r="A97" s="289"/>
      <c r="B97" s="376"/>
      <c r="C97" s="289"/>
      <c r="D97" s="289"/>
      <c r="E97" s="289"/>
      <c r="F97" s="289"/>
      <c r="G97" s="376"/>
      <c r="H97" s="390"/>
      <c r="I97" s="289"/>
      <c r="J97" s="289"/>
      <c r="K97" s="289"/>
      <c r="L97" s="376"/>
      <c r="M97" s="382" t="s">
        <v>514</v>
      </c>
      <c r="N97" s="370">
        <f ca="1">_xlfn.NORM.INV(RAND(),0,1)</f>
        <v>0.22573856542772114</v>
      </c>
      <c r="O97" s="289"/>
      <c r="P97" s="378"/>
      <c r="Q97" s="289"/>
      <c r="R97" s="289"/>
      <c r="S97" s="376"/>
      <c r="T97" s="418">
        <f t="shared" si="12"/>
        <v>71</v>
      </c>
      <c r="U97" s="376"/>
      <c r="V97" s="370">
        <f t="shared" si="21"/>
        <v>0.16960005364348452</v>
      </c>
      <c r="W97" s="289"/>
      <c r="X97" s="370">
        <f t="shared" si="13"/>
        <v>0.21937256853561238</v>
      </c>
      <c r="Y97" s="429"/>
      <c r="Z97" s="421">
        <f t="shared" si="14"/>
        <v>0.2263678117133856</v>
      </c>
      <c r="AA97" s="429"/>
      <c r="AB97" s="421">
        <f t="shared" si="15"/>
        <v>0.21505998457764844</v>
      </c>
      <c r="AC97" s="430"/>
      <c r="AD97" s="424">
        <f t="shared" si="16"/>
        <v>0.20699170136180722</v>
      </c>
      <c r="AE97" s="431"/>
      <c r="AF97" s="421">
        <f t="shared" si="17"/>
        <v>0.30358428780447799</v>
      </c>
      <c r="AG97" s="421">
        <f t="shared" si="18"/>
        <v>1.7845908847027971</v>
      </c>
      <c r="AH97" s="426">
        <f t="shared" si="19"/>
        <v>1.2986593875694431E-2</v>
      </c>
      <c r="AI97" s="421">
        <f t="shared" si="20"/>
        <v>0.28471843785334799</v>
      </c>
      <c r="AJ97" s="325"/>
      <c r="AK97" s="439">
        <v>48</v>
      </c>
      <c r="AL97" s="440">
        <v>0.34699999999999998</v>
      </c>
      <c r="AM97" s="325"/>
      <c r="AN97" s="325"/>
      <c r="AO97" s="325"/>
      <c r="AP97" s="325"/>
      <c r="AQ97" s="325"/>
      <c r="AR97" s="325"/>
      <c r="AS97" s="325"/>
      <c r="AT97" s="325"/>
      <c r="AU97" s="325"/>
      <c r="AV97" s="325"/>
      <c r="AW97" s="325"/>
      <c r="AX97" s="325"/>
      <c r="AY97" s="325"/>
      <c r="AZ97" s="325"/>
      <c r="BA97" s="325"/>
      <c r="BB97" s="325"/>
      <c r="BC97" s="325"/>
      <c r="BD97" s="325"/>
      <c r="BE97" s="325"/>
      <c r="BF97" s="325"/>
      <c r="BG97" s="325"/>
      <c r="BH97" s="325"/>
      <c r="BI97" s="325"/>
      <c r="BJ97" s="325"/>
      <c r="BK97" s="325"/>
      <c r="BL97" s="325"/>
      <c r="BM97" s="325"/>
      <c r="BN97" s="325"/>
      <c r="BO97" s="325"/>
      <c r="BP97" s="325"/>
      <c r="BQ97" s="325"/>
    </row>
    <row r="98" spans="1:69" ht="14.25" customHeight="1" x14ac:dyDescent="0.2">
      <c r="A98" s="3"/>
      <c r="B98" s="376"/>
      <c r="C98" s="377" t="s">
        <v>491</v>
      </c>
      <c r="D98" s="289"/>
      <c r="E98" s="289"/>
      <c r="F98" s="289"/>
      <c r="G98" s="376"/>
      <c r="H98" s="390" t="s">
        <v>514</v>
      </c>
      <c r="I98" s="392">
        <f>D96</f>
        <v>-1.7848299999999999</v>
      </c>
      <c r="J98" s="289"/>
      <c r="K98" s="289"/>
      <c r="L98" s="376"/>
      <c r="M98" s="289"/>
      <c r="N98" s="289"/>
      <c r="O98" s="289"/>
      <c r="P98" s="378"/>
      <c r="Q98" s="3"/>
      <c r="R98" s="3"/>
      <c r="S98" s="376"/>
      <c r="T98" s="418">
        <f t="shared" si="12"/>
        <v>72</v>
      </c>
      <c r="U98" s="376"/>
      <c r="V98" s="370">
        <f t="shared" si="21"/>
        <v>0.16541421572072854</v>
      </c>
      <c r="W98" s="289"/>
      <c r="X98" s="370">
        <f t="shared" si="13"/>
        <v>0.21580138131798107</v>
      </c>
      <c r="Y98" s="429"/>
      <c r="Z98" s="421">
        <f t="shared" si="14"/>
        <v>0.22362679361748428</v>
      </c>
      <c r="AA98" s="429"/>
      <c r="AB98" s="421">
        <f t="shared" si="15"/>
        <v>0.21255272498076566</v>
      </c>
      <c r="AC98" s="430"/>
      <c r="AD98" s="424">
        <f t="shared" si="16"/>
        <v>0.20305488161226615</v>
      </c>
      <c r="AE98" s="431"/>
      <c r="AF98" s="421">
        <f t="shared" si="17"/>
        <v>0.3027275105280805</v>
      </c>
      <c r="AG98" s="421">
        <f t="shared" si="18"/>
        <v>1.7955919831906357</v>
      </c>
      <c r="AH98" s="426">
        <f t="shared" si="19"/>
        <v>1.2734088028247145E-2</v>
      </c>
      <c r="AI98" s="421">
        <f t="shared" si="20"/>
        <v>0.28298592446341259</v>
      </c>
      <c r="AJ98" s="325"/>
      <c r="AK98" s="439">
        <v>48.4</v>
      </c>
      <c r="AL98" s="440">
        <v>0.34100000000000003</v>
      </c>
      <c r="AM98" s="325"/>
      <c r="AN98" s="325"/>
      <c r="AO98" s="325"/>
      <c r="AP98" s="325"/>
      <c r="AQ98" s="325"/>
      <c r="AR98" s="325"/>
      <c r="AS98" s="325"/>
      <c r="AT98" s="325"/>
      <c r="AU98" s="325"/>
      <c r="AV98" s="325"/>
      <c r="AW98" s="325"/>
      <c r="AX98" s="325"/>
      <c r="AY98" s="325"/>
      <c r="AZ98" s="325"/>
      <c r="BA98" s="325"/>
      <c r="BB98" s="325"/>
      <c r="BC98" s="325"/>
      <c r="BD98" s="325"/>
      <c r="BE98" s="325"/>
      <c r="BF98" s="325"/>
      <c r="BG98" s="325"/>
      <c r="BH98" s="325"/>
      <c r="BI98" s="325"/>
      <c r="BJ98" s="325"/>
      <c r="BK98" s="325"/>
      <c r="BL98" s="325"/>
      <c r="BM98" s="325"/>
      <c r="BN98" s="325"/>
      <c r="BO98" s="325"/>
      <c r="BP98" s="325"/>
      <c r="BQ98" s="325"/>
    </row>
    <row r="99" spans="1:69" ht="14.25" customHeight="1" x14ac:dyDescent="0.2">
      <c r="A99" s="3"/>
      <c r="B99" s="376"/>
      <c r="C99" s="289"/>
      <c r="D99" s="379" t="s">
        <v>512</v>
      </c>
      <c r="E99" s="379" t="s">
        <v>513</v>
      </c>
      <c r="F99" s="379" t="s">
        <v>514</v>
      </c>
      <c r="G99" s="376"/>
      <c r="H99" s="289"/>
      <c r="I99" s="289"/>
      <c r="J99" s="289"/>
      <c r="K99" s="289"/>
      <c r="L99" s="376"/>
      <c r="M99" s="289" t="s">
        <v>504</v>
      </c>
      <c r="N99" s="289"/>
      <c r="O99" s="289"/>
      <c r="P99" s="378"/>
      <c r="Q99" s="3"/>
      <c r="R99" s="3"/>
      <c r="S99" s="376"/>
      <c r="T99" s="418">
        <f t="shared" si="12"/>
        <v>73</v>
      </c>
      <c r="U99" s="376"/>
      <c r="V99" s="370">
        <f t="shared" si="21"/>
        <v>0.16133168695819497</v>
      </c>
      <c r="W99" s="289"/>
      <c r="X99" s="370">
        <f t="shared" si="13"/>
        <v>0.21229947067882707</v>
      </c>
      <c r="Y99" s="429"/>
      <c r="Z99" s="421">
        <f t="shared" si="14"/>
        <v>0.2209421658420242</v>
      </c>
      <c r="AA99" s="429"/>
      <c r="AB99" s="421">
        <f t="shared" si="15"/>
        <v>0.21010101639717249</v>
      </c>
      <c r="AC99" s="430"/>
      <c r="AD99" s="424">
        <f t="shared" si="16"/>
        <v>0.1991974966380603</v>
      </c>
      <c r="AE99" s="431"/>
      <c r="AF99" s="421">
        <f t="shared" si="17"/>
        <v>0.3019070225859552</v>
      </c>
      <c r="AG99" s="421">
        <f t="shared" si="18"/>
        <v>1.8064413375437465</v>
      </c>
      <c r="AH99" s="426">
        <f t="shared" si="19"/>
        <v>1.2489874065895697E-2</v>
      </c>
      <c r="AI99" s="421">
        <f t="shared" si="20"/>
        <v>0.28128731361799325</v>
      </c>
      <c r="AJ99" s="325"/>
      <c r="AK99" s="439">
        <v>50.4</v>
      </c>
      <c r="AL99" s="440">
        <v>0.33900000000000002</v>
      </c>
      <c r="AM99" s="325"/>
      <c r="AN99" s="325"/>
      <c r="AO99" s="325"/>
      <c r="AP99" s="325"/>
      <c r="AQ99" s="325"/>
      <c r="AR99" s="325"/>
      <c r="AS99" s="325"/>
      <c r="AT99" s="325"/>
      <c r="AU99" s="325"/>
      <c r="AV99" s="325"/>
      <c r="AW99" s="325"/>
      <c r="AX99" s="325"/>
      <c r="AY99" s="325"/>
      <c r="AZ99" s="325"/>
      <c r="BA99" s="325"/>
      <c r="BB99" s="325"/>
      <c r="BC99" s="325"/>
      <c r="BD99" s="325"/>
      <c r="BE99" s="325"/>
      <c r="BF99" s="325"/>
      <c r="BG99" s="325"/>
      <c r="BH99" s="325"/>
      <c r="BI99" s="325"/>
      <c r="BJ99" s="325"/>
      <c r="BK99" s="325"/>
      <c r="BL99" s="325"/>
      <c r="BM99" s="325"/>
      <c r="BN99" s="325"/>
      <c r="BO99" s="325"/>
      <c r="BP99" s="325"/>
      <c r="BQ99" s="325"/>
    </row>
    <row r="100" spans="1:69" ht="14.25" customHeight="1" x14ac:dyDescent="0.2">
      <c r="A100" s="3"/>
      <c r="B100" s="376"/>
      <c r="C100" s="382" t="s">
        <v>512</v>
      </c>
      <c r="D100" s="367">
        <v>0.22154599999999999</v>
      </c>
      <c r="E100" s="367">
        <v>0</v>
      </c>
      <c r="F100" s="367">
        <v>0</v>
      </c>
      <c r="G100" s="376"/>
      <c r="H100" s="289" t="s">
        <v>510</v>
      </c>
      <c r="I100" s="289"/>
      <c r="J100" s="289"/>
      <c r="K100" s="289"/>
      <c r="L100" s="376"/>
      <c r="M100" s="382" t="s">
        <v>512</v>
      </c>
      <c r="N100" s="369" cm="1">
        <f t="array" aca="1" ref="N100:N102" ca="1">D94:D96+MMULT(D100:F102,N95:N97)</f>
        <v>2.3532830139631602</v>
      </c>
      <c r="O100" s="289"/>
      <c r="P100" s="378"/>
      <c r="Q100" s="3"/>
      <c r="R100" s="3"/>
      <c r="S100" s="376"/>
      <c r="T100" s="418">
        <f t="shared" si="12"/>
        <v>74</v>
      </c>
      <c r="U100" s="376"/>
      <c r="V100" s="370">
        <f t="shared" si="21"/>
        <v>0.15734991761965825</v>
      </c>
      <c r="W100" s="289"/>
      <c r="X100" s="370">
        <f t="shared" si="13"/>
        <v>0.20886516336643124</v>
      </c>
      <c r="Y100" s="429"/>
      <c r="Z100" s="421">
        <f t="shared" si="14"/>
        <v>0.21831223160052882</v>
      </c>
      <c r="AA100" s="429"/>
      <c r="AB100" s="421">
        <f t="shared" si="15"/>
        <v>0.20770306386429235</v>
      </c>
      <c r="AC100" s="430"/>
      <c r="AD100" s="424">
        <f t="shared" si="16"/>
        <v>0.19541776568681546</v>
      </c>
      <c r="AE100" s="431"/>
      <c r="AF100" s="421">
        <f t="shared" si="17"/>
        <v>0.30112120050671265</v>
      </c>
      <c r="AG100" s="421">
        <f t="shared" si="18"/>
        <v>1.8171430770479835</v>
      </c>
      <c r="AH100" s="426">
        <f t="shared" si="19"/>
        <v>1.225357162320136E-2</v>
      </c>
      <c r="AI100" s="421">
        <f t="shared" si="20"/>
        <v>0.27962149876888287</v>
      </c>
      <c r="AJ100" s="325"/>
      <c r="AK100" s="439">
        <v>50.8</v>
      </c>
      <c r="AL100" s="440">
        <v>0.33200000000000002</v>
      </c>
      <c r="AM100" s="325"/>
      <c r="AN100" s="325"/>
      <c r="AO100" s="325"/>
      <c r="AP100" s="325"/>
      <c r="AQ100" s="325"/>
      <c r="AR100" s="325"/>
      <c r="AS100" s="325"/>
      <c r="AT100" s="325"/>
      <c r="AU100" s="325"/>
      <c r="AV100" s="325"/>
      <c r="AW100" s="325"/>
      <c r="AX100" s="325"/>
      <c r="AY100" s="325"/>
      <c r="AZ100" s="325"/>
      <c r="BA100" s="325"/>
      <c r="BB100" s="325"/>
      <c r="BC100" s="325"/>
      <c r="BD100" s="325"/>
      <c r="BE100" s="325"/>
      <c r="BF100" s="325"/>
      <c r="BG100" s="325"/>
      <c r="BH100" s="325"/>
      <c r="BI100" s="325"/>
      <c r="BJ100" s="325"/>
      <c r="BK100" s="325"/>
      <c r="BL100" s="325"/>
      <c r="BM100" s="325"/>
      <c r="BN100" s="325"/>
      <c r="BO100" s="325"/>
      <c r="BP100" s="325"/>
      <c r="BQ100" s="325"/>
    </row>
    <row r="101" spans="1:69" ht="14.25" customHeight="1" x14ac:dyDescent="0.2">
      <c r="A101" s="3"/>
      <c r="B101" s="376"/>
      <c r="C101" s="382" t="s">
        <v>513</v>
      </c>
      <c r="D101" s="367">
        <v>7.1929560000000003E-2</v>
      </c>
      <c r="E101" s="367">
        <v>6.6654820000000004E-2</v>
      </c>
      <c r="F101" s="367">
        <v>0</v>
      </c>
      <c r="G101" s="376"/>
      <c r="H101" s="289"/>
      <c r="I101" s="289"/>
      <c r="J101" s="289"/>
      <c r="K101" s="289"/>
      <c r="L101" s="376"/>
      <c r="M101" s="382" t="s">
        <v>513</v>
      </c>
      <c r="N101" s="369">
        <f ca="1"/>
        <v>0.25666933868580744</v>
      </c>
      <c r="O101" s="289"/>
      <c r="P101" s="378"/>
      <c r="Q101" s="3"/>
      <c r="R101" s="3"/>
      <c r="S101" s="376"/>
      <c r="T101" s="418">
        <f t="shared" si="12"/>
        <v>75</v>
      </c>
      <c r="U101" s="376"/>
      <c r="V101" s="370">
        <f t="shared" si="21"/>
        <v>0.15346642089801557</v>
      </c>
      <c r="W101" s="289"/>
      <c r="X101" s="370">
        <f t="shared" si="13"/>
        <v>0.20549683819899611</v>
      </c>
      <c r="Y101" s="429"/>
      <c r="Z101" s="421">
        <f t="shared" si="14"/>
        <v>0.21573536219846301</v>
      </c>
      <c r="AA101" s="429"/>
      <c r="AB101" s="421">
        <f t="shared" si="15"/>
        <v>0.20535714808360273</v>
      </c>
      <c r="AC101" s="430"/>
      <c r="AD101" s="424">
        <f t="shared" si="16"/>
        <v>0.19171395580818706</v>
      </c>
      <c r="AE101" s="431"/>
      <c r="AF101" s="421">
        <f t="shared" si="17"/>
        <v>0.30036850016125843</v>
      </c>
      <c r="AG101" s="421">
        <f t="shared" si="18"/>
        <v>1.8277011646990358</v>
      </c>
      <c r="AH101" s="426">
        <f t="shared" si="19"/>
        <v>1.2024822608492504E-2</v>
      </c>
      <c r="AI101" s="421">
        <f t="shared" si="20"/>
        <v>0.27798742352341815</v>
      </c>
      <c r="AJ101" s="325"/>
      <c r="AK101" s="439">
        <v>59.6</v>
      </c>
      <c r="AL101" s="440">
        <v>0.33100000000000002</v>
      </c>
      <c r="AM101" s="325"/>
      <c r="AN101" s="325"/>
      <c r="AO101" s="325"/>
      <c r="AP101" s="325"/>
      <c r="AQ101" s="325"/>
      <c r="AR101" s="325"/>
      <c r="AS101" s="325"/>
      <c r="AT101" s="325"/>
      <c r="AU101" s="325"/>
      <c r="AV101" s="325"/>
      <c r="AW101" s="325"/>
      <c r="AX101" s="325"/>
      <c r="AY101" s="325"/>
      <c r="AZ101" s="325"/>
      <c r="BA101" s="325"/>
      <c r="BB101" s="325"/>
      <c r="BC101" s="325"/>
      <c r="BD101" s="325"/>
      <c r="BE101" s="325"/>
      <c r="BF101" s="325"/>
      <c r="BG101" s="325"/>
      <c r="BH101" s="325"/>
      <c r="BI101" s="325"/>
      <c r="BJ101" s="325"/>
      <c r="BK101" s="325"/>
      <c r="BL101" s="325"/>
      <c r="BM101" s="325"/>
      <c r="BN101" s="325"/>
      <c r="BO101" s="325"/>
      <c r="BP101" s="325"/>
      <c r="BQ101" s="325"/>
    </row>
    <row r="102" spans="1:69" ht="14.25" customHeight="1" thickBot="1" x14ac:dyDescent="0.25">
      <c r="A102" s="289"/>
      <c r="B102" s="376"/>
      <c r="C102" s="382" t="s">
        <v>514</v>
      </c>
      <c r="D102" s="367">
        <v>0.31664898000000002</v>
      </c>
      <c r="E102" s="367">
        <v>-4.7759919999999997E-3</v>
      </c>
      <c r="F102" s="367">
        <v>0.186527</v>
      </c>
      <c r="G102" s="376"/>
      <c r="H102" s="289"/>
      <c r="I102" s="289"/>
      <c r="J102" s="289"/>
      <c r="K102" s="289"/>
      <c r="L102" s="376"/>
      <c r="M102" s="382" t="s">
        <v>514</v>
      </c>
      <c r="N102" s="369">
        <f ca="1"/>
        <v>-1.2218109440291998</v>
      </c>
      <c r="O102" s="289"/>
      <c r="P102" s="378"/>
      <c r="Q102" s="289"/>
      <c r="R102" s="289"/>
      <c r="S102" s="376"/>
      <c r="T102" s="418">
        <f t="shared" ref="T102:T165" si="22">T101+1</f>
        <v>76</v>
      </c>
      <c r="U102" s="376"/>
      <c r="V102" s="370">
        <f t="shared" si="21"/>
        <v>0.14967877136215577</v>
      </c>
      <c r="W102" s="289"/>
      <c r="X102" s="370">
        <f t="shared" si="13"/>
        <v>0.20219292395896576</v>
      </c>
      <c r="Y102" s="429"/>
      <c r="Z102" s="421">
        <f t="shared" si="14"/>
        <v>0.21320999360183801</v>
      </c>
      <c r="AA102" s="429"/>
      <c r="AB102" s="421">
        <f t="shared" si="15"/>
        <v>0.20306162150926305</v>
      </c>
      <c r="AC102" s="430"/>
      <c r="AD102" s="424">
        <f t="shared" si="16"/>
        <v>0.18808438018174278</v>
      </c>
      <c r="AE102" s="431"/>
      <c r="AF102" s="421">
        <f t="shared" si="17"/>
        <v>0.29964745237595164</v>
      </c>
      <c r="AG102" s="421">
        <f t="shared" si="18"/>
        <v>1.8381194060131714</v>
      </c>
      <c r="AH102" s="426">
        <f t="shared" si="19"/>
        <v>1.1803289624373603E-2</v>
      </c>
      <c r="AI102" s="421">
        <f t="shared" si="20"/>
        <v>0.27638407875295917</v>
      </c>
      <c r="AJ102" s="325"/>
      <c r="AK102" s="441">
        <v>59.9</v>
      </c>
      <c r="AL102" s="442">
        <v>0.318</v>
      </c>
      <c r="AM102" s="325"/>
      <c r="AN102" s="325"/>
      <c r="AO102" s="325"/>
      <c r="AP102" s="325"/>
      <c r="AQ102" s="325"/>
      <c r="AR102" s="325"/>
      <c r="AS102" s="325"/>
      <c r="AT102" s="325"/>
      <c r="AU102" s="325"/>
      <c r="AV102" s="325"/>
      <c r="AW102" s="325"/>
      <c r="AX102" s="325"/>
      <c r="AY102" s="325"/>
      <c r="AZ102" s="325"/>
      <c r="BA102" s="325"/>
      <c r="BB102" s="325"/>
      <c r="BC102" s="325"/>
      <c r="BD102" s="325"/>
      <c r="BE102" s="325"/>
      <c r="BF102" s="325"/>
      <c r="BG102" s="325"/>
      <c r="BH102" s="325"/>
      <c r="BI102" s="325"/>
      <c r="BJ102" s="325"/>
      <c r="BK102" s="325"/>
      <c r="BL102" s="325"/>
      <c r="BM102" s="325"/>
      <c r="BN102" s="325"/>
      <c r="BO102" s="325"/>
      <c r="BP102" s="325"/>
      <c r="BQ102" s="325"/>
    </row>
    <row r="103" spans="1:69" ht="14.25" customHeight="1" x14ac:dyDescent="0.2">
      <c r="A103" s="3"/>
      <c r="B103" s="376"/>
      <c r="C103" s="382"/>
      <c r="D103" s="289"/>
      <c r="E103" s="289"/>
      <c r="F103" s="289"/>
      <c r="G103" s="376"/>
      <c r="H103" s="289"/>
      <c r="I103" s="289"/>
      <c r="J103" s="289"/>
      <c r="K103" s="289"/>
      <c r="L103" s="376"/>
      <c r="M103" s="289"/>
      <c r="N103" s="289"/>
      <c r="O103" s="289"/>
      <c r="P103" s="378"/>
      <c r="Q103" s="3"/>
      <c r="R103" s="3"/>
      <c r="S103" s="376"/>
      <c r="T103" s="418">
        <f t="shared" si="22"/>
        <v>77</v>
      </c>
      <c r="U103" s="376"/>
      <c r="V103" s="370">
        <f t="shared" si="21"/>
        <v>0.14598460344216052</v>
      </c>
      <c r="W103" s="289"/>
      <c r="X103" s="370">
        <f t="shared" si="13"/>
        <v>0.19895189739590396</v>
      </c>
      <c r="Y103" s="429"/>
      <c r="Z103" s="421">
        <f t="shared" si="14"/>
        <v>0.21073462321414183</v>
      </c>
      <c r="AA103" s="429"/>
      <c r="AB103" s="421">
        <f t="shared" si="15"/>
        <v>0.20081490467509533</v>
      </c>
      <c r="AC103" s="430"/>
      <c r="AD103" s="424">
        <f t="shared" si="16"/>
        <v>0.18452739652395656</v>
      </c>
      <c r="AE103" s="431"/>
      <c r="AF103" s="421">
        <f t="shared" si="17"/>
        <v>0.29895665882543287</v>
      </c>
      <c r="AG103" s="421">
        <f t="shared" si="18"/>
        <v>1.8484014572620513</v>
      </c>
      <c r="AH103" s="426">
        <f t="shared" si="19"/>
        <v>1.1588654519247373E-2</v>
      </c>
      <c r="AI103" s="421">
        <f t="shared" si="20"/>
        <v>0.27481049990271295</v>
      </c>
      <c r="AJ103" s="325"/>
      <c r="AK103" s="325"/>
      <c r="AL103" s="325"/>
      <c r="AM103" s="325"/>
      <c r="AN103" s="325"/>
      <c r="AO103" s="325"/>
      <c r="AP103" s="325"/>
      <c r="AQ103" s="325"/>
      <c r="AR103" s="325"/>
      <c r="AS103" s="325"/>
      <c r="AT103" s="325"/>
      <c r="AU103" s="325"/>
      <c r="AV103" s="325"/>
      <c r="AW103" s="325"/>
      <c r="AX103" s="325"/>
      <c r="AY103" s="325"/>
      <c r="AZ103" s="325"/>
      <c r="BA103" s="325"/>
      <c r="BB103" s="325"/>
      <c r="BC103" s="325"/>
      <c r="BD103" s="325"/>
      <c r="BE103" s="325"/>
      <c r="BF103" s="325"/>
      <c r="BG103" s="325"/>
      <c r="BH103" s="325"/>
      <c r="BI103" s="325"/>
      <c r="BJ103" s="325"/>
      <c r="BK103" s="325"/>
      <c r="BL103" s="325"/>
      <c r="BM103" s="325"/>
      <c r="BN103" s="325"/>
      <c r="BO103" s="325"/>
      <c r="BP103" s="325"/>
      <c r="BQ103" s="325"/>
    </row>
    <row r="104" spans="1:69" ht="14.25" customHeight="1" x14ac:dyDescent="0.2">
      <c r="A104" s="3"/>
      <c r="B104" s="376"/>
      <c r="C104" s="377" t="s">
        <v>492</v>
      </c>
      <c r="D104" s="289"/>
      <c r="E104" s="289"/>
      <c r="F104" s="289"/>
      <c r="G104" s="376"/>
      <c r="H104" s="289"/>
      <c r="I104" s="289"/>
      <c r="J104" s="289"/>
      <c r="K104" s="289"/>
      <c r="L104" s="376"/>
      <c r="M104" s="390" t="s">
        <v>512</v>
      </c>
      <c r="N104" s="392">
        <f ca="1">N100</f>
        <v>2.3532830139631602</v>
      </c>
      <c r="O104" s="289"/>
      <c r="P104" s="378"/>
      <c r="Q104" s="3"/>
      <c r="R104" s="3"/>
      <c r="S104" s="376"/>
      <c r="T104" s="418">
        <f t="shared" si="22"/>
        <v>78</v>
      </c>
      <c r="U104" s="376"/>
      <c r="V104" s="370">
        <f t="shared" si="21"/>
        <v>0.14238160995189186</v>
      </c>
      <c r="W104" s="289"/>
      <c r="X104" s="370">
        <f t="shared" si="13"/>
        <v>0.19577228133103167</v>
      </c>
      <c r="Y104" s="429"/>
      <c r="Z104" s="421">
        <f t="shared" si="14"/>
        <v>0.20830780684679928</v>
      </c>
      <c r="AA104" s="429"/>
      <c r="AB104" s="421">
        <f t="shared" si="15"/>
        <v>0.19861548274326057</v>
      </c>
      <c r="AC104" s="430"/>
      <c r="AD104" s="424">
        <f t="shared" si="16"/>
        <v>0.18104140556941117</v>
      </c>
      <c r="AE104" s="431"/>
      <c r="AF104" s="421">
        <f t="shared" si="17"/>
        <v>0.29829478818470057</v>
      </c>
      <c r="AG104" s="421">
        <f t="shared" si="18"/>
        <v>1.8585508331762279</v>
      </c>
      <c r="AH104" s="426">
        <f t="shared" si="19"/>
        <v>1.138061705744617E-2</v>
      </c>
      <c r="AI104" s="421">
        <f t="shared" si="20"/>
        <v>0.27326576448653056</v>
      </c>
      <c r="AJ104" s="325"/>
      <c r="AK104" s="325"/>
      <c r="AL104" s="325"/>
      <c r="AM104" s="325"/>
      <c r="AN104" s="325"/>
      <c r="AO104" s="325"/>
      <c r="AP104" s="325"/>
      <c r="AQ104" s="325"/>
      <c r="AR104" s="325"/>
      <c r="AS104" s="325"/>
      <c r="AT104" s="325"/>
      <c r="AU104" s="325"/>
      <c r="AV104" s="325"/>
      <c r="AW104" s="325"/>
      <c r="AX104" s="325"/>
      <c r="AY104" s="325"/>
      <c r="AZ104" s="325"/>
      <c r="BA104" s="325"/>
      <c r="BB104" s="325"/>
      <c r="BC104" s="325"/>
      <c r="BD104" s="325"/>
      <c r="BE104" s="325"/>
      <c r="BF104" s="325"/>
      <c r="BG104" s="325"/>
      <c r="BH104" s="325"/>
      <c r="BI104" s="325"/>
      <c r="BJ104" s="325"/>
      <c r="BK104" s="325"/>
      <c r="BL104" s="325"/>
      <c r="BM104" s="325"/>
      <c r="BN104" s="325"/>
      <c r="BO104" s="325"/>
      <c r="BP104" s="325"/>
      <c r="BQ104" s="325"/>
    </row>
    <row r="105" spans="1:69" ht="14.25" customHeight="1" x14ac:dyDescent="0.2">
      <c r="A105" s="3"/>
      <c r="B105" s="383"/>
      <c r="C105" s="393" t="s">
        <v>493</v>
      </c>
      <c r="D105" s="385">
        <v>-489.5</v>
      </c>
      <c r="E105" s="386"/>
      <c r="F105" s="386"/>
      <c r="G105" s="383"/>
      <c r="H105" s="386"/>
      <c r="I105" s="386"/>
      <c r="J105" s="386"/>
      <c r="K105" s="386"/>
      <c r="L105" s="383"/>
      <c r="M105" s="391" t="s">
        <v>513</v>
      </c>
      <c r="N105" s="371">
        <f ca="1">EXP(N101)</f>
        <v>1.2926176374394143</v>
      </c>
      <c r="O105" s="391" t="s">
        <v>514</v>
      </c>
      <c r="P105" s="392">
        <f ca="1">N102</f>
        <v>-1.2218109440291998</v>
      </c>
      <c r="Q105" s="3"/>
      <c r="R105" s="3"/>
      <c r="S105" s="376"/>
      <c r="T105" s="418">
        <f t="shared" si="22"/>
        <v>79</v>
      </c>
      <c r="U105" s="376"/>
      <c r="V105" s="370">
        <f t="shared" si="21"/>
        <v>0.13886754064804308</v>
      </c>
      <c r="W105" s="289"/>
      <c r="X105" s="370">
        <f t="shared" si="13"/>
        <v>0.19265264285704686</v>
      </c>
      <c r="Y105" s="429"/>
      <c r="Z105" s="421">
        <f t="shared" si="14"/>
        <v>0.20592815586958135</v>
      </c>
      <c r="AA105" s="429"/>
      <c r="AB105" s="421">
        <f t="shared" si="15"/>
        <v>0.19646190225928198</v>
      </c>
      <c r="AC105" s="430"/>
      <c r="AD105" s="424">
        <f t="shared" si="16"/>
        <v>0.1776248496217111</v>
      </c>
      <c r="AE105" s="431"/>
      <c r="AF105" s="421">
        <f t="shared" si="17"/>
        <v>0.29766057252168687</v>
      </c>
      <c r="AG105" s="421">
        <f t="shared" si="18"/>
        <v>1.8685709141579332</v>
      </c>
      <c r="AH105" s="426">
        <f t="shared" si="19"/>
        <v>1.1178893696885715E-2</v>
      </c>
      <c r="AI105" s="421">
        <f t="shared" si="20"/>
        <v>0.27174898975183104</v>
      </c>
      <c r="AJ105" s="325"/>
      <c r="AK105" s="325"/>
      <c r="AL105" s="325"/>
      <c r="AM105" s="325"/>
      <c r="AN105" s="325"/>
      <c r="AO105" s="325"/>
      <c r="AP105" s="325"/>
      <c r="AQ105" s="325"/>
      <c r="AR105" s="325"/>
      <c r="AS105" s="325"/>
      <c r="AT105" s="325"/>
      <c r="AU105" s="325"/>
      <c r="AV105" s="325"/>
      <c r="AW105" s="325"/>
      <c r="AX105" s="325"/>
      <c r="AY105" s="325"/>
      <c r="AZ105" s="325"/>
      <c r="BA105" s="325"/>
      <c r="BB105" s="325"/>
      <c r="BC105" s="325"/>
      <c r="BD105" s="325"/>
      <c r="BE105" s="325"/>
      <c r="BF105" s="325"/>
      <c r="BG105" s="325"/>
      <c r="BH105" s="325"/>
      <c r="BI105" s="325"/>
      <c r="BJ105" s="325"/>
      <c r="BK105" s="325"/>
      <c r="BL105" s="325"/>
      <c r="BM105" s="325"/>
      <c r="BN105" s="325"/>
      <c r="BO105" s="325"/>
      <c r="BP105" s="325"/>
      <c r="BQ105" s="325"/>
    </row>
    <row r="106" spans="1:69" ht="14.25" customHeight="1" x14ac:dyDescent="0.2">
      <c r="A106" s="3"/>
      <c r="B106" s="289"/>
      <c r="C106" s="3"/>
      <c r="D106" s="3"/>
      <c r="E106" s="3"/>
      <c r="F106" s="3"/>
      <c r="G106" s="289"/>
      <c r="H106" s="3"/>
      <c r="I106" s="3"/>
      <c r="J106" s="3"/>
      <c r="K106" s="3"/>
      <c r="L106" s="289"/>
      <c r="M106" s="3"/>
      <c r="N106" s="3"/>
      <c r="O106" s="3"/>
      <c r="P106" s="3"/>
      <c r="Q106" s="3"/>
      <c r="R106" s="3"/>
      <c r="S106" s="376"/>
      <c r="T106" s="418">
        <f t="shared" si="22"/>
        <v>80</v>
      </c>
      <c r="U106" s="376"/>
      <c r="V106" s="370">
        <f t="shared" si="21"/>
        <v>0.13544020082475305</v>
      </c>
      <c r="W106" s="289"/>
      <c r="X106" s="370">
        <f t="shared" si="13"/>
        <v>0.18959159162732564</v>
      </c>
      <c r="Y106" s="429"/>
      <c r="Z106" s="421">
        <f t="shared" si="14"/>
        <v>0.2035943345284652</v>
      </c>
      <c r="AA106" s="429"/>
      <c r="AB106" s="421">
        <f t="shared" si="15"/>
        <v>0.19435276809925797</v>
      </c>
      <c r="AC106" s="430"/>
      <c r="AD106" s="424">
        <f t="shared" si="16"/>
        <v>0.17427621116991143</v>
      </c>
      <c r="AE106" s="431"/>
      <c r="AF106" s="421">
        <f t="shared" si="17"/>
        <v>0.29705280391310213</v>
      </c>
      <c r="AG106" s="421">
        <f t="shared" si="18"/>
        <v>1.8784649530401902</v>
      </c>
      <c r="AH106" s="426">
        <f t="shared" si="19"/>
        <v>1.0983216464315684E-2</v>
      </c>
      <c r="AI106" s="421">
        <f t="shared" si="20"/>
        <v>0.27025933050115952</v>
      </c>
      <c r="AJ106" s="325"/>
      <c r="AK106" s="325"/>
      <c r="AL106" s="325"/>
      <c r="AM106" s="325"/>
      <c r="AN106" s="325"/>
      <c r="AO106" s="325"/>
      <c r="AP106" s="325"/>
      <c r="AQ106" s="325"/>
      <c r="AR106" s="325"/>
      <c r="AS106" s="325"/>
      <c r="AT106" s="325"/>
      <c r="AU106" s="325"/>
      <c r="AV106" s="325"/>
      <c r="AW106" s="325"/>
      <c r="AX106" s="325"/>
      <c r="AY106" s="325"/>
      <c r="AZ106" s="325"/>
      <c r="BA106" s="325"/>
      <c r="BB106" s="325"/>
      <c r="BC106" s="325"/>
      <c r="BD106" s="325"/>
      <c r="BE106" s="325"/>
      <c r="BF106" s="325"/>
      <c r="BG106" s="325"/>
      <c r="BH106" s="325"/>
      <c r="BI106" s="325"/>
      <c r="BJ106" s="325"/>
      <c r="BK106" s="325"/>
      <c r="BL106" s="325"/>
      <c r="BM106" s="325"/>
      <c r="BN106" s="325"/>
      <c r="BO106" s="325"/>
      <c r="BP106" s="325"/>
      <c r="BQ106" s="325"/>
    </row>
    <row r="107" spans="1:69" ht="14.25" customHeight="1" x14ac:dyDescent="0.2">
      <c r="A107" s="3"/>
      <c r="B107" s="289"/>
      <c r="C107" s="3"/>
      <c r="D107" s="3"/>
      <c r="E107" s="3"/>
      <c r="F107" s="3"/>
      <c r="G107" s="289"/>
      <c r="H107" s="3"/>
      <c r="I107" s="3"/>
      <c r="J107" s="3"/>
      <c r="K107" s="3"/>
      <c r="L107" s="289"/>
      <c r="M107" s="3"/>
      <c r="N107" s="3"/>
      <c r="O107" s="3"/>
      <c r="P107" s="3"/>
      <c r="Q107" s="3"/>
      <c r="R107" s="3"/>
      <c r="S107" s="376"/>
      <c r="T107" s="418">
        <f t="shared" si="22"/>
        <v>81</v>
      </c>
      <c r="U107" s="376"/>
      <c r="V107" s="370">
        <f t="shared" si="21"/>
        <v>0.13209744994290679</v>
      </c>
      <c r="W107" s="289"/>
      <c r="X107" s="370">
        <f t="shared" si="13"/>
        <v>0.18658777822904027</v>
      </c>
      <c r="Y107" s="429"/>
      <c r="Z107" s="421">
        <f t="shared" si="14"/>
        <v>0.20130505741944171</v>
      </c>
      <c r="AA107" s="429"/>
      <c r="AB107" s="421">
        <f t="shared" si="15"/>
        <v>0.19228674059620379</v>
      </c>
      <c r="AC107" s="430"/>
      <c r="AD107" s="424">
        <f t="shared" si="16"/>
        <v>0.17099401156660599</v>
      </c>
      <c r="AE107" s="431"/>
      <c r="AF107" s="421">
        <f t="shared" si="17"/>
        <v>0.29647033126770284</v>
      </c>
      <c r="AG107" s="421">
        <f t="shared" si="18"/>
        <v>1.8882360814260783</v>
      </c>
      <c r="AH107" s="426">
        <f t="shared" si="19"/>
        <v>1.0793331919268526E-2</v>
      </c>
      <c r="AI107" s="421">
        <f t="shared" si="20"/>
        <v>0.26879597705810654</v>
      </c>
      <c r="AJ107" s="325"/>
      <c r="AK107" s="325"/>
      <c r="AL107" s="325"/>
      <c r="AM107" s="325"/>
      <c r="AN107" s="325"/>
      <c r="AO107" s="325"/>
      <c r="AP107" s="325"/>
      <c r="AQ107" s="325"/>
      <c r="AR107" s="325"/>
      <c r="AS107" s="325"/>
      <c r="AT107" s="325"/>
      <c r="AU107" s="325"/>
      <c r="AV107" s="325"/>
      <c r="AW107" s="325"/>
      <c r="AX107" s="325"/>
      <c r="AY107" s="325"/>
      <c r="AZ107" s="325"/>
      <c r="BA107" s="325"/>
      <c r="BB107" s="325"/>
      <c r="BC107" s="325"/>
      <c r="BD107" s="325"/>
      <c r="BE107" s="325"/>
      <c r="BF107" s="325"/>
      <c r="BG107" s="325"/>
      <c r="BH107" s="325"/>
      <c r="BI107" s="325"/>
      <c r="BJ107" s="325"/>
      <c r="BK107" s="325"/>
      <c r="BL107" s="325"/>
      <c r="BM107" s="325"/>
      <c r="BN107" s="325"/>
      <c r="BO107" s="325"/>
      <c r="BP107" s="325"/>
      <c r="BQ107" s="325"/>
    </row>
    <row r="108" spans="1:69" ht="14.25" customHeight="1" x14ac:dyDescent="0.2">
      <c r="A108" s="3"/>
      <c r="B108" s="289"/>
      <c r="C108" s="3"/>
      <c r="D108" s="3"/>
      <c r="E108" s="3"/>
      <c r="F108" s="3"/>
      <c r="G108" s="289"/>
      <c r="H108" s="3"/>
      <c r="I108" s="3"/>
      <c r="J108" s="3"/>
      <c r="K108" s="3"/>
      <c r="L108" s="289"/>
      <c r="M108" s="3"/>
      <c r="N108" s="3"/>
      <c r="O108" s="3"/>
      <c r="P108" s="3"/>
      <c r="Q108" s="3"/>
      <c r="R108" s="3"/>
      <c r="S108" s="376"/>
      <c r="T108" s="418">
        <f t="shared" si="22"/>
        <v>82</v>
      </c>
      <c r="U108" s="376"/>
      <c r="V108" s="370">
        <f t="shared" si="21"/>
        <v>0.12883720029326512</v>
      </c>
      <c r="W108" s="289"/>
      <c r="X108" s="370">
        <f t="shared" si="13"/>
        <v>0.18363989263512714</v>
      </c>
      <c r="Y108" s="429"/>
      <c r="Z108" s="421">
        <f t="shared" si="14"/>
        <v>0.1990590871076694</v>
      </c>
      <c r="AA108" s="429"/>
      <c r="AB108" s="421">
        <f t="shared" si="15"/>
        <v>0.19026253283345501</v>
      </c>
      <c r="AC108" s="430"/>
      <c r="AD108" s="424">
        <f t="shared" si="16"/>
        <v>0.16777680976407872</v>
      </c>
      <c r="AE108" s="431"/>
      <c r="AF108" s="421">
        <f t="shared" si="17"/>
        <v>0.29591205734240161</v>
      </c>
      <c r="AG108" s="421">
        <f t="shared" si="18"/>
        <v>1.8978873156390454</v>
      </c>
      <c r="AH108" s="426">
        <f t="shared" si="19"/>
        <v>1.0609000198718323E-2</v>
      </c>
      <c r="AI108" s="421">
        <f t="shared" si="20"/>
        <v>0.26735815336641716</v>
      </c>
      <c r="AJ108" s="325"/>
      <c r="AK108" s="325"/>
      <c r="AL108" s="325"/>
      <c r="AM108" s="325"/>
      <c r="AN108" s="325"/>
      <c r="AO108" s="325"/>
      <c r="AP108" s="325"/>
      <c r="AQ108" s="325"/>
      <c r="AR108" s="325"/>
      <c r="AS108" s="325"/>
      <c r="AT108" s="325"/>
      <c r="AU108" s="325"/>
      <c r="AV108" s="325"/>
      <c r="AW108" s="325"/>
      <c r="AX108" s="325"/>
      <c r="AY108" s="325"/>
      <c r="AZ108" s="325"/>
      <c r="BA108" s="325"/>
      <c r="BB108" s="325"/>
      <c r="BC108" s="325"/>
      <c r="BD108" s="325"/>
      <c r="BE108" s="325"/>
      <c r="BF108" s="325"/>
      <c r="BG108" s="325"/>
      <c r="BH108" s="325"/>
      <c r="BI108" s="325"/>
      <c r="BJ108" s="325"/>
      <c r="BK108" s="325"/>
      <c r="BL108" s="325"/>
      <c r="BM108" s="325"/>
      <c r="BN108" s="325"/>
      <c r="BO108" s="325"/>
      <c r="BP108" s="325"/>
      <c r="BQ108" s="325"/>
    </row>
    <row r="109" spans="1:69" ht="14.25" customHeight="1" x14ac:dyDescent="0.2">
      <c r="A109" s="3"/>
      <c r="B109" s="289"/>
      <c r="C109" s="3"/>
      <c r="D109" s="3"/>
      <c r="E109" s="3"/>
      <c r="F109" s="3"/>
      <c r="G109" s="289"/>
      <c r="H109" s="3"/>
      <c r="I109" s="3"/>
      <c r="J109" s="3"/>
      <c r="K109" s="3"/>
      <c r="L109" s="289"/>
      <c r="M109" s="3"/>
      <c r="N109" s="3"/>
      <c r="O109" s="3"/>
      <c r="P109" s="3"/>
      <c r="Q109" s="3"/>
      <c r="R109" s="3"/>
      <c r="S109" s="376"/>
      <c r="T109" s="418">
        <f t="shared" si="22"/>
        <v>83</v>
      </c>
      <c r="U109" s="376"/>
      <c r="V109" s="370">
        <f t="shared" si="21"/>
        <v>0.12565741569258981</v>
      </c>
      <c r="W109" s="289"/>
      <c r="X109" s="370">
        <f t="shared" si="13"/>
        <v>0.18074666273040219</v>
      </c>
      <c r="Y109" s="429"/>
      <c r="Z109" s="421">
        <f t="shared" si="14"/>
        <v>0.19685523188219767</v>
      </c>
      <c r="AA109" s="429"/>
      <c r="AB109" s="421">
        <f t="shared" si="15"/>
        <v>0.18827890809398312</v>
      </c>
      <c r="AC109" s="430"/>
      <c r="AD109" s="424">
        <f t="shared" si="16"/>
        <v>0.16462320110519091</v>
      </c>
      <c r="AE109" s="431"/>
      <c r="AF109" s="421">
        <f t="shared" si="17"/>
        <v>0.29537693593778713</v>
      </c>
      <c r="AG109" s="421">
        <f t="shared" si="18"/>
        <v>1.9074215623125808</v>
      </c>
      <c r="AH109" s="426">
        <f t="shared" si="19"/>
        <v>1.0429994135267245E-2</v>
      </c>
      <c r="AI109" s="421">
        <f t="shared" si="20"/>
        <v>0.26594511521209618</v>
      </c>
      <c r="AJ109" s="325"/>
      <c r="AK109" s="325"/>
      <c r="AL109" s="325"/>
      <c r="AM109" s="325"/>
      <c r="AN109" s="325"/>
      <c r="AO109" s="325"/>
      <c r="AP109" s="325"/>
      <c r="AQ109" s="325"/>
      <c r="AR109" s="325"/>
      <c r="AS109" s="325"/>
      <c r="AT109" s="325"/>
      <c r="AU109" s="325"/>
      <c r="AV109" s="325"/>
      <c r="AW109" s="325"/>
      <c r="AX109" s="325"/>
      <c r="AY109" s="325"/>
      <c r="AZ109" s="325"/>
      <c r="BA109" s="325"/>
      <c r="BB109" s="325"/>
      <c r="BC109" s="325"/>
      <c r="BD109" s="325"/>
      <c r="BE109" s="325"/>
      <c r="BF109" s="325"/>
      <c r="BG109" s="325"/>
      <c r="BH109" s="325"/>
      <c r="BI109" s="325"/>
      <c r="BJ109" s="325"/>
      <c r="BK109" s="325"/>
      <c r="BL109" s="325"/>
      <c r="BM109" s="325"/>
      <c r="BN109" s="325"/>
      <c r="BO109" s="325"/>
      <c r="BP109" s="325"/>
      <c r="BQ109" s="325"/>
    </row>
    <row r="110" spans="1:69" ht="14.25" customHeight="1" x14ac:dyDescent="0.2">
      <c r="A110" s="3"/>
      <c r="B110" s="289"/>
      <c r="C110" s="3"/>
      <c r="D110" s="3"/>
      <c r="E110" s="3"/>
      <c r="F110" s="3"/>
      <c r="G110" s="289"/>
      <c r="H110" s="3"/>
      <c r="I110" s="3"/>
      <c r="J110" s="3"/>
      <c r="K110" s="3"/>
      <c r="L110" s="289"/>
      <c r="M110" s="3"/>
      <c r="N110" s="3"/>
      <c r="O110" s="3"/>
      <c r="P110" s="3"/>
      <c r="Q110" s="3"/>
      <c r="R110" s="3"/>
      <c r="S110" s="376"/>
      <c r="T110" s="418">
        <f t="shared" si="22"/>
        <v>84</v>
      </c>
      <c r="U110" s="376"/>
      <c r="V110" s="370">
        <f t="shared" si="21"/>
        <v>0.12255611021194876</v>
      </c>
      <c r="W110" s="289"/>
      <c r="X110" s="370">
        <f t="shared" si="13"/>
        <v>0.17790685290745578</v>
      </c>
      <c r="Y110" s="429"/>
      <c r="Z110" s="421">
        <f t="shared" si="14"/>
        <v>0.19469234363723631</v>
      </c>
      <c r="AA110" s="429"/>
      <c r="AB110" s="421">
        <f t="shared" si="15"/>
        <v>0.18633467745530977</v>
      </c>
      <c r="AC110" s="430"/>
      <c r="AD110" s="424">
        <f t="shared" si="16"/>
        <v>0.16153181616590628</v>
      </c>
      <c r="AE110" s="431"/>
      <c r="AF110" s="421">
        <f t="shared" si="17"/>
        <v>0.29486396926067787</v>
      </c>
      <c r="AG110" s="421">
        <f t="shared" si="18"/>
        <v>1.9168416236451413</v>
      </c>
      <c r="AH110" s="426">
        <f t="shared" si="19"/>
        <v>1.0256098442395205E-2</v>
      </c>
      <c r="AI110" s="421">
        <f t="shared" si="20"/>
        <v>0.26455614855921111</v>
      </c>
      <c r="AJ110" s="325"/>
      <c r="AK110" s="325"/>
      <c r="AL110" s="325"/>
      <c r="AM110" s="325"/>
      <c r="AN110" s="325"/>
      <c r="AO110" s="325"/>
      <c r="AP110" s="325"/>
      <c r="AQ110" s="325"/>
      <c r="AR110" s="325"/>
      <c r="AS110" s="325"/>
      <c r="AT110" s="325"/>
      <c r="AU110" s="325"/>
      <c r="AV110" s="325"/>
      <c r="AW110" s="325"/>
      <c r="AX110" s="325"/>
      <c r="AY110" s="325"/>
      <c r="AZ110" s="325"/>
      <c r="BA110" s="325"/>
      <c r="BB110" s="325"/>
      <c r="BC110" s="325"/>
      <c r="BD110" s="325"/>
      <c r="BE110" s="325"/>
      <c r="BF110" s="325"/>
      <c r="BG110" s="325"/>
      <c r="BH110" s="325"/>
      <c r="BI110" s="325"/>
      <c r="BJ110" s="325"/>
      <c r="BK110" s="325"/>
      <c r="BL110" s="325"/>
      <c r="BM110" s="325"/>
      <c r="BN110" s="325"/>
      <c r="BO110" s="325"/>
      <c r="BP110" s="325"/>
      <c r="BQ110" s="325"/>
    </row>
    <row r="111" spans="1:69" ht="14.25" customHeight="1" x14ac:dyDescent="0.2">
      <c r="A111" s="3"/>
      <c r="B111" s="289"/>
      <c r="C111" s="3"/>
      <c r="D111" s="3"/>
      <c r="E111" s="3"/>
      <c r="F111" s="3"/>
      <c r="G111" s="289"/>
      <c r="H111" s="3"/>
      <c r="I111" s="3"/>
      <c r="J111" s="3"/>
      <c r="K111" s="3"/>
      <c r="L111" s="289"/>
      <c r="M111" s="3"/>
      <c r="N111" s="3"/>
      <c r="O111" s="3"/>
      <c r="P111" s="3"/>
      <c r="Q111" s="3"/>
      <c r="R111" s="3"/>
      <c r="S111" s="376"/>
      <c r="T111" s="418">
        <f t="shared" si="22"/>
        <v>85</v>
      </c>
      <c r="U111" s="376"/>
      <c r="V111" s="370">
        <f t="shared" si="21"/>
        <v>0.11953134693640752</v>
      </c>
      <c r="W111" s="289"/>
      <c r="X111" s="370">
        <f t="shared" si="13"/>
        <v>0.17511926272826581</v>
      </c>
      <c r="Y111" s="429"/>
      <c r="Z111" s="421">
        <f t="shared" si="14"/>
        <v>0.19256931587163051</v>
      </c>
      <c r="AA111" s="429"/>
      <c r="AB111" s="421">
        <f t="shared" si="15"/>
        <v>0.18442869752047297</v>
      </c>
      <c r="AC111" s="430"/>
      <c r="AD111" s="424">
        <f t="shared" si="16"/>
        <v>0.15850131964658176</v>
      </c>
      <c r="AE111" s="431"/>
      <c r="AF111" s="421">
        <f t="shared" si="17"/>
        <v>0.29437220544229203</v>
      </c>
      <c r="AG111" s="421">
        <f t="shared" si="18"/>
        <v>1.9261502023441208</v>
      </c>
      <c r="AH111" s="426">
        <f t="shared" si="19"/>
        <v>1.0087108960944762E-2</v>
      </c>
      <c r="AI111" s="421">
        <f t="shared" si="20"/>
        <v>0.26319056799089507</v>
      </c>
      <c r="AJ111" s="325"/>
      <c r="AK111" s="325"/>
      <c r="AL111" s="325"/>
      <c r="AM111" s="325"/>
      <c r="AN111" s="325"/>
      <c r="AO111" s="325"/>
      <c r="AP111" s="325"/>
      <c r="AQ111" s="325"/>
      <c r="AR111" s="325"/>
      <c r="AS111" s="325"/>
      <c r="AT111" s="325"/>
      <c r="AU111" s="325"/>
      <c r="AV111" s="325"/>
      <c r="AW111" s="325"/>
      <c r="AX111" s="325"/>
      <c r="AY111" s="325"/>
      <c r="AZ111" s="325"/>
      <c r="BA111" s="325"/>
      <c r="BB111" s="325"/>
      <c r="BC111" s="325"/>
      <c r="BD111" s="325"/>
      <c r="BE111" s="325"/>
      <c r="BF111" s="325"/>
      <c r="BG111" s="325"/>
      <c r="BH111" s="325"/>
      <c r="BI111" s="325"/>
      <c r="BJ111" s="325"/>
      <c r="BK111" s="325"/>
      <c r="BL111" s="325"/>
      <c r="BM111" s="325"/>
      <c r="BN111" s="325"/>
      <c r="BO111" s="325"/>
      <c r="BP111" s="325"/>
      <c r="BQ111" s="325"/>
    </row>
    <row r="112" spans="1:69" ht="14.25" customHeight="1" x14ac:dyDescent="0.2">
      <c r="A112" s="3"/>
      <c r="B112" s="289"/>
      <c r="C112" s="3"/>
      <c r="D112" s="3"/>
      <c r="E112" s="3"/>
      <c r="F112" s="3"/>
      <c r="G112" s="289"/>
      <c r="H112" s="3"/>
      <c r="I112" s="3"/>
      <c r="J112" s="3"/>
      <c r="K112" s="3"/>
      <c r="L112" s="289"/>
      <c r="M112" s="3"/>
      <c r="N112" s="3"/>
      <c r="O112" s="3"/>
      <c r="P112" s="3"/>
      <c r="Q112" s="3"/>
      <c r="R112" s="3"/>
      <c r="S112" s="376"/>
      <c r="T112" s="418">
        <f t="shared" si="22"/>
        <v>86</v>
      </c>
      <c r="U112" s="376"/>
      <c r="V112" s="370">
        <f t="shared" si="21"/>
        <v>0.11658123675533248</v>
      </c>
      <c r="W112" s="289"/>
      <c r="X112" s="370">
        <f t="shared" si="13"/>
        <v>0.17238272564774862</v>
      </c>
      <c r="Y112" s="429"/>
      <c r="Z112" s="421">
        <f t="shared" si="14"/>
        <v>0.19048508179883483</v>
      </c>
      <c r="AA112" s="429"/>
      <c r="AB112" s="421">
        <f t="shared" si="15"/>
        <v>0.18255986827620518</v>
      </c>
      <c r="AC112" s="430"/>
      <c r="AD112" s="424">
        <f t="shared" si="16"/>
        <v>0.15553040930932993</v>
      </c>
      <c r="AE112" s="431"/>
      <c r="AF112" s="421">
        <f t="shared" si="17"/>
        <v>0.29390073620149826</v>
      </c>
      <c r="AG112" s="421">
        <f t="shared" si="18"/>
        <v>1.9353499062806696</v>
      </c>
      <c r="AH112" s="426">
        <f t="shared" si="19"/>
        <v>9.9228319615824543E-3</v>
      </c>
      <c r="AI112" s="421">
        <f t="shared" si="20"/>
        <v>0.261847715247778</v>
      </c>
      <c r="AJ112" s="325"/>
      <c r="AK112" s="325"/>
      <c r="AL112" s="325"/>
      <c r="AM112" s="325"/>
      <c r="AN112" s="325"/>
      <c r="AO112" s="325"/>
      <c r="AP112" s="325"/>
      <c r="AQ112" s="325"/>
      <c r="AR112" s="325"/>
      <c r="AS112" s="325"/>
      <c r="AT112" s="325"/>
      <c r="AU112" s="325"/>
      <c r="AV112" s="325"/>
      <c r="AW112" s="325"/>
      <c r="AX112" s="325"/>
      <c r="AY112" s="325"/>
      <c r="AZ112" s="325"/>
      <c r="BA112" s="325"/>
      <c r="BB112" s="325"/>
      <c r="BC112" s="325"/>
      <c r="BD112" s="325"/>
      <c r="BE112" s="325"/>
      <c r="BF112" s="325"/>
      <c r="BG112" s="325"/>
      <c r="BH112" s="325"/>
      <c r="BI112" s="325"/>
      <c r="BJ112" s="325"/>
      <c r="BK112" s="325"/>
      <c r="BL112" s="325"/>
      <c r="BM112" s="325"/>
      <c r="BN112" s="325"/>
      <c r="BO112" s="325"/>
      <c r="BP112" s="325"/>
      <c r="BQ112" s="325"/>
    </row>
    <row r="113" spans="1:69" ht="14.25" customHeight="1" x14ac:dyDescent="0.2">
      <c r="A113" s="3"/>
      <c r="B113" s="289"/>
      <c r="C113" s="3"/>
      <c r="D113" s="3"/>
      <c r="E113" s="3"/>
      <c r="F113" s="3"/>
      <c r="G113" s="289"/>
      <c r="H113" s="3"/>
      <c r="I113" s="3"/>
      <c r="J113" s="3"/>
      <c r="K113" s="3"/>
      <c r="L113" s="289"/>
      <c r="M113" s="3"/>
      <c r="N113" s="3"/>
      <c r="O113" s="3"/>
      <c r="P113" s="3"/>
      <c r="Q113" s="3"/>
      <c r="R113" s="3"/>
      <c r="S113" s="376"/>
      <c r="T113" s="418">
        <f t="shared" si="22"/>
        <v>87</v>
      </c>
      <c r="U113" s="376"/>
      <c r="V113" s="370">
        <f t="shared" si="21"/>
        <v>0.11370393718255012</v>
      </c>
      <c r="W113" s="289"/>
      <c r="X113" s="370">
        <f t="shared" si="13"/>
        <v>0.16969610779572741</v>
      </c>
      <c r="Y113" s="429"/>
      <c r="Z113" s="421">
        <f t="shared" si="14"/>
        <v>0.1884386125602473</v>
      </c>
      <c r="AA113" s="429"/>
      <c r="AB113" s="421">
        <f t="shared" si="15"/>
        <v>0.18072713107012797</v>
      </c>
      <c r="AC113" s="430"/>
      <c r="AD113" s="424">
        <f t="shared" si="16"/>
        <v>0.15261781495897364</v>
      </c>
      <c r="AE113" s="431"/>
      <c r="AF113" s="421">
        <f t="shared" si="17"/>
        <v>0.29344869464341317</v>
      </c>
      <c r="AG113" s="421">
        <f t="shared" si="18"/>
        <v>1.944443252875441</v>
      </c>
      <c r="AH113" s="426">
        <f t="shared" si="19"/>
        <v>9.7630834984836004E-3</v>
      </c>
      <c r="AI113" s="421">
        <f t="shared" si="20"/>
        <v>0.26052695785672192</v>
      </c>
      <c r="AJ113" s="325"/>
      <c r="AK113" s="325"/>
      <c r="AL113" s="325"/>
      <c r="AM113" s="325"/>
      <c r="AN113" s="325"/>
      <c r="AO113" s="325"/>
      <c r="AP113" s="325"/>
      <c r="AQ113" s="325"/>
      <c r="AR113" s="325"/>
      <c r="AS113" s="325"/>
      <c r="AT113" s="325"/>
      <c r="AU113" s="325"/>
      <c r="AV113" s="325"/>
      <c r="AW113" s="325"/>
      <c r="AX113" s="325"/>
      <c r="AY113" s="325"/>
      <c r="AZ113" s="325"/>
      <c r="BA113" s="325"/>
      <c r="BB113" s="325"/>
      <c r="BC113" s="325"/>
      <c r="BD113" s="325"/>
      <c r="BE113" s="325"/>
      <c r="BF113" s="325"/>
      <c r="BG113" s="325"/>
      <c r="BH113" s="325"/>
      <c r="BI113" s="325"/>
      <c r="BJ113" s="325"/>
      <c r="BK113" s="325"/>
      <c r="BL113" s="325"/>
      <c r="BM113" s="325"/>
      <c r="BN113" s="325"/>
      <c r="BO113" s="325"/>
      <c r="BP113" s="325"/>
      <c r="BQ113" s="325"/>
    </row>
    <row r="114" spans="1:69" ht="14.25" customHeight="1" x14ac:dyDescent="0.2">
      <c r="A114" s="3"/>
      <c r="B114" s="289"/>
      <c r="C114" s="3"/>
      <c r="D114" s="3"/>
      <c r="E114" s="3"/>
      <c r="F114" s="3"/>
      <c r="G114" s="289"/>
      <c r="H114" s="3"/>
      <c r="I114" s="3"/>
      <c r="J114" s="3"/>
      <c r="K114" s="3"/>
      <c r="L114" s="289"/>
      <c r="M114" s="3"/>
      <c r="N114" s="3"/>
      <c r="O114" s="3"/>
      <c r="P114" s="3"/>
      <c r="Q114" s="3"/>
      <c r="R114" s="3"/>
      <c r="S114" s="376"/>
      <c r="T114" s="418">
        <f t="shared" si="22"/>
        <v>88</v>
      </c>
      <c r="U114" s="376"/>
      <c r="V114" s="370">
        <f t="shared" si="21"/>
        <v>0.11089765120562546</v>
      </c>
      <c r="W114" s="289"/>
      <c r="X114" s="370">
        <f t="shared" si="13"/>
        <v>0.1670583068140353</v>
      </c>
      <c r="Y114" s="429"/>
      <c r="Z114" s="421">
        <f t="shared" si="14"/>
        <v>0.18642891553530039</v>
      </c>
      <c r="AA114" s="429"/>
      <c r="AB114" s="421">
        <f t="shared" si="15"/>
        <v>0.17892946669936288</v>
      </c>
      <c r="AC114" s="430"/>
      <c r="AD114" s="424">
        <f t="shared" si="16"/>
        <v>0.14976229746524072</v>
      </c>
      <c r="AE114" s="431"/>
      <c r="AF114" s="421">
        <f t="shared" si="17"/>
        <v>0.29301525318435284</v>
      </c>
      <c r="AG114" s="421">
        <f t="shared" si="18"/>
        <v>1.9534326732336973</v>
      </c>
      <c r="AH114" s="426">
        <f t="shared" si="19"/>
        <v>9.6076888099413116E-3</v>
      </c>
      <c r="AI114" s="421">
        <f t="shared" si="20"/>
        <v>0.25922768784334471</v>
      </c>
      <c r="AJ114" s="325"/>
      <c r="AK114" s="325"/>
      <c r="AL114" s="325"/>
      <c r="AM114" s="325"/>
      <c r="AN114" s="325"/>
      <c r="AO114" s="325"/>
      <c r="AP114" s="325"/>
      <c r="AQ114" s="325"/>
      <c r="AR114" s="325"/>
      <c r="AS114" s="325"/>
      <c r="AT114" s="325"/>
      <c r="AU114" s="325"/>
      <c r="AV114" s="325"/>
      <c r="AW114" s="325"/>
      <c r="AX114" s="325"/>
      <c r="AY114" s="325"/>
      <c r="AZ114" s="325"/>
      <c r="BA114" s="325"/>
      <c r="BB114" s="325"/>
      <c r="BC114" s="325"/>
      <c r="BD114" s="325"/>
      <c r="BE114" s="325"/>
      <c r="BF114" s="325"/>
      <c r="BG114" s="325"/>
      <c r="BH114" s="325"/>
      <c r="BI114" s="325"/>
      <c r="BJ114" s="325"/>
      <c r="BK114" s="325"/>
      <c r="BL114" s="325"/>
      <c r="BM114" s="325"/>
      <c r="BN114" s="325"/>
      <c r="BO114" s="325"/>
      <c r="BP114" s="325"/>
      <c r="BQ114" s="325"/>
    </row>
    <row r="115" spans="1:69" ht="14.25" customHeight="1" x14ac:dyDescent="0.2">
      <c r="A115" s="3"/>
      <c r="B115" s="289"/>
      <c r="C115" s="3"/>
      <c r="D115" s="3"/>
      <c r="E115" s="3"/>
      <c r="F115" s="3"/>
      <c r="G115" s="289"/>
      <c r="H115" s="3"/>
      <c r="I115" s="3"/>
      <c r="J115" s="3"/>
      <c r="K115" s="3"/>
      <c r="L115" s="289"/>
      <c r="M115" s="3"/>
      <c r="N115" s="3"/>
      <c r="O115" s="3"/>
      <c r="P115" s="3"/>
      <c r="Q115" s="3"/>
      <c r="R115" s="3"/>
      <c r="S115" s="376"/>
      <c r="T115" s="418">
        <f t="shared" si="22"/>
        <v>89</v>
      </c>
      <c r="U115" s="376"/>
      <c r="V115" s="370">
        <f t="shared" si="21"/>
        <v>0.10816062616354108</v>
      </c>
      <c r="W115" s="289"/>
      <c r="X115" s="370">
        <f t="shared" si="13"/>
        <v>0.16446825074569116</v>
      </c>
      <c r="Y115" s="429"/>
      <c r="Z115" s="421">
        <f t="shared" si="14"/>
        <v>0.18445503274217945</v>
      </c>
      <c r="AA115" s="429"/>
      <c r="AB115" s="421">
        <f t="shared" si="15"/>
        <v>0.17716589360350571</v>
      </c>
      <c r="AC115" s="430"/>
      <c r="AD115" s="424">
        <f t="shared" si="16"/>
        <v>0.14696264782404478</v>
      </c>
      <c r="AE115" s="431"/>
      <c r="AF115" s="421">
        <f t="shared" si="17"/>
        <v>0.29259962159481773</v>
      </c>
      <c r="AG115" s="421">
        <f t="shared" si="18"/>
        <v>1.9623205160467845</v>
      </c>
      <c r="AH115" s="426">
        <f t="shared" si="19"/>
        <v>9.4564817620048282E-3</v>
      </c>
      <c r="AI115" s="421">
        <f t="shared" si="20"/>
        <v>0.25794932052233754</v>
      </c>
      <c r="AJ115" s="325"/>
      <c r="AK115" s="325"/>
      <c r="AL115" s="325"/>
      <c r="AM115" s="325"/>
      <c r="AN115" s="325"/>
      <c r="AO115" s="325"/>
      <c r="AP115" s="325"/>
      <c r="AQ115" s="325"/>
      <c r="AR115" s="325"/>
      <c r="AS115" s="325"/>
      <c r="AT115" s="325"/>
      <c r="AU115" s="325"/>
      <c r="AV115" s="325"/>
      <c r="AW115" s="325"/>
      <c r="AX115" s="325"/>
      <c r="AY115" s="325"/>
      <c r="AZ115" s="325"/>
      <c r="BA115" s="325"/>
      <c r="BB115" s="325"/>
      <c r="BC115" s="325"/>
      <c r="BD115" s="325"/>
      <c r="BE115" s="325"/>
      <c r="BF115" s="325"/>
      <c r="BG115" s="325"/>
      <c r="BH115" s="325"/>
      <c r="BI115" s="325"/>
      <c r="BJ115" s="325"/>
      <c r="BK115" s="325"/>
      <c r="BL115" s="325"/>
      <c r="BM115" s="325"/>
      <c r="BN115" s="325"/>
      <c r="BO115" s="325"/>
      <c r="BP115" s="325"/>
      <c r="BQ115" s="325"/>
    </row>
    <row r="116" spans="1:69" ht="14.25" customHeight="1" x14ac:dyDescent="0.2">
      <c r="A116" s="3"/>
      <c r="B116" s="289"/>
      <c r="C116" s="3"/>
      <c r="D116" s="3"/>
      <c r="E116" s="3"/>
      <c r="F116" s="3"/>
      <c r="G116" s="289"/>
      <c r="H116" s="3"/>
      <c r="I116" s="3"/>
      <c r="J116" s="3"/>
      <c r="K116" s="3"/>
      <c r="L116" s="289"/>
      <c r="M116" s="3"/>
      <c r="N116" s="3"/>
      <c r="O116" s="3"/>
      <c r="P116" s="3"/>
      <c r="Q116" s="3"/>
      <c r="R116" s="3"/>
      <c r="S116" s="376"/>
      <c r="T116" s="418">
        <f t="shared" si="22"/>
        <v>90</v>
      </c>
      <c r="U116" s="376"/>
      <c r="V116" s="370">
        <f t="shared" si="21"/>
        <v>0.10549115265207569</v>
      </c>
      <c r="W116" s="289"/>
      <c r="X116" s="370">
        <f t="shared" si="13"/>
        <v>0.16192489697328685</v>
      </c>
      <c r="Y116" s="429"/>
      <c r="Z116" s="421">
        <f t="shared" si="14"/>
        <v>0.18251603932348937</v>
      </c>
      <c r="AA116" s="429"/>
      <c r="AB116" s="421">
        <f t="shared" si="15"/>
        <v>0.17543546615541308</v>
      </c>
      <c r="AC116" s="430"/>
      <c r="AD116" s="424">
        <f t="shared" si="16"/>
        <v>0.14421768625579823</v>
      </c>
      <c r="AE116" s="431"/>
      <c r="AF116" s="421">
        <f t="shared" si="17"/>
        <v>0.29220104515281164</v>
      </c>
      <c r="AG116" s="421">
        <f t="shared" si="18"/>
        <v>1.9711090512756331</v>
      </c>
      <c r="AH116" s="426">
        <f t="shared" si="19"/>
        <v>9.3093043316154825E-3</v>
      </c>
      <c r="AI116" s="421">
        <f t="shared" si="20"/>
        <v>0.25669129336008278</v>
      </c>
      <c r="AJ116" s="325"/>
      <c r="AK116" s="325"/>
      <c r="AL116" s="325"/>
      <c r="AM116" s="325"/>
      <c r="AN116" s="325"/>
      <c r="AO116" s="325"/>
      <c r="AP116" s="325"/>
      <c r="AQ116" s="325"/>
      <c r="AR116" s="325"/>
      <c r="AS116" s="325"/>
      <c r="AT116" s="325"/>
      <c r="AU116" s="325"/>
      <c r="AV116" s="325"/>
      <c r="AW116" s="325"/>
      <c r="AX116" s="325"/>
      <c r="AY116" s="325"/>
      <c r="AZ116" s="325"/>
      <c r="BA116" s="325"/>
      <c r="BB116" s="325"/>
      <c r="BC116" s="325"/>
      <c r="BD116" s="325"/>
      <c r="BE116" s="325"/>
      <c r="BF116" s="325"/>
      <c r="BG116" s="325"/>
      <c r="BH116" s="325"/>
      <c r="BI116" s="325"/>
      <c r="BJ116" s="325"/>
      <c r="BK116" s="325"/>
      <c r="BL116" s="325"/>
      <c r="BM116" s="325"/>
      <c r="BN116" s="325"/>
      <c r="BO116" s="325"/>
      <c r="BP116" s="325"/>
      <c r="BQ116" s="325"/>
    </row>
    <row r="117" spans="1:69" ht="14.25" customHeight="1" x14ac:dyDescent="0.2">
      <c r="A117" s="3"/>
      <c r="B117" s="289"/>
      <c r="C117" s="3"/>
      <c r="D117" s="3"/>
      <c r="E117" s="3"/>
      <c r="F117" s="3"/>
      <c r="G117" s="289"/>
      <c r="H117" s="3"/>
      <c r="I117" s="3"/>
      <c r="J117" s="3"/>
      <c r="K117" s="3"/>
      <c r="L117" s="289"/>
      <c r="M117" s="3"/>
      <c r="N117" s="3"/>
      <c r="O117" s="3"/>
      <c r="P117" s="3"/>
      <c r="Q117" s="3"/>
      <c r="R117" s="3"/>
      <c r="S117" s="376"/>
      <c r="T117" s="418">
        <f t="shared" si="22"/>
        <v>91</v>
      </c>
      <c r="U117" s="376"/>
      <c r="V117" s="370">
        <f t="shared" si="21"/>
        <v>0.10288756345619891</v>
      </c>
      <c r="W117" s="289"/>
      <c r="X117" s="370">
        <f t="shared" si="13"/>
        <v>0.15942723120391436</v>
      </c>
      <c r="Y117" s="429"/>
      <c r="Z117" s="421">
        <f t="shared" si="14"/>
        <v>0.18061104211159507</v>
      </c>
      <c r="AA117" s="429"/>
      <c r="AB117" s="421">
        <f t="shared" si="15"/>
        <v>0.17373727304371364</v>
      </c>
      <c r="AC117" s="430"/>
      <c r="AD117" s="424">
        <f t="shared" si="16"/>
        <v>0.14152626133887036</v>
      </c>
      <c r="AE117" s="431"/>
      <c r="AF117" s="421">
        <f t="shared" si="17"/>
        <v>0.29181880290036316</v>
      </c>
      <c r="AG117" s="421">
        <f t="shared" si="18"/>
        <v>1.9798004736307335</v>
      </c>
      <c r="AH117" s="426">
        <f t="shared" si="19"/>
        <v>9.1660061260340313E-3</v>
      </c>
      <c r="AI117" s="421">
        <f t="shared" si="20"/>
        <v>0.25545306490451514</v>
      </c>
      <c r="AJ117" s="325"/>
      <c r="AK117" s="325"/>
      <c r="AL117" s="325"/>
      <c r="AM117" s="325"/>
      <c r="AN117" s="325"/>
      <c r="AO117" s="325"/>
      <c r="AP117" s="325"/>
      <c r="AQ117" s="325"/>
      <c r="AR117" s="325"/>
      <c r="AS117" s="325"/>
      <c r="AT117" s="325"/>
      <c r="AU117" s="325"/>
      <c r="AV117" s="325"/>
      <c r="AW117" s="325"/>
      <c r="AX117" s="325"/>
      <c r="AY117" s="325"/>
      <c r="AZ117" s="325"/>
      <c r="BA117" s="325"/>
      <c r="BB117" s="325"/>
      <c r="BC117" s="325"/>
      <c r="BD117" s="325"/>
      <c r="BE117" s="325"/>
      <c r="BF117" s="325"/>
      <c r="BG117" s="325"/>
      <c r="BH117" s="325"/>
      <c r="BI117" s="325"/>
      <c r="BJ117" s="325"/>
      <c r="BK117" s="325"/>
      <c r="BL117" s="325"/>
      <c r="BM117" s="325"/>
      <c r="BN117" s="325"/>
      <c r="BO117" s="325"/>
      <c r="BP117" s="325"/>
      <c r="BQ117" s="325"/>
    </row>
    <row r="118" spans="1:69" ht="14.25" customHeight="1" x14ac:dyDescent="0.2">
      <c r="A118" s="3"/>
      <c r="B118" s="289"/>
      <c r="C118" s="3"/>
      <c r="D118" s="3"/>
      <c r="E118" s="3"/>
      <c r="F118" s="3"/>
      <c r="G118" s="289"/>
      <c r="H118" s="3"/>
      <c r="I118" s="3"/>
      <c r="J118" s="3"/>
      <c r="K118" s="3"/>
      <c r="L118" s="289"/>
      <c r="M118" s="3"/>
      <c r="N118" s="3"/>
      <c r="O118" s="3"/>
      <c r="P118" s="3"/>
      <c r="Q118" s="3"/>
      <c r="R118" s="3"/>
      <c r="S118" s="376"/>
      <c r="T118" s="418">
        <f t="shared" si="22"/>
        <v>92</v>
      </c>
      <c r="U118" s="376"/>
      <c r="V118" s="370">
        <f t="shared" si="21"/>
        <v>0.10034823250881472</v>
      </c>
      <c r="W118" s="289"/>
      <c r="X118" s="370">
        <f t="shared" si="13"/>
        <v>0.1569742664981317</v>
      </c>
      <c r="Y118" s="429"/>
      <c r="Z118" s="421">
        <f t="shared" si="14"/>
        <v>0.1787391782687342</v>
      </c>
      <c r="AA118" s="429"/>
      <c r="AB118" s="421">
        <f t="shared" si="15"/>
        <v>0.17207043574138403</v>
      </c>
      <c r="AC118" s="430"/>
      <c r="AD118" s="424">
        <f t="shared" si="16"/>
        <v>0.13888724917639839</v>
      </c>
      <c r="AE118" s="431"/>
      <c r="AF118" s="421">
        <f t="shared" si="17"/>
        <v>0.29145220599664112</v>
      </c>
      <c r="AG118" s="421">
        <f t="shared" si="18"/>
        <v>1.9883969058619442</v>
      </c>
      <c r="AH118" s="426">
        <f t="shared" si="19"/>
        <v>9.026443935645027E-3</v>
      </c>
      <c r="AI118" s="421">
        <f t="shared" si="20"/>
        <v>0.25423411377757726</v>
      </c>
      <c r="AJ118" s="325"/>
      <c r="AK118" s="325"/>
      <c r="AL118" s="325"/>
      <c r="AM118" s="325"/>
      <c r="AN118" s="325"/>
      <c r="AO118" s="325"/>
      <c r="AP118" s="325"/>
      <c r="AQ118" s="325"/>
      <c r="AR118" s="325"/>
      <c r="AS118" s="325"/>
      <c r="AT118" s="325"/>
      <c r="AU118" s="325"/>
      <c r="AV118" s="325"/>
      <c r="AW118" s="325"/>
      <c r="AX118" s="325"/>
      <c r="AY118" s="325"/>
      <c r="AZ118" s="325"/>
      <c r="BA118" s="325"/>
      <c r="BB118" s="325"/>
      <c r="BC118" s="325"/>
      <c r="BD118" s="325"/>
      <c r="BE118" s="325"/>
      <c r="BF118" s="325"/>
      <c r="BG118" s="325"/>
      <c r="BH118" s="325"/>
      <c r="BI118" s="325"/>
      <c r="BJ118" s="325"/>
      <c r="BK118" s="325"/>
      <c r="BL118" s="325"/>
      <c r="BM118" s="325"/>
      <c r="BN118" s="325"/>
      <c r="BO118" s="325"/>
      <c r="BP118" s="325"/>
      <c r="BQ118" s="325"/>
    </row>
    <row r="119" spans="1:69" ht="14.25" customHeight="1" x14ac:dyDescent="0.2">
      <c r="A119" s="3"/>
      <c r="B119" s="289"/>
      <c r="C119" s="3"/>
      <c r="D119" s="3"/>
      <c r="E119" s="3"/>
      <c r="F119" s="3"/>
      <c r="G119" s="289"/>
      <c r="H119" s="3"/>
      <c r="I119" s="3"/>
      <c r="J119" s="3"/>
      <c r="K119" s="3"/>
      <c r="L119" s="289"/>
      <c r="M119" s="3"/>
      <c r="N119" s="3"/>
      <c r="O119" s="3"/>
      <c r="P119" s="3"/>
      <c r="Q119" s="3"/>
      <c r="R119" s="3"/>
      <c r="S119" s="376"/>
      <c r="T119" s="418">
        <f t="shared" si="22"/>
        <v>93</v>
      </c>
      <c r="U119" s="376"/>
      <c r="V119" s="370">
        <f t="shared" si="21"/>
        <v>9.7871573875204274E-2</v>
      </c>
      <c r="W119" s="289"/>
      <c r="X119" s="370">
        <f t="shared" si="13"/>
        <v>0.15456504234062812</v>
      </c>
      <c r="Y119" s="429"/>
      <c r="Z119" s="421">
        <f t="shared" si="14"/>
        <v>0.17689961399735044</v>
      </c>
      <c r="AA119" s="429"/>
      <c r="AB119" s="421">
        <f t="shared" si="15"/>
        <v>0.17043410705512252</v>
      </c>
      <c r="AC119" s="430"/>
      <c r="AD119" s="424">
        <f t="shared" si="16"/>
        <v>0.13629955259479143</v>
      </c>
      <c r="AE119" s="431"/>
      <c r="AF119" s="421">
        <f t="shared" si="17"/>
        <v>0.29110059616153466</v>
      </c>
      <c r="AG119" s="421">
        <f t="shared" si="18"/>
        <v>1.9969004018704528</v>
      </c>
      <c r="AH119" s="426">
        <f t="shared" si="19"/>
        <v>8.890481317487136E-3</v>
      </c>
      <c r="AI119" s="421">
        <f t="shared" si="20"/>
        <v>0.25303393772598243</v>
      </c>
      <c r="AJ119" s="325"/>
      <c r="AK119" s="325"/>
      <c r="AL119" s="325"/>
      <c r="AM119" s="325"/>
      <c r="AN119" s="325"/>
      <c r="AO119" s="325"/>
      <c r="AP119" s="325"/>
      <c r="AQ119" s="325"/>
      <c r="AR119" s="325"/>
      <c r="AS119" s="325"/>
      <c r="AT119" s="325"/>
      <c r="AU119" s="325"/>
      <c r="AV119" s="325"/>
      <c r="AW119" s="325"/>
      <c r="AX119" s="325"/>
      <c r="AY119" s="325"/>
      <c r="AZ119" s="325"/>
      <c r="BA119" s="325"/>
      <c r="BB119" s="325"/>
      <c r="BC119" s="325"/>
      <c r="BD119" s="325"/>
      <c r="BE119" s="325"/>
      <c r="BF119" s="325"/>
      <c r="BG119" s="325"/>
      <c r="BH119" s="325"/>
      <c r="BI119" s="325"/>
      <c r="BJ119" s="325"/>
      <c r="BK119" s="325"/>
      <c r="BL119" s="325"/>
      <c r="BM119" s="325"/>
      <c r="BN119" s="325"/>
      <c r="BO119" s="325"/>
      <c r="BP119" s="325"/>
      <c r="BQ119" s="325"/>
    </row>
    <row r="120" spans="1:69" ht="14.25" customHeight="1" x14ac:dyDescent="0.2">
      <c r="A120" s="3"/>
      <c r="B120" s="289"/>
      <c r="C120" s="3"/>
      <c r="D120" s="3"/>
      <c r="E120" s="3"/>
      <c r="F120" s="3"/>
      <c r="G120" s="289"/>
      <c r="H120" s="3"/>
      <c r="I120" s="3"/>
      <c r="J120" s="3"/>
      <c r="K120" s="3"/>
      <c r="L120" s="289"/>
      <c r="M120" s="3"/>
      <c r="N120" s="3"/>
      <c r="O120" s="3"/>
      <c r="P120" s="3"/>
      <c r="Q120" s="3"/>
      <c r="R120" s="3"/>
      <c r="S120" s="376"/>
      <c r="T120" s="418">
        <f t="shared" si="22"/>
        <v>94</v>
      </c>
      <c r="U120" s="376"/>
      <c r="V120" s="370">
        <f t="shared" si="21"/>
        <v>9.5456040762533112E-2</v>
      </c>
      <c r="W120" s="289"/>
      <c r="X120" s="370">
        <f t="shared" si="13"/>
        <v>0.15219862375039631</v>
      </c>
      <c r="Y120" s="429"/>
      <c r="Z120" s="421">
        <f t="shared" si="14"/>
        <v>0.17509154331640442</v>
      </c>
      <c r="AA120" s="429"/>
      <c r="AB120" s="421">
        <f t="shared" si="15"/>
        <v>0.16882746975061652</v>
      </c>
      <c r="AC120" s="430"/>
      <c r="AD120" s="424">
        <f t="shared" si="16"/>
        <v>0.13376210037235436</v>
      </c>
      <c r="AE120" s="431"/>
      <c r="AF120" s="421">
        <f t="shared" si="17"/>
        <v>0.29076334420400884</v>
      </c>
      <c r="AG120" s="421">
        <f t="shared" si="18"/>
        <v>2.0053129496543214</v>
      </c>
      <c r="AH120" s="426">
        <f t="shared" si="19"/>
        <v>8.7579882070942632E-3</v>
      </c>
      <c r="AI120" s="421">
        <f t="shared" si="20"/>
        <v>0.25185205272633909</v>
      </c>
      <c r="AJ120" s="325"/>
      <c r="AK120" s="325"/>
      <c r="AL120" s="325"/>
      <c r="AM120" s="325"/>
      <c r="AN120" s="325"/>
      <c r="AO120" s="325"/>
      <c r="AP120" s="325"/>
      <c r="AQ120" s="325"/>
      <c r="AR120" s="325"/>
      <c r="AS120" s="325"/>
      <c r="AT120" s="325"/>
      <c r="AU120" s="325"/>
      <c r="AV120" s="325"/>
      <c r="AW120" s="325"/>
      <c r="AX120" s="325"/>
      <c r="AY120" s="325"/>
      <c r="AZ120" s="325"/>
      <c r="BA120" s="325"/>
      <c r="BB120" s="325"/>
      <c r="BC120" s="325"/>
      <c r="BD120" s="325"/>
      <c r="BE120" s="325"/>
      <c r="BF120" s="325"/>
      <c r="BG120" s="325"/>
      <c r="BH120" s="325"/>
      <c r="BI120" s="325"/>
      <c r="BJ120" s="325"/>
      <c r="BK120" s="325"/>
      <c r="BL120" s="325"/>
      <c r="BM120" s="325"/>
      <c r="BN120" s="325"/>
      <c r="BO120" s="325"/>
      <c r="BP120" s="325"/>
      <c r="BQ120" s="325"/>
    </row>
    <row r="121" spans="1:69" ht="14.25" customHeight="1" x14ac:dyDescent="0.2">
      <c r="A121" s="3"/>
      <c r="B121" s="289"/>
      <c r="C121" s="3"/>
      <c r="D121" s="3"/>
      <c r="E121" s="3"/>
      <c r="F121" s="3"/>
      <c r="G121" s="289"/>
      <c r="H121" s="3"/>
      <c r="I121" s="3"/>
      <c r="J121" s="3"/>
      <c r="K121" s="3"/>
      <c r="L121" s="289"/>
      <c r="M121" s="3"/>
      <c r="N121" s="3"/>
      <c r="O121" s="3"/>
      <c r="P121" s="3"/>
      <c r="Q121" s="3"/>
      <c r="R121" s="3"/>
      <c r="S121" s="376"/>
      <c r="T121" s="418">
        <f t="shared" si="22"/>
        <v>95</v>
      </c>
      <c r="U121" s="376"/>
      <c r="V121" s="370">
        <f t="shared" si="21"/>
        <v>9.3100124553804356E-2</v>
      </c>
      <c r="W121" s="289"/>
      <c r="X121" s="370">
        <f t="shared" si="13"/>
        <v>0.14987410042835642</v>
      </c>
      <c r="Y121" s="429"/>
      <c r="Z121" s="421">
        <f t="shared" si="14"/>
        <v>0.17331418689972089</v>
      </c>
      <c r="AA121" s="429"/>
      <c r="AB121" s="421">
        <f t="shared" si="15"/>
        <v>0.16724973524913614</v>
      </c>
      <c r="AC121" s="430"/>
      <c r="AD121" s="424">
        <f t="shared" si="16"/>
        <v>0.13127384649656992</v>
      </c>
      <c r="AE121" s="431"/>
      <c r="AF121" s="421">
        <f t="shared" si="17"/>
        <v>0.29043984862995625</v>
      </c>
      <c r="AG121" s="421">
        <f t="shared" si="18"/>
        <v>2.0136364740981687</v>
      </c>
      <c r="AH121" s="426">
        <f t="shared" si="19"/>
        <v>8.6288405564460633E-3</v>
      </c>
      <c r="AI121" s="421">
        <f t="shared" si="20"/>
        <v>0.25068799214099136</v>
      </c>
      <c r="AJ121" s="325"/>
      <c r="AK121" s="325"/>
      <c r="AL121" s="325"/>
      <c r="AM121" s="325"/>
      <c r="AN121" s="325"/>
      <c r="AO121" s="325"/>
      <c r="AP121" s="325"/>
      <c r="AQ121" s="325"/>
      <c r="AR121" s="325"/>
      <c r="AS121" s="325"/>
      <c r="AT121" s="325"/>
      <c r="AU121" s="325"/>
      <c r="AV121" s="325"/>
      <c r="AW121" s="325"/>
      <c r="AX121" s="325"/>
      <c r="AY121" s="325"/>
      <c r="AZ121" s="325"/>
      <c r="BA121" s="325"/>
      <c r="BB121" s="325"/>
      <c r="BC121" s="325"/>
      <c r="BD121" s="325"/>
      <c r="BE121" s="325"/>
      <c r="BF121" s="325"/>
      <c r="BG121" s="325"/>
      <c r="BH121" s="325"/>
      <c r="BI121" s="325"/>
      <c r="BJ121" s="325"/>
      <c r="BK121" s="325"/>
      <c r="BL121" s="325"/>
      <c r="BM121" s="325"/>
      <c r="BN121" s="325"/>
      <c r="BO121" s="325"/>
      <c r="BP121" s="325"/>
      <c r="BQ121" s="325"/>
    </row>
    <row r="122" spans="1:69" ht="14.25" customHeight="1" x14ac:dyDescent="0.2">
      <c r="A122" s="3"/>
      <c r="B122" s="289"/>
      <c r="C122" s="3"/>
      <c r="D122" s="3"/>
      <c r="E122" s="3"/>
      <c r="F122" s="3"/>
      <c r="G122" s="289"/>
      <c r="H122" s="3"/>
      <c r="I122" s="3"/>
      <c r="J122" s="3"/>
      <c r="K122" s="3"/>
      <c r="L122" s="289"/>
      <c r="M122" s="3"/>
      <c r="N122" s="3"/>
      <c r="O122" s="3"/>
      <c r="P122" s="3"/>
      <c r="Q122" s="3"/>
      <c r="R122" s="3"/>
      <c r="S122" s="376"/>
      <c r="T122" s="418">
        <f t="shared" si="22"/>
        <v>96</v>
      </c>
      <c r="U122" s="376"/>
      <c r="V122" s="370">
        <f t="shared" si="21"/>
        <v>9.0802353865654634E-2</v>
      </c>
      <c r="W122" s="289"/>
      <c r="X122" s="370">
        <f t="shared" si="13"/>
        <v>0.14759058594050467</v>
      </c>
      <c r="Y122" s="429"/>
      <c r="Z122" s="421">
        <f t="shared" si="14"/>
        <v>0.17156679097269556</v>
      </c>
      <c r="AA122" s="429"/>
      <c r="AB122" s="421">
        <f t="shared" si="15"/>
        <v>0.16570014239119579</v>
      </c>
      <c r="AC122" s="430"/>
      <c r="AD122" s="424">
        <f t="shared" si="16"/>
        <v>0.12883376944865454</v>
      </c>
      <c r="AE122" s="431"/>
      <c r="AF122" s="421">
        <f t="shared" si="17"/>
        <v>0.29012953432463329</v>
      </c>
      <c r="AG122" s="421">
        <f t="shared" si="18"/>
        <v>2.0218728396167873</v>
      </c>
      <c r="AH122" s="426">
        <f t="shared" si="19"/>
        <v>8.5029199960183523E-3</v>
      </c>
      <c r="AI122" s="421">
        <f t="shared" si="20"/>
        <v>0.24954130592121182</v>
      </c>
      <c r="AJ122" s="325"/>
      <c r="AK122" s="325"/>
      <c r="AL122" s="325"/>
      <c r="AM122" s="325"/>
      <c r="AN122" s="325"/>
      <c r="AO122" s="325"/>
      <c r="AP122" s="325"/>
      <c r="AQ122" s="325"/>
      <c r="AR122" s="325"/>
      <c r="AS122" s="325"/>
      <c r="AT122" s="325"/>
      <c r="AU122" s="325"/>
      <c r="AV122" s="325"/>
      <c r="AW122" s="325"/>
      <c r="AX122" s="325"/>
      <c r="AY122" s="325"/>
      <c r="AZ122" s="325"/>
      <c r="BA122" s="325"/>
      <c r="BB122" s="325"/>
      <c r="BC122" s="325"/>
      <c r="BD122" s="325"/>
      <c r="BE122" s="325"/>
      <c r="BF122" s="325"/>
      <c r="BG122" s="325"/>
      <c r="BH122" s="325"/>
      <c r="BI122" s="325"/>
      <c r="BJ122" s="325"/>
      <c r="BK122" s="325"/>
      <c r="BL122" s="325"/>
      <c r="BM122" s="325"/>
      <c r="BN122" s="325"/>
      <c r="BO122" s="325"/>
      <c r="BP122" s="325"/>
      <c r="BQ122" s="325"/>
    </row>
    <row r="123" spans="1:69" ht="14.25" customHeight="1" x14ac:dyDescent="0.2">
      <c r="A123" s="3"/>
      <c r="B123" s="289"/>
      <c r="C123" s="3"/>
      <c r="D123" s="3"/>
      <c r="E123" s="3"/>
      <c r="F123" s="3"/>
      <c r="G123" s="289"/>
      <c r="H123" s="3"/>
      <c r="I123" s="3"/>
      <c r="J123" s="3"/>
      <c r="K123" s="3"/>
      <c r="L123" s="289"/>
      <c r="M123" s="3"/>
      <c r="N123" s="3"/>
      <c r="O123" s="3"/>
      <c r="P123" s="3"/>
      <c r="Q123" s="3"/>
      <c r="R123" s="3"/>
      <c r="S123" s="376"/>
      <c r="T123" s="418">
        <f t="shared" si="22"/>
        <v>97</v>
      </c>
      <c r="U123" s="376"/>
      <c r="V123" s="370">
        <f t="shared" si="21"/>
        <v>8.8561293629404125E-2</v>
      </c>
      <c r="W123" s="289"/>
      <c r="X123" s="370">
        <f t="shared" si="13"/>
        <v>0.14534721693477728</v>
      </c>
      <c r="Y123" s="429"/>
      <c r="Z123" s="421">
        <f t="shared" si="14"/>
        <v>0.16984862626393349</v>
      </c>
      <c r="AA123" s="429"/>
      <c r="AB123" s="421">
        <f t="shared" si="15"/>
        <v>0.1641779562633123</v>
      </c>
      <c r="AC123" s="430"/>
      <c r="AD123" s="424">
        <f t="shared" si="16"/>
        <v>0.12644087151409011</v>
      </c>
      <c r="AE123" s="431"/>
      <c r="AF123" s="421">
        <f t="shared" si="17"/>
        <v>0.28983185130512051</v>
      </c>
      <c r="AG123" s="421">
        <f t="shared" si="18"/>
        <v>2.0300238526617815</v>
      </c>
      <c r="AH123" s="426">
        <f t="shared" si="19"/>
        <v>8.3801135190977472E-3</v>
      </c>
      <c r="AI123" s="421">
        <f t="shared" si="20"/>
        <v>0.24841155985463775</v>
      </c>
      <c r="AJ123" s="325"/>
      <c r="AK123" s="325"/>
      <c r="AL123" s="325"/>
      <c r="AM123" s="325"/>
      <c r="AN123" s="325"/>
      <c r="AO123" s="325"/>
      <c r="AP123" s="325"/>
      <c r="AQ123" s="325"/>
      <c r="AR123" s="325"/>
      <c r="AS123" s="325"/>
      <c r="AT123" s="325"/>
      <c r="AU123" s="325"/>
      <c r="AV123" s="325"/>
      <c r="AW123" s="325"/>
      <c r="AX123" s="325"/>
      <c r="AY123" s="325"/>
      <c r="AZ123" s="325"/>
      <c r="BA123" s="325"/>
      <c r="BB123" s="325"/>
      <c r="BC123" s="325"/>
      <c r="BD123" s="325"/>
      <c r="BE123" s="325"/>
      <c r="BF123" s="325"/>
      <c r="BG123" s="325"/>
      <c r="BH123" s="325"/>
      <c r="BI123" s="325"/>
      <c r="BJ123" s="325"/>
      <c r="BK123" s="325"/>
      <c r="BL123" s="325"/>
      <c r="BM123" s="325"/>
      <c r="BN123" s="325"/>
      <c r="BO123" s="325"/>
      <c r="BP123" s="325"/>
      <c r="BQ123" s="325"/>
    </row>
    <row r="124" spans="1:69" ht="14.25" customHeight="1" x14ac:dyDescent="0.2">
      <c r="A124" s="3"/>
      <c r="B124" s="289"/>
      <c r="C124" s="3"/>
      <c r="D124" s="3"/>
      <c r="E124" s="3"/>
      <c r="F124" s="3"/>
      <c r="G124" s="289"/>
      <c r="H124" s="3"/>
      <c r="I124" s="3"/>
      <c r="J124" s="3"/>
      <c r="K124" s="3"/>
      <c r="L124" s="289"/>
      <c r="M124" s="3"/>
      <c r="N124" s="3"/>
      <c r="O124" s="3"/>
      <c r="P124" s="3"/>
      <c r="Q124" s="3"/>
      <c r="R124" s="3"/>
      <c r="S124" s="376"/>
      <c r="T124" s="418">
        <f t="shared" si="22"/>
        <v>98</v>
      </c>
      <c r="U124" s="376"/>
      <c r="V124" s="370">
        <f t="shared" si="21"/>
        <v>8.6375544194786963E-2</v>
      </c>
      <c r="W124" s="289"/>
      <c r="X124" s="370">
        <f t="shared" si="13"/>
        <v>0.14314315238992847</v>
      </c>
      <c r="Y124" s="429"/>
      <c r="Z124" s="421">
        <f t="shared" si="14"/>
        <v>0.16815898700862442</v>
      </c>
      <c r="AA124" s="429"/>
      <c r="AB124" s="421">
        <f t="shared" si="15"/>
        <v>0.16268246708415357</v>
      </c>
      <c r="AC124" s="430"/>
      <c r="AD124" s="424">
        <f t="shared" si="16"/>
        <v>0.12409417811791668</v>
      </c>
      <c r="AE124" s="431"/>
      <c r="AF124" s="421">
        <f t="shared" si="17"/>
        <v>0.28954627353855866</v>
      </c>
      <c r="AG124" s="421">
        <f t="shared" si="18"/>
        <v>2.0380912640996476</v>
      </c>
      <c r="AH124" s="426">
        <f t="shared" si="19"/>
        <v>8.2603131866821507E-3</v>
      </c>
      <c r="AI124" s="421">
        <f t="shared" si="20"/>
        <v>0.24729833485407238</v>
      </c>
      <c r="AJ124" s="325"/>
      <c r="AK124" s="325"/>
      <c r="AL124" s="325"/>
      <c r="AM124" s="325"/>
      <c r="AN124" s="325"/>
      <c r="AO124" s="325"/>
      <c r="AP124" s="325"/>
      <c r="AQ124" s="325"/>
      <c r="AR124" s="325"/>
      <c r="AS124" s="325"/>
      <c r="AT124" s="325"/>
      <c r="AU124" s="325"/>
      <c r="AV124" s="325"/>
      <c r="AW124" s="325"/>
      <c r="AX124" s="325"/>
      <c r="AY124" s="325"/>
      <c r="AZ124" s="325"/>
      <c r="BA124" s="325"/>
      <c r="BB124" s="325"/>
      <c r="BC124" s="325"/>
      <c r="BD124" s="325"/>
      <c r="BE124" s="325"/>
      <c r="BF124" s="325"/>
      <c r="BG124" s="325"/>
      <c r="BH124" s="325"/>
      <c r="BI124" s="325"/>
      <c r="BJ124" s="325"/>
      <c r="BK124" s="325"/>
      <c r="BL124" s="325"/>
      <c r="BM124" s="325"/>
      <c r="BN124" s="325"/>
      <c r="BO124" s="325"/>
      <c r="BP124" s="325"/>
      <c r="BQ124" s="325"/>
    </row>
    <row r="125" spans="1:69" ht="14.25" customHeight="1" x14ac:dyDescent="0.2">
      <c r="A125" s="3"/>
      <c r="B125" s="289"/>
      <c r="C125" s="3"/>
      <c r="D125" s="3"/>
      <c r="E125" s="3"/>
      <c r="F125" s="3"/>
      <c r="G125" s="289"/>
      <c r="H125" s="3"/>
      <c r="I125" s="3"/>
      <c r="J125" s="3"/>
      <c r="K125" s="3"/>
      <c r="L125" s="289"/>
      <c r="M125" s="3"/>
      <c r="N125" s="3"/>
      <c r="O125" s="3"/>
      <c r="P125" s="3"/>
      <c r="Q125" s="3"/>
      <c r="R125" s="3"/>
      <c r="S125" s="376"/>
      <c r="T125" s="418">
        <f t="shared" si="22"/>
        <v>99</v>
      </c>
      <c r="U125" s="376"/>
      <c r="V125" s="370">
        <f t="shared" si="21"/>
        <v>8.4243740455802046E-2</v>
      </c>
      <c r="W125" s="289"/>
      <c r="X125" s="370">
        <f t="shared" si="13"/>
        <v>0.14097757289482635</v>
      </c>
      <c r="Y125" s="429"/>
      <c r="Z125" s="421">
        <f t="shared" si="14"/>
        <v>0.16649719000067009</v>
      </c>
      <c r="AA125" s="429"/>
      <c r="AB125" s="421">
        <f t="shared" si="15"/>
        <v>0.16121298914661641</v>
      </c>
      <c r="AC125" s="430"/>
      <c r="AD125" s="424">
        <f t="shared" si="16"/>
        <v>0.12179273718363359</v>
      </c>
      <c r="AE125" s="431"/>
      <c r="AF125" s="421">
        <f t="shared" si="17"/>
        <v>0.28927229782220876</v>
      </c>
      <c r="AG125" s="421">
        <f t="shared" si="18"/>
        <v>2.0460767714691395</v>
      </c>
      <c r="AH125" s="426">
        <f t="shared" si="19"/>
        <v>8.1434158514304619E-3</v>
      </c>
      <c r="AI125" s="421">
        <f t="shared" si="20"/>
        <v>0.24620122628499208</v>
      </c>
      <c r="AJ125" s="325"/>
      <c r="AK125" s="325"/>
      <c r="AL125" s="325"/>
      <c r="AM125" s="325"/>
      <c r="AN125" s="325"/>
      <c r="AO125" s="325"/>
      <c r="AP125" s="325"/>
      <c r="AQ125" s="325"/>
      <c r="AR125" s="325"/>
      <c r="AS125" s="325"/>
      <c r="AT125" s="325"/>
      <c r="AU125" s="325"/>
      <c r="AV125" s="325"/>
      <c r="AW125" s="325"/>
      <c r="AX125" s="325"/>
      <c r="AY125" s="325"/>
      <c r="AZ125" s="325"/>
      <c r="BA125" s="325"/>
      <c r="BB125" s="325"/>
      <c r="BC125" s="325"/>
      <c r="BD125" s="325"/>
      <c r="BE125" s="325"/>
      <c r="BF125" s="325"/>
      <c r="BG125" s="325"/>
      <c r="BH125" s="325"/>
      <c r="BI125" s="325"/>
      <c r="BJ125" s="325"/>
      <c r="BK125" s="325"/>
      <c r="BL125" s="325"/>
      <c r="BM125" s="325"/>
      <c r="BN125" s="325"/>
      <c r="BO125" s="325"/>
      <c r="BP125" s="325"/>
      <c r="BQ125" s="325"/>
    </row>
    <row r="126" spans="1:69" ht="14.25" customHeight="1" x14ac:dyDescent="0.2">
      <c r="A126" s="3"/>
      <c r="B126" s="289"/>
      <c r="C126" s="3"/>
      <c r="D126" s="3"/>
      <c r="E126" s="3"/>
      <c r="F126" s="3"/>
      <c r="G126" s="289"/>
      <c r="H126" s="3"/>
      <c r="I126" s="3"/>
      <c r="J126" s="3"/>
      <c r="K126" s="3"/>
      <c r="L126" s="289"/>
      <c r="M126" s="3"/>
      <c r="N126" s="3"/>
      <c r="O126" s="3"/>
      <c r="P126" s="3"/>
      <c r="Q126" s="3"/>
      <c r="R126" s="3"/>
      <c r="S126" s="376"/>
      <c r="T126" s="418">
        <f t="shared" si="22"/>
        <v>100</v>
      </c>
      <c r="U126" s="376"/>
      <c r="V126" s="370">
        <f t="shared" si="21"/>
        <v>8.2164550998138478E-2</v>
      </c>
      <c r="W126" s="289"/>
      <c r="X126" s="370">
        <f t="shared" si="13"/>
        <v>0.13884967995666203</v>
      </c>
      <c r="Y126" s="429"/>
      <c r="Z126" s="421">
        <f t="shared" si="14"/>
        <v>0.16486257369077661</v>
      </c>
      <c r="AA126" s="429"/>
      <c r="AB126" s="421">
        <f t="shared" si="15"/>
        <v>0.159768859812602</v>
      </c>
      <c r="AC126" s="430"/>
      <c r="AD126" s="424">
        <f t="shared" si="16"/>
        <v>0.11953561851462757</v>
      </c>
      <c r="AE126" s="431"/>
      <c r="AF126" s="421">
        <f t="shared" si="17"/>
        <v>0.28900944272165197</v>
      </c>
      <c r="AG126" s="421">
        <f t="shared" si="18"/>
        <v>2.0539820211251882</v>
      </c>
      <c r="AH126" s="426">
        <f t="shared" si="19"/>
        <v>8.0293228992542598E-3</v>
      </c>
      <c r="AI126" s="421">
        <f t="shared" si="20"/>
        <v>0.24511984332928891</v>
      </c>
      <c r="AJ126" s="325"/>
      <c r="AK126" s="325"/>
      <c r="AL126" s="325"/>
      <c r="AM126" s="325"/>
      <c r="AN126" s="325"/>
      <c r="AO126" s="325"/>
      <c r="AP126" s="325"/>
      <c r="AQ126" s="325"/>
      <c r="AR126" s="325"/>
      <c r="AS126" s="325"/>
      <c r="AT126" s="325"/>
      <c r="AU126" s="325"/>
      <c r="AV126" s="325"/>
      <c r="AW126" s="325"/>
      <c r="AX126" s="325"/>
      <c r="AY126" s="325"/>
      <c r="AZ126" s="325"/>
      <c r="BA126" s="325"/>
      <c r="BB126" s="325"/>
      <c r="BC126" s="325"/>
      <c r="BD126" s="325"/>
      <c r="BE126" s="325"/>
      <c r="BF126" s="325"/>
      <c r="BG126" s="325"/>
      <c r="BH126" s="325"/>
      <c r="BI126" s="325"/>
      <c r="BJ126" s="325"/>
      <c r="BK126" s="325"/>
      <c r="BL126" s="325"/>
      <c r="BM126" s="325"/>
      <c r="BN126" s="325"/>
      <c r="BO126" s="325"/>
      <c r="BP126" s="325"/>
      <c r="BQ126" s="325"/>
    </row>
    <row r="127" spans="1:69" ht="14.25" customHeight="1" x14ac:dyDescent="0.2">
      <c r="A127" s="3"/>
      <c r="B127" s="289"/>
      <c r="C127" s="3"/>
      <c r="D127" s="3"/>
      <c r="E127" s="3"/>
      <c r="F127" s="3"/>
      <c r="G127" s="289"/>
      <c r="H127" s="3"/>
      <c r="I127" s="3"/>
      <c r="J127" s="3"/>
      <c r="K127" s="3"/>
      <c r="L127" s="289"/>
      <c r="M127" s="3"/>
      <c r="N127" s="3"/>
      <c r="O127" s="3"/>
      <c r="P127" s="3"/>
      <c r="Q127" s="3"/>
      <c r="R127" s="3"/>
      <c r="S127" s="376"/>
      <c r="T127" s="418">
        <f t="shared" si="22"/>
        <v>101</v>
      </c>
      <c r="U127" s="376"/>
      <c r="V127" s="370">
        <f t="shared" si="21"/>
        <v>8.0136677267643119E-2</v>
      </c>
      <c r="W127" s="289"/>
      <c r="X127" s="370">
        <f t="shared" si="13"/>
        <v>0.13675869533665899</v>
      </c>
      <c r="Y127" s="429"/>
      <c r="Z127" s="421">
        <f t="shared" si="14"/>
        <v>0.16325449732790864</v>
      </c>
      <c r="AA127" s="429"/>
      <c r="AB127" s="421">
        <f t="shared" si="15"/>
        <v>0.15834943855746456</v>
      </c>
      <c r="AC127" s="430"/>
      <c r="AD127" s="424">
        <f t="shared" si="16"/>
        <v>0.11732191319710639</v>
      </c>
      <c r="AE127" s="431"/>
      <c r="AF127" s="421">
        <f t="shared" si="17"/>
        <v>0.28875724756369803</v>
      </c>
      <c r="AG127" s="421">
        <f t="shared" si="18"/>
        <v>2.0618086102761537</v>
      </c>
      <c r="AH127" s="426">
        <f t="shared" si="19"/>
        <v>7.9179400072606956E-3</v>
      </c>
      <c r="AI127" s="421">
        <f t="shared" si="20"/>
        <v>0.24405380838296581</v>
      </c>
      <c r="AJ127" s="325"/>
      <c r="AK127" s="325"/>
      <c r="AL127" s="325"/>
      <c r="AM127" s="325"/>
      <c r="AN127" s="325"/>
      <c r="AO127" s="325"/>
      <c r="AP127" s="325"/>
      <c r="AQ127" s="325"/>
      <c r="AR127" s="325"/>
      <c r="AS127" s="325"/>
      <c r="AT127" s="325"/>
      <c r="AU127" s="325"/>
      <c r="AV127" s="325"/>
      <c r="AW127" s="325"/>
      <c r="AX127" s="325"/>
      <c r="AY127" s="325"/>
      <c r="AZ127" s="325"/>
      <c r="BA127" s="325"/>
      <c r="BB127" s="325"/>
      <c r="BC127" s="325"/>
      <c r="BD127" s="325"/>
      <c r="BE127" s="325"/>
      <c r="BF127" s="325"/>
      <c r="BG127" s="325"/>
      <c r="BH127" s="325"/>
      <c r="BI127" s="325"/>
      <c r="BJ127" s="325"/>
      <c r="BK127" s="325"/>
      <c r="BL127" s="325"/>
      <c r="BM127" s="325"/>
      <c r="BN127" s="325"/>
      <c r="BO127" s="325"/>
      <c r="BP127" s="325"/>
      <c r="BQ127" s="325"/>
    </row>
    <row r="128" spans="1:69" ht="14.25" customHeight="1" x14ac:dyDescent="0.2">
      <c r="A128" s="3"/>
      <c r="B128" s="289"/>
      <c r="C128" s="3"/>
      <c r="D128" s="3"/>
      <c r="E128" s="3"/>
      <c r="F128" s="3"/>
      <c r="G128" s="289"/>
      <c r="H128" s="3"/>
      <c r="I128" s="3"/>
      <c r="J128" s="3"/>
      <c r="K128" s="3"/>
      <c r="L128" s="289"/>
      <c r="M128" s="3"/>
      <c r="N128" s="3"/>
      <c r="O128" s="3"/>
      <c r="P128" s="3"/>
      <c r="Q128" s="3"/>
      <c r="R128" s="3"/>
      <c r="S128" s="376"/>
      <c r="T128" s="418">
        <f t="shared" si="22"/>
        <v>102</v>
      </c>
      <c r="U128" s="376"/>
      <c r="V128" s="370">
        <f t="shared" si="21"/>
        <v>7.815885275931081E-2</v>
      </c>
      <c r="W128" s="289"/>
      <c r="X128" s="370">
        <f t="shared" si="13"/>
        <v>0.13470386041194854</v>
      </c>
      <c r="Y128" s="429"/>
      <c r="Z128" s="421">
        <f t="shared" si="14"/>
        <v>0.16167234014166643</v>
      </c>
      <c r="AA128" s="429"/>
      <c r="AB128" s="421">
        <f t="shared" si="15"/>
        <v>0.15695410606130863</v>
      </c>
      <c r="AC128" s="430"/>
      <c r="AD128" s="424">
        <f t="shared" si="16"/>
        <v>0.11515073302357792</v>
      </c>
      <c r="AE128" s="431"/>
      <c r="AF128" s="421">
        <f t="shared" si="17"/>
        <v>0.28851527148079881</v>
      </c>
      <c r="AG128" s="421">
        <f t="shared" si="18"/>
        <v>2.0695580889207172</v>
      </c>
      <c r="AH128" s="426">
        <f t="shared" si="19"/>
        <v>7.8091769168620465E-3</v>
      </c>
      <c r="AI128" s="421">
        <f t="shared" si="20"/>
        <v>0.24300275648565775</v>
      </c>
      <c r="AJ128" s="325"/>
      <c r="AK128" s="325"/>
      <c r="AL128" s="325"/>
      <c r="AM128" s="325"/>
      <c r="AN128" s="325"/>
      <c r="AO128" s="325"/>
      <c r="AP128" s="325"/>
      <c r="AQ128" s="325"/>
      <c r="AR128" s="325"/>
      <c r="AS128" s="325"/>
      <c r="AT128" s="325"/>
      <c r="AU128" s="325"/>
      <c r="AV128" s="325"/>
      <c r="AW128" s="325"/>
      <c r="AX128" s="325"/>
      <c r="AY128" s="325"/>
      <c r="AZ128" s="325"/>
      <c r="BA128" s="325"/>
      <c r="BB128" s="325"/>
      <c r="BC128" s="325"/>
      <c r="BD128" s="325"/>
      <c r="BE128" s="325"/>
      <c r="BF128" s="325"/>
      <c r="BG128" s="325"/>
      <c r="BH128" s="325"/>
      <c r="BI128" s="325"/>
      <c r="BJ128" s="325"/>
      <c r="BK128" s="325"/>
      <c r="BL128" s="325"/>
      <c r="BM128" s="325"/>
      <c r="BN128" s="325"/>
      <c r="BO128" s="325"/>
      <c r="BP128" s="325"/>
      <c r="BQ128" s="325"/>
    </row>
    <row r="129" spans="1:69" ht="14.25" customHeight="1" x14ac:dyDescent="0.2">
      <c r="A129" s="3"/>
      <c r="B129" s="289"/>
      <c r="C129" s="3"/>
      <c r="D129" s="3"/>
      <c r="E129" s="3"/>
      <c r="F129" s="3"/>
      <c r="G129" s="289"/>
      <c r="H129" s="3"/>
      <c r="I129" s="3"/>
      <c r="J129" s="3"/>
      <c r="K129" s="3"/>
      <c r="L129" s="289"/>
      <c r="M129" s="3"/>
      <c r="N129" s="3"/>
      <c r="O129" s="3"/>
      <c r="P129" s="3"/>
      <c r="Q129" s="3"/>
      <c r="R129" s="3"/>
      <c r="S129" s="376"/>
      <c r="T129" s="418">
        <f t="shared" si="22"/>
        <v>103</v>
      </c>
      <c r="U129" s="376"/>
      <c r="V129" s="370">
        <f t="shared" si="21"/>
        <v>7.6229842226290909E-2</v>
      </c>
      <c r="W129" s="289"/>
      <c r="X129" s="370">
        <f t="shared" si="13"/>
        <v>0.13268443556235671</v>
      </c>
      <c r="Y129" s="429"/>
      <c r="Z129" s="421">
        <f t="shared" si="14"/>
        <v>0.16011550056330826</v>
      </c>
      <c r="AA129" s="429"/>
      <c r="AB129" s="421">
        <f t="shared" si="15"/>
        <v>0.15558226334448838</v>
      </c>
      <c r="AC129" s="430"/>
      <c r="AD129" s="424">
        <f t="shared" si="16"/>
        <v>0.11302120993596465</v>
      </c>
      <c r="AE129" s="431"/>
      <c r="AF129" s="421">
        <f t="shared" si="17"/>
        <v>0.2882830925039791</v>
      </c>
      <c r="AG129" s="421">
        <f t="shared" si="18"/>
        <v>2.0772319616902855</v>
      </c>
      <c r="AH129" s="426">
        <f t="shared" si="19"/>
        <v>7.7029472209639883E-3</v>
      </c>
      <c r="AI129" s="421">
        <f t="shared" si="20"/>
        <v>0.24196633478001367</v>
      </c>
      <c r="AJ129" s="325"/>
      <c r="AK129" s="325"/>
      <c r="AL129" s="325"/>
      <c r="AM129" s="325"/>
      <c r="AN129" s="325"/>
      <c r="AO129" s="325"/>
      <c r="AP129" s="325"/>
      <c r="AQ129" s="325"/>
      <c r="AR129" s="325"/>
      <c r="AS129" s="325"/>
      <c r="AT129" s="325"/>
      <c r="AU129" s="325"/>
      <c r="AV129" s="325"/>
      <c r="AW129" s="325"/>
      <c r="AX129" s="325"/>
      <c r="AY129" s="325"/>
      <c r="AZ129" s="325"/>
      <c r="BA129" s="325"/>
      <c r="BB129" s="325"/>
      <c r="BC129" s="325"/>
      <c r="BD129" s="325"/>
      <c r="BE129" s="325"/>
      <c r="BF129" s="325"/>
      <c r="BG129" s="325"/>
      <c r="BH129" s="325"/>
      <c r="BI129" s="325"/>
      <c r="BJ129" s="325"/>
      <c r="BK129" s="325"/>
      <c r="BL129" s="325"/>
      <c r="BM129" s="325"/>
      <c r="BN129" s="325"/>
      <c r="BO129" s="325"/>
      <c r="BP129" s="325"/>
      <c r="BQ129" s="325"/>
    </row>
    <row r="130" spans="1:69" ht="14.25" customHeight="1" x14ac:dyDescent="0.2">
      <c r="A130" s="3"/>
      <c r="B130" s="289"/>
      <c r="C130" s="3"/>
      <c r="D130" s="3"/>
      <c r="E130" s="3"/>
      <c r="F130" s="3"/>
      <c r="G130" s="289"/>
      <c r="H130" s="3"/>
      <c r="I130" s="3"/>
      <c r="J130" s="3"/>
      <c r="K130" s="3"/>
      <c r="L130" s="289"/>
      <c r="M130" s="3"/>
      <c r="N130" s="3"/>
      <c r="O130" s="3"/>
      <c r="P130" s="3"/>
      <c r="Q130" s="3"/>
      <c r="R130" s="3"/>
      <c r="S130" s="376"/>
      <c r="T130" s="418">
        <f t="shared" si="22"/>
        <v>104</v>
      </c>
      <c r="U130" s="376"/>
      <c r="V130" s="370">
        <f t="shared" si="21"/>
        <v>7.4348440908415955E-2</v>
      </c>
      <c r="W130" s="289"/>
      <c r="X130" s="370">
        <f t="shared" si="13"/>
        <v>0.13069969958091868</v>
      </c>
      <c r="Y130" s="429"/>
      <c r="Z130" s="421">
        <f t="shared" si="14"/>
        <v>0.15858339548328559</v>
      </c>
      <c r="AA130" s="429"/>
      <c r="AB130" s="421">
        <f t="shared" si="15"/>
        <v>0.15423333094483294</v>
      </c>
      <c r="AC130" s="430"/>
      <c r="AD130" s="424">
        <f t="shared" si="16"/>
        <v>0.11093249548749429</v>
      </c>
      <c r="AE130" s="431"/>
      <c r="AF130" s="421">
        <f t="shared" si="17"/>
        <v>0.28806030670149335</v>
      </c>
      <c r="AG130" s="421">
        <f t="shared" si="18"/>
        <v>2.0848316896023795</v>
      </c>
      <c r="AH130" s="426">
        <f t="shared" si="19"/>
        <v>7.5991681642322362E-3</v>
      </c>
      <c r="AI130" s="421">
        <f t="shared" si="20"/>
        <v>0.24094420199910324</v>
      </c>
      <c r="AJ130" s="325"/>
      <c r="AK130" s="325"/>
      <c r="AL130" s="325"/>
      <c r="AM130" s="325"/>
      <c r="AN130" s="325"/>
      <c r="AO130" s="325"/>
      <c r="AP130" s="325"/>
      <c r="AQ130" s="325"/>
      <c r="AR130" s="325"/>
      <c r="AS130" s="325"/>
      <c r="AT130" s="325"/>
      <c r="AU130" s="325"/>
      <c r="AV130" s="325"/>
      <c r="AW130" s="325"/>
      <c r="AX130" s="325"/>
      <c r="AY130" s="325"/>
      <c r="AZ130" s="325"/>
      <c r="BA130" s="325"/>
      <c r="BB130" s="325"/>
      <c r="BC130" s="325"/>
      <c r="BD130" s="325"/>
      <c r="BE130" s="325"/>
      <c r="BF130" s="325"/>
      <c r="BG130" s="325"/>
      <c r="BH130" s="325"/>
      <c r="BI130" s="325"/>
      <c r="BJ130" s="325"/>
      <c r="BK130" s="325"/>
      <c r="BL130" s="325"/>
      <c r="BM130" s="325"/>
      <c r="BN130" s="325"/>
      <c r="BO130" s="325"/>
      <c r="BP130" s="325"/>
      <c r="BQ130" s="325"/>
    </row>
    <row r="131" spans="1:69" ht="14.25" customHeight="1" x14ac:dyDescent="0.2">
      <c r="A131" s="3"/>
      <c r="B131" s="289"/>
      <c r="C131" s="3"/>
      <c r="D131" s="3"/>
      <c r="E131" s="3"/>
      <c r="F131" s="3"/>
      <c r="G131" s="289"/>
      <c r="H131" s="3"/>
      <c r="I131" s="3"/>
      <c r="J131" s="3"/>
      <c r="K131" s="3"/>
      <c r="L131" s="289"/>
      <c r="M131" s="3"/>
      <c r="N131" s="3"/>
      <c r="O131" s="3"/>
      <c r="P131" s="3"/>
      <c r="Q131" s="3"/>
      <c r="R131" s="3"/>
      <c r="S131" s="376"/>
      <c r="T131" s="418">
        <f t="shared" si="22"/>
        <v>105</v>
      </c>
      <c r="U131" s="376"/>
      <c r="V131" s="370">
        <f t="shared" si="21"/>
        <v>7.2513473779770923E-2</v>
      </c>
      <c r="W131" s="289"/>
      <c r="X131" s="370">
        <f t="shared" si="13"/>
        <v>0.12874894910700305</v>
      </c>
      <c r="Y131" s="429"/>
      <c r="Z131" s="421">
        <f t="shared" si="14"/>
        <v>0.15707545954328628</v>
      </c>
      <c r="AA131" s="429"/>
      <c r="AB131" s="421">
        <f t="shared" si="15"/>
        <v>0.15290674813427813</v>
      </c>
      <c r="AC131" s="430"/>
      <c r="AD131" s="424">
        <f t="shared" si="16"/>
        <v>0.10888376032255387</v>
      </c>
      <c r="AE131" s="431"/>
      <c r="AF131" s="421">
        <f t="shared" si="17"/>
        <v>0.28784652736060073</v>
      </c>
      <c r="AG131" s="421">
        <f t="shared" si="18"/>
        <v>2.0923586917301389</v>
      </c>
      <c r="AH131" s="426">
        <f t="shared" si="19"/>
        <v>7.4977604555170425E-3</v>
      </c>
      <c r="AI131" s="421">
        <f t="shared" si="20"/>
        <v>0.23993602798014968</v>
      </c>
      <c r="AJ131" s="325"/>
      <c r="AK131" s="325"/>
      <c r="AL131" s="325"/>
      <c r="AM131" s="325"/>
      <c r="AN131" s="325"/>
      <c r="AO131" s="325"/>
      <c r="AP131" s="325"/>
      <c r="AQ131" s="325"/>
      <c r="AR131" s="325"/>
      <c r="AS131" s="325"/>
      <c r="AT131" s="325"/>
      <c r="AU131" s="325"/>
      <c r="AV131" s="325"/>
      <c r="AW131" s="325"/>
      <c r="AX131" s="325"/>
      <c r="AY131" s="325"/>
      <c r="AZ131" s="325"/>
      <c r="BA131" s="325"/>
      <c r="BB131" s="325"/>
      <c r="BC131" s="325"/>
      <c r="BD131" s="325"/>
      <c r="BE131" s="325"/>
      <c r="BF131" s="325"/>
      <c r="BG131" s="325"/>
      <c r="BH131" s="325"/>
      <c r="BI131" s="325"/>
      <c r="BJ131" s="325"/>
      <c r="BK131" s="325"/>
      <c r="BL131" s="325"/>
      <c r="BM131" s="325"/>
      <c r="BN131" s="325"/>
      <c r="BO131" s="325"/>
      <c r="BP131" s="325"/>
      <c r="BQ131" s="325"/>
    </row>
    <row r="132" spans="1:69" ht="14.25" customHeight="1" x14ac:dyDescent="0.2">
      <c r="A132" s="3"/>
      <c r="B132" s="289"/>
      <c r="C132" s="3"/>
      <c r="D132" s="3"/>
      <c r="E132" s="3"/>
      <c r="F132" s="3"/>
      <c r="G132" s="289"/>
      <c r="H132" s="3"/>
      <c r="I132" s="3"/>
      <c r="J132" s="3"/>
      <c r="K132" s="3"/>
      <c r="L132" s="289"/>
      <c r="M132" s="3"/>
      <c r="N132" s="3"/>
      <c r="O132" s="3"/>
      <c r="P132" s="3"/>
      <c r="Q132" s="3"/>
      <c r="R132" s="3"/>
      <c r="S132" s="376"/>
      <c r="T132" s="418">
        <f t="shared" si="22"/>
        <v>106</v>
      </c>
      <c r="U132" s="376"/>
      <c r="V132" s="370">
        <f t="shared" si="21"/>
        <v>7.0723794814832708E-2</v>
      </c>
      <c r="W132" s="289"/>
      <c r="X132" s="370">
        <f t="shared" si="13"/>
        <v>0.12683149808099159</v>
      </c>
      <c r="Y132" s="429"/>
      <c r="Z132" s="421">
        <f t="shared" si="14"/>
        <v>0.15559114446091693</v>
      </c>
      <c r="AA132" s="429"/>
      <c r="AB132" s="421">
        <f t="shared" si="15"/>
        <v>0.15160197217272936</v>
      </c>
      <c r="AC132" s="430"/>
      <c r="AD132" s="424">
        <f t="shared" si="16"/>
        <v>0.10687419367374473</v>
      </c>
      <c r="AE132" s="431"/>
      <c r="AF132" s="421">
        <f t="shared" si="17"/>
        <v>0.28764138421001934</v>
      </c>
      <c r="AG132" s="421">
        <f t="shared" si="18"/>
        <v>2.0998143467926833</v>
      </c>
      <c r="AH132" s="426">
        <f t="shared" si="19"/>
        <v>7.3986480915881978E-3</v>
      </c>
      <c r="AI132" s="421">
        <f t="shared" si="20"/>
        <v>0.23894149320300312</v>
      </c>
      <c r="AJ132" s="325"/>
      <c r="AK132" s="325"/>
      <c r="AL132" s="325"/>
      <c r="AM132" s="325"/>
      <c r="AN132" s="325"/>
      <c r="AO132" s="325"/>
      <c r="AP132" s="325"/>
      <c r="AQ132" s="325"/>
      <c r="AR132" s="325"/>
      <c r="AS132" s="325"/>
      <c r="AT132" s="325"/>
      <c r="AU132" s="325"/>
      <c r="AV132" s="325"/>
      <c r="AW132" s="325"/>
      <c r="AX132" s="325"/>
      <c r="AY132" s="325"/>
      <c r="AZ132" s="325"/>
      <c r="BA132" s="325"/>
      <c r="BB132" s="325"/>
      <c r="BC132" s="325"/>
      <c r="BD132" s="325"/>
      <c r="BE132" s="325"/>
      <c r="BF132" s="325"/>
      <c r="BG132" s="325"/>
      <c r="BH132" s="325"/>
      <c r="BI132" s="325"/>
      <c r="BJ132" s="325"/>
      <c r="BK132" s="325"/>
      <c r="BL132" s="325"/>
      <c r="BM132" s="325"/>
      <c r="BN132" s="325"/>
      <c r="BO132" s="325"/>
      <c r="BP132" s="325"/>
      <c r="BQ132" s="325"/>
    </row>
    <row r="133" spans="1:69" ht="14.25" customHeight="1" x14ac:dyDescent="0.2">
      <c r="A133" s="3"/>
      <c r="B133" s="289"/>
      <c r="C133" s="3"/>
      <c r="D133" s="3"/>
      <c r="E133" s="3"/>
      <c r="F133" s="3"/>
      <c r="G133" s="289"/>
      <c r="H133" s="3"/>
      <c r="I133" s="3"/>
      <c r="J133" s="3"/>
      <c r="K133" s="3"/>
      <c r="L133" s="289"/>
      <c r="M133" s="3"/>
      <c r="N133" s="3"/>
      <c r="O133" s="3"/>
      <c r="P133" s="3"/>
      <c r="Q133" s="3"/>
      <c r="R133" s="3"/>
      <c r="S133" s="376"/>
      <c r="T133" s="418">
        <f t="shared" si="22"/>
        <v>107</v>
      </c>
      <c r="U133" s="376"/>
      <c r="V133" s="370">
        <f t="shared" si="21"/>
        <v>6.8978286272721984E-2</v>
      </c>
      <c r="W133" s="289"/>
      <c r="X133" s="370">
        <f t="shared" si="13"/>
        <v>0.12494667721951838</v>
      </c>
      <c r="Y133" s="429"/>
      <c r="Z133" s="421">
        <f t="shared" si="14"/>
        <v>0.15412991838526391</v>
      </c>
      <c r="AA133" s="429"/>
      <c r="AB133" s="421">
        <f t="shared" si="15"/>
        <v>0.15031847759711811</v>
      </c>
      <c r="AC133" s="430"/>
      <c r="AD133" s="424">
        <f t="shared" si="16"/>
        <v>0.10490300287540411</v>
      </c>
      <c r="AE133" s="431"/>
      <c r="AF133" s="421">
        <f t="shared" si="17"/>
        <v>0.28744452268077875</v>
      </c>
      <c r="AG133" s="421">
        <f t="shared" si="18"/>
        <v>2.1071999946708173</v>
      </c>
      <c r="AH133" s="426">
        <f t="shared" si="19"/>
        <v>7.301758191399191E-3</v>
      </c>
      <c r="AI133" s="421">
        <f t="shared" si="20"/>
        <v>0.23796028835187885</v>
      </c>
      <c r="AJ133" s="325"/>
      <c r="AK133" s="325"/>
      <c r="AL133" s="325"/>
      <c r="AM133" s="325"/>
      <c r="AN133" s="325"/>
      <c r="AO133" s="325"/>
      <c r="AP133" s="325"/>
      <c r="AQ133" s="325"/>
      <c r="AR133" s="325"/>
      <c r="AS133" s="325"/>
      <c r="AT133" s="325"/>
      <c r="AU133" s="325"/>
      <c r="AV133" s="325"/>
      <c r="AW133" s="325"/>
      <c r="AX133" s="325"/>
      <c r="AY133" s="325"/>
      <c r="AZ133" s="325"/>
      <c r="BA133" s="325"/>
      <c r="BB133" s="325"/>
      <c r="BC133" s="325"/>
      <c r="BD133" s="325"/>
      <c r="BE133" s="325"/>
      <c r="BF133" s="325"/>
      <c r="BG133" s="325"/>
      <c r="BH133" s="325"/>
      <c r="BI133" s="325"/>
      <c r="BJ133" s="325"/>
      <c r="BK133" s="325"/>
      <c r="BL133" s="325"/>
      <c r="BM133" s="325"/>
      <c r="BN133" s="325"/>
      <c r="BO133" s="325"/>
      <c r="BP133" s="325"/>
      <c r="BQ133" s="325"/>
    </row>
    <row r="134" spans="1:69" ht="14.25" customHeight="1" x14ac:dyDescent="0.2">
      <c r="A134" s="3"/>
      <c r="B134" s="289"/>
      <c r="C134" s="3"/>
      <c r="D134" s="3"/>
      <c r="E134" s="3"/>
      <c r="F134" s="3"/>
      <c r="G134" s="289"/>
      <c r="H134" s="3"/>
      <c r="I134" s="3"/>
      <c r="J134" s="3"/>
      <c r="K134" s="3"/>
      <c r="L134" s="289"/>
      <c r="M134" s="3"/>
      <c r="N134" s="3"/>
      <c r="O134" s="3"/>
      <c r="P134" s="3"/>
      <c r="Q134" s="3"/>
      <c r="R134" s="3"/>
      <c r="S134" s="376"/>
      <c r="T134" s="418">
        <f t="shared" si="22"/>
        <v>108</v>
      </c>
      <c r="U134" s="376"/>
      <c r="V134" s="370">
        <f t="shared" si="21"/>
        <v>6.7275857999120017E-2</v>
      </c>
      <c r="W134" s="289"/>
      <c r="X134" s="370">
        <f t="shared" si="13"/>
        <v>0.12309383351032643</v>
      </c>
      <c r="Y134" s="429"/>
      <c r="Z134" s="421">
        <f t="shared" si="14"/>
        <v>0.15269126528168331</v>
      </c>
      <c r="AA134" s="429"/>
      <c r="AB134" s="421">
        <f t="shared" si="15"/>
        <v>0.1490557555437379</v>
      </c>
      <c r="AC134" s="430"/>
      <c r="AD134" s="424">
        <f t="shared" si="16"/>
        <v>0.10296941289290906</v>
      </c>
      <c r="AE134" s="431"/>
      <c r="AF134" s="421">
        <f t="shared" si="17"/>
        <v>0.28725560320333526</v>
      </c>
      <c r="AG134" s="421">
        <f t="shared" si="18"/>
        <v>2.1145169378522302</v>
      </c>
      <c r="AH134" s="426">
        <f t="shared" si="19"/>
        <v>7.2070208401601834E-3</v>
      </c>
      <c r="AI134" s="421">
        <f t="shared" si="20"/>
        <v>0.23699211389898625</v>
      </c>
      <c r="AJ134" s="325"/>
      <c r="AK134" s="325"/>
      <c r="AL134" s="325"/>
      <c r="AM134" s="325"/>
      <c r="AN134" s="325"/>
      <c r="AO134" s="325"/>
      <c r="AP134" s="325"/>
      <c r="AQ134" s="325"/>
      <c r="AR134" s="325"/>
      <c r="AS134" s="325"/>
      <c r="AT134" s="325"/>
      <c r="AU134" s="325"/>
      <c r="AV134" s="325"/>
      <c r="AW134" s="325"/>
      <c r="AX134" s="325"/>
      <c r="AY134" s="325"/>
      <c r="AZ134" s="325"/>
      <c r="BA134" s="325"/>
      <c r="BB134" s="325"/>
      <c r="BC134" s="325"/>
      <c r="BD134" s="325"/>
      <c r="BE134" s="325"/>
      <c r="BF134" s="325"/>
      <c r="BG134" s="325"/>
      <c r="BH134" s="325"/>
      <c r="BI134" s="325"/>
      <c r="BJ134" s="325"/>
      <c r="BK134" s="325"/>
      <c r="BL134" s="325"/>
      <c r="BM134" s="325"/>
      <c r="BN134" s="325"/>
      <c r="BO134" s="325"/>
      <c r="BP134" s="325"/>
      <c r="BQ134" s="325"/>
    </row>
    <row r="135" spans="1:69" ht="14.25" customHeight="1" x14ac:dyDescent="0.2">
      <c r="A135" s="3"/>
      <c r="B135" s="289"/>
      <c r="C135" s="3"/>
      <c r="D135" s="3"/>
      <c r="E135" s="3"/>
      <c r="F135" s="3"/>
      <c r="G135" s="289"/>
      <c r="H135" s="3"/>
      <c r="I135" s="3"/>
      <c r="J135" s="3"/>
      <c r="K135" s="3"/>
      <c r="L135" s="289"/>
      <c r="M135" s="3"/>
      <c r="N135" s="3"/>
      <c r="O135" s="3"/>
      <c r="P135" s="3"/>
      <c r="Q135" s="3"/>
      <c r="R135" s="3"/>
      <c r="S135" s="376"/>
      <c r="T135" s="418">
        <f t="shared" si="22"/>
        <v>109</v>
      </c>
      <c r="U135" s="376"/>
      <c r="V135" s="370">
        <f t="shared" si="21"/>
        <v>6.5615446745414738E-2</v>
      </c>
      <c r="W135" s="289"/>
      <c r="X135" s="370">
        <f t="shared" si="13"/>
        <v>0.12127232972585211</v>
      </c>
      <c r="Y135" s="429"/>
      <c r="Z135" s="421">
        <f t="shared" si="14"/>
        <v>0.15127468434427249</v>
      </c>
      <c r="AA135" s="429"/>
      <c r="AB135" s="421">
        <f t="shared" si="15"/>
        <v>0.14781331310206547</v>
      </c>
      <c r="AC135" s="430"/>
      <c r="AD135" s="424">
        <f t="shared" si="16"/>
        <v>0.10107266586711228</v>
      </c>
      <c r="AE135" s="431"/>
      <c r="AF135" s="421">
        <f t="shared" si="17"/>
        <v>0.28707430053894861</v>
      </c>
      <c r="AG135" s="421">
        <f t="shared" si="18"/>
        <v>2.12176644281009</v>
      </c>
      <c r="AH135" s="426">
        <f t="shared" si="19"/>
        <v>7.1143689425547992E-3</v>
      </c>
      <c r="AI135" s="421">
        <f t="shared" si="20"/>
        <v>0.23603667970876771</v>
      </c>
      <c r="AJ135" s="325"/>
      <c r="AK135" s="325"/>
      <c r="AL135" s="325"/>
      <c r="AM135" s="325"/>
      <c r="AN135" s="325"/>
      <c r="AO135" s="325"/>
      <c r="AP135" s="325"/>
      <c r="AQ135" s="325"/>
      <c r="AR135" s="325"/>
      <c r="AS135" s="325"/>
      <c r="AT135" s="325"/>
      <c r="AU135" s="325"/>
      <c r="AV135" s="325"/>
      <c r="AW135" s="325"/>
      <c r="AX135" s="325"/>
      <c r="AY135" s="325"/>
      <c r="AZ135" s="325"/>
      <c r="BA135" s="325"/>
      <c r="BB135" s="325"/>
      <c r="BC135" s="325"/>
      <c r="BD135" s="325"/>
      <c r="BE135" s="325"/>
      <c r="BF135" s="325"/>
      <c r="BG135" s="325"/>
      <c r="BH135" s="325"/>
      <c r="BI135" s="325"/>
      <c r="BJ135" s="325"/>
      <c r="BK135" s="325"/>
      <c r="BL135" s="325"/>
      <c r="BM135" s="325"/>
      <c r="BN135" s="325"/>
      <c r="BO135" s="325"/>
      <c r="BP135" s="325"/>
      <c r="BQ135" s="325"/>
    </row>
    <row r="136" spans="1:69" ht="14.25" customHeight="1" x14ac:dyDescent="0.2">
      <c r="A136" s="3"/>
      <c r="B136" s="289"/>
      <c r="C136" s="3"/>
      <c r="D136" s="3"/>
      <c r="E136" s="3"/>
      <c r="F136" s="3"/>
      <c r="G136" s="289"/>
      <c r="H136" s="3"/>
      <c r="I136" s="3"/>
      <c r="J136" s="3"/>
      <c r="K136" s="3"/>
      <c r="L136" s="289"/>
      <c r="M136" s="3"/>
      <c r="N136" s="3"/>
      <c r="O136" s="3"/>
      <c r="P136" s="3"/>
      <c r="Q136" s="3"/>
      <c r="R136" s="3"/>
      <c r="S136" s="376"/>
      <c r="T136" s="418">
        <f t="shared" si="22"/>
        <v>110</v>
      </c>
      <c r="U136" s="376"/>
      <c r="V136" s="370">
        <f t="shared" si="21"/>
        <v>6.3996015504650602E-2</v>
      </c>
      <c r="W136" s="289"/>
      <c r="X136" s="370">
        <f t="shared" si="13"/>
        <v>0.11948154395469417</v>
      </c>
      <c r="Y136" s="429"/>
      <c r="Z136" s="421">
        <f t="shared" si="14"/>
        <v>0.14987968943456542</v>
      </c>
      <c r="AA136" s="429"/>
      <c r="AB136" s="421">
        <f t="shared" si="15"/>
        <v>0.14659067269838064</v>
      </c>
      <c r="AC136" s="430"/>
      <c r="AD136" s="424">
        <f t="shared" si="16"/>
        <v>9.9212020673283607E-2</v>
      </c>
      <c r="AE136" s="431"/>
      <c r="AF136" s="421">
        <f t="shared" si="17"/>
        <v>0.28690030314344711</v>
      </c>
      <c r="AG136" s="421">
        <f t="shared" si="18"/>
        <v>2.1289497413186949</v>
      </c>
      <c r="AH136" s="426">
        <f t="shared" si="19"/>
        <v>7.0237380844862772E-3</v>
      </c>
      <c r="AI136" s="421">
        <f t="shared" si="20"/>
        <v>0.23509370466154875</v>
      </c>
      <c r="AJ136" s="325"/>
      <c r="AK136" s="325"/>
      <c r="AL136" s="325"/>
      <c r="AM136" s="325"/>
      <c r="AN136" s="325"/>
      <c r="AO136" s="325"/>
      <c r="AP136" s="325"/>
      <c r="AQ136" s="325"/>
      <c r="AR136" s="325"/>
      <c r="AS136" s="325"/>
      <c r="AT136" s="325"/>
      <c r="AU136" s="325"/>
      <c r="AV136" s="325"/>
      <c r="AW136" s="325"/>
      <c r="AX136" s="325"/>
      <c r="AY136" s="325"/>
      <c r="AZ136" s="325"/>
      <c r="BA136" s="325"/>
      <c r="BB136" s="325"/>
      <c r="BC136" s="325"/>
      <c r="BD136" s="325"/>
      <c r="BE136" s="325"/>
      <c r="BF136" s="325"/>
      <c r="BG136" s="325"/>
      <c r="BH136" s="325"/>
      <c r="BI136" s="325"/>
      <c r="BJ136" s="325"/>
      <c r="BK136" s="325"/>
      <c r="BL136" s="325"/>
      <c r="BM136" s="325"/>
      <c r="BN136" s="325"/>
      <c r="BO136" s="325"/>
      <c r="BP136" s="325"/>
      <c r="BQ136" s="325"/>
    </row>
    <row r="137" spans="1:69" ht="14.25" customHeight="1" x14ac:dyDescent="0.2">
      <c r="A137" s="3"/>
      <c r="B137" s="289"/>
      <c r="C137" s="3"/>
      <c r="D137" s="3"/>
      <c r="E137" s="3"/>
      <c r="F137" s="3"/>
      <c r="G137" s="289"/>
      <c r="H137" s="3"/>
      <c r="I137" s="3"/>
      <c r="J137" s="3"/>
      <c r="K137" s="3"/>
      <c r="L137" s="289"/>
      <c r="M137" s="3"/>
      <c r="N137" s="3"/>
      <c r="O137" s="3"/>
      <c r="P137" s="3"/>
      <c r="Q137" s="3"/>
      <c r="R137" s="3"/>
      <c r="S137" s="376"/>
      <c r="T137" s="418">
        <f t="shared" si="22"/>
        <v>111</v>
      </c>
      <c r="U137" s="376"/>
      <c r="V137" s="370">
        <f t="shared" si="21"/>
        <v>6.2416552863867776E-2</v>
      </c>
      <c r="W137" s="289"/>
      <c r="X137" s="370">
        <f t="shared" si="13"/>
        <v>0.11772086915017081</v>
      </c>
      <c r="Y137" s="429"/>
      <c r="Z137" s="421">
        <f t="shared" si="14"/>
        <v>0.14850580854508955</v>
      </c>
      <c r="AA137" s="429"/>
      <c r="AB137" s="421">
        <f t="shared" si="15"/>
        <v>0.14538737150760087</v>
      </c>
      <c r="AC137" s="430"/>
      <c r="AD137" s="424">
        <f t="shared" si="16"/>
        <v>9.7386752493979767E-2</v>
      </c>
      <c r="AE137" s="431"/>
      <c r="AF137" s="421">
        <f t="shared" si="17"/>
        <v>0.28673331256162132</v>
      </c>
      <c r="AG137" s="421">
        <f t="shared" si="18"/>
        <v>2.1360680317095775</v>
      </c>
      <c r="AH137" s="426">
        <f t="shared" si="19"/>
        <v>6.9350664027853339E-3</v>
      </c>
      <c r="AI137" s="421">
        <f t="shared" si="20"/>
        <v>0.23416291629548888</v>
      </c>
      <c r="AJ137" s="325"/>
      <c r="AK137" s="325"/>
      <c r="AL137" s="325"/>
      <c r="AM137" s="325"/>
      <c r="AN137" s="325"/>
      <c r="AO137" s="325"/>
      <c r="AP137" s="325"/>
      <c r="AQ137" s="325"/>
      <c r="AR137" s="325"/>
      <c r="AS137" s="325"/>
      <c r="AT137" s="325"/>
      <c r="AU137" s="325"/>
      <c r="AV137" s="325"/>
      <c r="AW137" s="325"/>
      <c r="AX137" s="325"/>
      <c r="AY137" s="325"/>
      <c r="AZ137" s="325"/>
      <c r="BA137" s="325"/>
      <c r="BB137" s="325"/>
      <c r="BC137" s="325"/>
      <c r="BD137" s="325"/>
      <c r="BE137" s="325"/>
      <c r="BF137" s="325"/>
      <c r="BG137" s="325"/>
      <c r="BH137" s="325"/>
      <c r="BI137" s="325"/>
      <c r="BJ137" s="325"/>
      <c r="BK137" s="325"/>
      <c r="BL137" s="325"/>
      <c r="BM137" s="325"/>
      <c r="BN137" s="325"/>
      <c r="BO137" s="325"/>
      <c r="BP137" s="325"/>
      <c r="BQ137" s="325"/>
    </row>
    <row r="138" spans="1:69" ht="14.25" customHeight="1" x14ac:dyDescent="0.2">
      <c r="A138" s="3"/>
      <c r="B138" s="289"/>
      <c r="C138" s="3"/>
      <c r="D138" s="3"/>
      <c r="E138" s="3"/>
      <c r="F138" s="3"/>
      <c r="G138" s="289"/>
      <c r="H138" s="3"/>
      <c r="I138" s="3"/>
      <c r="J138" s="3"/>
      <c r="K138" s="3"/>
      <c r="L138" s="289"/>
      <c r="M138" s="3"/>
      <c r="N138" s="3"/>
      <c r="O138" s="3"/>
      <c r="P138" s="3"/>
      <c r="Q138" s="3"/>
      <c r="R138" s="3"/>
      <c r="S138" s="376"/>
      <c r="T138" s="418">
        <f t="shared" si="22"/>
        <v>112</v>
      </c>
      <c r="U138" s="376"/>
      <c r="V138" s="370">
        <f t="shared" si="21"/>
        <v>6.087607237242592E-2</v>
      </c>
      <c r="W138" s="289"/>
      <c r="X138" s="370">
        <f t="shared" si="13"/>
        <v>0.11598971269520882</v>
      </c>
      <c r="Y138" s="429"/>
      <c r="Z138" s="421">
        <f t="shared" si="14"/>
        <v>0.14715258328649028</v>
      </c>
      <c r="AA138" s="429"/>
      <c r="AB138" s="421">
        <f t="shared" si="15"/>
        <v>0.14420296089184209</v>
      </c>
      <c r="AC138" s="430"/>
      <c r="AD138" s="424">
        <f t="shared" si="16"/>
        <v>9.5596152405276302E-2</v>
      </c>
      <c r="AE138" s="431"/>
      <c r="AF138" s="421">
        <f t="shared" si="17"/>
        <v>0.28657304285059892</v>
      </c>
      <c r="AG138" s="421">
        <f t="shared" si="18"/>
        <v>2.1431224800712934</v>
      </c>
      <c r="AH138" s="426">
        <f t="shared" si="19"/>
        <v>6.8482944623541172E-3</v>
      </c>
      <c r="AI138" s="421">
        <f t="shared" si="20"/>
        <v>0.23324405046578103</v>
      </c>
      <c r="AJ138" s="325"/>
      <c r="AK138" s="325"/>
      <c r="AL138" s="325"/>
      <c r="AM138" s="325"/>
      <c r="AN138" s="325"/>
      <c r="AO138" s="325"/>
      <c r="AP138" s="325"/>
      <c r="AQ138" s="325"/>
      <c r="AR138" s="325"/>
      <c r="AS138" s="325"/>
      <c r="AT138" s="325"/>
      <c r="AU138" s="325"/>
      <c r="AV138" s="325"/>
      <c r="AW138" s="325"/>
      <c r="AX138" s="325"/>
      <c r="AY138" s="325"/>
      <c r="AZ138" s="325"/>
      <c r="BA138" s="325"/>
      <c r="BB138" s="325"/>
      <c r="BC138" s="325"/>
      <c r="BD138" s="325"/>
      <c r="BE138" s="325"/>
      <c r="BF138" s="325"/>
      <c r="BG138" s="325"/>
      <c r="BH138" s="325"/>
      <c r="BI138" s="325"/>
      <c r="BJ138" s="325"/>
      <c r="BK138" s="325"/>
      <c r="BL138" s="325"/>
      <c r="BM138" s="325"/>
      <c r="BN138" s="325"/>
      <c r="BO138" s="325"/>
      <c r="BP138" s="325"/>
      <c r="BQ138" s="325"/>
    </row>
    <row r="139" spans="1:69" ht="14.25" customHeight="1" x14ac:dyDescent="0.2">
      <c r="A139" s="3"/>
      <c r="B139" s="289"/>
      <c r="C139" s="3"/>
      <c r="D139" s="3"/>
      <c r="E139" s="3"/>
      <c r="F139" s="3"/>
      <c r="G139" s="289"/>
      <c r="H139" s="3"/>
      <c r="I139" s="3"/>
      <c r="J139" s="3"/>
      <c r="K139" s="3"/>
      <c r="L139" s="289"/>
      <c r="M139" s="3"/>
      <c r="N139" s="3"/>
      <c r="O139" s="3"/>
      <c r="P139" s="3"/>
      <c r="Q139" s="3"/>
      <c r="R139" s="3"/>
      <c r="S139" s="376"/>
      <c r="T139" s="418">
        <f t="shared" si="22"/>
        <v>113</v>
      </c>
      <c r="U139" s="376"/>
      <c r="V139" s="370">
        <f t="shared" si="21"/>
        <v>5.9373611925918113E-2</v>
      </c>
      <c r="W139" s="289"/>
      <c r="X139" s="370">
        <f t="shared" si="13"/>
        <v>0.11428749598285004</v>
      </c>
      <c r="Y139" s="429"/>
      <c r="Z139" s="421">
        <f t="shared" si="14"/>
        <v>0.14581956839702215</v>
      </c>
      <c r="AA139" s="429"/>
      <c r="AB139" s="421">
        <f t="shared" si="15"/>
        <v>0.14303700586430515</v>
      </c>
      <c r="AC139" s="430"/>
      <c r="AD139" s="424">
        <f t="shared" si="16"/>
        <v>9.3839526975838305E-2</v>
      </c>
      <c r="AE139" s="431"/>
      <c r="AF139" s="421">
        <f t="shared" si="17"/>
        <v>0.28641922003065023</v>
      </c>
      <c r="AG139" s="421">
        <f t="shared" si="18"/>
        <v>2.1501142213958722</v>
      </c>
      <c r="AH139" s="426">
        <f t="shared" si="19"/>
        <v>6.7633651402601441E-3</v>
      </c>
      <c r="AI139" s="421">
        <f t="shared" si="20"/>
        <v>0.23233685102013521</v>
      </c>
      <c r="AJ139" s="325"/>
      <c r="AK139" s="325"/>
      <c r="AL139" s="325"/>
      <c r="AM139" s="325"/>
      <c r="AN139" s="325"/>
      <c r="AO139" s="325"/>
      <c r="AP139" s="325"/>
      <c r="AQ139" s="325"/>
      <c r="AR139" s="325"/>
      <c r="AS139" s="325"/>
      <c r="AT139" s="325"/>
      <c r="AU139" s="325"/>
      <c r="AV139" s="325"/>
      <c r="AW139" s="325"/>
      <c r="AX139" s="325"/>
      <c r="AY139" s="325"/>
      <c r="AZ139" s="325"/>
      <c r="BA139" s="325"/>
      <c r="BB139" s="325"/>
      <c r="BC139" s="325"/>
      <c r="BD139" s="325"/>
      <c r="BE139" s="325"/>
      <c r="BF139" s="325"/>
      <c r="BG139" s="325"/>
      <c r="BH139" s="325"/>
      <c r="BI139" s="325"/>
      <c r="BJ139" s="325"/>
      <c r="BK139" s="325"/>
      <c r="BL139" s="325"/>
      <c r="BM139" s="325"/>
      <c r="BN139" s="325"/>
      <c r="BO139" s="325"/>
      <c r="BP139" s="325"/>
      <c r="BQ139" s="325"/>
    </row>
    <row r="140" spans="1:69" ht="14.25" customHeight="1" x14ac:dyDescent="0.2">
      <c r="A140" s="3"/>
      <c r="B140" s="289"/>
      <c r="C140" s="3"/>
      <c r="D140" s="3"/>
      <c r="E140" s="3"/>
      <c r="F140" s="3"/>
      <c r="G140" s="289"/>
      <c r="H140" s="3"/>
      <c r="I140" s="3"/>
      <c r="J140" s="3"/>
      <c r="K140" s="3"/>
      <c r="L140" s="289"/>
      <c r="M140" s="3"/>
      <c r="N140" s="3"/>
      <c r="O140" s="3"/>
      <c r="P140" s="3"/>
      <c r="Q140" s="3"/>
      <c r="R140" s="3"/>
      <c r="S140" s="376"/>
      <c r="T140" s="418">
        <f t="shared" si="22"/>
        <v>114</v>
      </c>
      <c r="U140" s="376"/>
      <c r="V140" s="370">
        <f t="shared" si="21"/>
        <v>5.7908233165290271E-2</v>
      </c>
      <c r="W140" s="289"/>
      <c r="X140" s="370">
        <f t="shared" si="13"/>
        <v>0.11261365401169583</v>
      </c>
      <c r="Y140" s="429"/>
      <c r="Z140" s="421">
        <f t="shared" si="14"/>
        <v>0.14450633127326062</v>
      </c>
      <c r="AA140" s="429"/>
      <c r="AB140" s="421">
        <f t="shared" si="15"/>
        <v>0.14188908457717089</v>
      </c>
      <c r="AC140" s="430"/>
      <c r="AD140" s="424">
        <f t="shared" si="16"/>
        <v>9.2116197878321371E-2</v>
      </c>
      <c r="AE140" s="431"/>
      <c r="AF140" s="421">
        <f t="shared" si="17"/>
        <v>0.28627158156197219</v>
      </c>
      <c r="AG140" s="421">
        <f t="shared" si="18"/>
        <v>2.157044360674766</v>
      </c>
      <c r="AH140" s="426">
        <f t="shared" si="19"/>
        <v>6.6802235163295337E-3</v>
      </c>
      <c r="AI140" s="421">
        <f t="shared" si="20"/>
        <v>0.23144106948962503</v>
      </c>
      <c r="AJ140" s="325"/>
      <c r="AK140" s="325"/>
      <c r="AL140" s="325"/>
      <c r="AM140" s="325"/>
      <c r="AN140" s="325"/>
      <c r="AO140" s="325"/>
      <c r="AP140" s="325"/>
      <c r="AQ140" s="325"/>
      <c r="AR140" s="325"/>
      <c r="AS140" s="325"/>
      <c r="AT140" s="325"/>
      <c r="AU140" s="325"/>
      <c r="AV140" s="325"/>
      <c r="AW140" s="325"/>
      <c r="AX140" s="325"/>
      <c r="AY140" s="325"/>
      <c r="AZ140" s="325"/>
      <c r="BA140" s="325"/>
      <c r="BB140" s="325"/>
      <c r="BC140" s="325"/>
      <c r="BD140" s="325"/>
      <c r="BE140" s="325"/>
      <c r="BF140" s="325"/>
      <c r="BG140" s="325"/>
      <c r="BH140" s="325"/>
      <c r="BI140" s="325"/>
      <c r="BJ140" s="325"/>
      <c r="BK140" s="325"/>
      <c r="BL140" s="325"/>
      <c r="BM140" s="325"/>
      <c r="BN140" s="325"/>
      <c r="BO140" s="325"/>
      <c r="BP140" s="325"/>
      <c r="BQ140" s="325"/>
    </row>
    <row r="141" spans="1:69" ht="14.25" customHeight="1" x14ac:dyDescent="0.2">
      <c r="A141" s="3"/>
      <c r="B141" s="289"/>
      <c r="C141" s="3"/>
      <c r="D141" s="3"/>
      <c r="E141" s="3"/>
      <c r="F141" s="3"/>
      <c r="G141" s="289"/>
      <c r="H141" s="3"/>
      <c r="I141" s="3"/>
      <c r="J141" s="3"/>
      <c r="K141" s="3"/>
      <c r="L141" s="289"/>
      <c r="M141" s="3"/>
      <c r="N141" s="3"/>
      <c r="O141" s="3"/>
      <c r="P141" s="3"/>
      <c r="Q141" s="3"/>
      <c r="R141" s="3"/>
      <c r="S141" s="376"/>
      <c r="T141" s="418">
        <f t="shared" si="22"/>
        <v>115</v>
      </c>
      <c r="U141" s="376"/>
      <c r="V141" s="370">
        <f t="shared" si="21"/>
        <v>5.647902089079062E-2</v>
      </c>
      <c r="W141" s="289"/>
      <c r="X141" s="370">
        <f t="shared" si="13"/>
        <v>0.11096763499564687</v>
      </c>
      <c r="Y141" s="429"/>
      <c r="Z141" s="421">
        <f t="shared" si="14"/>
        <v>0.14321245152096518</v>
      </c>
      <c r="AA141" s="429"/>
      <c r="AB141" s="421">
        <f t="shared" si="15"/>
        <v>0.14075878783226459</v>
      </c>
      <c r="AC141" s="430"/>
      <c r="AD141" s="424">
        <f t="shared" si="16"/>
        <v>9.0425501512628514E-2</v>
      </c>
      <c r="AE141" s="431"/>
      <c r="AF141" s="421">
        <f t="shared" si="17"/>
        <v>0.28612987584608174</v>
      </c>
      <c r="AG141" s="421">
        <f t="shared" si="18"/>
        <v>2.1639139739469413</v>
      </c>
      <c r="AH141" s="426">
        <f t="shared" si="19"/>
        <v>6.598816769821823E-3</v>
      </c>
      <c r="AI141" s="421">
        <f t="shared" si="20"/>
        <v>0.23055646479405134</v>
      </c>
      <c r="AJ141" s="325"/>
      <c r="AK141" s="325"/>
      <c r="AL141" s="325"/>
      <c r="AM141" s="325"/>
      <c r="AN141" s="325"/>
      <c r="AO141" s="325"/>
      <c r="AP141" s="325"/>
      <c r="AQ141" s="325"/>
      <c r="AR141" s="325"/>
      <c r="AS141" s="325"/>
      <c r="AT141" s="325"/>
      <c r="AU141" s="325"/>
      <c r="AV141" s="325"/>
      <c r="AW141" s="325"/>
      <c r="AX141" s="325"/>
      <c r="AY141" s="325"/>
      <c r="AZ141" s="325"/>
      <c r="BA141" s="325"/>
      <c r="BB141" s="325"/>
      <c r="BC141" s="325"/>
      <c r="BD141" s="325"/>
      <c r="BE141" s="325"/>
      <c r="BF141" s="325"/>
      <c r="BG141" s="325"/>
      <c r="BH141" s="325"/>
      <c r="BI141" s="325"/>
      <c r="BJ141" s="325"/>
      <c r="BK141" s="325"/>
      <c r="BL141" s="325"/>
      <c r="BM141" s="325"/>
      <c r="BN141" s="325"/>
      <c r="BO141" s="325"/>
      <c r="BP141" s="325"/>
      <c r="BQ141" s="325"/>
    </row>
    <row r="142" spans="1:69" ht="14.25" customHeight="1" x14ac:dyDescent="0.2">
      <c r="A142" s="3"/>
      <c r="B142" s="289"/>
      <c r="C142" s="3"/>
      <c r="D142" s="3"/>
      <c r="E142" s="3"/>
      <c r="F142" s="3"/>
      <c r="G142" s="289"/>
      <c r="H142" s="3"/>
      <c r="I142" s="3"/>
      <c r="J142" s="3"/>
      <c r="K142" s="3"/>
      <c r="L142" s="289"/>
      <c r="M142" s="3"/>
      <c r="N142" s="3"/>
      <c r="O142" s="3"/>
      <c r="P142" s="3"/>
      <c r="Q142" s="3"/>
      <c r="R142" s="3"/>
      <c r="S142" s="376"/>
      <c r="T142" s="418">
        <f t="shared" si="22"/>
        <v>116</v>
      </c>
      <c r="U142" s="376"/>
      <c r="V142" s="370">
        <f t="shared" si="21"/>
        <v>5.5085082490383248E-2</v>
      </c>
      <c r="W142" s="289"/>
      <c r="X142" s="370">
        <f t="shared" si="13"/>
        <v>0.10934889998732657</v>
      </c>
      <c r="Y142" s="429"/>
      <c r="Z142" s="421">
        <f t="shared" si="14"/>
        <v>0.14193752052508368</v>
      </c>
      <c r="AA142" s="429"/>
      <c r="AB142" s="421">
        <f t="shared" si="15"/>
        <v>0.13964571861332095</v>
      </c>
      <c r="AC142" s="430"/>
      <c r="AD142" s="424">
        <f t="shared" si="16"/>
        <v>8.8766788640567085E-2</v>
      </c>
      <c r="AE142" s="431"/>
      <c r="AF142" s="421">
        <f t="shared" si="17"/>
        <v>0.28599386175053615</v>
      </c>
      <c r="AG142" s="421">
        <f t="shared" si="18"/>
        <v>2.170724109301593</v>
      </c>
      <c r="AH142" s="426">
        <f t="shared" si="19"/>
        <v>6.5190940817989622E-3</v>
      </c>
      <c r="AI142" s="421">
        <f t="shared" si="20"/>
        <v>0.22968280296101759</v>
      </c>
      <c r="AJ142" s="325"/>
      <c r="AK142" s="325"/>
      <c r="AL142" s="325"/>
      <c r="AM142" s="325"/>
      <c r="AN142" s="325"/>
      <c r="AO142" s="325"/>
      <c r="AP142" s="325"/>
      <c r="AQ142" s="325"/>
      <c r="AR142" s="325"/>
      <c r="AS142" s="325"/>
      <c r="AT142" s="325"/>
      <c r="AU142" s="325"/>
      <c r="AV142" s="325"/>
      <c r="AW142" s="325"/>
      <c r="AX142" s="325"/>
      <c r="AY142" s="325"/>
      <c r="AZ142" s="325"/>
      <c r="BA142" s="325"/>
      <c r="BB142" s="325"/>
      <c r="BC142" s="325"/>
      <c r="BD142" s="325"/>
      <c r="BE142" s="325"/>
      <c r="BF142" s="325"/>
      <c r="BG142" s="325"/>
      <c r="BH142" s="325"/>
      <c r="BI142" s="325"/>
      <c r="BJ142" s="325"/>
      <c r="BK142" s="325"/>
      <c r="BL142" s="325"/>
      <c r="BM142" s="325"/>
      <c r="BN142" s="325"/>
      <c r="BO142" s="325"/>
      <c r="BP142" s="325"/>
      <c r="BQ142" s="325"/>
    </row>
    <row r="143" spans="1:69" ht="14.25" customHeight="1" x14ac:dyDescent="0.2">
      <c r="A143" s="3"/>
      <c r="B143" s="289"/>
      <c r="C143" s="3"/>
      <c r="D143" s="3"/>
      <c r="E143" s="3"/>
      <c r="F143" s="3"/>
      <c r="G143" s="289"/>
      <c r="H143" s="3"/>
      <c r="I143" s="3"/>
      <c r="J143" s="3"/>
      <c r="K143" s="3"/>
      <c r="L143" s="289"/>
      <c r="M143" s="3"/>
      <c r="N143" s="3"/>
      <c r="O143" s="3"/>
      <c r="P143" s="3"/>
      <c r="Q143" s="3"/>
      <c r="R143" s="3"/>
      <c r="S143" s="376"/>
      <c r="T143" s="418">
        <f t="shared" si="22"/>
        <v>117</v>
      </c>
      <c r="U143" s="376"/>
      <c r="V143" s="370">
        <f t="shared" si="21"/>
        <v>5.3725547382268944E-2</v>
      </c>
      <c r="W143" s="289"/>
      <c r="X143" s="370">
        <f t="shared" si="13"/>
        <v>0.10775692251461023</v>
      </c>
      <c r="Y143" s="429"/>
      <c r="Z143" s="421">
        <f t="shared" si="14"/>
        <v>0.14068114103794271</v>
      </c>
      <c r="AA143" s="429"/>
      <c r="AB143" s="421">
        <f t="shared" si="15"/>
        <v>0.13854949163875169</v>
      </c>
      <c r="AC143" s="430"/>
      <c r="AD143" s="424">
        <f t="shared" si="16"/>
        <v>8.7139424031465462E-2</v>
      </c>
      <c r="AE143" s="431"/>
      <c r="AF143" s="421">
        <f t="shared" si="17"/>
        <v>0.28586330815576794</v>
      </c>
      <c r="AG143" s="421">
        <f t="shared" si="18"/>
        <v>2.1774757878378224</v>
      </c>
      <c r="AH143" s="426">
        <f t="shared" si="19"/>
        <v>6.4410065428287403E-3</v>
      </c>
      <c r="AI143" s="421">
        <f t="shared" si="20"/>
        <v>0.22881985685797182</v>
      </c>
      <c r="AJ143" s="325"/>
      <c r="AK143" s="325"/>
      <c r="AL143" s="325"/>
      <c r="AM143" s="325"/>
      <c r="AN143" s="325"/>
      <c r="AO143" s="325"/>
      <c r="AP143" s="325"/>
      <c r="AQ143" s="325"/>
      <c r="AR143" s="325"/>
      <c r="AS143" s="325"/>
      <c r="AT143" s="325"/>
      <c r="AU143" s="325"/>
      <c r="AV143" s="325"/>
      <c r="AW143" s="325"/>
      <c r="AX143" s="325"/>
      <c r="AY143" s="325"/>
      <c r="AZ143" s="325"/>
      <c r="BA143" s="325"/>
      <c r="BB143" s="325"/>
      <c r="BC143" s="325"/>
      <c r="BD143" s="325"/>
      <c r="BE143" s="325"/>
      <c r="BF143" s="325"/>
      <c r="BG143" s="325"/>
      <c r="BH143" s="325"/>
      <c r="BI143" s="325"/>
      <c r="BJ143" s="325"/>
      <c r="BK143" s="325"/>
      <c r="BL143" s="325"/>
      <c r="BM143" s="325"/>
      <c r="BN143" s="325"/>
      <c r="BO143" s="325"/>
      <c r="BP143" s="325"/>
      <c r="BQ143" s="325"/>
    </row>
    <row r="144" spans="1:69" ht="14.25" customHeight="1" x14ac:dyDescent="0.2">
      <c r="A144" s="3"/>
      <c r="B144" s="289"/>
      <c r="C144" s="3"/>
      <c r="D144" s="3"/>
      <c r="E144" s="3"/>
      <c r="F144" s="3"/>
      <c r="G144" s="289"/>
      <c r="H144" s="3"/>
      <c r="I144" s="3"/>
      <c r="J144" s="3"/>
      <c r="K144" s="3"/>
      <c r="L144" s="289"/>
      <c r="M144" s="3"/>
      <c r="N144" s="3"/>
      <c r="O144" s="3"/>
      <c r="P144" s="3"/>
      <c r="Q144" s="3"/>
      <c r="R144" s="3"/>
      <c r="S144" s="376"/>
      <c r="T144" s="418">
        <f t="shared" si="22"/>
        <v>118</v>
      </c>
      <c r="U144" s="376"/>
      <c r="V144" s="370">
        <f t="shared" si="21"/>
        <v>5.2399566471164651E-2</v>
      </c>
      <c r="W144" s="289"/>
      <c r="X144" s="370">
        <f t="shared" si="13"/>
        <v>0.10619118822970669</v>
      </c>
      <c r="Y144" s="429"/>
      <c r="Z144" s="421">
        <f t="shared" si="14"/>
        <v>0.13944292678472892</v>
      </c>
      <c r="AA144" s="429"/>
      <c r="AB144" s="421">
        <f t="shared" si="15"/>
        <v>0.13746973293387751</v>
      </c>
      <c r="AC144" s="430"/>
      <c r="AD144" s="424">
        <f t="shared" si="16"/>
        <v>8.554278611834909E-2</v>
      </c>
      <c r="AE144" s="431"/>
      <c r="AF144" s="421">
        <f t="shared" si="17"/>
        <v>0.28573799352289936</v>
      </c>
      <c r="AG144" s="421">
        <f t="shared" si="18"/>
        <v>2.184170004583478</v>
      </c>
      <c r="AH144" s="426">
        <f t="shared" si="19"/>
        <v>6.3645070656885138E-3</v>
      </c>
      <c r="AI144" s="421">
        <f t="shared" si="20"/>
        <v>0.22796740593651466</v>
      </c>
      <c r="AJ144" s="325"/>
      <c r="AK144" s="325"/>
      <c r="AL144" s="325"/>
      <c r="AM144" s="325"/>
      <c r="AN144" s="325"/>
      <c r="AO144" s="325"/>
      <c r="AP144" s="325"/>
      <c r="AQ144" s="325"/>
      <c r="AR144" s="325"/>
      <c r="AS144" s="325"/>
      <c r="AT144" s="325"/>
      <c r="AU144" s="325"/>
      <c r="AV144" s="325"/>
      <c r="AW144" s="325"/>
      <c r="AX144" s="325"/>
      <c r="AY144" s="325"/>
      <c r="AZ144" s="325"/>
      <c r="BA144" s="325"/>
      <c r="BB144" s="325"/>
      <c r="BC144" s="325"/>
      <c r="BD144" s="325"/>
      <c r="BE144" s="325"/>
      <c r="BF144" s="325"/>
      <c r="BG144" s="325"/>
      <c r="BH144" s="325"/>
      <c r="BI144" s="325"/>
      <c r="BJ144" s="325"/>
      <c r="BK144" s="325"/>
      <c r="BL144" s="325"/>
      <c r="BM144" s="325"/>
      <c r="BN144" s="325"/>
      <c r="BO144" s="325"/>
      <c r="BP144" s="325"/>
      <c r="BQ144" s="325"/>
    </row>
    <row r="145" spans="1:69" ht="14.25" customHeight="1" x14ac:dyDescent="0.2">
      <c r="A145" s="3"/>
      <c r="B145" s="289"/>
      <c r="C145" s="3"/>
      <c r="D145" s="3"/>
      <c r="E145" s="3"/>
      <c r="F145" s="3"/>
      <c r="G145" s="289"/>
      <c r="H145" s="3"/>
      <c r="I145" s="3"/>
      <c r="J145" s="3"/>
      <c r="K145" s="3"/>
      <c r="L145" s="289"/>
      <c r="M145" s="3"/>
      <c r="N145" s="3"/>
      <c r="O145" s="3"/>
      <c r="P145" s="3"/>
      <c r="Q145" s="3"/>
      <c r="R145" s="3"/>
      <c r="S145" s="376"/>
      <c r="T145" s="418">
        <f t="shared" si="22"/>
        <v>119</v>
      </c>
      <c r="U145" s="376"/>
      <c r="V145" s="370">
        <f t="shared" si="21"/>
        <v>5.1106311618002637E-2</v>
      </c>
      <c r="W145" s="289"/>
      <c r="X145" s="370">
        <f t="shared" si="13"/>
        <v>0.10465119457027242</v>
      </c>
      <c r="Y145" s="429"/>
      <c r="Z145" s="421">
        <f t="shared" si="14"/>
        <v>0.13822250208540998</v>
      </c>
      <c r="AA145" s="429"/>
      <c r="AB145" s="421">
        <f t="shared" si="15"/>
        <v>0.13640607942164837</v>
      </c>
      <c r="AC145" s="430"/>
      <c r="AD145" s="424">
        <f t="shared" si="16"/>
        <v>8.3976266664267385E-2</v>
      </c>
      <c r="AE145" s="431"/>
      <c r="AF145" s="421">
        <f t="shared" si="17"/>
        <v>0.28561770548146209</v>
      </c>
      <c r="AG145" s="421">
        <f t="shared" si="18"/>
        <v>2.1908077293752237</v>
      </c>
      <c r="AH145" s="426">
        <f t="shared" si="19"/>
        <v>6.289550302758665E-3</v>
      </c>
      <c r="AI145" s="421">
        <f t="shared" si="20"/>
        <v>0.22712523598830786</v>
      </c>
      <c r="AJ145" s="325"/>
      <c r="AK145" s="325"/>
      <c r="AL145" s="325"/>
      <c r="AM145" s="325"/>
      <c r="AN145" s="325"/>
      <c r="AO145" s="325"/>
      <c r="AP145" s="325"/>
      <c r="AQ145" s="325"/>
      <c r="AR145" s="325"/>
      <c r="AS145" s="325"/>
      <c r="AT145" s="325"/>
      <c r="AU145" s="325"/>
      <c r="AV145" s="325"/>
      <c r="AW145" s="325"/>
      <c r="AX145" s="325"/>
      <c r="AY145" s="325"/>
      <c r="AZ145" s="325"/>
      <c r="BA145" s="325"/>
      <c r="BB145" s="325"/>
      <c r="BC145" s="325"/>
      <c r="BD145" s="325"/>
      <c r="BE145" s="325"/>
      <c r="BF145" s="325"/>
      <c r="BG145" s="325"/>
      <c r="BH145" s="325"/>
      <c r="BI145" s="325"/>
      <c r="BJ145" s="325"/>
      <c r="BK145" s="325"/>
      <c r="BL145" s="325"/>
      <c r="BM145" s="325"/>
      <c r="BN145" s="325"/>
      <c r="BO145" s="325"/>
      <c r="BP145" s="325"/>
      <c r="BQ145" s="325"/>
    </row>
    <row r="146" spans="1:69" ht="14.25" customHeight="1" x14ac:dyDescent="0.2">
      <c r="A146" s="3"/>
      <c r="B146" s="289"/>
      <c r="C146" s="3"/>
      <c r="D146" s="3"/>
      <c r="E146" s="3"/>
      <c r="F146" s="3"/>
      <c r="G146" s="289"/>
      <c r="H146" s="3"/>
      <c r="I146" s="3"/>
      <c r="J146" s="3"/>
      <c r="K146" s="3"/>
      <c r="L146" s="289"/>
      <c r="M146" s="3"/>
      <c r="N146" s="3"/>
      <c r="O146" s="3"/>
      <c r="P146" s="3"/>
      <c r="Q146" s="3"/>
      <c r="R146" s="3"/>
      <c r="S146" s="376"/>
      <c r="T146" s="418">
        <f t="shared" si="22"/>
        <v>120</v>
      </c>
      <c r="U146" s="376"/>
      <c r="V146" s="370">
        <f t="shared" si="21"/>
        <v>4.9844975122717648E-2</v>
      </c>
      <c r="W146" s="289"/>
      <c r="X146" s="370">
        <f t="shared" si="13"/>
        <v>0.10313645043205735</v>
      </c>
      <c r="Y146" s="429"/>
      <c r="Z146" s="421">
        <f t="shared" si="14"/>
        <v>0.13701950149229791</v>
      </c>
      <c r="AA146" s="429"/>
      <c r="AB146" s="421">
        <f t="shared" si="15"/>
        <v>0.13535817853092971</v>
      </c>
      <c r="AC146" s="430"/>
      <c r="AD146" s="424">
        <f t="shared" si="16"/>
        <v>8.2439270438410484E-2</v>
      </c>
      <c r="AE146" s="431"/>
      <c r="AF146" s="421">
        <f t="shared" si="17"/>
        <v>0.2855022404360143</v>
      </c>
      <c r="AG146" s="421">
        <f t="shared" si="18"/>
        <v>2.1973899077017847</v>
      </c>
      <c r="AH146" s="426">
        <f t="shared" si="19"/>
        <v>6.2160925678169249E-3</v>
      </c>
      <c r="AI146" s="421">
        <f t="shared" si="20"/>
        <v>0.22629313891197431</v>
      </c>
      <c r="AJ146" s="325"/>
      <c r="AK146" s="325"/>
      <c r="AL146" s="325"/>
      <c r="AM146" s="325"/>
      <c r="AN146" s="325"/>
      <c r="AO146" s="325"/>
      <c r="AP146" s="325"/>
      <c r="AQ146" s="325"/>
      <c r="AR146" s="325"/>
      <c r="AS146" s="325"/>
      <c r="AT146" s="325"/>
      <c r="AU146" s="325"/>
      <c r="AV146" s="325"/>
      <c r="AW146" s="325"/>
      <c r="AX146" s="325"/>
      <c r="AY146" s="325"/>
      <c r="AZ146" s="325"/>
      <c r="BA146" s="325"/>
      <c r="BB146" s="325"/>
      <c r="BC146" s="325"/>
      <c r="BD146" s="325"/>
      <c r="BE146" s="325"/>
      <c r="BF146" s="325"/>
      <c r="BG146" s="325"/>
      <c r="BH146" s="325"/>
      <c r="BI146" s="325"/>
      <c r="BJ146" s="325"/>
      <c r="BK146" s="325"/>
      <c r="BL146" s="325"/>
      <c r="BM146" s="325"/>
      <c r="BN146" s="325"/>
      <c r="BO146" s="325"/>
      <c r="BP146" s="325"/>
      <c r="BQ146" s="325"/>
    </row>
    <row r="147" spans="1:69" ht="14.25" customHeight="1" x14ac:dyDescent="0.2">
      <c r="A147" s="3"/>
      <c r="B147" s="289"/>
      <c r="C147" s="3"/>
      <c r="D147" s="3"/>
      <c r="E147" s="3"/>
      <c r="F147" s="3"/>
      <c r="G147" s="289"/>
      <c r="H147" s="3"/>
      <c r="I147" s="3"/>
      <c r="J147" s="3"/>
      <c r="K147" s="3"/>
      <c r="L147" s="289"/>
      <c r="M147" s="3"/>
      <c r="N147" s="3"/>
      <c r="O147" s="3"/>
      <c r="P147" s="3"/>
      <c r="Q147" s="3"/>
      <c r="R147" s="3"/>
      <c r="S147" s="376"/>
      <c r="T147" s="418">
        <f t="shared" si="22"/>
        <v>121</v>
      </c>
      <c r="U147" s="376"/>
      <c r="V147" s="370">
        <f t="shared" si="21"/>
        <v>4.8614769219799202E-2</v>
      </c>
      <c r="W147" s="289"/>
      <c r="X147" s="370">
        <f t="shared" si="13"/>
        <v>0.10164647585261206</v>
      </c>
      <c r="Y147" s="429"/>
      <c r="Z147" s="421">
        <f t="shared" si="14"/>
        <v>0.13583356944249858</v>
      </c>
      <c r="AA147" s="429"/>
      <c r="AB147" s="421">
        <f t="shared" si="15"/>
        <v>0.1343256878214851</v>
      </c>
      <c r="AC147" s="430"/>
      <c r="AD147" s="424">
        <f t="shared" si="16"/>
        <v>8.0931214901644455E-2</v>
      </c>
      <c r="AE147" s="431"/>
      <c r="AF147" s="421">
        <f t="shared" si="17"/>
        <v>0.28539140319070155</v>
      </c>
      <c r="AG147" s="421">
        <f t="shared" si="18"/>
        <v>2.203917461512201</v>
      </c>
      <c r="AH147" s="426">
        <f t="shared" si="19"/>
        <v>6.1440917619647447E-3</v>
      </c>
      <c r="AI147" s="421">
        <f t="shared" si="20"/>
        <v>0.2254709124904036</v>
      </c>
      <c r="AJ147" s="325"/>
      <c r="AK147" s="325"/>
      <c r="AL147" s="325"/>
      <c r="AM147" s="325"/>
      <c r="AN147" s="325"/>
      <c r="AO147" s="325"/>
      <c r="AP147" s="325"/>
      <c r="AQ147" s="325"/>
      <c r="AR147" s="325"/>
      <c r="AS147" s="325"/>
      <c r="AT147" s="325"/>
      <c r="AU147" s="325"/>
      <c r="AV147" s="325"/>
      <c r="AW147" s="325"/>
      <c r="AX147" s="325"/>
      <c r="AY147" s="325"/>
      <c r="AZ147" s="325"/>
      <c r="BA147" s="325"/>
      <c r="BB147" s="325"/>
      <c r="BC147" s="325"/>
      <c r="BD147" s="325"/>
      <c r="BE147" s="325"/>
      <c r="BF147" s="325"/>
      <c r="BG147" s="325"/>
      <c r="BH147" s="325"/>
      <c r="BI147" s="325"/>
      <c r="BJ147" s="325"/>
      <c r="BK147" s="325"/>
      <c r="BL147" s="325"/>
      <c r="BM147" s="325"/>
      <c r="BN147" s="325"/>
      <c r="BO147" s="325"/>
      <c r="BP147" s="325"/>
      <c r="BQ147" s="325"/>
    </row>
    <row r="148" spans="1:69" ht="14.25" customHeight="1" x14ac:dyDescent="0.2">
      <c r="A148" s="3"/>
      <c r="B148" s="289"/>
      <c r="C148" s="3"/>
      <c r="D148" s="3"/>
      <c r="E148" s="3"/>
      <c r="F148" s="3"/>
      <c r="G148" s="289"/>
      <c r="H148" s="3"/>
      <c r="I148" s="3"/>
      <c r="J148" s="3"/>
      <c r="K148" s="3"/>
      <c r="L148" s="289"/>
      <c r="M148" s="3"/>
      <c r="N148" s="3"/>
      <c r="O148" s="3"/>
      <c r="P148" s="3"/>
      <c r="Q148" s="3"/>
      <c r="R148" s="3"/>
      <c r="S148" s="376"/>
      <c r="T148" s="418">
        <f t="shared" si="22"/>
        <v>122</v>
      </c>
      <c r="U148" s="376"/>
      <c r="V148" s="370">
        <f t="shared" si="21"/>
        <v>4.7414925586294059E-2</v>
      </c>
      <c r="W148" s="289"/>
      <c r="X148" s="370">
        <f t="shared" si="13"/>
        <v>0.1001808017056047</v>
      </c>
      <c r="Y148" s="429"/>
      <c r="Z148" s="421">
        <f t="shared" si="14"/>
        <v>0.13466435992453196</v>
      </c>
      <c r="AA148" s="429"/>
      <c r="AB148" s="421">
        <f t="shared" si="15"/>
        <v>0.1333082746248338</v>
      </c>
      <c r="AC148" s="430"/>
      <c r="AD148" s="424">
        <f t="shared" si="16"/>
        <v>7.9451529901135243E-2</v>
      </c>
      <c r="AE148" s="431"/>
      <c r="AF148" s="421">
        <f t="shared" si="17"/>
        <v>0.28528500659086387</v>
      </c>
      <c r="AG148" s="421">
        <f t="shared" si="18"/>
        <v>2.2103912899908162</v>
      </c>
      <c r="AH148" s="426">
        <f t="shared" si="19"/>
        <v>6.0735073034354084E-3</v>
      </c>
      <c r="AI148" s="421">
        <f t="shared" si="20"/>
        <v>0.22465836017791796</v>
      </c>
      <c r="AJ148" s="325"/>
      <c r="AK148" s="325"/>
      <c r="AL148" s="325"/>
      <c r="AM148" s="325"/>
      <c r="AN148" s="325"/>
      <c r="AO148" s="325"/>
      <c r="AP148" s="325"/>
      <c r="AQ148" s="325"/>
      <c r="AR148" s="325"/>
      <c r="AS148" s="325"/>
      <c r="AT148" s="325"/>
      <c r="AU148" s="325"/>
      <c r="AV148" s="325"/>
      <c r="AW148" s="325"/>
      <c r="AX148" s="325"/>
      <c r="AY148" s="325"/>
      <c r="AZ148" s="325"/>
      <c r="BA148" s="325"/>
      <c r="BB148" s="325"/>
      <c r="BC148" s="325"/>
      <c r="BD148" s="325"/>
      <c r="BE148" s="325"/>
      <c r="BF148" s="325"/>
      <c r="BG148" s="325"/>
      <c r="BH148" s="325"/>
      <c r="BI148" s="325"/>
      <c r="BJ148" s="325"/>
      <c r="BK148" s="325"/>
      <c r="BL148" s="325"/>
      <c r="BM148" s="325"/>
      <c r="BN148" s="325"/>
      <c r="BO148" s="325"/>
      <c r="BP148" s="325"/>
      <c r="BQ148" s="325"/>
    </row>
    <row r="149" spans="1:69" ht="14.25" customHeight="1" x14ac:dyDescent="0.2">
      <c r="A149" s="3"/>
      <c r="B149" s="289"/>
      <c r="C149" s="3"/>
      <c r="D149" s="3"/>
      <c r="E149" s="3"/>
      <c r="F149" s="3"/>
      <c r="G149" s="289"/>
      <c r="H149" s="3"/>
      <c r="I149" s="3"/>
      <c r="J149" s="3"/>
      <c r="K149" s="3"/>
      <c r="L149" s="289"/>
      <c r="M149" s="3"/>
      <c r="N149" s="3"/>
      <c r="O149" s="3"/>
      <c r="P149" s="3"/>
      <c r="Q149" s="3"/>
      <c r="R149" s="3"/>
      <c r="S149" s="376"/>
      <c r="T149" s="418">
        <f t="shared" si="22"/>
        <v>123</v>
      </c>
      <c r="U149" s="376"/>
      <c r="V149" s="370">
        <f t="shared" si="21"/>
        <v>4.6244694861951437E-2</v>
      </c>
      <c r="W149" s="289"/>
      <c r="X149" s="370">
        <f t="shared" si="13"/>
        <v>9.8738969405320051E-2</v>
      </c>
      <c r="Y149" s="429"/>
      <c r="Z149" s="421">
        <f t="shared" si="14"/>
        <v>0.13351153615844991</v>
      </c>
      <c r="AA149" s="429"/>
      <c r="AB149" s="421">
        <f t="shared" si="15"/>
        <v>0.13230561570020838</v>
      </c>
      <c r="AC149" s="430"/>
      <c r="AD149" s="424">
        <f t="shared" si="16"/>
        <v>7.7999657373726272E-2</v>
      </c>
      <c r="AE149" s="431"/>
      <c r="AF149" s="421">
        <f t="shared" si="17"/>
        <v>0.28518287118084196</v>
      </c>
      <c r="AG149" s="421">
        <f t="shared" si="18"/>
        <v>2.2168122703006392</v>
      </c>
      <c r="AH149" s="426">
        <f t="shared" si="19"/>
        <v>6.0043000610504813E-3</v>
      </c>
      <c r="AI149" s="421">
        <f t="shared" si="20"/>
        <v>0.22385529089679035</v>
      </c>
      <c r="AJ149" s="325"/>
      <c r="AK149" s="325"/>
      <c r="AL149" s="325"/>
      <c r="AM149" s="325"/>
      <c r="AN149" s="325"/>
      <c r="AO149" s="325"/>
      <c r="AP149" s="325"/>
      <c r="AQ149" s="325"/>
      <c r="AR149" s="325"/>
      <c r="AS149" s="325"/>
      <c r="AT149" s="325"/>
      <c r="AU149" s="325"/>
      <c r="AV149" s="325"/>
      <c r="AW149" s="325"/>
      <c r="AX149" s="325"/>
      <c r="AY149" s="325"/>
      <c r="AZ149" s="325"/>
      <c r="BA149" s="325"/>
      <c r="BB149" s="325"/>
      <c r="BC149" s="325"/>
      <c r="BD149" s="325"/>
      <c r="BE149" s="325"/>
      <c r="BF149" s="325"/>
      <c r="BG149" s="325"/>
      <c r="BH149" s="325"/>
      <c r="BI149" s="325"/>
      <c r="BJ149" s="325"/>
      <c r="BK149" s="325"/>
      <c r="BL149" s="325"/>
      <c r="BM149" s="325"/>
      <c r="BN149" s="325"/>
      <c r="BO149" s="325"/>
      <c r="BP149" s="325"/>
      <c r="BQ149" s="325"/>
    </row>
    <row r="150" spans="1:69" ht="14.25" customHeight="1" x14ac:dyDescent="0.2">
      <c r="A150" s="3"/>
      <c r="B150" s="289"/>
      <c r="C150" s="3"/>
      <c r="D150" s="3"/>
      <c r="E150" s="3"/>
      <c r="F150" s="3"/>
      <c r="G150" s="289"/>
      <c r="H150" s="3"/>
      <c r="I150" s="3"/>
      <c r="J150" s="3"/>
      <c r="K150" s="3"/>
      <c r="L150" s="289"/>
      <c r="M150" s="3"/>
      <c r="N150" s="3"/>
      <c r="O150" s="3"/>
      <c r="P150" s="3"/>
      <c r="Q150" s="3"/>
      <c r="R150" s="3"/>
      <c r="S150" s="376"/>
      <c r="T150" s="418">
        <f t="shared" si="22"/>
        <v>124</v>
      </c>
      <c r="U150" s="376"/>
      <c r="V150" s="370">
        <f t="shared" si="21"/>
        <v>4.5103346181211375E-2</v>
      </c>
      <c r="W150" s="289"/>
      <c r="X150" s="370">
        <f t="shared" si="13"/>
        <v>9.7320530620931531E-2</v>
      </c>
      <c r="Y150" s="429"/>
      <c r="Z150" s="421">
        <f t="shared" si="14"/>
        <v>0.13237477028881317</v>
      </c>
      <c r="AA150" s="429"/>
      <c r="AB150" s="421">
        <f t="shared" si="15"/>
        <v>0.13131739690487906</v>
      </c>
      <c r="AC150" s="430"/>
      <c r="AD150" s="424">
        <f t="shared" si="16"/>
        <v>7.6575051057762522E-2</v>
      </c>
      <c r="AE150" s="431"/>
      <c r="AF150" s="421">
        <f t="shared" si="17"/>
        <v>0.28508482487718273</v>
      </c>
      <c r="AG150" s="421">
        <f t="shared" si="18"/>
        <v>2.2231812582966048</v>
      </c>
      <c r="AH150" s="426">
        <f t="shared" si="19"/>
        <v>5.9364322911072704E-3</v>
      </c>
      <c r="AI150" s="421">
        <f t="shared" si="20"/>
        <v>0.22306151884262651</v>
      </c>
      <c r="AJ150" s="325"/>
      <c r="AK150" s="325"/>
      <c r="AL150" s="325"/>
      <c r="AM150" s="325"/>
      <c r="AN150" s="325"/>
      <c r="AO150" s="325"/>
      <c r="AP150" s="325"/>
      <c r="AQ150" s="325"/>
      <c r="AR150" s="325"/>
      <c r="AS150" s="325"/>
      <c r="AT150" s="325"/>
      <c r="AU150" s="325"/>
      <c r="AV150" s="325"/>
      <c r="AW150" s="325"/>
      <c r="AX150" s="325"/>
      <c r="AY150" s="325"/>
      <c r="AZ150" s="325"/>
      <c r="BA150" s="325"/>
      <c r="BB150" s="325"/>
      <c r="BC150" s="325"/>
      <c r="BD150" s="325"/>
      <c r="BE150" s="325"/>
      <c r="BF150" s="325"/>
      <c r="BG150" s="325"/>
      <c r="BH150" s="325"/>
      <c r="BI150" s="325"/>
      <c r="BJ150" s="325"/>
      <c r="BK150" s="325"/>
      <c r="BL150" s="325"/>
      <c r="BM150" s="325"/>
      <c r="BN150" s="325"/>
      <c r="BO150" s="325"/>
      <c r="BP150" s="325"/>
      <c r="BQ150" s="325"/>
    </row>
    <row r="151" spans="1:69" ht="14.25" customHeight="1" x14ac:dyDescent="0.2">
      <c r="A151" s="3"/>
      <c r="B151" s="289"/>
      <c r="C151" s="3"/>
      <c r="D151" s="3"/>
      <c r="E151" s="3"/>
      <c r="F151" s="3"/>
      <c r="G151" s="289"/>
      <c r="H151" s="3"/>
      <c r="I151" s="3"/>
      <c r="J151" s="3"/>
      <c r="K151" s="3"/>
      <c r="L151" s="289"/>
      <c r="M151" s="3"/>
      <c r="N151" s="3"/>
      <c r="O151" s="3"/>
      <c r="P151" s="3"/>
      <c r="Q151" s="3"/>
      <c r="R151" s="3"/>
      <c r="S151" s="376"/>
      <c r="T151" s="418">
        <f t="shared" si="22"/>
        <v>125</v>
      </c>
      <c r="U151" s="376"/>
      <c r="V151" s="370">
        <f t="shared" si="21"/>
        <v>4.3990166716743918E-2</v>
      </c>
      <c r="W151" s="289"/>
      <c r="X151" s="370">
        <f t="shared" si="13"/>
        <v>9.59250470001594E-2</v>
      </c>
      <c r="Y151" s="429"/>
      <c r="Z151" s="421">
        <f t="shared" si="14"/>
        <v>0.13125374308992377</v>
      </c>
      <c r="AA151" s="429"/>
      <c r="AB151" s="421">
        <f t="shared" si="15"/>
        <v>0.13034331287815315</v>
      </c>
      <c r="AC151" s="430"/>
      <c r="AD151" s="424">
        <f t="shared" si="16"/>
        <v>7.5177176213061303E-2</v>
      </c>
      <c r="AE151" s="431"/>
      <c r="AF151" s="421">
        <f t="shared" si="17"/>
        <v>0.28499070265648757</v>
      </c>
      <c r="AG151" s="421">
        <f t="shared" si="18"/>
        <v>2.2294990892101856</v>
      </c>
      <c r="AH151" s="426">
        <f t="shared" si="19"/>
        <v>5.8698675774943665E-3</v>
      </c>
      <c r="AI151" s="421">
        <f t="shared" si="20"/>
        <v>0.22227686329816385</v>
      </c>
      <c r="AJ151" s="325"/>
      <c r="AK151" s="325"/>
      <c r="AL151" s="325"/>
      <c r="AM151" s="325"/>
      <c r="AN151" s="325"/>
      <c r="AO151" s="325"/>
      <c r="AP151" s="325"/>
      <c r="AQ151" s="325"/>
      <c r="AR151" s="325"/>
      <c r="AS151" s="325"/>
      <c r="AT151" s="325"/>
      <c r="AU151" s="325"/>
      <c r="AV151" s="325"/>
      <c r="AW151" s="325"/>
      <c r="AX151" s="325"/>
      <c r="AY151" s="325"/>
      <c r="AZ151" s="325"/>
      <c r="BA151" s="325"/>
      <c r="BB151" s="325"/>
      <c r="BC151" s="325"/>
      <c r="BD151" s="325"/>
      <c r="BE151" s="325"/>
      <c r="BF151" s="325"/>
      <c r="BG151" s="325"/>
      <c r="BH151" s="325"/>
      <c r="BI151" s="325"/>
      <c r="BJ151" s="325"/>
      <c r="BK151" s="325"/>
      <c r="BL151" s="325"/>
      <c r="BM151" s="325"/>
      <c r="BN151" s="325"/>
      <c r="BO151" s="325"/>
      <c r="BP151" s="325"/>
      <c r="BQ151" s="325"/>
    </row>
    <row r="152" spans="1:69" ht="14.25" customHeight="1" x14ac:dyDescent="0.2">
      <c r="A152" s="3"/>
      <c r="B152" s="289"/>
      <c r="C152" s="3"/>
      <c r="D152" s="3"/>
      <c r="E152" s="3"/>
      <c r="F152" s="3"/>
      <c r="G152" s="289"/>
      <c r="H152" s="3"/>
      <c r="I152" s="3"/>
      <c r="J152" s="3"/>
      <c r="K152" s="3"/>
      <c r="L152" s="289"/>
      <c r="M152" s="3"/>
      <c r="N152" s="3"/>
      <c r="O152" s="3"/>
      <c r="P152" s="3"/>
      <c r="Q152" s="3"/>
      <c r="R152" s="3"/>
      <c r="S152" s="376"/>
      <c r="T152" s="418">
        <f t="shared" si="22"/>
        <v>126</v>
      </c>
      <c r="U152" s="376"/>
      <c r="V152" s="370">
        <f t="shared" si="21"/>
        <v>4.2904461234254065E-2</v>
      </c>
      <c r="W152" s="289"/>
      <c r="X152" s="370">
        <f t="shared" si="13"/>
        <v>9.4552089901943234E-2</v>
      </c>
      <c r="Y152" s="429"/>
      <c r="Z152" s="421">
        <f t="shared" si="14"/>
        <v>0.13014814368274208</v>
      </c>
      <c r="AA152" s="429"/>
      <c r="AB152" s="421">
        <f t="shared" si="15"/>
        <v>0.12938306673839411</v>
      </c>
      <c r="AC152" s="430"/>
      <c r="AD152" s="424">
        <f t="shared" si="16"/>
        <v>7.3805509348745968E-2</v>
      </c>
      <c r="AE152" s="431"/>
      <c r="AF152" s="421">
        <f t="shared" si="17"/>
        <v>0.28490034625719041</v>
      </c>
      <c r="AG152" s="421">
        <f t="shared" si="18"/>
        <v>2.2357665783067358</v>
      </c>
      <c r="AH152" s="426">
        <f t="shared" si="19"/>
        <v>5.804570774845759E-3</v>
      </c>
      <c r="AI152" s="421">
        <f t="shared" si="20"/>
        <v>0.22150114845505442</v>
      </c>
      <c r="AJ152" s="325"/>
      <c r="AK152" s="325"/>
      <c r="AL152" s="325"/>
      <c r="AM152" s="325"/>
      <c r="AN152" s="325"/>
      <c r="AO152" s="325"/>
      <c r="AP152" s="325"/>
      <c r="AQ152" s="325"/>
      <c r="AR152" s="325"/>
      <c r="AS152" s="325"/>
      <c r="AT152" s="325"/>
      <c r="AU152" s="325"/>
      <c r="AV152" s="325"/>
      <c r="AW152" s="325"/>
      <c r="AX152" s="325"/>
      <c r="AY152" s="325"/>
      <c r="AZ152" s="325"/>
      <c r="BA152" s="325"/>
      <c r="BB152" s="325"/>
      <c r="BC152" s="325"/>
      <c r="BD152" s="325"/>
      <c r="BE152" s="325"/>
      <c r="BF152" s="325"/>
      <c r="BG152" s="325"/>
      <c r="BH152" s="325"/>
      <c r="BI152" s="325"/>
      <c r="BJ152" s="325"/>
      <c r="BK152" s="325"/>
      <c r="BL152" s="325"/>
      <c r="BM152" s="325"/>
      <c r="BN152" s="325"/>
      <c r="BO152" s="325"/>
      <c r="BP152" s="325"/>
      <c r="BQ152" s="325"/>
    </row>
    <row r="153" spans="1:69" ht="14.25" customHeight="1" x14ac:dyDescent="0.2">
      <c r="A153" s="3"/>
      <c r="B153" s="289"/>
      <c r="C153" s="3"/>
      <c r="D153" s="3"/>
      <c r="E153" s="3"/>
      <c r="F153" s="3"/>
      <c r="G153" s="289"/>
      <c r="H153" s="3"/>
      <c r="I153" s="3"/>
      <c r="J153" s="3"/>
      <c r="K153" s="3"/>
      <c r="L153" s="289"/>
      <c r="M153" s="3"/>
      <c r="N153" s="3"/>
      <c r="O153" s="3"/>
      <c r="P153" s="3"/>
      <c r="Q153" s="3"/>
      <c r="R153" s="3"/>
      <c r="S153" s="376"/>
      <c r="T153" s="418">
        <f t="shared" si="22"/>
        <v>127</v>
      </c>
      <c r="U153" s="376"/>
      <c r="V153" s="370">
        <f t="shared" si="21"/>
        <v>4.1845551658274381E-2</v>
      </c>
      <c r="W153" s="289"/>
      <c r="X153" s="370">
        <f t="shared" si="13"/>
        <v>9.3201240137775768E-2</v>
      </c>
      <c r="Y153" s="429"/>
      <c r="Z153" s="421">
        <f t="shared" si="14"/>
        <v>0.12905766926294682</v>
      </c>
      <c r="AA153" s="429"/>
      <c r="AB153" s="421">
        <f t="shared" si="15"/>
        <v>0.12843636979244177</v>
      </c>
      <c r="AC153" s="430"/>
      <c r="AD153" s="424">
        <f t="shared" si="16"/>
        <v>7.2459537958670772E-2</v>
      </c>
      <c r="AE153" s="431"/>
      <c r="AF153" s="421">
        <f t="shared" si="17"/>
        <v>0.28481360389458976</v>
      </c>
      <c r="AG153" s="421">
        <f t="shared" si="18"/>
        <v>2.2419845215168466</v>
      </c>
      <c r="AH153" s="426">
        <f t="shared" si="19"/>
        <v>5.7405079545568699E-3</v>
      </c>
      <c r="AI153" s="421">
        <f t="shared" si="20"/>
        <v>0.22073420324323456</v>
      </c>
      <c r="AJ153" s="325"/>
      <c r="AK153" s="325"/>
      <c r="AL153" s="325"/>
      <c r="AM153" s="325"/>
      <c r="AN153" s="325"/>
      <c r="AO153" s="325"/>
      <c r="AP153" s="325"/>
      <c r="AQ153" s="325"/>
      <c r="AR153" s="325"/>
      <c r="AS153" s="325"/>
      <c r="AT153" s="325"/>
      <c r="AU153" s="325"/>
      <c r="AV153" s="325"/>
      <c r="AW153" s="325"/>
      <c r="AX153" s="325"/>
      <c r="AY153" s="325"/>
      <c r="AZ153" s="325"/>
      <c r="BA153" s="325"/>
      <c r="BB153" s="325"/>
      <c r="BC153" s="325"/>
      <c r="BD153" s="325"/>
      <c r="BE153" s="325"/>
      <c r="BF153" s="325"/>
      <c r="BG153" s="325"/>
      <c r="BH153" s="325"/>
      <c r="BI153" s="325"/>
      <c r="BJ153" s="325"/>
      <c r="BK153" s="325"/>
      <c r="BL153" s="325"/>
      <c r="BM153" s="325"/>
      <c r="BN153" s="325"/>
      <c r="BO153" s="325"/>
      <c r="BP153" s="325"/>
      <c r="BQ153" s="325"/>
    </row>
    <row r="154" spans="1:69" ht="14.25" customHeight="1" x14ac:dyDescent="0.2">
      <c r="A154" s="3"/>
      <c r="B154" s="289"/>
      <c r="C154" s="3"/>
      <c r="D154" s="3"/>
      <c r="E154" s="3"/>
      <c r="F154" s="3"/>
      <c r="G154" s="289"/>
      <c r="H154" s="3"/>
      <c r="I154" s="3"/>
      <c r="J154" s="3"/>
      <c r="K154" s="3"/>
      <c r="L154" s="289"/>
      <c r="M154" s="3"/>
      <c r="N154" s="3"/>
      <c r="O154" s="3"/>
      <c r="P154" s="3"/>
      <c r="Q154" s="3"/>
      <c r="R154" s="3"/>
      <c r="S154" s="376"/>
      <c r="T154" s="418">
        <f t="shared" si="22"/>
        <v>128</v>
      </c>
      <c r="U154" s="376"/>
      <c r="V154" s="370">
        <f t="shared" si="21"/>
        <v>4.0812776648674151E-2</v>
      </c>
      <c r="W154" s="289"/>
      <c r="X154" s="370">
        <f t="shared" si="13"/>
        <v>9.1872087721361934E-2</v>
      </c>
      <c r="Y154" s="429"/>
      <c r="Z154" s="421">
        <f t="shared" si="14"/>
        <v>0.12798202483962717</v>
      </c>
      <c r="AA154" s="429"/>
      <c r="AB154" s="421">
        <f t="shared" si="15"/>
        <v>0.12750294125684727</v>
      </c>
      <c r="AC154" s="430"/>
      <c r="AD154" s="424">
        <f t="shared" si="16"/>
        <v>7.1138760264173095E-2</v>
      </c>
      <c r="AE154" s="431"/>
      <c r="AF154" s="421">
        <f t="shared" si="17"/>
        <v>0.2847303299884969</v>
      </c>
      <c r="AG154" s="421">
        <f t="shared" si="18"/>
        <v>2.2481536960429396</v>
      </c>
      <c r="AH154" s="426">
        <f t="shared" si="19"/>
        <v>5.6776463534971124E-3</v>
      </c>
      <c r="AI154" s="421">
        <f t="shared" si="20"/>
        <v>0.21997586116749918</v>
      </c>
      <c r="AJ154" s="325"/>
      <c r="AK154" s="325"/>
      <c r="AL154" s="325"/>
      <c r="AM154" s="325"/>
      <c r="AN154" s="325"/>
      <c r="AO154" s="325"/>
      <c r="AP154" s="325"/>
      <c r="AQ154" s="325"/>
      <c r="AR154" s="325"/>
      <c r="AS154" s="325"/>
      <c r="AT154" s="325"/>
      <c r="AU154" s="325"/>
      <c r="AV154" s="325"/>
      <c r="AW154" s="325"/>
      <c r="AX154" s="325"/>
      <c r="AY154" s="325"/>
      <c r="AZ154" s="325"/>
      <c r="BA154" s="325"/>
      <c r="BB154" s="325"/>
      <c r="BC154" s="325"/>
      <c r="BD154" s="325"/>
      <c r="BE154" s="325"/>
      <c r="BF154" s="325"/>
      <c r="BG154" s="325"/>
      <c r="BH154" s="325"/>
      <c r="BI154" s="325"/>
      <c r="BJ154" s="325"/>
      <c r="BK154" s="325"/>
      <c r="BL154" s="325"/>
      <c r="BM154" s="325"/>
      <c r="BN154" s="325"/>
      <c r="BO154" s="325"/>
      <c r="BP154" s="325"/>
      <c r="BQ154" s="325"/>
    </row>
    <row r="155" spans="1:69" ht="14.25" customHeight="1" x14ac:dyDescent="0.2">
      <c r="A155" s="3"/>
      <c r="B155" s="289"/>
      <c r="C155" s="3"/>
      <c r="D155" s="3"/>
      <c r="E155" s="3"/>
      <c r="F155" s="3"/>
      <c r="G155" s="289"/>
      <c r="H155" s="3"/>
      <c r="I155" s="3"/>
      <c r="J155" s="3"/>
      <c r="K155" s="3"/>
      <c r="L155" s="289"/>
      <c r="M155" s="3"/>
      <c r="N155" s="3"/>
      <c r="O155" s="3"/>
      <c r="P155" s="3"/>
      <c r="Q155" s="3"/>
      <c r="R155" s="3"/>
      <c r="S155" s="376"/>
      <c r="T155" s="418">
        <f t="shared" si="22"/>
        <v>129</v>
      </c>
      <c r="U155" s="376"/>
      <c r="V155" s="370">
        <f t="shared" si="21"/>
        <v>3.980549118762057E-2</v>
      </c>
      <c r="W155" s="289"/>
      <c r="X155" s="370">
        <f t="shared" si="13"/>
        <v>9.0564231626281619E-2</v>
      </c>
      <c r="Y155" s="429"/>
      <c r="Z155" s="421">
        <f t="shared" si="14"/>
        <v>0.1269209229841215</v>
      </c>
      <c r="AA155" s="429"/>
      <c r="AB155" s="421">
        <f t="shared" si="15"/>
        <v>0.12658250799036838</v>
      </c>
      <c r="AC155" s="430"/>
      <c r="AD155" s="424">
        <f t="shared" si="16"/>
        <v>6.9842684963906776E-2</v>
      </c>
      <c r="AE155" s="431"/>
      <c r="AF155" s="421">
        <f t="shared" si="17"/>
        <v>0.28465038490289551</v>
      </c>
      <c r="AG155" s="421">
        <f t="shared" si="18"/>
        <v>2.2542748609422643</v>
      </c>
      <c r="AH155" s="426">
        <f t="shared" si="19"/>
        <v>5.6159543252644077E-3</v>
      </c>
      <c r="AI155" s="421">
        <f t="shared" si="20"/>
        <v>0.21922596015092533</v>
      </c>
      <c r="AJ155" s="325"/>
      <c r="AK155" s="325"/>
      <c r="AL155" s="325"/>
      <c r="AM155" s="325"/>
      <c r="AN155" s="325"/>
      <c r="AO155" s="325"/>
      <c r="AP155" s="325"/>
      <c r="AQ155" s="325"/>
      <c r="AR155" s="325"/>
      <c r="AS155" s="325"/>
      <c r="AT155" s="325"/>
      <c r="AU155" s="325"/>
      <c r="AV155" s="325"/>
      <c r="AW155" s="325"/>
      <c r="AX155" s="325"/>
      <c r="AY155" s="325"/>
      <c r="AZ155" s="325"/>
      <c r="BA155" s="325"/>
      <c r="BB155" s="325"/>
      <c r="BC155" s="325"/>
      <c r="BD155" s="325"/>
      <c r="BE155" s="325"/>
      <c r="BF155" s="325"/>
      <c r="BG155" s="325"/>
      <c r="BH155" s="325"/>
      <c r="BI155" s="325"/>
      <c r="BJ155" s="325"/>
      <c r="BK155" s="325"/>
      <c r="BL155" s="325"/>
      <c r="BM155" s="325"/>
      <c r="BN155" s="325"/>
      <c r="BO155" s="325"/>
      <c r="BP155" s="325"/>
      <c r="BQ155" s="325"/>
    </row>
    <row r="156" spans="1:69" ht="14.25" customHeight="1" x14ac:dyDescent="0.2">
      <c r="A156" s="3"/>
      <c r="B156" s="289"/>
      <c r="C156" s="3"/>
      <c r="D156" s="3"/>
      <c r="E156" s="3"/>
      <c r="F156" s="3"/>
      <c r="G156" s="289"/>
      <c r="H156" s="3"/>
      <c r="I156" s="3"/>
      <c r="J156" s="3"/>
      <c r="K156" s="3"/>
      <c r="L156" s="289"/>
      <c r="M156" s="3"/>
      <c r="N156" s="3"/>
      <c r="O156" s="3"/>
      <c r="P156" s="3"/>
      <c r="Q156" s="3"/>
      <c r="R156" s="3"/>
      <c r="S156" s="376"/>
      <c r="T156" s="418">
        <f t="shared" si="22"/>
        <v>130</v>
      </c>
      <c r="U156" s="376"/>
      <c r="V156" s="370">
        <f t="shared" si="21"/>
        <v>3.882306617673395E-2</v>
      </c>
      <c r="W156" s="289"/>
      <c r="X156" s="370">
        <f t="shared" ref="X156:X219" si="23">EXP(-1*(T156/$X$21)^$X$22)</f>
        <v>8.9277279551348981E-2</v>
      </c>
      <c r="Y156" s="429"/>
      <c r="Z156" s="421">
        <f t="shared" ref="Z156:Z219" si="24">1-_xlfn.NORM.DIST(LN(T156),$Z$21,$Z$22,TRUE)</f>
        <v>0.12587408358854191</v>
      </c>
      <c r="AA156" s="429"/>
      <c r="AB156" s="421">
        <f t="shared" ref="AB156:AB219" si="25">(1+(T156/$AB$21)^$AB$22)^-1</f>
        <v>0.12567480423720007</v>
      </c>
      <c r="AC156" s="430"/>
      <c r="AD156" s="424">
        <f t="shared" ref="AD156:AD219" si="26">1-_xlfn.GAMMA.DIST(T156,$AD$21,1/$AD$22,TRUE)</f>
        <v>6.8570830990516307E-2</v>
      </c>
      <c r="AE156" s="431"/>
      <c r="AF156" s="421">
        <f t="shared" ref="AF156:AF219" si="27">EXP((-$AF$22/$AF$21)*(EXP($AF$21*T156)-1))</f>
        <v>0.28457363469704089</v>
      </c>
      <c r="AG156" s="421">
        <f t="shared" ref="AG156:AG219" si="28">(LN(T156)-$AH$21)/$AH$22</f>
        <v>2.2603487576873769</v>
      </c>
      <c r="AH156" s="426">
        <f t="shared" ref="AH156:AH219" si="29">$AH$24*EXP(ABS($AH$23)*-AG156)</f>
        <v>5.555401293837252E-3</v>
      </c>
      <c r="AI156" s="421">
        <f t="shared" ref="AI156:AI219" si="30">_xlfn.GAMMA.DIST(AH156,$AH$24,1,TRUE)</f>
        <v>0.2184843423848058</v>
      </c>
      <c r="AJ156" s="325"/>
      <c r="AK156" s="325"/>
      <c r="AL156" s="325"/>
      <c r="AM156" s="325"/>
      <c r="AN156" s="325"/>
      <c r="AO156" s="325"/>
      <c r="AP156" s="325"/>
      <c r="AQ156" s="325"/>
      <c r="AR156" s="325"/>
      <c r="AS156" s="325"/>
      <c r="AT156" s="325"/>
      <c r="AU156" s="325"/>
      <c r="AV156" s="325"/>
      <c r="AW156" s="325"/>
      <c r="AX156" s="325"/>
      <c r="AY156" s="325"/>
      <c r="AZ156" s="325"/>
      <c r="BA156" s="325"/>
      <c r="BB156" s="325"/>
      <c r="BC156" s="325"/>
      <c r="BD156" s="325"/>
      <c r="BE156" s="325"/>
      <c r="BF156" s="325"/>
      <c r="BG156" s="325"/>
      <c r="BH156" s="325"/>
      <c r="BI156" s="325"/>
      <c r="BJ156" s="325"/>
      <c r="BK156" s="325"/>
      <c r="BL156" s="325"/>
      <c r="BM156" s="325"/>
      <c r="BN156" s="325"/>
      <c r="BO156" s="325"/>
      <c r="BP156" s="325"/>
      <c r="BQ156" s="325"/>
    </row>
    <row r="157" spans="1:69" ht="14.25" customHeight="1" x14ac:dyDescent="0.2">
      <c r="A157" s="3"/>
      <c r="B157" s="289"/>
      <c r="C157" s="3"/>
      <c r="D157" s="3"/>
      <c r="E157" s="3"/>
      <c r="F157" s="3"/>
      <c r="G157" s="289"/>
      <c r="H157" s="3"/>
      <c r="I157" s="3"/>
      <c r="J157" s="3"/>
      <c r="K157" s="3"/>
      <c r="L157" s="289"/>
      <c r="M157" s="3"/>
      <c r="N157" s="3"/>
      <c r="O157" s="3"/>
      <c r="P157" s="3"/>
      <c r="Q157" s="3"/>
      <c r="R157" s="3"/>
      <c r="S157" s="376"/>
      <c r="T157" s="418">
        <f t="shared" si="22"/>
        <v>131</v>
      </c>
      <c r="U157" s="376"/>
      <c r="V157" s="370">
        <f t="shared" ref="V157:V220" si="31">EXP(-1*$V$21*T157)</f>
        <v>3.786488804418546E-2</v>
      </c>
      <c r="W157" s="289"/>
      <c r="X157" s="370">
        <f t="shared" si="23"/>
        <v>8.8010847693375985E-2</v>
      </c>
      <c r="Y157" s="429"/>
      <c r="Z157" s="421">
        <f t="shared" si="24"/>
        <v>0.12484123363354993</v>
      </c>
      <c r="AA157" s="429"/>
      <c r="AB157" s="421">
        <f t="shared" si="25"/>
        <v>0.12477957138044286</v>
      </c>
      <c r="AC157" s="430"/>
      <c r="AD157" s="424">
        <f t="shared" si="26"/>
        <v>6.732272727392119E-2</v>
      </c>
      <c r="AE157" s="431"/>
      <c r="AF157" s="421">
        <f t="shared" si="27"/>
        <v>0.28449995088745805</v>
      </c>
      <c r="AG157" s="421">
        <f t="shared" si="28"/>
        <v>2.2663761107051519</v>
      </c>
      <c r="AH157" s="426">
        <f t="shared" si="29"/>
        <v>5.4959577094888974E-3</v>
      </c>
      <c r="AI157" s="421">
        <f t="shared" si="30"/>
        <v>0.21775085418477769</v>
      </c>
      <c r="AJ157" s="325"/>
      <c r="AK157" s="325"/>
      <c r="AL157" s="325"/>
      <c r="AM157" s="325"/>
      <c r="AN157" s="325"/>
      <c r="AO157" s="325"/>
      <c r="AP157" s="325"/>
      <c r="AQ157" s="325"/>
      <c r="AR157" s="325"/>
      <c r="AS157" s="325"/>
      <c r="AT157" s="325"/>
      <c r="AU157" s="325"/>
      <c r="AV157" s="325"/>
      <c r="AW157" s="325"/>
      <c r="AX157" s="325"/>
      <c r="AY157" s="325"/>
      <c r="AZ157" s="325"/>
      <c r="BA157" s="325"/>
      <c r="BB157" s="325"/>
      <c r="BC157" s="325"/>
      <c r="BD157" s="325"/>
      <c r="BE157" s="325"/>
      <c r="BF157" s="325"/>
      <c r="BG157" s="325"/>
      <c r="BH157" s="325"/>
      <c r="BI157" s="325"/>
      <c r="BJ157" s="325"/>
      <c r="BK157" s="325"/>
      <c r="BL157" s="325"/>
      <c r="BM157" s="325"/>
      <c r="BN157" s="325"/>
      <c r="BO157" s="325"/>
      <c r="BP157" s="325"/>
      <c r="BQ157" s="325"/>
    </row>
    <row r="158" spans="1:69" ht="14.25" customHeight="1" x14ac:dyDescent="0.2">
      <c r="A158" s="3"/>
      <c r="B158" s="289"/>
      <c r="C158" s="3"/>
      <c r="D158" s="3"/>
      <c r="E158" s="3"/>
      <c r="F158" s="3"/>
      <c r="G158" s="289"/>
      <c r="H158" s="3"/>
      <c r="I158" s="3"/>
      <c r="J158" s="3"/>
      <c r="K158" s="3"/>
      <c r="L158" s="289"/>
      <c r="M158" s="3"/>
      <c r="N158" s="3"/>
      <c r="O158" s="3"/>
      <c r="P158" s="3"/>
      <c r="Q158" s="3"/>
      <c r="R158" s="3"/>
      <c r="S158" s="376"/>
      <c r="T158" s="418">
        <f t="shared" si="22"/>
        <v>132</v>
      </c>
      <c r="U158" s="376"/>
      <c r="V158" s="370">
        <f t="shared" si="31"/>
        <v>3.6930358361491875E-2</v>
      </c>
      <c r="W158" s="289"/>
      <c r="X158" s="370">
        <f t="shared" si="23"/>
        <v>8.6764560527060428E-2</v>
      </c>
      <c r="Y158" s="429"/>
      <c r="Z158" s="421">
        <f t="shared" si="24"/>
        <v>0.12382210696496809</v>
      </c>
      <c r="AA158" s="429"/>
      <c r="AB158" s="421">
        <f t="shared" si="25"/>
        <v>0.12389655770533774</v>
      </c>
      <c r="AC158" s="430"/>
      <c r="AD158" s="424">
        <f t="shared" si="26"/>
        <v>6.6097912510994172E-2</v>
      </c>
      <c r="AE158" s="431"/>
      <c r="AF158" s="421">
        <f t="shared" si="27"/>
        <v>0.28442921022032452</v>
      </c>
      <c r="AG158" s="421">
        <f t="shared" si="28"/>
        <v>2.2723576278952913</v>
      </c>
      <c r="AH158" s="426">
        <f t="shared" si="29"/>
        <v>5.4375950068371081E-3</v>
      </c>
      <c r="AI158" s="421">
        <f t="shared" si="30"/>
        <v>0.21702534585284441</v>
      </c>
      <c r="AJ158" s="325"/>
      <c r="AK158" s="325"/>
      <c r="AL158" s="325"/>
      <c r="AM158" s="325"/>
      <c r="AN158" s="325"/>
      <c r="AO158" s="325"/>
      <c r="AP158" s="325"/>
      <c r="AQ158" s="325"/>
      <c r="AR158" s="325"/>
      <c r="AS158" s="325"/>
      <c r="AT158" s="325"/>
      <c r="AU158" s="325"/>
      <c r="AV158" s="325"/>
      <c r="AW158" s="325"/>
      <c r="AX158" s="325"/>
      <c r="AY158" s="325"/>
      <c r="AZ158" s="325"/>
      <c r="BA158" s="325"/>
      <c r="BB158" s="325"/>
      <c r="BC158" s="325"/>
      <c r="BD158" s="325"/>
      <c r="BE158" s="325"/>
      <c r="BF158" s="325"/>
      <c r="BG158" s="325"/>
      <c r="BH158" s="325"/>
      <c r="BI158" s="325"/>
      <c r="BJ158" s="325"/>
      <c r="BK158" s="325"/>
      <c r="BL158" s="325"/>
      <c r="BM158" s="325"/>
      <c r="BN158" s="325"/>
      <c r="BO158" s="325"/>
      <c r="BP158" s="325"/>
      <c r="BQ158" s="325"/>
    </row>
    <row r="159" spans="1:69" ht="14.25" customHeight="1" x14ac:dyDescent="0.2">
      <c r="A159" s="3"/>
      <c r="B159" s="289"/>
      <c r="C159" s="3"/>
      <c r="D159" s="3"/>
      <c r="E159" s="3"/>
      <c r="F159" s="3"/>
      <c r="G159" s="289"/>
      <c r="H159" s="3"/>
      <c r="I159" s="3"/>
      <c r="J159" s="3"/>
      <c r="K159" s="3"/>
      <c r="L159" s="289"/>
      <c r="M159" s="3"/>
      <c r="N159" s="3"/>
      <c r="O159" s="3"/>
      <c r="P159" s="3"/>
      <c r="Q159" s="3"/>
      <c r="R159" s="3"/>
      <c r="S159" s="376"/>
      <c r="T159" s="418">
        <f t="shared" si="22"/>
        <v>133</v>
      </c>
      <c r="U159" s="376"/>
      <c r="V159" s="370">
        <f t="shared" si="31"/>
        <v>3.6018893469768123E-2</v>
      </c>
      <c r="W159" s="289"/>
      <c r="X159" s="370">
        <f t="shared" si="23"/>
        <v>8.5538050591730794E-2</v>
      </c>
      <c r="Y159" s="429"/>
      <c r="Z159" s="421">
        <f t="shared" si="24"/>
        <v>0.12281644407883674</v>
      </c>
      <c r="AA159" s="429"/>
      <c r="AB159" s="421">
        <f t="shared" si="25"/>
        <v>0.12302551817182064</v>
      </c>
      <c r="AC159" s="430"/>
      <c r="AD159" s="424">
        <f t="shared" si="26"/>
        <v>6.4895934941419875E-2</v>
      </c>
      <c r="AE159" s="431"/>
      <c r="AF159" s="421">
        <f t="shared" si="27"/>
        <v>0.28436129445375136</v>
      </c>
      <c r="AG159" s="421">
        <f t="shared" si="28"/>
        <v>2.2782940011292716</v>
      </c>
      <c r="AH159" s="426">
        <f t="shared" si="29"/>
        <v>5.3802855649106116E-3</v>
      </c>
      <c r="AI159" s="421">
        <f t="shared" si="30"/>
        <v>0.21630767154500666</v>
      </c>
      <c r="AJ159" s="325"/>
      <c r="AK159" s="325"/>
      <c r="AL159" s="325"/>
      <c r="AM159" s="325"/>
      <c r="AN159" s="325"/>
      <c r="AO159" s="325"/>
      <c r="AP159" s="325"/>
      <c r="AQ159" s="325"/>
      <c r="AR159" s="325"/>
      <c r="AS159" s="325"/>
      <c r="AT159" s="325"/>
      <c r="AU159" s="325"/>
      <c r="AV159" s="325"/>
      <c r="AW159" s="325"/>
      <c r="AX159" s="325"/>
      <c r="AY159" s="325"/>
      <c r="AZ159" s="325"/>
      <c r="BA159" s="325"/>
      <c r="BB159" s="325"/>
      <c r="BC159" s="325"/>
      <c r="BD159" s="325"/>
      <c r="BE159" s="325"/>
      <c r="BF159" s="325"/>
      <c r="BG159" s="325"/>
      <c r="BH159" s="325"/>
      <c r="BI159" s="325"/>
      <c r="BJ159" s="325"/>
      <c r="BK159" s="325"/>
      <c r="BL159" s="325"/>
      <c r="BM159" s="325"/>
      <c r="BN159" s="325"/>
      <c r="BO159" s="325"/>
      <c r="BP159" s="325"/>
      <c r="BQ159" s="325"/>
    </row>
    <row r="160" spans="1:69" ht="14.25" customHeight="1" x14ac:dyDescent="0.2">
      <c r="A160" s="3"/>
      <c r="B160" s="289"/>
      <c r="C160" s="3"/>
      <c r="D160" s="3"/>
      <c r="E160" s="3"/>
      <c r="F160" s="3"/>
      <c r="G160" s="289"/>
      <c r="H160" s="3"/>
      <c r="I160" s="3"/>
      <c r="J160" s="3"/>
      <c r="K160" s="3"/>
      <c r="L160" s="289"/>
      <c r="M160" s="3"/>
      <c r="N160" s="3"/>
      <c r="O160" s="3"/>
      <c r="P160" s="3"/>
      <c r="Q160" s="3"/>
      <c r="R160" s="3"/>
      <c r="S160" s="376"/>
      <c r="T160" s="418">
        <f t="shared" si="22"/>
        <v>134</v>
      </c>
      <c r="U160" s="376"/>
      <c r="V160" s="370">
        <f t="shared" si="31"/>
        <v>3.5129924115204152E-2</v>
      </c>
      <c r="W160" s="289"/>
      <c r="X160" s="370">
        <f t="shared" si="23"/>
        <v>8.4330958284693683E-2</v>
      </c>
      <c r="Y160" s="429"/>
      <c r="Z160" s="421">
        <f t="shared" si="24"/>
        <v>0.1218239919145423</v>
      </c>
      <c r="AA160" s="429"/>
      <c r="AB160" s="421">
        <f t="shared" si="25"/>
        <v>0.1221662141959729</v>
      </c>
      <c r="AC160" s="430"/>
      <c r="AD160" s="424">
        <f t="shared" si="26"/>
        <v>6.3716352129533194E-2</v>
      </c>
      <c r="AE160" s="431"/>
      <c r="AF160" s="421">
        <f t="shared" si="27"/>
        <v>0.28429609014950297</v>
      </c>
      <c r="AG160" s="421">
        <f t="shared" si="28"/>
        <v>2.2841859067306016</v>
      </c>
      <c r="AH160" s="426">
        <f t="shared" si="29"/>
        <v>5.3240026691211704E-3</v>
      </c>
      <c r="AI160" s="421">
        <f t="shared" si="30"/>
        <v>0.21559768914423577</v>
      </c>
      <c r="AJ160" s="325"/>
      <c r="AK160" s="325"/>
      <c r="AL160" s="325"/>
      <c r="AM160" s="325"/>
      <c r="AN160" s="325"/>
      <c r="AO160" s="325"/>
      <c r="AP160" s="325"/>
      <c r="AQ160" s="325"/>
      <c r="AR160" s="325"/>
      <c r="AS160" s="325"/>
      <c r="AT160" s="325"/>
      <c r="AU160" s="325"/>
      <c r="AV160" s="325"/>
      <c r="AW160" s="325"/>
      <c r="AX160" s="325"/>
      <c r="AY160" s="325"/>
      <c r="AZ160" s="325"/>
      <c r="BA160" s="325"/>
      <c r="BB160" s="325"/>
      <c r="BC160" s="325"/>
      <c r="BD160" s="325"/>
      <c r="BE160" s="325"/>
      <c r="BF160" s="325"/>
      <c r="BG160" s="325"/>
      <c r="BH160" s="325"/>
      <c r="BI160" s="325"/>
      <c r="BJ160" s="325"/>
      <c r="BK160" s="325"/>
      <c r="BL160" s="325"/>
      <c r="BM160" s="325"/>
      <c r="BN160" s="325"/>
      <c r="BO160" s="325"/>
      <c r="BP160" s="325"/>
      <c r="BQ160" s="325"/>
    </row>
    <row r="161" spans="1:69" ht="14.25" customHeight="1" x14ac:dyDescent="0.2">
      <c r="A161" s="3"/>
      <c r="B161" s="289"/>
      <c r="C161" s="3"/>
      <c r="D161" s="3"/>
      <c r="E161" s="3"/>
      <c r="F161" s="3"/>
      <c r="G161" s="289"/>
      <c r="H161" s="3"/>
      <c r="I161" s="3"/>
      <c r="J161" s="3"/>
      <c r="K161" s="3"/>
      <c r="L161" s="289"/>
      <c r="M161" s="3"/>
      <c r="N161" s="3"/>
      <c r="O161" s="3"/>
      <c r="P161" s="3"/>
      <c r="Q161" s="3"/>
      <c r="R161" s="3"/>
      <c r="S161" s="376"/>
      <c r="T161" s="418">
        <f t="shared" si="22"/>
        <v>135</v>
      </c>
      <c r="U161" s="376"/>
      <c r="V161" s="370">
        <f t="shared" si="31"/>
        <v>3.4262895093538449E-2</v>
      </c>
      <c r="W161" s="289"/>
      <c r="X161" s="370">
        <f t="shared" si="23"/>
        <v>8.3142931660937988E-2</v>
      </c>
      <c r="Y161" s="429"/>
      <c r="Z161" s="421">
        <f t="shared" si="24"/>
        <v>0.12084450365566279</v>
      </c>
      <c r="AA161" s="429"/>
      <c r="AB161" s="421">
        <f t="shared" si="25"/>
        <v>0.12131841343996629</v>
      </c>
      <c r="AC161" s="430"/>
      <c r="AD161" s="424">
        <f t="shared" si="26"/>
        <v>6.2558730751943292E-2</v>
      </c>
      <c r="AE161" s="431"/>
      <c r="AF161" s="421">
        <f t="shared" si="27"/>
        <v>0.28423348847371621</v>
      </c>
      <c r="AG161" s="421">
        <f t="shared" si="28"/>
        <v>2.2900340059372275</v>
      </c>
      <c r="AH161" s="426">
        <f t="shared" si="29"/>
        <v>5.2687204750367584E-3</v>
      </c>
      <c r="AI161" s="421">
        <f t="shared" si="30"/>
        <v>0.21489526013853583</v>
      </c>
      <c r="AJ161" s="325"/>
      <c r="AK161" s="325"/>
      <c r="AL161" s="325"/>
      <c r="AM161" s="325"/>
      <c r="AN161" s="325"/>
      <c r="AO161" s="325"/>
      <c r="AP161" s="325"/>
      <c r="AQ161" s="325"/>
      <c r="AR161" s="325"/>
      <c r="AS161" s="325"/>
      <c r="AT161" s="325"/>
      <c r="AU161" s="325"/>
      <c r="AV161" s="325"/>
      <c r="AW161" s="325"/>
      <c r="AX161" s="325"/>
      <c r="AY161" s="325"/>
      <c r="AZ161" s="325"/>
      <c r="BA161" s="325"/>
      <c r="BB161" s="325"/>
      <c r="BC161" s="325"/>
      <c r="BD161" s="325"/>
      <c r="BE161" s="325"/>
      <c r="BF161" s="325"/>
      <c r="BG161" s="325"/>
      <c r="BH161" s="325"/>
      <c r="BI161" s="325"/>
      <c r="BJ161" s="325"/>
      <c r="BK161" s="325"/>
      <c r="BL161" s="325"/>
      <c r="BM161" s="325"/>
      <c r="BN161" s="325"/>
      <c r="BO161" s="325"/>
      <c r="BP161" s="325"/>
      <c r="BQ161" s="325"/>
    </row>
    <row r="162" spans="1:69" ht="14.25" customHeight="1" x14ac:dyDescent="0.2">
      <c r="A162" s="3"/>
      <c r="B162" s="289"/>
      <c r="C162" s="3"/>
      <c r="D162" s="3"/>
      <c r="E162" s="3"/>
      <c r="F162" s="3"/>
      <c r="G162" s="289"/>
      <c r="H162" s="3"/>
      <c r="I162" s="3"/>
      <c r="J162" s="3"/>
      <c r="K162" s="3"/>
      <c r="L162" s="289"/>
      <c r="M162" s="3"/>
      <c r="N162" s="3"/>
      <c r="O162" s="3"/>
      <c r="P162" s="3"/>
      <c r="Q162" s="3"/>
      <c r="R162" s="3"/>
      <c r="S162" s="376"/>
      <c r="T162" s="418">
        <f t="shared" si="22"/>
        <v>136</v>
      </c>
      <c r="U162" s="376"/>
      <c r="V162" s="370">
        <f t="shared" si="31"/>
        <v>3.3417264903306182E-2</v>
      </c>
      <c r="W162" s="289"/>
      <c r="X162" s="370">
        <f t="shared" si="23"/>
        <v>8.1973626238963579E-2</v>
      </c>
      <c r="Y162" s="429"/>
      <c r="Z162" s="421">
        <f t="shared" si="24"/>
        <v>0.11987773853819739</v>
      </c>
      <c r="AA162" s="429"/>
      <c r="AB162" s="421">
        <f t="shared" si="25"/>
        <v>0.12048188961012059</v>
      </c>
      <c r="AC162" s="430"/>
      <c r="AD162" s="424">
        <f t="shared" si="26"/>
        <v>6.1422646390757896E-2</v>
      </c>
      <c r="AE162" s="431"/>
      <c r="AF162" s="421">
        <f t="shared" si="27"/>
        <v>0.28417338500620493</v>
      </c>
      <c r="AG162" s="421">
        <f t="shared" si="28"/>
        <v>2.2958389453468699</v>
      </c>
      <c r="AH162" s="426">
        <f t="shared" si="29"/>
        <v>5.2144139738581055E-3</v>
      </c>
      <c r="AI162" s="421">
        <f t="shared" si="30"/>
        <v>0.21420024950385641</v>
      </c>
      <c r="AJ162" s="325"/>
      <c r="AK162" s="325"/>
      <c r="AL162" s="325"/>
      <c r="AM162" s="325"/>
      <c r="AN162" s="325"/>
      <c r="AO162" s="325"/>
      <c r="AP162" s="325"/>
      <c r="AQ162" s="325"/>
      <c r="AR162" s="325"/>
      <c r="AS162" s="325"/>
      <c r="AT162" s="325"/>
      <c r="AU162" s="325"/>
      <c r="AV162" s="325"/>
      <c r="AW162" s="325"/>
      <c r="AX162" s="325"/>
      <c r="AY162" s="325"/>
      <c r="AZ162" s="325"/>
      <c r="BA162" s="325"/>
      <c r="BB162" s="325"/>
      <c r="BC162" s="325"/>
      <c r="BD162" s="325"/>
      <c r="BE162" s="325"/>
      <c r="BF162" s="325"/>
      <c r="BG162" s="325"/>
      <c r="BH162" s="325"/>
      <c r="BI162" s="325"/>
      <c r="BJ162" s="325"/>
      <c r="BK162" s="325"/>
      <c r="BL162" s="325"/>
      <c r="BM162" s="325"/>
      <c r="BN162" s="325"/>
      <c r="BO162" s="325"/>
      <c r="BP162" s="325"/>
      <c r="BQ162" s="325"/>
    </row>
    <row r="163" spans="1:69" ht="14.25" customHeight="1" x14ac:dyDescent="0.2">
      <c r="A163" s="3"/>
      <c r="B163" s="289"/>
      <c r="C163" s="3"/>
      <c r="D163" s="3"/>
      <c r="E163" s="3"/>
      <c r="F163" s="3"/>
      <c r="G163" s="289"/>
      <c r="H163" s="3"/>
      <c r="I163" s="3"/>
      <c r="J163" s="3"/>
      <c r="K163" s="3"/>
      <c r="L163" s="289"/>
      <c r="M163" s="3"/>
      <c r="N163" s="3"/>
      <c r="O163" s="3"/>
      <c r="P163" s="3"/>
      <c r="Q163" s="3"/>
      <c r="R163" s="3"/>
      <c r="S163" s="376"/>
      <c r="T163" s="418">
        <f t="shared" si="22"/>
        <v>137</v>
      </c>
      <c r="U163" s="376"/>
      <c r="V163" s="370">
        <f t="shared" si="31"/>
        <v>3.2592505407645404E-2</v>
      </c>
      <c r="W163" s="289"/>
      <c r="X163" s="370">
        <f t="shared" si="23"/>
        <v>8.0822704812510915E-2</v>
      </c>
      <c r="Y163" s="429"/>
      <c r="Z163" s="421">
        <f t="shared" si="24"/>
        <v>0.11892346166585588</v>
      </c>
      <c r="AA163" s="429"/>
      <c r="AB163" s="421">
        <f t="shared" si="25"/>
        <v>0.11965642226271207</v>
      </c>
      <c r="AC163" s="430"/>
      <c r="AD163" s="424">
        <f t="shared" si="26"/>
        <v>6.0307683332226913E-2</v>
      </c>
      <c r="AE163" s="431"/>
      <c r="AF163" s="421">
        <f t="shared" si="27"/>
        <v>0.28411567955795591</v>
      </c>
      <c r="AG163" s="421">
        <f t="shared" si="28"/>
        <v>2.3016013573460552</v>
      </c>
      <c r="AH163" s="426">
        <f t="shared" si="29"/>
        <v>5.1610589595064808E-3</v>
      </c>
      <c r="AI163" s="421">
        <f t="shared" si="30"/>
        <v>0.21351252559162592</v>
      </c>
      <c r="AJ163" s="325"/>
      <c r="AK163" s="325"/>
      <c r="AL163" s="325"/>
      <c r="AM163" s="325"/>
      <c r="AN163" s="325"/>
      <c r="AO163" s="325"/>
      <c r="AP163" s="325"/>
      <c r="AQ163" s="325"/>
      <c r="AR163" s="325"/>
      <c r="AS163" s="325"/>
      <c r="AT163" s="325"/>
      <c r="AU163" s="325"/>
      <c r="AV163" s="325"/>
      <c r="AW163" s="325"/>
      <c r="AX163" s="325"/>
      <c r="AY163" s="325"/>
      <c r="AZ163" s="325"/>
      <c r="BA163" s="325"/>
      <c r="BB163" s="325"/>
      <c r="BC163" s="325"/>
      <c r="BD163" s="325"/>
      <c r="BE163" s="325"/>
      <c r="BF163" s="325"/>
      <c r="BG163" s="325"/>
      <c r="BH163" s="325"/>
      <c r="BI163" s="325"/>
      <c r="BJ163" s="325"/>
      <c r="BK163" s="325"/>
      <c r="BL163" s="325"/>
      <c r="BM163" s="325"/>
      <c r="BN163" s="325"/>
      <c r="BO163" s="325"/>
      <c r="BP163" s="325"/>
      <c r="BQ163" s="325"/>
    </row>
    <row r="164" spans="1:69" ht="14.25" customHeight="1" x14ac:dyDescent="0.2">
      <c r="A164" s="3"/>
      <c r="B164" s="289"/>
      <c r="C164" s="3"/>
      <c r="D164" s="3"/>
      <c r="E164" s="3"/>
      <c r="F164" s="3"/>
      <c r="G164" s="289"/>
      <c r="H164" s="3"/>
      <c r="I164" s="3"/>
      <c r="J164" s="3"/>
      <c r="K164" s="3"/>
      <c r="L164" s="289"/>
      <c r="M164" s="3"/>
      <c r="N164" s="3"/>
      <c r="O164" s="3"/>
      <c r="P164" s="3"/>
      <c r="Q164" s="3"/>
      <c r="R164" s="3"/>
      <c r="S164" s="376"/>
      <c r="T164" s="418">
        <f t="shared" si="22"/>
        <v>138</v>
      </c>
      <c r="U164" s="376"/>
      <c r="V164" s="370">
        <f t="shared" si="31"/>
        <v>3.1788101504450099E-2</v>
      </c>
      <c r="W164" s="289"/>
      <c r="X164" s="370">
        <f t="shared" si="23"/>
        <v>7.9689837267976626E-2</v>
      </c>
      <c r="Y164" s="429"/>
      <c r="Z164" s="421">
        <f t="shared" si="24"/>
        <v>0.1179814438321094</v>
      </c>
      <c r="AA164" s="429"/>
      <c r="AB164" s="421">
        <f t="shared" si="25"/>
        <v>0.11884179661718997</v>
      </c>
      <c r="AC164" s="430"/>
      <c r="AD164" s="424">
        <f t="shared" si="26"/>
        <v>5.9213434370638085E-2</v>
      </c>
      <c r="AE164" s="431"/>
      <c r="AF164" s="421">
        <f t="shared" si="27"/>
        <v>0.2840602759964414</v>
      </c>
      <c r="AG164" s="421">
        <f t="shared" si="28"/>
        <v>2.3073218605235386</v>
      </c>
      <c r="AH164" s="426">
        <f t="shared" si="29"/>
        <v>5.1086319972366255E-3</v>
      </c>
      <c r="AI164" s="421">
        <f t="shared" si="30"/>
        <v>0.21283196002069543</v>
      </c>
      <c r="AJ164" s="325"/>
      <c r="AK164" s="325"/>
      <c r="AL164" s="325"/>
      <c r="AM164" s="325"/>
      <c r="AN164" s="325"/>
      <c r="AO164" s="325"/>
      <c r="AP164" s="325"/>
      <c r="AQ164" s="325"/>
      <c r="AR164" s="325"/>
      <c r="AS164" s="325"/>
      <c r="AT164" s="325"/>
      <c r="AU164" s="325"/>
      <c r="AV164" s="325"/>
      <c r="AW164" s="325"/>
      <c r="AX164" s="325"/>
      <c r="AY164" s="325"/>
      <c r="AZ164" s="325"/>
      <c r="BA164" s="325"/>
      <c r="BB164" s="325"/>
      <c r="BC164" s="325"/>
      <c r="BD164" s="325"/>
      <c r="BE164" s="325"/>
      <c r="BF164" s="325"/>
      <c r="BG164" s="325"/>
      <c r="BH164" s="325"/>
      <c r="BI164" s="325"/>
      <c r="BJ164" s="325"/>
      <c r="BK164" s="325"/>
      <c r="BL164" s="325"/>
      <c r="BM164" s="325"/>
      <c r="BN164" s="325"/>
      <c r="BO164" s="325"/>
      <c r="BP164" s="325"/>
      <c r="BQ164" s="325"/>
    </row>
    <row r="165" spans="1:69" ht="14.25" customHeight="1" x14ac:dyDescent="0.2">
      <c r="A165" s="3"/>
      <c r="B165" s="289"/>
      <c r="C165" s="3"/>
      <c r="D165" s="3"/>
      <c r="E165" s="3"/>
      <c r="F165" s="3"/>
      <c r="G165" s="289"/>
      <c r="H165" s="3"/>
      <c r="I165" s="3"/>
      <c r="J165" s="3"/>
      <c r="K165" s="3"/>
      <c r="L165" s="289"/>
      <c r="M165" s="3"/>
      <c r="N165" s="3"/>
      <c r="O165" s="3"/>
      <c r="P165" s="3"/>
      <c r="Q165" s="3"/>
      <c r="R165" s="3"/>
      <c r="S165" s="376"/>
      <c r="T165" s="418">
        <f t="shared" si="22"/>
        <v>139</v>
      </c>
      <c r="U165" s="376"/>
      <c r="V165" s="370">
        <f t="shared" si="31"/>
        <v>3.1003550804664073E-2</v>
      </c>
      <c r="W165" s="289"/>
      <c r="X165" s="370">
        <f t="shared" si="23"/>
        <v>7.8574700407312098E-2</v>
      </c>
      <c r="Y165" s="429"/>
      <c r="Z165" s="421">
        <f t="shared" si="24"/>
        <v>0.11705146134871136</v>
      </c>
      <c r="AA165" s="429"/>
      <c r="AB165" s="421">
        <f t="shared" si="25"/>
        <v>0.11803780337647286</v>
      </c>
      <c r="AC165" s="430"/>
      <c r="AD165" s="424">
        <f t="shared" si="26"/>
        <v>5.8139500617292672E-2</v>
      </c>
      <c r="AE165" s="431"/>
      <c r="AF165" s="421">
        <f t="shared" si="27"/>
        <v>0.28400708207839387</v>
      </c>
      <c r="AG165" s="421">
        <f t="shared" si="28"/>
        <v>2.3130010600688058</v>
      </c>
      <c r="AH165" s="426">
        <f t="shared" si="29"/>
        <v>5.0571103936935258E-3</v>
      </c>
      <c r="AI165" s="421">
        <f t="shared" si="30"/>
        <v>0.21215842757348646</v>
      </c>
      <c r="AJ165" s="325"/>
      <c r="AK165" s="325"/>
      <c r="AL165" s="325"/>
      <c r="AM165" s="325"/>
      <c r="AN165" s="325"/>
      <c r="AO165" s="325"/>
      <c r="AP165" s="325"/>
      <c r="AQ165" s="325"/>
      <c r="AR165" s="325"/>
      <c r="AS165" s="325"/>
      <c r="AT165" s="325"/>
      <c r="AU165" s="325"/>
      <c r="AV165" s="325"/>
      <c r="AW165" s="325"/>
      <c r="AX165" s="325"/>
      <c r="AY165" s="325"/>
      <c r="AZ165" s="325"/>
      <c r="BA165" s="325"/>
      <c r="BB165" s="325"/>
      <c r="BC165" s="325"/>
      <c r="BD165" s="325"/>
      <c r="BE165" s="325"/>
      <c r="BF165" s="325"/>
      <c r="BG165" s="325"/>
      <c r="BH165" s="325"/>
      <c r="BI165" s="325"/>
      <c r="BJ165" s="325"/>
      <c r="BK165" s="325"/>
      <c r="BL165" s="325"/>
      <c r="BM165" s="325"/>
      <c r="BN165" s="325"/>
      <c r="BO165" s="325"/>
      <c r="BP165" s="325"/>
      <c r="BQ165" s="325"/>
    </row>
    <row r="166" spans="1:69" ht="14.25" customHeight="1" x14ac:dyDescent="0.2">
      <c r="A166" s="3"/>
      <c r="B166" s="289"/>
      <c r="C166" s="3"/>
      <c r="D166" s="3"/>
      <c r="E166" s="3"/>
      <c r="F166" s="3"/>
      <c r="G166" s="289"/>
      <c r="H166" s="3"/>
      <c r="I166" s="3"/>
      <c r="J166" s="3"/>
      <c r="K166" s="3"/>
      <c r="L166" s="289"/>
      <c r="M166" s="3"/>
      <c r="N166" s="3"/>
      <c r="O166" s="3"/>
      <c r="P166" s="3"/>
      <c r="Q166" s="3"/>
      <c r="R166" s="3"/>
      <c r="S166" s="376"/>
      <c r="T166" s="418">
        <f t="shared" ref="T166:T229" si="32">T165+1</f>
        <v>140</v>
      </c>
      <c r="U166" s="376"/>
      <c r="V166" s="370">
        <f t="shared" si="31"/>
        <v>3.0238363318514715E-2</v>
      </c>
      <c r="W166" s="289"/>
      <c r="X166" s="370">
        <f t="shared" si="23"/>
        <v>7.7476977776207032E-2</v>
      </c>
      <c r="Y166" s="429"/>
      <c r="Z166" s="421">
        <f t="shared" si="24"/>
        <v>0.11613329588041299</v>
      </c>
      <c r="AA166" s="429"/>
      <c r="AB166" s="421">
        <f t="shared" si="25"/>
        <v>0.11724423855401682</v>
      </c>
      <c r="AC166" s="430"/>
      <c r="AD166" s="424">
        <f t="shared" si="26"/>
        <v>5.7085491314411207E-2</v>
      </c>
      <c r="AE166" s="431"/>
      <c r="AF166" s="421">
        <f t="shared" si="27"/>
        <v>0.28395600928970494</v>
      </c>
      <c r="AG166" s="421">
        <f t="shared" si="28"/>
        <v>2.3186395481562907</v>
      </c>
      <c r="AH166" s="426">
        <f t="shared" si="29"/>
        <v>5.0064721683369031E-3</v>
      </c>
      <c r="AI166" s="421">
        <f t="shared" si="30"/>
        <v>0.21149180609615376</v>
      </c>
      <c r="AJ166" s="325"/>
      <c r="AK166" s="325"/>
      <c r="AL166" s="325"/>
      <c r="AM166" s="325"/>
      <c r="AN166" s="325"/>
      <c r="AO166" s="325"/>
      <c r="AP166" s="325"/>
      <c r="AQ166" s="325"/>
      <c r="AR166" s="325"/>
      <c r="AS166" s="325"/>
      <c r="AT166" s="325"/>
      <c r="AU166" s="325"/>
      <c r="AV166" s="325"/>
      <c r="AW166" s="325"/>
      <c r="AX166" s="325"/>
      <c r="AY166" s="325"/>
      <c r="AZ166" s="325"/>
      <c r="BA166" s="325"/>
      <c r="BB166" s="325"/>
      <c r="BC166" s="325"/>
      <c r="BD166" s="325"/>
      <c r="BE166" s="325"/>
      <c r="BF166" s="325"/>
      <c r="BG166" s="325"/>
      <c r="BH166" s="325"/>
      <c r="BI166" s="325"/>
      <c r="BJ166" s="325"/>
      <c r="BK166" s="325"/>
      <c r="BL166" s="325"/>
      <c r="BM166" s="325"/>
      <c r="BN166" s="325"/>
      <c r="BO166" s="325"/>
      <c r="BP166" s="325"/>
      <c r="BQ166" s="325"/>
    </row>
    <row r="167" spans="1:69" ht="14.25" customHeight="1" x14ac:dyDescent="0.2">
      <c r="A167" s="3"/>
      <c r="B167" s="289"/>
      <c r="C167" s="3"/>
      <c r="D167" s="3"/>
      <c r="E167" s="3"/>
      <c r="F167" s="3"/>
      <c r="G167" s="289"/>
      <c r="H167" s="3"/>
      <c r="I167" s="3"/>
      <c r="J167" s="3"/>
      <c r="K167" s="3"/>
      <c r="L167" s="289"/>
      <c r="M167" s="3"/>
      <c r="N167" s="3"/>
      <c r="O167" s="3"/>
      <c r="P167" s="3"/>
      <c r="Q167" s="3"/>
      <c r="R167" s="3"/>
      <c r="S167" s="376"/>
      <c r="T167" s="418">
        <f t="shared" si="32"/>
        <v>141</v>
      </c>
      <c r="U167" s="376"/>
      <c r="V167" s="370">
        <f t="shared" si="31"/>
        <v>2.9492061149490743E-2</v>
      </c>
      <c r="W167" s="289"/>
      <c r="X167" s="370">
        <f t="shared" si="23"/>
        <v>7.6396359497372363E-2</v>
      </c>
      <c r="Y167" s="429"/>
      <c r="Z167" s="421">
        <f t="shared" si="24"/>
        <v>0.1152267342856157</v>
      </c>
      <c r="AA167" s="429"/>
      <c r="AB167" s="421">
        <f t="shared" si="25"/>
        <v>0.11646090330735903</v>
      </c>
      <c r="AC167" s="430"/>
      <c r="AD167" s="424">
        <f t="shared" si="26"/>
        <v>5.6051023653809873E-2</v>
      </c>
      <c r="AE167" s="431"/>
      <c r="AF167" s="421">
        <f t="shared" si="27"/>
        <v>0.28390697269212584</v>
      </c>
      <c r="AG167" s="421">
        <f t="shared" si="28"/>
        <v>2.324237904315916</v>
      </c>
      <c r="AH167" s="426">
        <f t="shared" si="29"/>
        <v>4.9566960261616614E-3</v>
      </c>
      <c r="AI167" s="421">
        <f t="shared" si="30"/>
        <v>0.21083197640257689</v>
      </c>
      <c r="AJ167" s="325"/>
      <c r="AK167" s="325"/>
      <c r="AL167" s="325"/>
      <c r="AM167" s="325"/>
      <c r="AN167" s="325"/>
      <c r="AO167" s="325"/>
      <c r="AP167" s="325"/>
      <c r="AQ167" s="325"/>
      <c r="AR167" s="325"/>
      <c r="AS167" s="325"/>
      <c r="AT167" s="325"/>
      <c r="AU167" s="325"/>
      <c r="AV167" s="325"/>
      <c r="AW167" s="325"/>
      <c r="AX167" s="325"/>
      <c r="AY167" s="325"/>
      <c r="AZ167" s="325"/>
      <c r="BA167" s="325"/>
      <c r="BB167" s="325"/>
      <c r="BC167" s="325"/>
      <c r="BD167" s="325"/>
      <c r="BE167" s="325"/>
      <c r="BF167" s="325"/>
      <c r="BG167" s="325"/>
      <c r="BH167" s="325"/>
      <c r="BI167" s="325"/>
      <c r="BJ167" s="325"/>
      <c r="BK167" s="325"/>
      <c r="BL167" s="325"/>
      <c r="BM167" s="325"/>
      <c r="BN167" s="325"/>
      <c r="BO167" s="325"/>
      <c r="BP167" s="325"/>
      <c r="BQ167" s="325"/>
    </row>
    <row r="168" spans="1:69" ht="14.25" customHeight="1" x14ac:dyDescent="0.2">
      <c r="A168" s="3"/>
      <c r="B168" s="289"/>
      <c r="C168" s="3"/>
      <c r="D168" s="3"/>
      <c r="E168" s="3"/>
      <c r="F168" s="3"/>
      <c r="G168" s="289"/>
      <c r="H168" s="3"/>
      <c r="I168" s="3"/>
      <c r="J168" s="3"/>
      <c r="K168" s="3"/>
      <c r="L168" s="289"/>
      <c r="M168" s="3"/>
      <c r="N168" s="3"/>
      <c r="O168" s="3"/>
      <c r="P168" s="3"/>
      <c r="Q168" s="3"/>
      <c r="R168" s="3"/>
      <c r="S168" s="376"/>
      <c r="T168" s="418">
        <f t="shared" si="32"/>
        <v>142</v>
      </c>
      <c r="U168" s="376"/>
      <c r="V168" s="370">
        <f t="shared" si="31"/>
        <v>2.8764178195872826E-2</v>
      </c>
      <c r="W168" s="289"/>
      <c r="X168" s="370">
        <f t="shared" si="23"/>
        <v>7.5332542108740561E-2</v>
      </c>
      <c r="Y168" s="429"/>
      <c r="Z168" s="421">
        <f t="shared" si="24"/>
        <v>0.11433156846270809</v>
      </c>
      <c r="AA168" s="429"/>
      <c r="AB168" s="421">
        <f t="shared" si="25"/>
        <v>0.11568760377785765</v>
      </c>
      <c r="AC168" s="430"/>
      <c r="AD168" s="424">
        <f t="shared" si="26"/>
        <v>5.503572260020273E-2</v>
      </c>
      <c r="AE168" s="431"/>
      <c r="AF168" s="421">
        <f t="shared" si="27"/>
        <v>0.28385989077646723</v>
      </c>
      <c r="AG168" s="421">
        <f t="shared" si="28"/>
        <v>2.3297966957905438</v>
      </c>
      <c r="AH168" s="426">
        <f t="shared" si="29"/>
        <v>4.9077613316468056E-3</v>
      </c>
      <c r="AI168" s="421">
        <f t="shared" si="30"/>
        <v>0.21017882218201175</v>
      </c>
      <c r="AJ168" s="325"/>
      <c r="AK168" s="325"/>
      <c r="AL168" s="325"/>
      <c r="AM168" s="325"/>
      <c r="AN168" s="325"/>
      <c r="AO168" s="325"/>
      <c r="AP168" s="325"/>
      <c r="AQ168" s="325"/>
      <c r="AR168" s="325"/>
      <c r="AS168" s="325"/>
      <c r="AT168" s="325"/>
      <c r="AU168" s="325"/>
      <c r="AV168" s="325"/>
      <c r="AW168" s="325"/>
      <c r="AX168" s="325"/>
      <c r="AY168" s="325"/>
      <c r="AZ168" s="325"/>
      <c r="BA168" s="325"/>
      <c r="BB168" s="325"/>
      <c r="BC168" s="325"/>
      <c r="BD168" s="325"/>
      <c r="BE168" s="325"/>
      <c r="BF168" s="325"/>
      <c r="BG168" s="325"/>
      <c r="BH168" s="325"/>
      <c r="BI168" s="325"/>
      <c r="BJ168" s="325"/>
      <c r="BK168" s="325"/>
      <c r="BL168" s="325"/>
      <c r="BM168" s="325"/>
      <c r="BN168" s="325"/>
      <c r="BO168" s="325"/>
      <c r="BP168" s="325"/>
      <c r="BQ168" s="325"/>
    </row>
    <row r="169" spans="1:69" ht="14.25" customHeight="1" x14ac:dyDescent="0.2">
      <c r="A169" s="3"/>
      <c r="B169" s="289"/>
      <c r="C169" s="3"/>
      <c r="D169" s="3"/>
      <c r="E169" s="3"/>
      <c r="F169" s="3"/>
      <c r="G169" s="289"/>
      <c r="H169" s="3"/>
      <c r="I169" s="3"/>
      <c r="J169" s="3"/>
      <c r="K169" s="3"/>
      <c r="L169" s="289"/>
      <c r="M169" s="3"/>
      <c r="N169" s="3"/>
      <c r="O169" s="3"/>
      <c r="P169" s="3"/>
      <c r="Q169" s="3"/>
      <c r="R169" s="3"/>
      <c r="S169" s="376"/>
      <c r="T169" s="418">
        <f t="shared" si="32"/>
        <v>143</v>
      </c>
      <c r="U169" s="376"/>
      <c r="V169" s="370">
        <f t="shared" si="31"/>
        <v>2.8054259859630483E-2</v>
      </c>
      <c r="W169" s="289"/>
      <c r="X169" s="370">
        <f t="shared" si="23"/>
        <v>7.4285228406411705E-2</v>
      </c>
      <c r="Y169" s="429"/>
      <c r="Z169" s="421">
        <f t="shared" si="24"/>
        <v>0.11344759520185321</v>
      </c>
      <c r="AA169" s="429"/>
      <c r="AB169" s="421">
        <f t="shared" si="25"/>
        <v>0.11492415093636077</v>
      </c>
      <c r="AC169" s="430"/>
      <c r="AD169" s="424">
        <f t="shared" si="26"/>
        <v>5.403922071899081E-2</v>
      </c>
      <c r="AE169" s="431"/>
      <c r="AF169" s="421">
        <f t="shared" si="27"/>
        <v>0.28381468532200577</v>
      </c>
      <c r="AG169" s="421">
        <f t="shared" si="28"/>
        <v>2.3353164778808835</v>
      </c>
      <c r="AH169" s="426">
        <f t="shared" si="29"/>
        <v>4.8596480838693197E-3</v>
      </c>
      <c r="AI169" s="421">
        <f t="shared" si="30"/>
        <v>0.20953222991023576</v>
      </c>
      <c r="AJ169" s="325"/>
      <c r="AK169" s="325"/>
      <c r="AL169" s="325"/>
      <c r="AM169" s="325"/>
      <c r="AN169" s="325"/>
      <c r="AO169" s="325"/>
      <c r="AP169" s="325"/>
      <c r="AQ169" s="325"/>
      <c r="AR169" s="325"/>
      <c r="AS169" s="325"/>
      <c r="AT169" s="325"/>
      <c r="AU169" s="325"/>
      <c r="AV169" s="325"/>
      <c r="AW169" s="325"/>
      <c r="AX169" s="325"/>
      <c r="AY169" s="325"/>
      <c r="AZ169" s="325"/>
      <c r="BA169" s="325"/>
      <c r="BB169" s="325"/>
      <c r="BC169" s="325"/>
      <c r="BD169" s="325"/>
      <c r="BE169" s="325"/>
      <c r="BF169" s="325"/>
      <c r="BG169" s="325"/>
      <c r="BH169" s="325"/>
      <c r="BI169" s="325"/>
      <c r="BJ169" s="325"/>
      <c r="BK169" s="325"/>
      <c r="BL169" s="325"/>
      <c r="BM169" s="325"/>
      <c r="BN169" s="325"/>
      <c r="BO169" s="325"/>
      <c r="BP169" s="325"/>
      <c r="BQ169" s="325"/>
    </row>
    <row r="170" spans="1:69" ht="14.25" customHeight="1" x14ac:dyDescent="0.2">
      <c r="A170" s="3"/>
      <c r="B170" s="289"/>
      <c r="C170" s="3"/>
      <c r="D170" s="3"/>
      <c r="E170" s="3"/>
      <c r="F170" s="3"/>
      <c r="G170" s="289"/>
      <c r="H170" s="3"/>
      <c r="I170" s="3"/>
      <c r="J170" s="3"/>
      <c r="K170" s="3"/>
      <c r="L170" s="289"/>
      <c r="M170" s="3"/>
      <c r="N170" s="3"/>
      <c r="O170" s="3"/>
      <c r="P170" s="3"/>
      <c r="Q170" s="3"/>
      <c r="R170" s="3"/>
      <c r="S170" s="376"/>
      <c r="T170" s="418">
        <f t="shared" si="32"/>
        <v>144</v>
      </c>
      <c r="U170" s="376"/>
      <c r="V170" s="370">
        <f t="shared" si="31"/>
        <v>2.7361862762503717E-2</v>
      </c>
      <c r="W170" s="289"/>
      <c r="X170" s="370">
        <f t="shared" si="23"/>
        <v>7.3254127292180213E-2</v>
      </c>
      <c r="Y170" s="429"/>
      <c r="Z170" s="421">
        <f t="shared" si="24"/>
        <v>0.11257461604199881</v>
      </c>
      <c r="AA170" s="429"/>
      <c r="AB170" s="421">
        <f t="shared" si="25"/>
        <v>0.11417036043455152</v>
      </c>
      <c r="AC170" s="430"/>
      <c r="AD170" s="424">
        <f t="shared" si="26"/>
        <v>5.3061158008399278E-2</v>
      </c>
      <c r="AE170" s="431"/>
      <c r="AF170" s="421">
        <f t="shared" si="27"/>
        <v>0.28377128126182127</v>
      </c>
      <c r="AG170" s="421">
        <f t="shared" si="28"/>
        <v>2.340797794278382</v>
      </c>
      <c r="AH170" s="426">
        <f t="shared" si="29"/>
        <v>4.8123368927232343E-3</v>
      </c>
      <c r="AI170" s="421">
        <f t="shared" si="30"/>
        <v>0.20889208876403254</v>
      </c>
      <c r="AJ170" s="325"/>
      <c r="AK170" s="325"/>
      <c r="AL170" s="325"/>
      <c r="AM170" s="325"/>
      <c r="AN170" s="325"/>
      <c r="AO170" s="325"/>
      <c r="AP170" s="325"/>
      <c r="AQ170" s="325"/>
      <c r="AR170" s="325"/>
      <c r="AS170" s="325"/>
      <c r="AT170" s="325"/>
      <c r="AU170" s="325"/>
      <c r="AV170" s="325"/>
      <c r="AW170" s="325"/>
      <c r="AX170" s="325"/>
      <c r="AY170" s="325"/>
      <c r="AZ170" s="325"/>
      <c r="BA170" s="325"/>
      <c r="BB170" s="325"/>
      <c r="BC170" s="325"/>
      <c r="BD170" s="325"/>
      <c r="BE170" s="325"/>
      <c r="BF170" s="325"/>
      <c r="BG170" s="325"/>
      <c r="BH170" s="325"/>
      <c r="BI170" s="325"/>
      <c r="BJ170" s="325"/>
      <c r="BK170" s="325"/>
      <c r="BL170" s="325"/>
      <c r="BM170" s="325"/>
      <c r="BN170" s="325"/>
      <c r="BO170" s="325"/>
      <c r="BP170" s="325"/>
      <c r="BQ170" s="325"/>
    </row>
    <row r="171" spans="1:69" ht="14.25" customHeight="1" x14ac:dyDescent="0.2">
      <c r="A171" s="3"/>
      <c r="B171" s="289"/>
      <c r="C171" s="3"/>
      <c r="D171" s="3"/>
      <c r="E171" s="3"/>
      <c r="F171" s="3"/>
      <c r="G171" s="289"/>
      <c r="H171" s="3"/>
      <c r="I171" s="3"/>
      <c r="J171" s="3"/>
      <c r="K171" s="3"/>
      <c r="L171" s="289"/>
      <c r="M171" s="3"/>
      <c r="N171" s="3"/>
      <c r="O171" s="3"/>
      <c r="P171" s="3"/>
      <c r="Q171" s="3"/>
      <c r="R171" s="3"/>
      <c r="S171" s="376"/>
      <c r="T171" s="418">
        <f t="shared" si="32"/>
        <v>145</v>
      </c>
      <c r="U171" s="376"/>
      <c r="V171" s="370">
        <f t="shared" si="31"/>
        <v>2.6686554469091909E-2</v>
      </c>
      <c r="W171" s="289"/>
      <c r="X171" s="370">
        <f t="shared" si="23"/>
        <v>7.2238953625483507E-2</v>
      </c>
      <c r="Y171" s="429"/>
      <c r="Z171" s="421">
        <f t="shared" si="24"/>
        <v>0.11171243713289869</v>
      </c>
      <c r="AA171" s="429"/>
      <c r="AB171" s="421">
        <f t="shared" si="25"/>
        <v>0.11342605246172778</v>
      </c>
      <c r="AC171" s="430"/>
      <c r="AD171" s="424">
        <f t="shared" si="26"/>
        <v>5.2101181735833224E-2</v>
      </c>
      <c r="AE171" s="431"/>
      <c r="AF171" s="421">
        <f t="shared" si="27"/>
        <v>0.28372960655380275</v>
      </c>
      <c r="AG171" s="421">
        <f t="shared" si="28"/>
        <v>2.3462411773865903</v>
      </c>
      <c r="AH171" s="426">
        <f t="shared" si="29"/>
        <v>4.7658089561874728E-3</v>
      </c>
      <c r="AI171" s="421">
        <f t="shared" si="30"/>
        <v>0.20825829053886782</v>
      </c>
      <c r="AJ171" s="325"/>
      <c r="AK171" s="325"/>
      <c r="AL171" s="325"/>
      <c r="AM171" s="325"/>
      <c r="AN171" s="325"/>
      <c r="AO171" s="325"/>
      <c r="AP171" s="325"/>
      <c r="AQ171" s="325"/>
      <c r="AR171" s="325"/>
      <c r="AS171" s="325"/>
      <c r="AT171" s="325"/>
      <c r="AU171" s="325"/>
      <c r="AV171" s="325"/>
      <c r="AW171" s="325"/>
      <c r="AX171" s="325"/>
      <c r="AY171" s="325"/>
      <c r="AZ171" s="325"/>
      <c r="BA171" s="325"/>
      <c r="BB171" s="325"/>
      <c r="BC171" s="325"/>
      <c r="BD171" s="325"/>
      <c r="BE171" s="325"/>
      <c r="BF171" s="325"/>
      <c r="BG171" s="325"/>
      <c r="BH171" s="325"/>
      <c r="BI171" s="325"/>
      <c r="BJ171" s="325"/>
      <c r="BK171" s="325"/>
      <c r="BL171" s="325"/>
      <c r="BM171" s="325"/>
      <c r="BN171" s="325"/>
      <c r="BO171" s="325"/>
      <c r="BP171" s="325"/>
      <c r="BQ171" s="325"/>
    </row>
    <row r="172" spans="1:69" ht="14.25" customHeight="1" x14ac:dyDescent="0.2">
      <c r="A172" s="3"/>
      <c r="B172" s="289"/>
      <c r="C172" s="3"/>
      <c r="D172" s="3"/>
      <c r="E172" s="3"/>
      <c r="F172" s="3"/>
      <c r="G172" s="289"/>
      <c r="H172" s="3"/>
      <c r="I172" s="3"/>
      <c r="J172" s="3"/>
      <c r="K172" s="3"/>
      <c r="L172" s="289"/>
      <c r="M172" s="3"/>
      <c r="N172" s="3"/>
      <c r="O172" s="3"/>
      <c r="P172" s="3"/>
      <c r="Q172" s="3"/>
      <c r="R172" s="3"/>
      <c r="S172" s="376"/>
      <c r="T172" s="418">
        <f t="shared" si="32"/>
        <v>146</v>
      </c>
      <c r="U172" s="376"/>
      <c r="V172" s="370">
        <f t="shared" si="31"/>
        <v>2.6027913216777016E-2</v>
      </c>
      <c r="W172" s="289"/>
      <c r="X172" s="370">
        <f t="shared" si="23"/>
        <v>7.1239428079619221E-2</v>
      </c>
      <c r="Y172" s="429"/>
      <c r="Z172" s="421">
        <f t="shared" si="24"/>
        <v>0.11086086910193582</v>
      </c>
      <c r="AA172" s="429"/>
      <c r="AB172" s="421">
        <f t="shared" si="25"/>
        <v>0.1126910516067867</v>
      </c>
      <c r="AC172" s="430"/>
      <c r="AD172" s="424">
        <f t="shared" si="26"/>
        <v>5.1158946278324624E-2</v>
      </c>
      <c r="AE172" s="431"/>
      <c r="AF172" s="421">
        <f t="shared" si="27"/>
        <v>0.283689592057072</v>
      </c>
      <c r="AG172" s="421">
        <f t="shared" si="28"/>
        <v>2.3516471486314932</v>
      </c>
      <c r="AH172" s="426">
        <f t="shared" si="29"/>
        <v>4.720046038589421E-3</v>
      </c>
      <c r="AI172" s="421">
        <f t="shared" si="30"/>
        <v>0.20763072956961764</v>
      </c>
      <c r="AJ172" s="325"/>
      <c r="AK172" s="325"/>
      <c r="AL172" s="325"/>
      <c r="AM172" s="325"/>
      <c r="AN172" s="325"/>
      <c r="AO172" s="325"/>
      <c r="AP172" s="325"/>
      <c r="AQ172" s="325"/>
      <c r="AR172" s="325"/>
      <c r="AS172" s="325"/>
      <c r="AT172" s="325"/>
      <c r="AU172" s="325"/>
      <c r="AV172" s="325"/>
      <c r="AW172" s="325"/>
      <c r="AX172" s="325"/>
      <c r="AY172" s="325"/>
      <c r="AZ172" s="325"/>
      <c r="BA172" s="325"/>
      <c r="BB172" s="325"/>
      <c r="BC172" s="325"/>
      <c r="BD172" s="325"/>
      <c r="BE172" s="325"/>
      <c r="BF172" s="325"/>
      <c r="BG172" s="325"/>
      <c r="BH172" s="325"/>
      <c r="BI172" s="325"/>
      <c r="BJ172" s="325"/>
      <c r="BK172" s="325"/>
      <c r="BL172" s="325"/>
      <c r="BM172" s="325"/>
      <c r="BN172" s="325"/>
      <c r="BO172" s="325"/>
      <c r="BP172" s="325"/>
      <c r="BQ172" s="325"/>
    </row>
    <row r="173" spans="1:69" ht="14.25" customHeight="1" x14ac:dyDescent="0.2">
      <c r="A173" s="3"/>
      <c r="B173" s="289"/>
      <c r="C173" s="3"/>
      <c r="D173" s="3"/>
      <c r="E173" s="3"/>
      <c r="F173" s="3"/>
      <c r="G173" s="289"/>
      <c r="H173" s="3"/>
      <c r="I173" s="3"/>
      <c r="J173" s="3"/>
      <c r="K173" s="3"/>
      <c r="L173" s="289"/>
      <c r="M173" s="3"/>
      <c r="N173" s="3"/>
      <c r="O173" s="3"/>
      <c r="P173" s="3"/>
      <c r="Q173" s="3"/>
      <c r="R173" s="3"/>
      <c r="S173" s="376"/>
      <c r="T173" s="418">
        <f t="shared" si="32"/>
        <v>147</v>
      </c>
      <c r="U173" s="376"/>
      <c r="V173" s="370">
        <f t="shared" si="31"/>
        <v>2.5385527652312473E-2</v>
      </c>
      <c r="W173" s="289"/>
      <c r="X173" s="370">
        <f t="shared" si="23"/>
        <v>7.0255277002087169E-2</v>
      </c>
      <c r="Y173" s="429"/>
      <c r="Z173" s="421">
        <f t="shared" si="24"/>
        <v>0.11001972692555773</v>
      </c>
      <c r="AA173" s="429"/>
      <c r="AB173" s="421">
        <f t="shared" si="25"/>
        <v>0.11196518672519616</v>
      </c>
      <c r="AC173" s="430"/>
      <c r="AD173" s="424">
        <f t="shared" si="26"/>
        <v>5.0234112966951683E-2</v>
      </c>
      <c r="AE173" s="431"/>
      <c r="AF173" s="421">
        <f t="shared" si="27"/>
        <v>0.28365117141358626</v>
      </c>
      <c r="AG173" s="421">
        <f t="shared" si="28"/>
        <v>2.3570162187612418</v>
      </c>
      <c r="AH173" s="426">
        <f t="shared" si="29"/>
        <v>4.6750304498140733E-3</v>
      </c>
      <c r="AI173" s="421">
        <f t="shared" si="30"/>
        <v>0.20700930265421472</v>
      </c>
      <c r="AJ173" s="325"/>
      <c r="AK173" s="325"/>
      <c r="AL173" s="325"/>
      <c r="AM173" s="325"/>
      <c r="AN173" s="325"/>
      <c r="AO173" s="325"/>
      <c r="AP173" s="325"/>
      <c r="AQ173" s="325"/>
      <c r="AR173" s="325"/>
      <c r="AS173" s="325"/>
      <c r="AT173" s="325"/>
      <c r="AU173" s="325"/>
      <c r="AV173" s="325"/>
      <c r="AW173" s="325"/>
      <c r="AX173" s="325"/>
      <c r="AY173" s="325"/>
      <c r="AZ173" s="325"/>
      <c r="BA173" s="325"/>
      <c r="BB173" s="325"/>
      <c r="BC173" s="325"/>
      <c r="BD173" s="325"/>
      <c r="BE173" s="325"/>
      <c r="BF173" s="325"/>
      <c r="BG173" s="325"/>
      <c r="BH173" s="325"/>
      <c r="BI173" s="325"/>
      <c r="BJ173" s="325"/>
      <c r="BK173" s="325"/>
      <c r="BL173" s="325"/>
      <c r="BM173" s="325"/>
      <c r="BN173" s="325"/>
      <c r="BO173" s="325"/>
      <c r="BP173" s="325"/>
      <c r="BQ173" s="325"/>
    </row>
    <row r="174" spans="1:69" ht="14.25" customHeight="1" x14ac:dyDescent="0.2">
      <c r="A174" s="3"/>
      <c r="B174" s="289"/>
      <c r="C174" s="3"/>
      <c r="D174" s="3"/>
      <c r="E174" s="3"/>
      <c r="F174" s="3"/>
      <c r="G174" s="289"/>
      <c r="H174" s="3"/>
      <c r="I174" s="3"/>
      <c r="J174" s="3"/>
      <c r="K174" s="3"/>
      <c r="L174" s="289"/>
      <c r="M174" s="3"/>
      <c r="N174" s="3"/>
      <c r="O174" s="3"/>
      <c r="P174" s="3"/>
      <c r="Q174" s="3"/>
      <c r="R174" s="3"/>
      <c r="S174" s="376"/>
      <c r="T174" s="418">
        <f t="shared" si="32"/>
        <v>148</v>
      </c>
      <c r="U174" s="376"/>
      <c r="V174" s="370">
        <f t="shared" si="31"/>
        <v>2.475899657491324E-2</v>
      </c>
      <c r="W174" s="289"/>
      <c r="X174" s="370">
        <f t="shared" si="23"/>
        <v>6.9286232278913631E-2</v>
      </c>
      <c r="Y174" s="429"/>
      <c r="Z174" s="421">
        <f t="shared" si="24"/>
        <v>0.10918882980513256</v>
      </c>
      <c r="AA174" s="429"/>
      <c r="AB174" s="421">
        <f t="shared" si="25"/>
        <v>0.11124829081074396</v>
      </c>
      <c r="AC174" s="430"/>
      <c r="AD174" s="424">
        <f t="shared" si="26"/>
        <v>4.9326349935110092E-2</v>
      </c>
      <c r="AE174" s="431"/>
      <c r="AF174" s="421">
        <f t="shared" si="27"/>
        <v>0.28361428093469387</v>
      </c>
      <c r="AG174" s="421">
        <f t="shared" si="28"/>
        <v>2.3623488881357293</v>
      </c>
      <c r="AH174" s="426">
        <f t="shared" si="29"/>
        <v>4.6307450254115682E-3</v>
      </c>
      <c r="AI174" s="421">
        <f t="shared" si="30"/>
        <v>0.206393908980087</v>
      </c>
      <c r="AJ174" s="325"/>
      <c r="AK174" s="325"/>
      <c r="AL174" s="325"/>
      <c r="AM174" s="325"/>
      <c r="AN174" s="325"/>
      <c r="AO174" s="325"/>
      <c r="AP174" s="325"/>
      <c r="AQ174" s="325"/>
      <c r="AR174" s="325"/>
      <c r="AS174" s="325"/>
      <c r="AT174" s="325"/>
      <c r="AU174" s="325"/>
      <c r="AV174" s="325"/>
      <c r="AW174" s="325"/>
      <c r="AX174" s="325"/>
      <c r="AY174" s="325"/>
      <c r="AZ174" s="325"/>
      <c r="BA174" s="325"/>
      <c r="BB174" s="325"/>
      <c r="BC174" s="325"/>
      <c r="BD174" s="325"/>
      <c r="BE174" s="325"/>
      <c r="BF174" s="325"/>
      <c r="BG174" s="325"/>
      <c r="BH174" s="325"/>
      <c r="BI174" s="325"/>
      <c r="BJ174" s="325"/>
      <c r="BK174" s="325"/>
      <c r="BL174" s="325"/>
      <c r="BM174" s="325"/>
      <c r="BN174" s="325"/>
      <c r="BO174" s="325"/>
      <c r="BP174" s="325"/>
      <c r="BQ174" s="325"/>
    </row>
    <row r="175" spans="1:69" ht="14.25" customHeight="1" x14ac:dyDescent="0.2">
      <c r="A175" s="3"/>
      <c r="B175" s="289"/>
      <c r="C175" s="3"/>
      <c r="D175" s="3"/>
      <c r="E175" s="3"/>
      <c r="F175" s="3"/>
      <c r="G175" s="289"/>
      <c r="H175" s="3"/>
      <c r="I175" s="3"/>
      <c r="J175" s="3"/>
      <c r="K175" s="3"/>
      <c r="L175" s="289"/>
      <c r="M175" s="3"/>
      <c r="N175" s="3"/>
      <c r="O175" s="3"/>
      <c r="P175" s="3"/>
      <c r="Q175" s="3"/>
      <c r="R175" s="3"/>
      <c r="S175" s="376"/>
      <c r="T175" s="418">
        <f t="shared" si="32"/>
        <v>149</v>
      </c>
      <c r="U175" s="376"/>
      <c r="V175" s="370">
        <f t="shared" si="31"/>
        <v>2.4147928685686552E-2</v>
      </c>
      <c r="W175" s="289"/>
      <c r="X175" s="370">
        <f t="shared" si="23"/>
        <v>6.8332031202825036E-2</v>
      </c>
      <c r="Y175" s="429"/>
      <c r="Z175" s="421">
        <f t="shared" si="24"/>
        <v>0.10836800104705246</v>
      </c>
      <c r="AA175" s="429"/>
      <c r="AB175" s="421">
        <f t="shared" si="25"/>
        <v>0.1105402008718671</v>
      </c>
      <c r="AC175" s="430"/>
      <c r="AD175" s="424">
        <f t="shared" si="26"/>
        <v>4.8435331970525297E-2</v>
      </c>
      <c r="AE175" s="431"/>
      <c r="AF175" s="421">
        <f t="shared" si="27"/>
        <v>0.28357885949242545</v>
      </c>
      <c r="AG175" s="421">
        <f t="shared" si="28"/>
        <v>2.3676456470064138</v>
      </c>
      <c r="AH175" s="426">
        <f t="shared" si="29"/>
        <v>4.5871731075585219E-3</v>
      </c>
      <c r="AI175" s="421">
        <f t="shared" si="30"/>
        <v>0.2057844500532694</v>
      </c>
      <c r="AJ175" s="325"/>
      <c r="AK175" s="325"/>
      <c r="AL175" s="325"/>
      <c r="AM175" s="325"/>
      <c r="AN175" s="325"/>
      <c r="AO175" s="325"/>
      <c r="AP175" s="325"/>
      <c r="AQ175" s="325"/>
      <c r="AR175" s="325"/>
      <c r="AS175" s="325"/>
      <c r="AT175" s="325"/>
      <c r="AU175" s="325"/>
      <c r="AV175" s="325"/>
      <c r="AW175" s="325"/>
      <c r="AX175" s="325"/>
      <c r="AY175" s="325"/>
      <c r="AZ175" s="325"/>
      <c r="BA175" s="325"/>
      <c r="BB175" s="325"/>
      <c r="BC175" s="325"/>
      <c r="BD175" s="325"/>
      <c r="BE175" s="325"/>
      <c r="BF175" s="325"/>
      <c r="BG175" s="325"/>
      <c r="BH175" s="325"/>
      <c r="BI175" s="325"/>
      <c r="BJ175" s="325"/>
      <c r="BK175" s="325"/>
      <c r="BL175" s="325"/>
      <c r="BM175" s="325"/>
      <c r="BN175" s="325"/>
      <c r="BO175" s="325"/>
      <c r="BP175" s="325"/>
      <c r="BQ175" s="325"/>
    </row>
    <row r="176" spans="1:69" ht="14.25" customHeight="1" x14ac:dyDescent="0.2">
      <c r="A176" s="3"/>
      <c r="B176" s="289"/>
      <c r="C176" s="3"/>
      <c r="D176" s="3"/>
      <c r="E176" s="3"/>
      <c r="F176" s="3"/>
      <c r="G176" s="289"/>
      <c r="H176" s="3"/>
      <c r="I176" s="3"/>
      <c r="J176" s="3"/>
      <c r="K176" s="3"/>
      <c r="L176" s="289"/>
      <c r="M176" s="3"/>
      <c r="N176" s="3"/>
      <c r="O176" s="3"/>
      <c r="P176" s="3"/>
      <c r="Q176" s="3"/>
      <c r="R176" s="3"/>
      <c r="S176" s="376"/>
      <c r="T176" s="418">
        <f t="shared" si="32"/>
        <v>150</v>
      </c>
      <c r="U176" s="376"/>
      <c r="V176" s="370">
        <f t="shared" si="31"/>
        <v>2.3551942343246871E-2</v>
      </c>
      <c r="W176" s="289"/>
      <c r="X176" s="370">
        <f t="shared" si="23"/>
        <v>6.7392416345140788E-2</v>
      </c>
      <c r="Y176" s="429"/>
      <c r="Z176" s="421">
        <f t="shared" si="24"/>
        <v>0.10755706794691311</v>
      </c>
      <c r="AA176" s="429"/>
      <c r="AB176" s="421">
        <f t="shared" si="25"/>
        <v>0.10984075781237165</v>
      </c>
      <c r="AC176" s="430"/>
      <c r="AD176" s="424">
        <f t="shared" si="26"/>
        <v>4.7560740370897303E-2</v>
      </c>
      <c r="AE176" s="431"/>
      <c r="AF176" s="421">
        <f t="shared" si="27"/>
        <v>0.28354484841531474</v>
      </c>
      <c r="AG176" s="421">
        <f t="shared" si="28"/>
        <v>2.372906975786782</v>
      </c>
      <c r="AH176" s="426">
        <f t="shared" si="29"/>
        <v>4.5442985268310879E-3</v>
      </c>
      <c r="AI176" s="421">
        <f t="shared" si="30"/>
        <v>0.20518082963007345</v>
      </c>
      <c r="AJ176" s="325"/>
      <c r="AK176" s="325"/>
      <c r="AL176" s="325"/>
      <c r="AM176" s="325"/>
      <c r="AN176" s="325"/>
      <c r="AO176" s="325"/>
      <c r="AP176" s="325"/>
      <c r="AQ176" s="325"/>
      <c r="AR176" s="325"/>
      <c r="AS176" s="325"/>
      <c r="AT176" s="325"/>
      <c r="AU176" s="325"/>
      <c r="AV176" s="325"/>
      <c r="AW176" s="325"/>
      <c r="AX176" s="325"/>
      <c r="AY176" s="325"/>
      <c r="AZ176" s="325"/>
      <c r="BA176" s="325"/>
      <c r="BB176" s="325"/>
      <c r="BC176" s="325"/>
      <c r="BD176" s="325"/>
      <c r="BE176" s="325"/>
      <c r="BF176" s="325"/>
      <c r="BG176" s="325"/>
      <c r="BH176" s="325"/>
      <c r="BI176" s="325"/>
      <c r="BJ176" s="325"/>
      <c r="BK176" s="325"/>
      <c r="BL176" s="325"/>
      <c r="BM176" s="325"/>
      <c r="BN176" s="325"/>
      <c r="BO176" s="325"/>
      <c r="BP176" s="325"/>
      <c r="BQ176" s="325"/>
    </row>
    <row r="177" spans="1:69" ht="14.25" customHeight="1" x14ac:dyDescent="0.2">
      <c r="A177" s="3"/>
      <c r="B177" s="289"/>
      <c r="C177" s="3"/>
      <c r="D177" s="3"/>
      <c r="E177" s="3"/>
      <c r="F177" s="3"/>
      <c r="G177" s="289"/>
      <c r="H177" s="3"/>
      <c r="I177" s="3"/>
      <c r="J177" s="3"/>
      <c r="K177" s="3"/>
      <c r="L177" s="289"/>
      <c r="M177" s="3"/>
      <c r="N177" s="3"/>
      <c r="O177" s="3"/>
      <c r="P177" s="3"/>
      <c r="Q177" s="3"/>
      <c r="R177" s="3"/>
      <c r="S177" s="376"/>
      <c r="T177" s="418">
        <f t="shared" si="32"/>
        <v>151</v>
      </c>
      <c r="U177" s="376"/>
      <c r="V177" s="370">
        <f t="shared" si="31"/>
        <v>2.2970665325362436E-2</v>
      </c>
      <c r="W177" s="289"/>
      <c r="X177" s="370">
        <f t="shared" si="23"/>
        <v>6.6467135431261648E-2</v>
      </c>
      <c r="Y177" s="429"/>
      <c r="Z177" s="421">
        <f t="shared" si="24"/>
        <v>0.10675586167760742</v>
      </c>
      <c r="AA177" s="429"/>
      <c r="AB177" s="421">
        <f t="shared" si="25"/>
        <v>0.10914980631636362</v>
      </c>
      <c r="AC177" s="430"/>
      <c r="AD177" s="424">
        <f t="shared" si="26"/>
        <v>4.6702262803070549E-2</v>
      </c>
      <c r="AE177" s="431"/>
      <c r="AF177" s="421">
        <f t="shared" si="27"/>
        <v>0.28351219138855266</v>
      </c>
      <c r="AG177" s="421">
        <f t="shared" si="28"/>
        <v>2.3781333453138318</v>
      </c>
      <c r="AH177" s="426">
        <f t="shared" si="29"/>
        <v>4.5021055847499058E-3</v>
      </c>
      <c r="AI177" s="421">
        <f t="shared" si="30"/>
        <v>0.20458295365120616</v>
      </c>
      <c r="AJ177" s="325"/>
      <c r="AK177" s="325"/>
      <c r="AL177" s="325"/>
      <c r="AM177" s="325"/>
      <c r="AN177" s="325"/>
      <c r="AO177" s="325"/>
      <c r="AP177" s="325"/>
      <c r="AQ177" s="325"/>
      <c r="AR177" s="325"/>
      <c r="AS177" s="325"/>
      <c r="AT177" s="325"/>
      <c r="AU177" s="325"/>
      <c r="AV177" s="325"/>
      <c r="AW177" s="325"/>
      <c r="AX177" s="325"/>
      <c r="AY177" s="325"/>
      <c r="AZ177" s="325"/>
      <c r="BA177" s="325"/>
      <c r="BB177" s="325"/>
      <c r="BC177" s="325"/>
      <c r="BD177" s="325"/>
      <c r="BE177" s="325"/>
      <c r="BF177" s="325"/>
      <c r="BG177" s="325"/>
      <c r="BH177" s="325"/>
      <c r="BI177" s="325"/>
      <c r="BJ177" s="325"/>
      <c r="BK177" s="325"/>
      <c r="BL177" s="325"/>
      <c r="BM177" s="325"/>
      <c r="BN177" s="325"/>
      <c r="BO177" s="325"/>
      <c r="BP177" s="325"/>
      <c r="BQ177" s="325"/>
    </row>
    <row r="178" spans="1:69" ht="14.25" customHeight="1" x14ac:dyDescent="0.2">
      <c r="A178" s="3"/>
      <c r="B178" s="289"/>
      <c r="C178" s="3"/>
      <c r="D178" s="3"/>
      <c r="E178" s="3"/>
      <c r="F178" s="3"/>
      <c r="G178" s="289"/>
      <c r="H178" s="3"/>
      <c r="I178" s="3"/>
      <c r="J178" s="3"/>
      <c r="K178" s="3"/>
      <c r="L178" s="289"/>
      <c r="M178" s="3"/>
      <c r="N178" s="3"/>
      <c r="O178" s="3"/>
      <c r="P178" s="3"/>
      <c r="Q178" s="3"/>
      <c r="R178" s="3"/>
      <c r="S178" s="376"/>
      <c r="T178" s="418">
        <f t="shared" si="32"/>
        <v>152</v>
      </c>
      <c r="U178" s="376"/>
      <c r="V178" s="370">
        <f t="shared" si="31"/>
        <v>2.2403734596484499E-2</v>
      </c>
      <c r="W178" s="289"/>
      <c r="X178" s="370">
        <f t="shared" si="23"/>
        <v>6.5555941219633942E-2</v>
      </c>
      <c r="Y178" s="429"/>
      <c r="Z178" s="421">
        <f t="shared" si="24"/>
        <v>0.10596421718117965</v>
      </c>
      <c r="AA178" s="429"/>
      <c r="AB178" s="421">
        <f t="shared" si="25"/>
        <v>0.10846719473721812</v>
      </c>
      <c r="AC178" s="430"/>
      <c r="AD178" s="424">
        <f t="shared" si="26"/>
        <v>4.5859593165631374E-2</v>
      </c>
      <c r="AE178" s="431"/>
      <c r="AF178" s="421">
        <f t="shared" si="27"/>
        <v>0.28348083435828719</v>
      </c>
      <c r="AG178" s="421">
        <f t="shared" si="28"/>
        <v>2.3833252171009178</v>
      </c>
      <c r="AH178" s="426">
        <f t="shared" si="29"/>
        <v>4.4605790370595682E-3</v>
      </c>
      <c r="AI178" s="421">
        <f t="shared" si="30"/>
        <v>0.20399073017823666</v>
      </c>
      <c r="AJ178" s="325"/>
      <c r="AK178" s="325"/>
      <c r="AL178" s="325"/>
      <c r="AM178" s="325"/>
      <c r="AN178" s="325"/>
      <c r="AO178" s="325"/>
      <c r="AP178" s="325"/>
      <c r="AQ178" s="325"/>
      <c r="AR178" s="325"/>
      <c r="AS178" s="325"/>
      <c r="AT178" s="325"/>
      <c r="AU178" s="325"/>
      <c r="AV178" s="325"/>
      <c r="AW178" s="325"/>
      <c r="AX178" s="325"/>
      <c r="AY178" s="325"/>
      <c r="AZ178" s="325"/>
      <c r="BA178" s="325"/>
      <c r="BB178" s="325"/>
      <c r="BC178" s="325"/>
      <c r="BD178" s="325"/>
      <c r="BE178" s="325"/>
      <c r="BF178" s="325"/>
      <c r="BG178" s="325"/>
      <c r="BH178" s="325"/>
      <c r="BI178" s="325"/>
      <c r="BJ178" s="325"/>
      <c r="BK178" s="325"/>
      <c r="BL178" s="325"/>
      <c r="BM178" s="325"/>
      <c r="BN178" s="325"/>
      <c r="BO178" s="325"/>
      <c r="BP178" s="325"/>
      <c r="BQ178" s="325"/>
    </row>
    <row r="179" spans="1:69" ht="14.25" customHeight="1" x14ac:dyDescent="0.2">
      <c r="A179" s="3"/>
      <c r="B179" s="289"/>
      <c r="C179" s="3"/>
      <c r="D179" s="3"/>
      <c r="E179" s="3"/>
      <c r="F179" s="3"/>
      <c r="G179" s="289"/>
      <c r="H179" s="3"/>
      <c r="I179" s="3"/>
      <c r="J179" s="3"/>
      <c r="K179" s="3"/>
      <c r="L179" s="289"/>
      <c r="M179" s="3"/>
      <c r="N179" s="3"/>
      <c r="O179" s="3"/>
      <c r="P179" s="3"/>
      <c r="Q179" s="3"/>
      <c r="R179" s="3"/>
      <c r="S179" s="376"/>
      <c r="T179" s="418">
        <f t="shared" si="32"/>
        <v>153</v>
      </c>
      <c r="U179" s="376"/>
      <c r="V179" s="370">
        <f t="shared" si="31"/>
        <v>2.1850796081014121E-2</v>
      </c>
      <c r="W179" s="289"/>
      <c r="X179" s="370">
        <f t="shared" si="23"/>
        <v>6.4658591384075259E-2</v>
      </c>
      <c r="Y179" s="429"/>
      <c r="Z179" s="421">
        <f t="shared" si="24"/>
        <v>0.105181973064294</v>
      </c>
      <c r="AA179" s="429"/>
      <c r="AB179" s="421">
        <f t="shared" si="25"/>
        <v>0.10779277499042356</v>
      </c>
      <c r="AC179" s="430"/>
      <c r="AD179" s="424">
        <f t="shared" si="26"/>
        <v>4.5032431454829602E-2</v>
      </c>
      <c r="AE179" s="431"/>
      <c r="AF179" s="421">
        <f t="shared" si="27"/>
        <v>0.28345072543988964</v>
      </c>
      <c r="AG179" s="421">
        <f t="shared" si="28"/>
        <v>2.3884830435823119</v>
      </c>
      <c r="AH179" s="426">
        <f t="shared" si="29"/>
        <v>4.4197040777069051E-3</v>
      </c>
      <c r="AI179" s="421">
        <f t="shared" si="30"/>
        <v>0.2034040693323089</v>
      </c>
      <c r="AJ179" s="325"/>
      <c r="AK179" s="325"/>
      <c r="AL179" s="325"/>
      <c r="AM179" s="325"/>
      <c r="AN179" s="325"/>
      <c r="AO179" s="325"/>
      <c r="AP179" s="325"/>
      <c r="AQ179" s="325"/>
      <c r="AR179" s="325"/>
      <c r="AS179" s="325"/>
      <c r="AT179" s="325"/>
      <c r="AU179" s="325"/>
      <c r="AV179" s="325"/>
      <c r="AW179" s="325"/>
      <c r="AX179" s="325"/>
      <c r="AY179" s="325"/>
      <c r="AZ179" s="325"/>
      <c r="BA179" s="325"/>
      <c r="BB179" s="325"/>
      <c r="BC179" s="325"/>
      <c r="BD179" s="325"/>
      <c r="BE179" s="325"/>
      <c r="BF179" s="325"/>
      <c r="BG179" s="325"/>
      <c r="BH179" s="325"/>
      <c r="BI179" s="325"/>
      <c r="BJ179" s="325"/>
      <c r="BK179" s="325"/>
      <c r="BL179" s="325"/>
      <c r="BM179" s="325"/>
      <c r="BN179" s="325"/>
      <c r="BO179" s="325"/>
      <c r="BP179" s="325"/>
      <c r="BQ179" s="325"/>
    </row>
    <row r="180" spans="1:69" ht="14.25" customHeight="1" x14ac:dyDescent="0.2">
      <c r="A180" s="3"/>
      <c r="B180" s="289"/>
      <c r="C180" s="3"/>
      <c r="D180" s="3"/>
      <c r="E180" s="3"/>
      <c r="F180" s="3"/>
      <c r="G180" s="289"/>
      <c r="H180" s="3"/>
      <c r="I180" s="3"/>
      <c r="J180" s="3"/>
      <c r="K180" s="3"/>
      <c r="L180" s="289"/>
      <c r="M180" s="3"/>
      <c r="N180" s="3"/>
      <c r="O180" s="3"/>
      <c r="P180" s="3"/>
      <c r="Q180" s="3"/>
      <c r="R180" s="3"/>
      <c r="S180" s="376"/>
      <c r="T180" s="418">
        <f t="shared" si="32"/>
        <v>154</v>
      </c>
      <c r="U180" s="376"/>
      <c r="V180" s="370">
        <f t="shared" si="31"/>
        <v>2.1311504442164866E-2</v>
      </c>
      <c r="W180" s="289"/>
      <c r="X180" s="370">
        <f t="shared" si="23"/>
        <v>6.3774848399351186E-2</v>
      </c>
      <c r="Y180" s="429"/>
      <c r="Z180" s="421">
        <f t="shared" si="24"/>
        <v>0.10440897149717365</v>
      </c>
      <c r="AA180" s="429"/>
      <c r="AB180" s="421">
        <f t="shared" si="25"/>
        <v>0.10712640245014458</v>
      </c>
      <c r="AC180" s="430"/>
      <c r="AD180" s="424">
        <f t="shared" si="26"/>
        <v>4.4220483633737206E-2</v>
      </c>
      <c r="AE180" s="431"/>
      <c r="AF180" s="421">
        <f t="shared" si="27"/>
        <v>0.28342181483001733</v>
      </c>
      <c r="AG180" s="421">
        <f t="shared" si="28"/>
        <v>2.3936072683497978</v>
      </c>
      <c r="AH180" s="426">
        <f t="shared" si="29"/>
        <v>4.3794663234846881E-3</v>
      </c>
      <c r="AI180" s="421">
        <f t="shared" si="30"/>
        <v>0.20282288323501202</v>
      </c>
      <c r="AJ180" s="325"/>
      <c r="AK180" s="325"/>
      <c r="AL180" s="325"/>
      <c r="AM180" s="325"/>
      <c r="AN180" s="325"/>
      <c r="AO180" s="325"/>
      <c r="AP180" s="325"/>
      <c r="AQ180" s="325"/>
      <c r="AR180" s="325"/>
      <c r="AS180" s="325"/>
      <c r="AT180" s="325"/>
      <c r="AU180" s="325"/>
      <c r="AV180" s="325"/>
      <c r="AW180" s="325"/>
      <c r="AX180" s="325"/>
      <c r="AY180" s="325"/>
      <c r="AZ180" s="325"/>
      <c r="BA180" s="325"/>
      <c r="BB180" s="325"/>
      <c r="BC180" s="325"/>
      <c r="BD180" s="325"/>
      <c r="BE180" s="325"/>
      <c r="BF180" s="325"/>
      <c r="BG180" s="325"/>
      <c r="BH180" s="325"/>
      <c r="BI180" s="325"/>
      <c r="BJ180" s="325"/>
      <c r="BK180" s="325"/>
      <c r="BL180" s="325"/>
      <c r="BM180" s="325"/>
      <c r="BN180" s="325"/>
      <c r="BO180" s="325"/>
      <c r="BP180" s="325"/>
      <c r="BQ180" s="325"/>
    </row>
    <row r="181" spans="1:69" ht="14.25" customHeight="1" x14ac:dyDescent="0.2">
      <c r="A181" s="3"/>
      <c r="B181" s="289"/>
      <c r="C181" s="3"/>
      <c r="D181" s="3"/>
      <c r="E181" s="3"/>
      <c r="F181" s="3"/>
      <c r="G181" s="289"/>
      <c r="H181" s="3"/>
      <c r="I181" s="3"/>
      <c r="J181" s="3"/>
      <c r="K181" s="3"/>
      <c r="L181" s="289"/>
      <c r="M181" s="3"/>
      <c r="N181" s="3"/>
      <c r="O181" s="3"/>
      <c r="P181" s="3"/>
      <c r="Q181" s="3"/>
      <c r="R181" s="3"/>
      <c r="S181" s="376"/>
      <c r="T181" s="418">
        <f t="shared" si="32"/>
        <v>155</v>
      </c>
      <c r="U181" s="376"/>
      <c r="V181" s="370">
        <f t="shared" si="31"/>
        <v>2.078552286628331E-2</v>
      </c>
      <c r="W181" s="289"/>
      <c r="X181" s="370">
        <f t="shared" si="23"/>
        <v>6.2904479429897117E-2</v>
      </c>
      <c r="Y181" s="429"/>
      <c r="Z181" s="421">
        <f t="shared" si="24"/>
        <v>0.10364505811587832</v>
      </c>
      <c r="AA181" s="429"/>
      <c r="AB181" s="421">
        <f t="shared" si="25"/>
        <v>0.10646793584935409</v>
      </c>
      <c r="AC181" s="430"/>
      <c r="AD181" s="424">
        <f t="shared" si="26"/>
        <v>4.3423461504544347E-2</v>
      </c>
      <c r="AE181" s="431"/>
      <c r="AF181" s="421">
        <f t="shared" si="27"/>
        <v>0.28339405472230939</v>
      </c>
      <c r="AG181" s="421">
        <f t="shared" si="28"/>
        <v>2.3986983263816022</v>
      </c>
      <c r="AH181" s="426">
        <f t="shared" si="29"/>
        <v>4.3398517993089511E-3</v>
      </c>
      <c r="AI181" s="421">
        <f t="shared" si="30"/>
        <v>0.20224708595131366</v>
      </c>
      <c r="AJ181" s="325"/>
      <c r="AK181" s="325"/>
      <c r="AL181" s="325"/>
      <c r="AM181" s="325"/>
      <c r="AN181" s="325"/>
      <c r="AO181" s="325"/>
      <c r="AP181" s="325"/>
      <c r="AQ181" s="325"/>
      <c r="AR181" s="325"/>
      <c r="AS181" s="325"/>
      <c r="AT181" s="325"/>
      <c r="AU181" s="325"/>
      <c r="AV181" s="325"/>
      <c r="AW181" s="325"/>
      <c r="AX181" s="325"/>
      <c r="AY181" s="325"/>
      <c r="AZ181" s="325"/>
      <c r="BA181" s="325"/>
      <c r="BB181" s="325"/>
      <c r="BC181" s="325"/>
      <c r="BD181" s="325"/>
      <c r="BE181" s="325"/>
      <c r="BF181" s="325"/>
      <c r="BG181" s="325"/>
      <c r="BH181" s="325"/>
      <c r="BI181" s="325"/>
      <c r="BJ181" s="325"/>
      <c r="BK181" s="325"/>
      <c r="BL181" s="325"/>
      <c r="BM181" s="325"/>
      <c r="BN181" s="325"/>
      <c r="BO181" s="325"/>
      <c r="BP181" s="325"/>
      <c r="BQ181" s="325"/>
    </row>
    <row r="182" spans="1:69" ht="14.25" customHeight="1" x14ac:dyDescent="0.2">
      <c r="A182" s="3"/>
      <c r="B182" s="289"/>
      <c r="C182" s="3"/>
      <c r="D182" s="3"/>
      <c r="E182" s="3"/>
      <c r="F182" s="3"/>
      <c r="G182" s="289"/>
      <c r="H182" s="3"/>
      <c r="I182" s="3"/>
      <c r="J182" s="3"/>
      <c r="K182" s="3"/>
      <c r="L182" s="289"/>
      <c r="M182" s="3"/>
      <c r="N182" s="3"/>
      <c r="O182" s="3"/>
      <c r="P182" s="3"/>
      <c r="Q182" s="3"/>
      <c r="R182" s="3"/>
      <c r="S182" s="376"/>
      <c r="T182" s="418">
        <f t="shared" si="32"/>
        <v>156</v>
      </c>
      <c r="U182" s="376"/>
      <c r="V182" s="370">
        <f t="shared" si="31"/>
        <v>2.0272522852492675E-2</v>
      </c>
      <c r="W182" s="289"/>
      <c r="X182" s="370">
        <f t="shared" si="23"/>
        <v>6.204725622158317E-2</v>
      </c>
      <c r="Y182" s="429"/>
      <c r="Z182" s="421">
        <f t="shared" si="24"/>
        <v>0.10289008192779181</v>
      </c>
      <c r="AA182" s="429"/>
      <c r="AB182" s="421">
        <f t="shared" si="25"/>
        <v>0.10581723718339235</v>
      </c>
      <c r="AC182" s="430"/>
      <c r="AD182" s="424">
        <f t="shared" si="26"/>
        <v>4.2641082583913636E-2</v>
      </c>
      <c r="AE182" s="431"/>
      <c r="AF182" s="421">
        <f t="shared" si="27"/>
        <v>0.28336739922656129</v>
      </c>
      <c r="AG182" s="421">
        <f t="shared" si="28"/>
        <v>2.4037566442639742</v>
      </c>
      <c r="AH182" s="426">
        <f t="shared" si="29"/>
        <v>4.3008469240998536E-3</v>
      </c>
      <c r="AI182" s="421">
        <f t="shared" si="30"/>
        <v>0.20167659343447575</v>
      </c>
      <c r="AJ182" s="325"/>
      <c r="AK182" s="325"/>
      <c r="AL182" s="325"/>
      <c r="AM182" s="325"/>
      <c r="AN182" s="325"/>
      <c r="AO182" s="325"/>
      <c r="AP182" s="325"/>
      <c r="AQ182" s="325"/>
      <c r="AR182" s="325"/>
      <c r="AS182" s="325"/>
      <c r="AT182" s="325"/>
      <c r="AU182" s="325"/>
      <c r="AV182" s="325"/>
      <c r="AW182" s="325"/>
      <c r="AX182" s="325"/>
      <c r="AY182" s="325"/>
      <c r="AZ182" s="325"/>
      <c r="BA182" s="325"/>
      <c r="BB182" s="325"/>
      <c r="BC182" s="325"/>
      <c r="BD182" s="325"/>
      <c r="BE182" s="325"/>
      <c r="BF182" s="325"/>
      <c r="BG182" s="325"/>
      <c r="BH182" s="325"/>
      <c r="BI182" s="325"/>
      <c r="BJ182" s="325"/>
      <c r="BK182" s="325"/>
      <c r="BL182" s="325"/>
      <c r="BM182" s="325"/>
      <c r="BN182" s="325"/>
      <c r="BO182" s="325"/>
      <c r="BP182" s="325"/>
      <c r="BQ182" s="325"/>
    </row>
    <row r="183" spans="1:69" ht="14.25" customHeight="1" x14ac:dyDescent="0.2">
      <c r="A183" s="3"/>
      <c r="B183" s="289"/>
      <c r="C183" s="3"/>
      <c r="D183" s="3"/>
      <c r="E183" s="3"/>
      <c r="F183" s="3"/>
      <c r="G183" s="289"/>
      <c r="H183" s="3"/>
      <c r="I183" s="3"/>
      <c r="J183" s="3"/>
      <c r="K183" s="3"/>
      <c r="L183" s="289"/>
      <c r="M183" s="3"/>
      <c r="N183" s="3"/>
      <c r="O183" s="3"/>
      <c r="P183" s="3"/>
      <c r="Q183" s="3"/>
      <c r="R183" s="3"/>
      <c r="S183" s="376"/>
      <c r="T183" s="418">
        <f t="shared" si="32"/>
        <v>157</v>
      </c>
      <c r="U183" s="376"/>
      <c r="V183" s="370">
        <f t="shared" si="31"/>
        <v>1.977218400752816E-2</v>
      </c>
      <c r="W183" s="289"/>
      <c r="X183" s="370">
        <f t="shared" si="23"/>
        <v>6.1202954996424024E-2</v>
      </c>
      <c r="Y183" s="429"/>
      <c r="Z183" s="421">
        <f t="shared" si="24"/>
        <v>0.10214389522019451</v>
      </c>
      <c r="AA183" s="429"/>
      <c r="AB183" s="421">
        <f t="shared" si="25"/>
        <v>0.10517417161681678</v>
      </c>
      <c r="AC183" s="430"/>
      <c r="AD183" s="424">
        <f t="shared" si="26"/>
        <v>4.1873069981298139E-2</v>
      </c>
      <c r="AE183" s="431"/>
      <c r="AF183" s="421">
        <f t="shared" si="27"/>
        <v>0.28334180429122779</v>
      </c>
      <c r="AG183" s="421">
        <f t="shared" si="28"/>
        <v>2.4087826404056782</v>
      </c>
      <c r="AH183" s="426">
        <f t="shared" si="29"/>
        <v>4.2624384972377556E-3</v>
      </c>
      <c r="AI183" s="421">
        <f t="shared" si="30"/>
        <v>0.20111132347286928</v>
      </c>
      <c r="AJ183" s="325"/>
      <c r="AK183" s="325"/>
      <c r="AL183" s="325"/>
      <c r="AM183" s="325"/>
      <c r="AN183" s="325"/>
      <c r="AO183" s="325"/>
      <c r="AP183" s="325"/>
      <c r="AQ183" s="325"/>
      <c r="AR183" s="325"/>
      <c r="AS183" s="325"/>
      <c r="AT183" s="325"/>
      <c r="AU183" s="325"/>
      <c r="AV183" s="325"/>
      <c r="AW183" s="325"/>
      <c r="AX183" s="325"/>
      <c r="AY183" s="325"/>
      <c r="AZ183" s="325"/>
      <c r="BA183" s="325"/>
      <c r="BB183" s="325"/>
      <c r="BC183" s="325"/>
      <c r="BD183" s="325"/>
      <c r="BE183" s="325"/>
      <c r="BF183" s="325"/>
      <c r="BG183" s="325"/>
      <c r="BH183" s="325"/>
      <c r="BI183" s="325"/>
      <c r="BJ183" s="325"/>
      <c r="BK183" s="325"/>
      <c r="BL183" s="325"/>
      <c r="BM183" s="325"/>
      <c r="BN183" s="325"/>
      <c r="BO183" s="325"/>
      <c r="BP183" s="325"/>
      <c r="BQ183" s="325"/>
    </row>
    <row r="184" spans="1:69" ht="14.25" customHeight="1" x14ac:dyDescent="0.2">
      <c r="A184" s="3"/>
      <c r="B184" s="289"/>
      <c r="C184" s="3"/>
      <c r="D184" s="3"/>
      <c r="E184" s="3"/>
      <c r="F184" s="3"/>
      <c r="G184" s="289"/>
      <c r="H184" s="3"/>
      <c r="I184" s="3"/>
      <c r="J184" s="3"/>
      <c r="K184" s="3"/>
      <c r="L184" s="289"/>
      <c r="M184" s="3"/>
      <c r="N184" s="3"/>
      <c r="O184" s="3"/>
      <c r="P184" s="3"/>
      <c r="Q184" s="3"/>
      <c r="R184" s="3"/>
      <c r="S184" s="376"/>
      <c r="T184" s="418">
        <f t="shared" si="32"/>
        <v>158</v>
      </c>
      <c r="U184" s="376"/>
      <c r="V184" s="370">
        <f t="shared" si="31"/>
        <v>1.9284193845635896E-2</v>
      </c>
      <c r="W184" s="289"/>
      <c r="X184" s="370">
        <f t="shared" si="23"/>
        <v>6.0371356350139578E-2</v>
      </c>
      <c r="Y184" s="429"/>
      <c r="Z184" s="421">
        <f t="shared" si="24"/>
        <v>0.10140635347180593</v>
      </c>
      <c r="AA184" s="429"/>
      <c r="AB184" s="421">
        <f t="shared" si="25"/>
        <v>0.10453860739341339</v>
      </c>
      <c r="AC184" s="430"/>
      <c r="AD184" s="424">
        <f t="shared" si="26"/>
        <v>4.1119152280150506E-2</v>
      </c>
      <c r="AE184" s="431"/>
      <c r="AF184" s="421">
        <f t="shared" si="27"/>
        <v>0.28331722762911488</v>
      </c>
      <c r="AG184" s="421">
        <f t="shared" si="28"/>
        <v>2.4137767252456794</v>
      </c>
      <c r="AH184" s="426">
        <f t="shared" si="29"/>
        <v>4.2246136855675145E-3</v>
      </c>
      <c r="AI184" s="421">
        <f t="shared" si="30"/>
        <v>0.20055119563861271</v>
      </c>
      <c r="AJ184" s="325"/>
      <c r="AK184" s="325"/>
      <c r="AL184" s="325"/>
      <c r="AM184" s="325"/>
      <c r="AN184" s="325"/>
      <c r="AO184" s="325"/>
      <c r="AP184" s="325"/>
      <c r="AQ184" s="325"/>
      <c r="AR184" s="325"/>
      <c r="AS184" s="325"/>
      <c r="AT184" s="325"/>
      <c r="AU184" s="325"/>
      <c r="AV184" s="325"/>
      <c r="AW184" s="325"/>
      <c r="AX184" s="325"/>
      <c r="AY184" s="325"/>
      <c r="AZ184" s="325"/>
      <c r="BA184" s="325"/>
      <c r="BB184" s="325"/>
      <c r="BC184" s="325"/>
      <c r="BD184" s="325"/>
      <c r="BE184" s="325"/>
      <c r="BF184" s="325"/>
      <c r="BG184" s="325"/>
      <c r="BH184" s="325"/>
      <c r="BI184" s="325"/>
      <c r="BJ184" s="325"/>
      <c r="BK184" s="325"/>
      <c r="BL184" s="325"/>
      <c r="BM184" s="325"/>
      <c r="BN184" s="325"/>
      <c r="BO184" s="325"/>
      <c r="BP184" s="325"/>
      <c r="BQ184" s="325"/>
    </row>
    <row r="185" spans="1:69" ht="14.25" customHeight="1" x14ac:dyDescent="0.2">
      <c r="A185" s="3"/>
      <c r="B185" s="289"/>
      <c r="C185" s="3"/>
      <c r="D185" s="3"/>
      <c r="E185" s="3"/>
      <c r="F185" s="3"/>
      <c r="G185" s="289"/>
      <c r="H185" s="3"/>
      <c r="I185" s="3"/>
      <c r="J185" s="3"/>
      <c r="K185" s="3"/>
      <c r="L185" s="289"/>
      <c r="M185" s="3"/>
      <c r="N185" s="3"/>
      <c r="O185" s="3"/>
      <c r="P185" s="3"/>
      <c r="Q185" s="3"/>
      <c r="R185" s="3"/>
      <c r="S185" s="376"/>
      <c r="T185" s="418">
        <f t="shared" si="32"/>
        <v>159</v>
      </c>
      <c r="U185" s="376"/>
      <c r="V185" s="370">
        <f t="shared" si="31"/>
        <v>1.8808247593410512E-2</v>
      </c>
      <c r="W185" s="289"/>
      <c r="X185" s="370">
        <f t="shared" si="23"/>
        <v>5.9552245152475064E-2</v>
      </c>
      <c r="Y185" s="429"/>
      <c r="Z185" s="421">
        <f t="shared" si="24"/>
        <v>0.10067731526718326</v>
      </c>
      <c r="AA185" s="429"/>
      <c r="AB185" s="421">
        <f t="shared" si="25"/>
        <v>0.1039104157492446</v>
      </c>
      <c r="AC185" s="430"/>
      <c r="AD185" s="424">
        <f t="shared" si="26"/>
        <v>4.0379063421934092E-2</v>
      </c>
      <c r="AE185" s="431"/>
      <c r="AF185" s="421">
        <f t="shared" si="27"/>
        <v>0.28329362864612417</v>
      </c>
      <c r="AG185" s="421">
        <f t="shared" si="28"/>
        <v>2.4187393014542775</v>
      </c>
      <c r="AH185" s="426">
        <f t="shared" si="29"/>
        <v>4.1873600109255229E-3</v>
      </c>
      <c r="AI185" s="421">
        <f t="shared" si="30"/>
        <v>0.19999613123795965</v>
      </c>
      <c r="AJ185" s="325"/>
      <c r="AK185" s="325"/>
      <c r="AL185" s="325"/>
      <c r="AM185" s="325"/>
      <c r="AN185" s="325"/>
      <c r="AO185" s="325"/>
      <c r="AP185" s="325"/>
      <c r="AQ185" s="325"/>
      <c r="AR185" s="325"/>
      <c r="AS185" s="325"/>
      <c r="AT185" s="325"/>
      <c r="AU185" s="325"/>
      <c r="AV185" s="325"/>
      <c r="AW185" s="325"/>
      <c r="AX185" s="325"/>
      <c r="AY185" s="325"/>
      <c r="AZ185" s="325"/>
      <c r="BA185" s="325"/>
      <c r="BB185" s="325"/>
      <c r="BC185" s="325"/>
      <c r="BD185" s="325"/>
      <c r="BE185" s="325"/>
      <c r="BF185" s="325"/>
      <c r="BG185" s="325"/>
      <c r="BH185" s="325"/>
      <c r="BI185" s="325"/>
      <c r="BJ185" s="325"/>
      <c r="BK185" s="325"/>
      <c r="BL185" s="325"/>
      <c r="BM185" s="325"/>
      <c r="BN185" s="325"/>
      <c r="BO185" s="325"/>
      <c r="BP185" s="325"/>
      <c r="BQ185" s="325"/>
    </row>
    <row r="186" spans="1:69" ht="14.25" customHeight="1" x14ac:dyDescent="0.2">
      <c r="A186" s="3"/>
      <c r="B186" s="289"/>
      <c r="C186" s="3"/>
      <c r="D186" s="3"/>
      <c r="E186" s="3"/>
      <c r="F186" s="3"/>
      <c r="G186" s="289"/>
      <c r="H186" s="3"/>
      <c r="I186" s="3"/>
      <c r="J186" s="3"/>
      <c r="K186" s="3"/>
      <c r="L186" s="289"/>
      <c r="M186" s="3"/>
      <c r="N186" s="3"/>
      <c r="O186" s="3"/>
      <c r="P186" s="3"/>
      <c r="Q186" s="3"/>
      <c r="R186" s="3"/>
      <c r="S186" s="376"/>
      <c r="T186" s="418">
        <f t="shared" si="32"/>
        <v>160</v>
      </c>
      <c r="U186" s="376"/>
      <c r="V186" s="370">
        <f t="shared" si="31"/>
        <v>1.8344047999449442E-2</v>
      </c>
      <c r="W186" s="289"/>
      <c r="X186" s="370">
        <f t="shared" si="23"/>
        <v>5.874541045019329E-2</v>
      </c>
      <c r="Y186" s="429"/>
      <c r="Z186" s="421">
        <f t="shared" si="24"/>
        <v>9.9956642213868463E-2</v>
      </c>
      <c r="AA186" s="429"/>
      <c r="AB186" s="421">
        <f t="shared" si="25"/>
        <v>0.10328947082861603</v>
      </c>
      <c r="AC186" s="430"/>
      <c r="AD186" s="424">
        <f t="shared" si="26"/>
        <v>3.9652542592867324E-2</v>
      </c>
      <c r="AE186" s="431"/>
      <c r="AF186" s="421">
        <f t="shared" si="27"/>
        <v>0.28327096837292048</v>
      </c>
      <c r="AG186" s="421">
        <f t="shared" si="28"/>
        <v>2.4236707641279369</v>
      </c>
      <c r="AH186" s="426">
        <f t="shared" si="29"/>
        <v>4.1506653381653304E-3</v>
      </c>
      <c r="AI186" s="421">
        <f t="shared" si="30"/>
        <v>0.19944605326336537</v>
      </c>
      <c r="AJ186" s="325"/>
      <c r="AK186" s="325"/>
      <c r="AL186" s="325"/>
      <c r="AM186" s="325"/>
      <c r="AN186" s="325"/>
      <c r="AO186" s="325"/>
      <c r="AP186" s="325"/>
      <c r="AQ186" s="325"/>
      <c r="AR186" s="325"/>
      <c r="AS186" s="325"/>
      <c r="AT186" s="325"/>
      <c r="AU186" s="325"/>
      <c r="AV186" s="325"/>
      <c r="AW186" s="325"/>
      <c r="AX186" s="325"/>
      <c r="AY186" s="325"/>
      <c r="AZ186" s="325"/>
      <c r="BA186" s="325"/>
      <c r="BB186" s="325"/>
      <c r="BC186" s="325"/>
      <c r="BD186" s="325"/>
      <c r="BE186" s="325"/>
      <c r="BF186" s="325"/>
      <c r="BG186" s="325"/>
      <c r="BH186" s="325"/>
      <c r="BI186" s="325"/>
      <c r="BJ186" s="325"/>
      <c r="BK186" s="325"/>
      <c r="BL186" s="325"/>
      <c r="BM186" s="325"/>
      <c r="BN186" s="325"/>
      <c r="BO186" s="325"/>
      <c r="BP186" s="325"/>
      <c r="BQ186" s="325"/>
    </row>
    <row r="187" spans="1:69" ht="14.25" customHeight="1" x14ac:dyDescent="0.2">
      <c r="A187" s="3"/>
      <c r="B187" s="289"/>
      <c r="C187" s="3"/>
      <c r="D187" s="3"/>
      <c r="E187" s="3"/>
      <c r="F187" s="3"/>
      <c r="G187" s="289"/>
      <c r="H187" s="3"/>
      <c r="I187" s="3"/>
      <c r="J187" s="3"/>
      <c r="K187" s="3"/>
      <c r="L187" s="289"/>
      <c r="M187" s="3"/>
      <c r="N187" s="3"/>
      <c r="O187" s="3"/>
      <c r="P187" s="3"/>
      <c r="Q187" s="3"/>
      <c r="R187" s="3"/>
      <c r="S187" s="376"/>
      <c r="T187" s="418">
        <f t="shared" si="32"/>
        <v>161</v>
      </c>
      <c r="U187" s="376"/>
      <c r="V187" s="370">
        <f t="shared" si="31"/>
        <v>1.7891305148705058E-2</v>
      </c>
      <c r="W187" s="289"/>
      <c r="X187" s="370">
        <f t="shared" si="23"/>
        <v>5.7950645372655374E-2</v>
      </c>
      <c r="Y187" s="429"/>
      <c r="Z187" s="421">
        <f t="shared" si="24"/>
        <v>9.9244198862181832E-2</v>
      </c>
      <c r="AA187" s="429"/>
      <c r="AB187" s="421">
        <f t="shared" si="25"/>
        <v>0.10267564960284831</v>
      </c>
      <c r="AC187" s="430"/>
      <c r="AD187" s="424">
        <f t="shared" si="26"/>
        <v>3.8939334113321511E-2</v>
      </c>
      <c r="AE187" s="431"/>
      <c r="AF187" s="421">
        <f t="shared" si="27"/>
        <v>0.28324920939939963</v>
      </c>
      <c r="AG187" s="421">
        <f t="shared" si="28"/>
        <v>2.4285715009780446</v>
      </c>
      <c r="AH187" s="426">
        <f t="shared" si="29"/>
        <v>4.1145178636589775E-3</v>
      </c>
      <c r="AI187" s="421">
        <f t="shared" si="30"/>
        <v>0.19890088634716649</v>
      </c>
      <c r="AJ187" s="325"/>
      <c r="AK187" s="325"/>
      <c r="AL187" s="325"/>
      <c r="AM187" s="325"/>
      <c r="AN187" s="325"/>
      <c r="AO187" s="325"/>
      <c r="AP187" s="325"/>
      <c r="AQ187" s="325"/>
      <c r="AR187" s="325"/>
      <c r="AS187" s="325"/>
      <c r="AT187" s="325"/>
      <c r="AU187" s="325"/>
      <c r="AV187" s="325"/>
      <c r="AW187" s="325"/>
      <c r="AX187" s="325"/>
      <c r="AY187" s="325"/>
      <c r="AZ187" s="325"/>
      <c r="BA187" s="325"/>
      <c r="BB187" s="325"/>
      <c r="BC187" s="325"/>
      <c r="BD187" s="325"/>
      <c r="BE187" s="325"/>
      <c r="BF187" s="325"/>
      <c r="BG187" s="325"/>
      <c r="BH187" s="325"/>
      <c r="BI187" s="325"/>
      <c r="BJ187" s="325"/>
      <c r="BK187" s="325"/>
      <c r="BL187" s="325"/>
      <c r="BM187" s="325"/>
      <c r="BN187" s="325"/>
      <c r="BO187" s="325"/>
      <c r="BP187" s="325"/>
      <c r="BQ187" s="325"/>
    </row>
    <row r="188" spans="1:69" ht="14.25" customHeight="1" x14ac:dyDescent="0.2">
      <c r="A188" s="3"/>
      <c r="B188" s="289"/>
      <c r="C188" s="3"/>
      <c r="D188" s="3"/>
      <c r="E188" s="3"/>
      <c r="F188" s="3"/>
      <c r="G188" s="289"/>
      <c r="H188" s="3"/>
      <c r="I188" s="3"/>
      <c r="J188" s="3"/>
      <c r="K188" s="3"/>
      <c r="L188" s="289"/>
      <c r="M188" s="3"/>
      <c r="N188" s="3"/>
      <c r="O188" s="3"/>
      <c r="P188" s="3"/>
      <c r="Q188" s="3"/>
      <c r="R188" s="3"/>
      <c r="S188" s="376"/>
      <c r="T188" s="418">
        <f t="shared" si="32"/>
        <v>162</v>
      </c>
      <c r="U188" s="376"/>
      <c r="V188" s="370">
        <f t="shared" si="31"/>
        <v>1.744973628141876E-2</v>
      </c>
      <c r="W188" s="289"/>
      <c r="X188" s="370">
        <f t="shared" si="23"/>
        <v>5.7167747039907485E-2</v>
      </c>
      <c r="Y188" s="429"/>
      <c r="Z188" s="421">
        <f t="shared" si="24"/>
        <v>9.8539852627563596E-2</v>
      </c>
      <c r="AA188" s="429"/>
      <c r="AB188" s="421">
        <f t="shared" si="25"/>
        <v>0.10206883179174579</v>
      </c>
      <c r="AC188" s="430"/>
      <c r="AD188" s="424">
        <f t="shared" si="26"/>
        <v>3.8239187329803359E-2</v>
      </c>
      <c r="AE188" s="431"/>
      <c r="AF188" s="421">
        <f t="shared" si="27"/>
        <v>0.28322831581183855</v>
      </c>
      <c r="AG188" s="421">
        <f t="shared" si="28"/>
        <v>2.4334418925138239</v>
      </c>
      <c r="AH188" s="426">
        <f t="shared" si="29"/>
        <v>4.0789061042522876E-3</v>
      </c>
      <c r="AI188" s="421">
        <f t="shared" si="30"/>
        <v>0.19836055671680958</v>
      </c>
      <c r="AJ188" s="325"/>
      <c r="AK188" s="325"/>
      <c r="AL188" s="325"/>
      <c r="AM188" s="325"/>
      <c r="AN188" s="325"/>
      <c r="AO188" s="325"/>
      <c r="AP188" s="325"/>
      <c r="AQ188" s="325"/>
      <c r="AR188" s="325"/>
      <c r="AS188" s="325"/>
      <c r="AT188" s="325"/>
      <c r="AU188" s="325"/>
      <c r="AV188" s="325"/>
      <c r="AW188" s="325"/>
      <c r="AX188" s="325"/>
      <c r="AY188" s="325"/>
      <c r="AZ188" s="325"/>
      <c r="BA188" s="325"/>
      <c r="BB188" s="325"/>
      <c r="BC188" s="325"/>
      <c r="BD188" s="325"/>
      <c r="BE188" s="325"/>
      <c r="BF188" s="325"/>
      <c r="BG188" s="325"/>
      <c r="BH188" s="325"/>
      <c r="BI188" s="325"/>
      <c r="BJ188" s="325"/>
      <c r="BK188" s="325"/>
      <c r="BL188" s="325"/>
      <c r="BM188" s="325"/>
      <c r="BN188" s="325"/>
      <c r="BO188" s="325"/>
      <c r="BP188" s="325"/>
      <c r="BQ188" s="325"/>
    </row>
    <row r="189" spans="1:69" ht="14.25" customHeight="1" x14ac:dyDescent="0.2">
      <c r="A189" s="3"/>
      <c r="B189" s="289"/>
      <c r="C189" s="3"/>
      <c r="D189" s="3"/>
      <c r="E189" s="3"/>
      <c r="F189" s="3"/>
      <c r="G189" s="289"/>
      <c r="H189" s="3"/>
      <c r="I189" s="3"/>
      <c r="J189" s="3"/>
      <c r="K189" s="3"/>
      <c r="L189" s="289"/>
      <c r="M189" s="3"/>
      <c r="N189" s="3"/>
      <c r="O189" s="3"/>
      <c r="P189" s="3"/>
      <c r="Q189" s="3"/>
      <c r="R189" s="3"/>
      <c r="S189" s="376"/>
      <c r="T189" s="418">
        <f t="shared" si="32"/>
        <v>163</v>
      </c>
      <c r="U189" s="376"/>
      <c r="V189" s="370">
        <f t="shared" si="31"/>
        <v>1.7019065616523842E-2</v>
      </c>
      <c r="W189" s="289"/>
      <c r="X189" s="370">
        <f t="shared" si="23"/>
        <v>5.6396516473196871E-2</v>
      </c>
      <c r="Y189" s="429"/>
      <c r="Z189" s="421">
        <f t="shared" si="24"/>
        <v>9.7843473715366391E-2</v>
      </c>
      <c r="AA189" s="429"/>
      <c r="AB189" s="421">
        <f t="shared" si="25"/>
        <v>0.10146889978765876</v>
      </c>
      <c r="AC189" s="430"/>
      <c r="AD189" s="424">
        <f t="shared" si="26"/>
        <v>3.7551856509448811E-2</v>
      </c>
      <c r="AE189" s="431"/>
      <c r="AF189" s="421">
        <f t="shared" si="27"/>
        <v>0.283208253132614</v>
      </c>
      <c r="AG189" s="421">
        <f t="shared" si="28"/>
        <v>2.4382823122196271</v>
      </c>
      <c r="AH189" s="426">
        <f t="shared" si="29"/>
        <v>4.0438188866534896E-3</v>
      </c>
      <c r="AI189" s="421">
        <f t="shared" si="30"/>
        <v>0.19782499215156546</v>
      </c>
      <c r="AJ189" s="325"/>
      <c r="AK189" s="325"/>
      <c r="AL189" s="325"/>
      <c r="AM189" s="325"/>
      <c r="AN189" s="325"/>
      <c r="AO189" s="325"/>
      <c r="AP189" s="325"/>
      <c r="AQ189" s="325"/>
      <c r="AR189" s="325"/>
      <c r="AS189" s="325"/>
      <c r="AT189" s="325"/>
      <c r="AU189" s="325"/>
      <c r="AV189" s="325"/>
      <c r="AW189" s="325"/>
      <c r="AX189" s="325"/>
      <c r="AY189" s="325"/>
      <c r="AZ189" s="325"/>
      <c r="BA189" s="325"/>
      <c r="BB189" s="325"/>
      <c r="BC189" s="325"/>
      <c r="BD189" s="325"/>
      <c r="BE189" s="325"/>
      <c r="BF189" s="325"/>
      <c r="BG189" s="325"/>
      <c r="BH189" s="325"/>
      <c r="BI189" s="325"/>
      <c r="BJ189" s="325"/>
      <c r="BK189" s="325"/>
      <c r="BL189" s="325"/>
      <c r="BM189" s="325"/>
      <c r="BN189" s="325"/>
      <c r="BO189" s="325"/>
      <c r="BP189" s="325"/>
      <c r="BQ189" s="325"/>
    </row>
    <row r="190" spans="1:69" ht="14.25" customHeight="1" x14ac:dyDescent="0.2">
      <c r="A190" s="3"/>
      <c r="B190" s="289"/>
      <c r="C190" s="3"/>
      <c r="D190" s="3"/>
      <c r="E190" s="3"/>
      <c r="F190" s="3"/>
      <c r="G190" s="289"/>
      <c r="H190" s="3"/>
      <c r="I190" s="3"/>
      <c r="J190" s="3"/>
      <c r="K190" s="3"/>
      <c r="L190" s="289"/>
      <c r="M190" s="3"/>
      <c r="N190" s="3"/>
      <c r="O190" s="3"/>
      <c r="P190" s="3"/>
      <c r="Q190" s="3"/>
      <c r="R190" s="3"/>
      <c r="S190" s="376"/>
      <c r="T190" s="418">
        <f t="shared" si="32"/>
        <v>164</v>
      </c>
      <c r="U190" s="376"/>
      <c r="V190" s="370">
        <f t="shared" si="31"/>
        <v>1.659902417940691E-2</v>
      </c>
      <c r="W190" s="289"/>
      <c r="X190" s="370">
        <f t="shared" si="23"/>
        <v>5.5636758507840944E-2</v>
      </c>
      <c r="Y190" s="429"/>
      <c r="Z190" s="421">
        <f t="shared" si="24"/>
        <v>9.715493504801398E-2</v>
      </c>
      <c r="AA190" s="429"/>
      <c r="AB190" s="421">
        <f t="shared" si="25"/>
        <v>0.10087573858203959</v>
      </c>
      <c r="AC190" s="430"/>
      <c r="AD190" s="424">
        <f t="shared" si="26"/>
        <v>3.6877100736966817E-2</v>
      </c>
      <c r="AE190" s="431"/>
      <c r="AF190" s="421">
        <f t="shared" si="27"/>
        <v>0.28318898826238348</v>
      </c>
      <c r="AG190" s="421">
        <f t="shared" si="28"/>
        <v>2.4430931267267919</v>
      </c>
      <c r="AH190" s="426">
        <f t="shared" si="29"/>
        <v>4.0092453372358146E-3</v>
      </c>
      <c r="AI190" s="421">
        <f t="shared" si="30"/>
        <v>0.19729412194067744</v>
      </c>
      <c r="AJ190" s="325"/>
      <c r="AK190" s="325"/>
      <c r="AL190" s="325"/>
      <c r="AM190" s="325"/>
      <c r="AN190" s="325"/>
      <c r="AO190" s="325"/>
      <c r="AP190" s="325"/>
      <c r="AQ190" s="325"/>
      <c r="AR190" s="325"/>
      <c r="AS190" s="325"/>
      <c r="AT190" s="325"/>
      <c r="AU190" s="325"/>
      <c r="AV190" s="325"/>
      <c r="AW190" s="325"/>
      <c r="AX190" s="325"/>
      <c r="AY190" s="325"/>
      <c r="AZ190" s="325"/>
      <c r="BA190" s="325"/>
      <c r="BB190" s="325"/>
      <c r="BC190" s="325"/>
      <c r="BD190" s="325"/>
      <c r="BE190" s="325"/>
      <c r="BF190" s="325"/>
      <c r="BG190" s="325"/>
      <c r="BH190" s="325"/>
      <c r="BI190" s="325"/>
      <c r="BJ190" s="325"/>
      <c r="BK190" s="325"/>
      <c r="BL190" s="325"/>
      <c r="BM190" s="325"/>
      <c r="BN190" s="325"/>
      <c r="BO190" s="325"/>
      <c r="BP190" s="325"/>
      <c r="BQ190" s="325"/>
    </row>
    <row r="191" spans="1:69" ht="14.25" customHeight="1" x14ac:dyDescent="0.2">
      <c r="A191" s="3"/>
      <c r="B191" s="289"/>
      <c r="C191" s="3"/>
      <c r="D191" s="3"/>
      <c r="E191" s="3"/>
      <c r="F191" s="3"/>
      <c r="G191" s="289"/>
      <c r="H191" s="3"/>
      <c r="I191" s="3"/>
      <c r="J191" s="3"/>
      <c r="K191" s="3"/>
      <c r="L191" s="289"/>
      <c r="M191" s="3"/>
      <c r="N191" s="3"/>
      <c r="O191" s="3"/>
      <c r="P191" s="3"/>
      <c r="Q191" s="3"/>
      <c r="R191" s="3"/>
      <c r="S191" s="376"/>
      <c r="T191" s="418">
        <f t="shared" si="32"/>
        <v>165</v>
      </c>
      <c r="U191" s="376"/>
      <c r="V191" s="370">
        <f t="shared" si="31"/>
        <v>1.6189349633920266E-2</v>
      </c>
      <c r="W191" s="289"/>
      <c r="X191" s="370">
        <f t="shared" si="23"/>
        <v>5.4888281708376764E-2</v>
      </c>
      <c r="Y191" s="429"/>
      <c r="Z191" s="421">
        <f t="shared" si="24"/>
        <v>9.647411219443347E-2</v>
      </c>
      <c r="AA191" s="429"/>
      <c r="AB191" s="421">
        <f t="shared" si="25"/>
        <v>0.10028923569439882</v>
      </c>
      <c r="AC191" s="430"/>
      <c r="AD191" s="424">
        <f t="shared" si="26"/>
        <v>3.6214683813960979E-2</v>
      </c>
      <c r="AE191" s="431"/>
      <c r="AF191" s="421">
        <f t="shared" si="27"/>
        <v>0.28317048942462397</v>
      </c>
      <c r="AG191" s="421">
        <f t="shared" si="28"/>
        <v>2.4478746959802886</v>
      </c>
      <c r="AH191" s="426">
        <f t="shared" si="29"/>
        <v>3.975174872235223E-3</v>
      </c>
      <c r="AI191" s="421">
        <f t="shared" si="30"/>
        <v>0.19676787684287883</v>
      </c>
      <c r="AJ191" s="325"/>
      <c r="AK191" s="325"/>
      <c r="AL191" s="325"/>
      <c r="AM191" s="325"/>
      <c r="AN191" s="325"/>
      <c r="AO191" s="325"/>
      <c r="AP191" s="325"/>
      <c r="AQ191" s="325"/>
      <c r="AR191" s="325"/>
      <c r="AS191" s="325"/>
      <c r="AT191" s="325"/>
      <c r="AU191" s="325"/>
      <c r="AV191" s="325"/>
      <c r="AW191" s="325"/>
      <c r="AX191" s="325"/>
      <c r="AY191" s="325"/>
      <c r="AZ191" s="325"/>
      <c r="BA191" s="325"/>
      <c r="BB191" s="325"/>
      <c r="BC191" s="325"/>
      <c r="BD191" s="325"/>
      <c r="BE191" s="325"/>
      <c r="BF191" s="325"/>
      <c r="BG191" s="325"/>
      <c r="BH191" s="325"/>
      <c r="BI191" s="325"/>
      <c r="BJ191" s="325"/>
      <c r="BK191" s="325"/>
      <c r="BL191" s="325"/>
      <c r="BM191" s="325"/>
      <c r="BN191" s="325"/>
      <c r="BO191" s="325"/>
      <c r="BP191" s="325"/>
      <c r="BQ191" s="325"/>
    </row>
    <row r="192" spans="1:69" ht="14.25" customHeight="1" x14ac:dyDescent="0.2">
      <c r="A192" s="3"/>
      <c r="B192" s="289"/>
      <c r="C192" s="3"/>
      <c r="D192" s="3"/>
      <c r="E192" s="3"/>
      <c r="F192" s="3"/>
      <c r="G192" s="289"/>
      <c r="H192" s="3"/>
      <c r="I192" s="3"/>
      <c r="J192" s="3"/>
      <c r="K192" s="3"/>
      <c r="L192" s="289"/>
      <c r="M192" s="3"/>
      <c r="N192" s="3"/>
      <c r="O192" s="3"/>
      <c r="P192" s="3"/>
      <c r="Q192" s="3"/>
      <c r="R192" s="3"/>
      <c r="S192" s="376"/>
      <c r="T192" s="418">
        <f t="shared" si="32"/>
        <v>166</v>
      </c>
      <c r="U192" s="376"/>
      <c r="V192" s="370">
        <f t="shared" si="31"/>
        <v>1.5789786118540317E-2</v>
      </c>
      <c r="W192" s="289"/>
      <c r="X192" s="370">
        <f t="shared" si="23"/>
        <v>5.4150898285921525E-2</v>
      </c>
      <c r="Y192" s="429"/>
      <c r="Z192" s="421">
        <f t="shared" si="24"/>
        <v>9.5800883301681683E-2</v>
      </c>
      <c r="AA192" s="429"/>
      <c r="AB192" s="421">
        <f t="shared" si="25"/>
        <v>9.9709281103569886E-2</v>
      </c>
      <c r="AC192" s="430"/>
      <c r="AD192" s="424">
        <f t="shared" si="26"/>
        <v>3.5564374160570456E-2</v>
      </c>
      <c r="AE192" s="431"/>
      <c r="AF192" s="421">
        <f t="shared" si="27"/>
        <v>0.28315272611243081</v>
      </c>
      <c r="AG192" s="421">
        <f t="shared" si="28"/>
        <v>2.4526273734003272</v>
      </c>
      <c r="AH192" s="426">
        <f t="shared" si="29"/>
        <v>3.9415971883259059E-3</v>
      </c>
      <c r="AI192" s="421">
        <f t="shared" si="30"/>
        <v>0.19624618904723454</v>
      </c>
      <c r="AJ192" s="325"/>
      <c r="AK192" s="325"/>
      <c r="AL192" s="325"/>
      <c r="AM192" s="325"/>
      <c r="AN192" s="325"/>
      <c r="AO192" s="325"/>
      <c r="AP192" s="325"/>
      <c r="AQ192" s="325"/>
      <c r="AR192" s="325"/>
      <c r="AS192" s="325"/>
      <c r="AT192" s="325"/>
      <c r="AU192" s="325"/>
      <c r="AV192" s="325"/>
      <c r="AW192" s="325"/>
      <c r="AX192" s="325"/>
      <c r="AY192" s="325"/>
      <c r="AZ192" s="325"/>
      <c r="BA192" s="325"/>
      <c r="BB192" s="325"/>
      <c r="BC192" s="325"/>
      <c r="BD192" s="325"/>
      <c r="BE192" s="325"/>
      <c r="BF192" s="325"/>
      <c r="BG192" s="325"/>
      <c r="BH192" s="325"/>
      <c r="BI192" s="325"/>
      <c r="BJ192" s="325"/>
      <c r="BK192" s="325"/>
      <c r="BL192" s="325"/>
      <c r="BM192" s="325"/>
      <c r="BN192" s="325"/>
      <c r="BO192" s="325"/>
      <c r="BP192" s="325"/>
      <c r="BQ192" s="325"/>
    </row>
    <row r="193" spans="1:69" ht="14.25" customHeight="1" x14ac:dyDescent="0.2">
      <c r="A193" s="3"/>
      <c r="B193" s="289"/>
      <c r="C193" s="3"/>
      <c r="D193" s="3"/>
      <c r="E193" s="3"/>
      <c r="F193" s="3"/>
      <c r="G193" s="289"/>
      <c r="H193" s="3"/>
      <c r="I193" s="3"/>
      <c r="J193" s="3"/>
      <c r="K193" s="3"/>
      <c r="L193" s="289"/>
      <c r="M193" s="3"/>
      <c r="N193" s="3"/>
      <c r="O193" s="3"/>
      <c r="P193" s="3"/>
      <c r="Q193" s="3"/>
      <c r="R193" s="3"/>
      <c r="S193" s="376"/>
      <c r="T193" s="418">
        <f t="shared" si="32"/>
        <v>167</v>
      </c>
      <c r="U193" s="376"/>
      <c r="V193" s="370">
        <f t="shared" si="31"/>
        <v>1.5400084086569696E-2</v>
      </c>
      <c r="W193" s="289"/>
      <c r="X193" s="370">
        <f t="shared" si="23"/>
        <v>5.3424424017675998E-2</v>
      </c>
      <c r="Y193" s="429"/>
      <c r="Z193" s="421">
        <f t="shared" si="24"/>
        <v>9.5135129028686594E-2</v>
      </c>
      <c r="AA193" s="429"/>
      <c r="AB193" s="421">
        <f t="shared" si="25"/>
        <v>9.9135767181195683E-2</v>
      </c>
      <c r="AC193" s="430"/>
      <c r="AD193" s="424">
        <f t="shared" si="26"/>
        <v>3.4925944719367941E-2</v>
      </c>
      <c r="AE193" s="431"/>
      <c r="AF193" s="421">
        <f t="shared" si="27"/>
        <v>0.283135669037482</v>
      </c>
      <c r="AG193" s="421">
        <f t="shared" si="28"/>
        <v>2.4573515060391053</v>
      </c>
      <c r="AH193" s="426">
        <f t="shared" si="29"/>
        <v>3.9085022535567584E-3</v>
      </c>
      <c r="AI193" s="421">
        <f t="shared" si="30"/>
        <v>0.1957289921352528</v>
      </c>
      <c r="AJ193" s="325"/>
      <c r="AK193" s="325"/>
      <c r="AL193" s="325"/>
      <c r="AM193" s="325"/>
      <c r="AN193" s="325"/>
      <c r="AO193" s="325"/>
      <c r="AP193" s="325"/>
      <c r="AQ193" s="325"/>
      <c r="AR193" s="325"/>
      <c r="AS193" s="325"/>
      <c r="AT193" s="325"/>
      <c r="AU193" s="325"/>
      <c r="AV193" s="325"/>
      <c r="AW193" s="325"/>
      <c r="AX193" s="325"/>
      <c r="AY193" s="325"/>
      <c r="AZ193" s="325"/>
      <c r="BA193" s="325"/>
      <c r="BB193" s="325"/>
      <c r="BC193" s="325"/>
      <c r="BD193" s="325"/>
      <c r="BE193" s="325"/>
      <c r="BF193" s="325"/>
      <c r="BG193" s="325"/>
      <c r="BH193" s="325"/>
      <c r="BI193" s="325"/>
      <c r="BJ193" s="325"/>
      <c r="BK193" s="325"/>
      <c r="BL193" s="325"/>
      <c r="BM193" s="325"/>
      <c r="BN193" s="325"/>
      <c r="BO193" s="325"/>
      <c r="BP193" s="325"/>
      <c r="BQ193" s="325"/>
    </row>
    <row r="194" spans="1:69" ht="14.25" customHeight="1" x14ac:dyDescent="0.2">
      <c r="A194" s="3"/>
      <c r="B194" s="289"/>
      <c r="C194" s="3"/>
      <c r="D194" s="3"/>
      <c r="E194" s="3"/>
      <c r="F194" s="3"/>
      <c r="G194" s="289"/>
      <c r="H194" s="3"/>
      <c r="I194" s="3"/>
      <c r="J194" s="3"/>
      <c r="K194" s="3"/>
      <c r="L194" s="289"/>
      <c r="M194" s="3"/>
      <c r="N194" s="3"/>
      <c r="O194" s="3"/>
      <c r="P194" s="3"/>
      <c r="Q194" s="3"/>
      <c r="R194" s="3"/>
      <c r="S194" s="376"/>
      <c r="T194" s="418">
        <f t="shared" si="32"/>
        <v>168</v>
      </c>
      <c r="U194" s="376"/>
      <c r="V194" s="370">
        <f t="shared" si="31"/>
        <v>1.5020000150283331E-2</v>
      </c>
      <c r="W194" s="289"/>
      <c r="X194" s="370">
        <f t="shared" si="23"/>
        <v>5.2708678168506051E-2</v>
      </c>
      <c r="Y194" s="429"/>
      <c r="Z194" s="421">
        <f t="shared" si="24"/>
        <v>9.4476732482024484E-2</v>
      </c>
      <c r="AA194" s="429"/>
      <c r="AB194" s="421">
        <f t="shared" si="25"/>
        <v>9.85685886273545E-2</v>
      </c>
      <c r="AC194" s="430"/>
      <c r="AD194" s="424">
        <f t="shared" si="26"/>
        <v>3.4299172861454341E-2</v>
      </c>
      <c r="AE194" s="431"/>
      <c r="AF194" s="421">
        <f t="shared" si="27"/>
        <v>0.28311929008107839</v>
      </c>
      <c r="AG194" s="421">
        <f t="shared" si="28"/>
        <v>2.462047434732888</v>
      </c>
      <c r="AH194" s="426">
        <f t="shared" si="29"/>
        <v>3.8758802986328614E-3</v>
      </c>
      <c r="AI194" s="421">
        <f t="shared" si="30"/>
        <v>0.19521622104421721</v>
      </c>
      <c r="AJ194" s="325"/>
      <c r="AK194" s="325"/>
      <c r="AL194" s="325"/>
      <c r="AM194" s="325"/>
      <c r="AN194" s="325"/>
      <c r="AO194" s="325"/>
      <c r="AP194" s="325"/>
      <c r="AQ194" s="325"/>
      <c r="AR194" s="325"/>
      <c r="AS194" s="325"/>
      <c r="AT194" s="325"/>
      <c r="AU194" s="325"/>
      <c r="AV194" s="325"/>
      <c r="AW194" s="325"/>
      <c r="AX194" s="325"/>
      <c r="AY194" s="325"/>
      <c r="AZ194" s="325"/>
      <c r="BA194" s="325"/>
      <c r="BB194" s="325"/>
      <c r="BC194" s="325"/>
      <c r="BD194" s="325"/>
      <c r="BE194" s="325"/>
      <c r="BF194" s="325"/>
      <c r="BG194" s="325"/>
      <c r="BH194" s="325"/>
      <c r="BI194" s="325"/>
      <c r="BJ194" s="325"/>
      <c r="BK194" s="325"/>
      <c r="BL194" s="325"/>
      <c r="BM194" s="325"/>
      <c r="BN194" s="325"/>
      <c r="BO194" s="325"/>
      <c r="BP194" s="325"/>
      <c r="BQ194" s="325"/>
    </row>
    <row r="195" spans="1:69" ht="14.25" customHeight="1" x14ac:dyDescent="0.2">
      <c r="A195" s="3"/>
      <c r="B195" s="289"/>
      <c r="C195" s="3"/>
      <c r="D195" s="3"/>
      <c r="E195" s="3"/>
      <c r="F195" s="3"/>
      <c r="G195" s="289"/>
      <c r="H195" s="3"/>
      <c r="I195" s="3"/>
      <c r="J195" s="3"/>
      <c r="K195" s="3"/>
      <c r="L195" s="289"/>
      <c r="M195" s="3"/>
      <c r="N195" s="3"/>
      <c r="O195" s="3"/>
      <c r="P195" s="3"/>
      <c r="Q195" s="3"/>
      <c r="R195" s="3"/>
      <c r="S195" s="376"/>
      <c r="T195" s="418">
        <f t="shared" si="32"/>
        <v>169</v>
      </c>
      <c r="U195" s="376"/>
      <c r="V195" s="370">
        <f t="shared" si="31"/>
        <v>1.4649296928921043E-2</v>
      </c>
      <c r="W195" s="289"/>
      <c r="X195" s="370">
        <f t="shared" si="23"/>
        <v>5.2003483414539288E-2</v>
      </c>
      <c r="Y195" s="429"/>
      <c r="Z195" s="421">
        <f t="shared" si="24"/>
        <v>9.382557915366363E-2</v>
      </c>
      <c r="AA195" s="429"/>
      <c r="AB195" s="421">
        <f t="shared" si="25"/>
        <v>9.8007642408244749E-2</v>
      </c>
      <c r="AC195" s="430"/>
      <c r="AD195" s="424">
        <f t="shared" si="26"/>
        <v>3.3683840294693179E-2</v>
      </c>
      <c r="AE195" s="431"/>
      <c r="AF195" s="421">
        <f t="shared" si="27"/>
        <v>0.28310356224717231</v>
      </c>
      <c r="AG195" s="421">
        <f t="shared" si="28"/>
        <v>2.4667154942495664</v>
      </c>
      <c r="AH195" s="426">
        <f t="shared" si="29"/>
        <v>3.8437218085269655E-3</v>
      </c>
      <c r="AI195" s="421">
        <f t="shared" si="30"/>
        <v>0.19470781203169626</v>
      </c>
      <c r="AJ195" s="325"/>
      <c r="AK195" s="325"/>
      <c r="AL195" s="325"/>
      <c r="AM195" s="325"/>
      <c r="AN195" s="325"/>
      <c r="AO195" s="325"/>
      <c r="AP195" s="325"/>
      <c r="AQ195" s="325"/>
      <c r="AR195" s="325"/>
      <c r="AS195" s="325"/>
      <c r="AT195" s="325"/>
      <c r="AU195" s="325"/>
      <c r="AV195" s="325"/>
      <c r="AW195" s="325"/>
      <c r="AX195" s="325"/>
      <c r="AY195" s="325"/>
      <c r="AZ195" s="325"/>
      <c r="BA195" s="325"/>
      <c r="BB195" s="325"/>
      <c r="BC195" s="325"/>
      <c r="BD195" s="325"/>
      <c r="BE195" s="325"/>
      <c r="BF195" s="325"/>
      <c r="BG195" s="325"/>
      <c r="BH195" s="325"/>
      <c r="BI195" s="325"/>
      <c r="BJ195" s="325"/>
      <c r="BK195" s="325"/>
      <c r="BL195" s="325"/>
      <c r="BM195" s="325"/>
      <c r="BN195" s="325"/>
      <c r="BO195" s="325"/>
      <c r="BP195" s="325"/>
      <c r="BQ195" s="325"/>
    </row>
    <row r="196" spans="1:69" ht="14.25" customHeight="1" x14ac:dyDescent="0.2">
      <c r="A196" s="3"/>
      <c r="B196" s="289"/>
      <c r="C196" s="3"/>
      <c r="D196" s="3"/>
      <c r="E196" s="3"/>
      <c r="F196" s="3"/>
      <c r="G196" s="289"/>
      <c r="H196" s="3"/>
      <c r="I196" s="3"/>
      <c r="J196" s="3"/>
      <c r="K196" s="3"/>
      <c r="L196" s="289"/>
      <c r="M196" s="3"/>
      <c r="N196" s="3"/>
      <c r="O196" s="3"/>
      <c r="P196" s="3"/>
      <c r="Q196" s="3"/>
      <c r="R196" s="3"/>
      <c r="S196" s="376"/>
      <c r="T196" s="418">
        <f t="shared" si="32"/>
        <v>170</v>
      </c>
      <c r="U196" s="376"/>
      <c r="V196" s="370">
        <f t="shared" si="31"/>
        <v>1.428774290043182E-2</v>
      </c>
      <c r="W196" s="289"/>
      <c r="X196" s="370">
        <f t="shared" si="23"/>
        <v>5.1308665768716441E-2</v>
      </c>
      <c r="Y196" s="429"/>
      <c r="Z196" s="421">
        <f t="shared" si="24"/>
        <v>9.3181556860602033E-2</v>
      </c>
      <c r="AA196" s="429"/>
      <c r="AB196" s="421">
        <f t="shared" si="25"/>
        <v>9.7452827695853408E-2</v>
      </c>
      <c r="AC196" s="430"/>
      <c r="AD196" s="424">
        <f t="shared" si="26"/>
        <v>3.3079732974030551E-2</v>
      </c>
      <c r="AE196" s="431"/>
      <c r="AF196" s="421">
        <f t="shared" si="27"/>
        <v>0.28308845961730372</v>
      </c>
      <c r="AG196" s="421">
        <f t="shared" si="28"/>
        <v>2.4713560134318673</v>
      </c>
      <c r="AH196" s="426">
        <f t="shared" si="29"/>
        <v>3.8120175144066037E-3</v>
      </c>
      <c r="AI196" s="421">
        <f t="shared" si="30"/>
        <v>0.1942037026411822</v>
      </c>
      <c r="AJ196" s="325"/>
      <c r="AK196" s="325"/>
      <c r="AL196" s="325"/>
      <c r="AM196" s="325"/>
      <c r="AN196" s="325"/>
      <c r="AO196" s="325"/>
      <c r="AP196" s="325"/>
      <c r="AQ196" s="325"/>
      <c r="AR196" s="325"/>
      <c r="AS196" s="325"/>
      <c r="AT196" s="325"/>
      <c r="AU196" s="325"/>
      <c r="AV196" s="325"/>
      <c r="AW196" s="325"/>
      <c r="AX196" s="325"/>
      <c r="AY196" s="325"/>
      <c r="AZ196" s="325"/>
      <c r="BA196" s="325"/>
      <c r="BB196" s="325"/>
      <c r="BC196" s="325"/>
      <c r="BD196" s="325"/>
      <c r="BE196" s="325"/>
      <c r="BF196" s="325"/>
      <c r="BG196" s="325"/>
      <c r="BH196" s="325"/>
      <c r="BI196" s="325"/>
      <c r="BJ196" s="325"/>
      <c r="BK196" s="325"/>
      <c r="BL196" s="325"/>
      <c r="BM196" s="325"/>
      <c r="BN196" s="325"/>
      <c r="BO196" s="325"/>
      <c r="BP196" s="325"/>
      <c r="BQ196" s="325"/>
    </row>
    <row r="197" spans="1:69" ht="14.25" customHeight="1" x14ac:dyDescent="0.2">
      <c r="A197" s="3"/>
      <c r="B197" s="289"/>
      <c r="C197" s="3"/>
      <c r="D197" s="3"/>
      <c r="E197" s="3"/>
      <c r="F197" s="3"/>
      <c r="G197" s="289"/>
      <c r="H197" s="3"/>
      <c r="I197" s="3"/>
      <c r="J197" s="3"/>
      <c r="K197" s="3"/>
      <c r="L197" s="289"/>
      <c r="M197" s="3"/>
      <c r="N197" s="3"/>
      <c r="O197" s="3"/>
      <c r="P197" s="3"/>
      <c r="Q197" s="3"/>
      <c r="R197" s="3"/>
      <c r="S197" s="376"/>
      <c r="T197" s="418">
        <f t="shared" si="32"/>
        <v>171</v>
      </c>
      <c r="U197" s="376"/>
      <c r="V197" s="370">
        <f t="shared" si="31"/>
        <v>1.3935112256877111E-2</v>
      </c>
      <c r="W197" s="289"/>
      <c r="X197" s="370">
        <f t="shared" si="23"/>
        <v>5.0624054508238946E-2</v>
      </c>
      <c r="Y197" s="429"/>
      <c r="Z197" s="421">
        <f t="shared" si="24"/>
        <v>9.2544555686331798E-2</v>
      </c>
      <c r="AA197" s="429"/>
      <c r="AB197" s="421">
        <f t="shared" si="25"/>
        <v>9.6904045809534115E-2</v>
      </c>
      <c r="AC197" s="430"/>
      <c r="AD197" s="424">
        <f t="shared" si="26"/>
        <v>3.2486641013844575E-2</v>
      </c>
      <c r="AE197" s="431"/>
      <c r="AF197" s="421">
        <f t="shared" si="27"/>
        <v>0.28307395730736312</v>
      </c>
      <c r="AG197" s="421">
        <f t="shared" si="28"/>
        <v>2.4759693153363607</v>
      </c>
      <c r="AH197" s="426">
        <f t="shared" si="29"/>
        <v>3.7807583858631604E-3</v>
      </c>
      <c r="AI197" s="421">
        <f t="shared" si="30"/>
        <v>0.19370383166882021</v>
      </c>
      <c r="AJ197" s="325"/>
      <c r="AK197" s="325"/>
      <c r="AL197" s="325"/>
      <c r="AM197" s="325"/>
      <c r="AN197" s="325"/>
      <c r="AO197" s="325"/>
      <c r="AP197" s="325"/>
      <c r="AQ197" s="325"/>
      <c r="AR197" s="325"/>
      <c r="AS197" s="325"/>
      <c r="AT197" s="325"/>
      <c r="AU197" s="325"/>
      <c r="AV197" s="325"/>
      <c r="AW197" s="325"/>
      <c r="AX197" s="325"/>
      <c r="AY197" s="325"/>
      <c r="AZ197" s="325"/>
      <c r="BA197" s="325"/>
      <c r="BB197" s="325"/>
      <c r="BC197" s="325"/>
      <c r="BD197" s="325"/>
      <c r="BE197" s="325"/>
      <c r="BF197" s="325"/>
      <c r="BG197" s="325"/>
      <c r="BH197" s="325"/>
      <c r="BI197" s="325"/>
      <c r="BJ197" s="325"/>
      <c r="BK197" s="325"/>
      <c r="BL197" s="325"/>
      <c r="BM197" s="325"/>
      <c r="BN197" s="325"/>
      <c r="BO197" s="325"/>
      <c r="BP197" s="325"/>
      <c r="BQ197" s="325"/>
    </row>
    <row r="198" spans="1:69" ht="14.25" customHeight="1" x14ac:dyDescent="0.2">
      <c r="A198" s="3"/>
      <c r="B198" s="289"/>
      <c r="C198" s="3"/>
      <c r="D198" s="3"/>
      <c r="E198" s="3"/>
      <c r="F198" s="3"/>
      <c r="G198" s="289"/>
      <c r="H198" s="3"/>
      <c r="I198" s="3"/>
      <c r="J198" s="3"/>
      <c r="K198" s="3"/>
      <c r="L198" s="289"/>
      <c r="M198" s="3"/>
      <c r="N198" s="3"/>
      <c r="O198" s="3"/>
      <c r="P198" s="3"/>
      <c r="Q198" s="3"/>
      <c r="R198" s="3"/>
      <c r="S198" s="376"/>
      <c r="T198" s="418">
        <f t="shared" si="32"/>
        <v>172</v>
      </c>
      <c r="U198" s="376"/>
      <c r="V198" s="370">
        <f t="shared" si="31"/>
        <v>1.3591184763402885E-2</v>
      </c>
      <c r="W198" s="289"/>
      <c r="X198" s="370">
        <f t="shared" si="23"/>
        <v>4.9949482103856128E-2</v>
      </c>
      <c r="Y198" s="429"/>
      <c r="Z198" s="421">
        <f t="shared" si="24"/>
        <v>9.1914467924068211E-2</v>
      </c>
      <c r="AA198" s="429"/>
      <c r="AB198" s="421">
        <f t="shared" si="25"/>
        <v>9.6361200159425522E-2</v>
      </c>
      <c r="AC198" s="430"/>
      <c r="AD198" s="424">
        <f t="shared" si="26"/>
        <v>3.190435860227292E-2</v>
      </c>
      <c r="AE198" s="431"/>
      <c r="AF198" s="421">
        <f t="shared" si="27"/>
        <v>0.28306003142610758</v>
      </c>
      <c r="AG198" s="421">
        <f t="shared" si="28"/>
        <v>2.4805557173684161</v>
      </c>
      <c r="AH198" s="426">
        <f t="shared" si="29"/>
        <v>3.749935623429923E-3</v>
      </c>
      <c r="AI198" s="421">
        <f t="shared" si="30"/>
        <v>0.19320813913118462</v>
      </c>
      <c r="AJ198" s="325"/>
      <c r="AK198" s="325"/>
      <c r="AL198" s="325"/>
      <c r="AM198" s="325"/>
      <c r="AN198" s="325"/>
      <c r="AO198" s="325"/>
      <c r="AP198" s="325"/>
      <c r="AQ198" s="325"/>
      <c r="AR198" s="325"/>
      <c r="AS198" s="325"/>
      <c r="AT198" s="325"/>
      <c r="AU198" s="325"/>
      <c r="AV198" s="325"/>
      <c r="AW198" s="325"/>
      <c r="AX198" s="325"/>
      <c r="AY198" s="325"/>
      <c r="AZ198" s="325"/>
      <c r="BA198" s="325"/>
      <c r="BB198" s="325"/>
      <c r="BC198" s="325"/>
      <c r="BD198" s="325"/>
      <c r="BE198" s="325"/>
      <c r="BF198" s="325"/>
      <c r="BG198" s="325"/>
      <c r="BH198" s="325"/>
      <c r="BI198" s="325"/>
      <c r="BJ198" s="325"/>
      <c r="BK198" s="325"/>
      <c r="BL198" s="325"/>
      <c r="BM198" s="325"/>
      <c r="BN198" s="325"/>
      <c r="BO198" s="325"/>
      <c r="BP198" s="325"/>
      <c r="BQ198" s="325"/>
    </row>
    <row r="199" spans="1:69" ht="14.25" customHeight="1" x14ac:dyDescent="0.2">
      <c r="A199" s="3"/>
      <c r="B199" s="289"/>
      <c r="C199" s="3"/>
      <c r="D199" s="3"/>
      <c r="E199" s="3"/>
      <c r="F199" s="3"/>
      <c r="G199" s="289"/>
      <c r="H199" s="3"/>
      <c r="I199" s="3"/>
      <c r="J199" s="3"/>
      <c r="K199" s="3"/>
      <c r="L199" s="289"/>
      <c r="M199" s="3"/>
      <c r="N199" s="3"/>
      <c r="O199" s="3"/>
      <c r="P199" s="3"/>
      <c r="Q199" s="3"/>
      <c r="R199" s="3"/>
      <c r="S199" s="376"/>
      <c r="T199" s="418">
        <f t="shared" si="32"/>
        <v>173</v>
      </c>
      <c r="U199" s="376"/>
      <c r="V199" s="370">
        <f t="shared" si="31"/>
        <v>1.3255745620692328E-2</v>
      </c>
      <c r="W199" s="289"/>
      <c r="X199" s="370">
        <f t="shared" si="23"/>
        <v>4.9284784150937559E-2</v>
      </c>
      <c r="Y199" s="429"/>
      <c r="Z199" s="421">
        <f t="shared" si="24"/>
        <v>9.1291188021677572E-2</v>
      </c>
      <c r="AA199" s="429"/>
      <c r="AB199" s="421">
        <f t="shared" si="25"/>
        <v>9.5824196191643063E-2</v>
      </c>
      <c r="AC199" s="430"/>
      <c r="AD199" s="424">
        <f t="shared" si="26"/>
        <v>3.1332683917468018E-2</v>
      </c>
      <c r="AE199" s="431"/>
      <c r="AF199" s="421">
        <f t="shared" si="27"/>
        <v>0.28304665903535586</v>
      </c>
      <c r="AG199" s="421">
        <f t="shared" si="28"/>
        <v>2.4851155314132503</v>
      </c>
      <c r="AH199" s="426">
        <f t="shared" si="29"/>
        <v>3.7195406513767433E-3</v>
      </c>
      <c r="AI199" s="421">
        <f t="shared" si="30"/>
        <v>0.19271656623406538</v>
      </c>
      <c r="AJ199" s="325"/>
      <c r="AK199" s="325"/>
      <c r="AL199" s="325"/>
      <c r="AM199" s="325"/>
      <c r="AN199" s="325"/>
      <c r="AO199" s="325"/>
      <c r="AP199" s="325"/>
      <c r="AQ199" s="325"/>
      <c r="AR199" s="325"/>
      <c r="AS199" s="325"/>
      <c r="AT199" s="325"/>
      <c r="AU199" s="325"/>
      <c r="AV199" s="325"/>
      <c r="AW199" s="325"/>
      <c r="AX199" s="325"/>
      <c r="AY199" s="325"/>
      <c r="AZ199" s="325"/>
      <c r="BA199" s="325"/>
      <c r="BB199" s="325"/>
      <c r="BC199" s="325"/>
      <c r="BD199" s="325"/>
      <c r="BE199" s="325"/>
      <c r="BF199" s="325"/>
      <c r="BG199" s="325"/>
      <c r="BH199" s="325"/>
      <c r="BI199" s="325"/>
      <c r="BJ199" s="325"/>
      <c r="BK199" s="325"/>
      <c r="BL199" s="325"/>
      <c r="BM199" s="325"/>
      <c r="BN199" s="325"/>
      <c r="BO199" s="325"/>
      <c r="BP199" s="325"/>
      <c r="BQ199" s="325"/>
    </row>
    <row r="200" spans="1:69" ht="14.25" customHeight="1" x14ac:dyDescent="0.2">
      <c r="A200" s="3"/>
      <c r="B200" s="289"/>
      <c r="C200" s="3"/>
      <c r="D200" s="3"/>
      <c r="E200" s="3"/>
      <c r="F200" s="3"/>
      <c r="G200" s="289"/>
      <c r="H200" s="3"/>
      <c r="I200" s="3"/>
      <c r="J200" s="3"/>
      <c r="K200" s="3"/>
      <c r="L200" s="289"/>
      <c r="M200" s="3"/>
      <c r="N200" s="3"/>
      <c r="O200" s="3"/>
      <c r="P200" s="3"/>
      <c r="Q200" s="3"/>
      <c r="R200" s="3"/>
      <c r="S200" s="376"/>
      <c r="T200" s="418">
        <f t="shared" si="32"/>
        <v>174</v>
      </c>
      <c r="U200" s="376"/>
      <c r="V200" s="370">
        <f t="shared" si="31"/>
        <v>1.2928585330813305E-2</v>
      </c>
      <c r="W200" s="289"/>
      <c r="X200" s="370">
        <f t="shared" si="23"/>
        <v>4.8629799302278197E-2</v>
      </c>
      <c r="Y200" s="429"/>
      <c r="Z200" s="421">
        <f t="shared" si="24"/>
        <v>9.0674612528250043E-2</v>
      </c>
      <c r="AA200" s="429"/>
      <c r="AB200" s="421">
        <f t="shared" si="25"/>
        <v>9.5292941335178891E-2</v>
      </c>
      <c r="AC200" s="430"/>
      <c r="AD200" s="424">
        <f t="shared" si="26"/>
        <v>3.0771419045730664E-2</v>
      </c>
      <c r="AE200" s="431"/>
      <c r="AF200" s="421">
        <f t="shared" si="27"/>
        <v>0.28303381811179407</v>
      </c>
      <c r="AG200" s="421">
        <f t="shared" si="28"/>
        <v>2.4896490639631876</v>
      </c>
      <c r="AH200" s="426">
        <f t="shared" si="29"/>
        <v>3.6895651107696401E-3</v>
      </c>
      <c r="AI200" s="421">
        <f t="shared" si="30"/>
        <v>0.19222905534222579</v>
      </c>
      <c r="AJ200" s="325"/>
      <c r="AK200" s="325"/>
      <c r="AL200" s="325"/>
      <c r="AM200" s="325"/>
      <c r="AN200" s="325"/>
      <c r="AO200" s="325"/>
      <c r="AP200" s="325"/>
      <c r="AQ200" s="325"/>
      <c r="AR200" s="325"/>
      <c r="AS200" s="325"/>
      <c r="AT200" s="325"/>
      <c r="AU200" s="325"/>
      <c r="AV200" s="325"/>
      <c r="AW200" s="325"/>
      <c r="AX200" s="325"/>
      <c r="AY200" s="325"/>
      <c r="AZ200" s="325"/>
      <c r="BA200" s="325"/>
      <c r="BB200" s="325"/>
      <c r="BC200" s="325"/>
      <c r="BD200" s="325"/>
      <c r="BE200" s="325"/>
      <c r="BF200" s="325"/>
      <c r="BG200" s="325"/>
      <c r="BH200" s="325"/>
      <c r="BI200" s="325"/>
      <c r="BJ200" s="325"/>
      <c r="BK200" s="325"/>
      <c r="BL200" s="325"/>
      <c r="BM200" s="325"/>
      <c r="BN200" s="325"/>
      <c r="BO200" s="325"/>
      <c r="BP200" s="325"/>
      <c r="BQ200" s="325"/>
    </row>
    <row r="201" spans="1:69" ht="14.25" customHeight="1" x14ac:dyDescent="0.2">
      <c r="A201" s="3"/>
      <c r="B201" s="289"/>
      <c r="C201" s="3"/>
      <c r="D201" s="3"/>
      <c r="E201" s="3"/>
      <c r="F201" s="3"/>
      <c r="G201" s="289"/>
      <c r="H201" s="3"/>
      <c r="I201" s="3"/>
      <c r="J201" s="3"/>
      <c r="K201" s="3"/>
      <c r="L201" s="289"/>
      <c r="M201" s="3"/>
      <c r="N201" s="3"/>
      <c r="O201" s="3"/>
      <c r="P201" s="3"/>
      <c r="Q201" s="3"/>
      <c r="R201" s="3"/>
      <c r="S201" s="376"/>
      <c r="T201" s="418">
        <f t="shared" si="32"/>
        <v>175</v>
      </c>
      <c r="U201" s="376"/>
      <c r="V201" s="370">
        <f t="shared" si="31"/>
        <v>1.2609499566376791E-2</v>
      </c>
      <c r="W201" s="289"/>
      <c r="X201" s="370">
        <f t="shared" si="23"/>
        <v>4.7984369202585177E-2</v>
      </c>
      <c r="Y201" s="429"/>
      <c r="Z201" s="421">
        <f t="shared" si="24"/>
        <v>9.0064640042253008E-2</v>
      </c>
      <c r="AA201" s="429"/>
      <c r="AB201" s="421">
        <f t="shared" si="25"/>
        <v>9.4767344950449403E-2</v>
      </c>
      <c r="AC201" s="430"/>
      <c r="AD201" s="424">
        <f t="shared" si="26"/>
        <v>3.0220369901473365E-2</v>
      </c>
      <c r="AE201" s="431"/>
      <c r="AF201" s="421">
        <f t="shared" si="27"/>
        <v>0.28302148751032591</v>
      </c>
      <c r="AG201" s="421">
        <f t="shared" si="28"/>
        <v>2.4941566162412885</v>
      </c>
      <c r="AH201" s="426">
        <f t="shared" si="29"/>
        <v>3.6600008527839993E-3</v>
      </c>
      <c r="AI201" s="421">
        <f t="shared" si="30"/>
        <v>0.19174554995009732</v>
      </c>
      <c r="AJ201" s="325"/>
      <c r="AK201" s="325"/>
      <c r="AL201" s="325"/>
      <c r="AM201" s="325"/>
      <c r="AN201" s="325"/>
      <c r="AO201" s="325"/>
      <c r="AP201" s="325"/>
      <c r="AQ201" s="325"/>
      <c r="AR201" s="325"/>
      <c r="AS201" s="325"/>
      <c r="AT201" s="325"/>
      <c r="AU201" s="325"/>
      <c r="AV201" s="325"/>
      <c r="AW201" s="325"/>
      <c r="AX201" s="325"/>
      <c r="AY201" s="325"/>
      <c r="AZ201" s="325"/>
      <c r="BA201" s="325"/>
      <c r="BB201" s="325"/>
      <c r="BC201" s="325"/>
      <c r="BD201" s="325"/>
      <c r="BE201" s="325"/>
      <c r="BF201" s="325"/>
      <c r="BG201" s="325"/>
      <c r="BH201" s="325"/>
      <c r="BI201" s="325"/>
      <c r="BJ201" s="325"/>
      <c r="BK201" s="325"/>
      <c r="BL201" s="325"/>
      <c r="BM201" s="325"/>
      <c r="BN201" s="325"/>
      <c r="BO201" s="325"/>
      <c r="BP201" s="325"/>
      <c r="BQ201" s="325"/>
    </row>
    <row r="202" spans="1:69" ht="14.25" customHeight="1" x14ac:dyDescent="0.2">
      <c r="A202" s="3"/>
      <c r="B202" s="289"/>
      <c r="C202" s="3"/>
      <c r="D202" s="3"/>
      <c r="E202" s="3"/>
      <c r="F202" s="3"/>
      <c r="G202" s="289"/>
      <c r="H202" s="3"/>
      <c r="I202" s="3"/>
      <c r="J202" s="3"/>
      <c r="K202" s="3"/>
      <c r="L202" s="289"/>
      <c r="M202" s="3"/>
      <c r="N202" s="3"/>
      <c r="O202" s="3"/>
      <c r="P202" s="3"/>
      <c r="Q202" s="3"/>
      <c r="R202" s="3"/>
      <c r="S202" s="376"/>
      <c r="T202" s="418">
        <f t="shared" si="32"/>
        <v>176</v>
      </c>
      <c r="U202" s="376"/>
      <c r="V202" s="370">
        <f t="shared" si="31"/>
        <v>1.2298289042924562E-2</v>
      </c>
      <c r="W202" s="289"/>
      <c r="X202" s="370">
        <f t="shared" si="23"/>
        <v>4.7348338424597299E-2</v>
      </c>
      <c r="Y202" s="429"/>
      <c r="Z202" s="421">
        <f t="shared" si="24"/>
        <v>8.9461171161218989E-2</v>
      </c>
      <c r="AA202" s="429"/>
      <c r="AB202" s="421">
        <f t="shared" si="25"/>
        <v>9.4247318279430614E-2</v>
      </c>
      <c r="AC202" s="430"/>
      <c r="AD202" s="424">
        <f t="shared" si="26"/>
        <v>2.9679346148969055E-2</v>
      </c>
      <c r="AE202" s="431"/>
      <c r="AF202" s="421">
        <f t="shared" si="27"/>
        <v>0.28300964692890374</v>
      </c>
      <c r="AG202" s="421">
        <f t="shared" si="28"/>
        <v>2.4986384843214431</v>
      </c>
      <c r="AH202" s="426">
        <f t="shared" si="29"/>
        <v>3.6308399322608678E-3</v>
      </c>
      <c r="AI202" s="421">
        <f t="shared" si="30"/>
        <v>0.19126599465337671</v>
      </c>
      <c r="AJ202" s="325"/>
      <c r="AK202" s="325"/>
      <c r="AL202" s="325"/>
      <c r="AM202" s="325"/>
      <c r="AN202" s="325"/>
      <c r="AO202" s="325"/>
      <c r="AP202" s="325"/>
      <c r="AQ202" s="325"/>
      <c r="AR202" s="325"/>
      <c r="AS202" s="325"/>
      <c r="AT202" s="325"/>
      <c r="AU202" s="325"/>
      <c r="AV202" s="325"/>
      <c r="AW202" s="325"/>
      <c r="AX202" s="325"/>
      <c r="AY202" s="325"/>
      <c r="AZ202" s="325"/>
      <c r="BA202" s="325"/>
      <c r="BB202" s="325"/>
      <c r="BC202" s="325"/>
      <c r="BD202" s="325"/>
      <c r="BE202" s="325"/>
      <c r="BF202" s="325"/>
      <c r="BG202" s="325"/>
      <c r="BH202" s="325"/>
      <c r="BI202" s="325"/>
      <c r="BJ202" s="325"/>
      <c r="BK202" s="325"/>
      <c r="BL202" s="325"/>
      <c r="BM202" s="325"/>
      <c r="BN202" s="325"/>
      <c r="BO202" s="325"/>
      <c r="BP202" s="325"/>
      <c r="BQ202" s="325"/>
    </row>
    <row r="203" spans="1:69" ht="14.25" customHeight="1" x14ac:dyDescent="0.2">
      <c r="A203" s="3"/>
      <c r="B203" s="289"/>
      <c r="C203" s="3"/>
      <c r="D203" s="3"/>
      <c r="E203" s="3"/>
      <c r="F203" s="3"/>
      <c r="G203" s="289"/>
      <c r="H203" s="3"/>
      <c r="I203" s="3"/>
      <c r="J203" s="3"/>
      <c r="K203" s="3"/>
      <c r="L203" s="289"/>
      <c r="M203" s="3"/>
      <c r="N203" s="3"/>
      <c r="O203" s="3"/>
      <c r="P203" s="3"/>
      <c r="Q203" s="3"/>
      <c r="R203" s="3"/>
      <c r="S203" s="376"/>
      <c r="T203" s="418">
        <f t="shared" si="32"/>
        <v>177</v>
      </c>
      <c r="U203" s="376"/>
      <c r="V203" s="370">
        <f t="shared" si="31"/>
        <v>1.1994759394466425E-2</v>
      </c>
      <c r="W203" s="289"/>
      <c r="X203" s="370">
        <f t="shared" si="23"/>
        <v>4.6721554406789753E-2</v>
      </c>
      <c r="Y203" s="429"/>
      <c r="Z203" s="421">
        <f t="shared" si="24"/>
        <v>8.8864108432906708E-2</v>
      </c>
      <c r="AA203" s="429"/>
      <c r="AB203" s="421">
        <f t="shared" si="25"/>
        <v>9.3732774397324914E-2</v>
      </c>
      <c r="AC203" s="430"/>
      <c r="AD203" s="424">
        <f t="shared" si="26"/>
        <v>2.9148161125837624E-2</v>
      </c>
      <c r="AE203" s="431"/>
      <c r="AF203" s="421">
        <f t="shared" si="27"/>
        <v>0.28299827687477863</v>
      </c>
      <c r="AG203" s="421">
        <f t="shared" si="28"/>
        <v>2.5030949592450717</v>
      </c>
      <c r="AH203" s="426">
        <f t="shared" si="29"/>
        <v>3.6020746014960451E-3</v>
      </c>
      <c r="AI203" s="421">
        <f t="shared" si="30"/>
        <v>0.19079033512149229</v>
      </c>
      <c r="AJ203" s="325"/>
      <c r="AK203" s="325"/>
      <c r="AL203" s="325"/>
      <c r="AM203" s="325"/>
      <c r="AN203" s="325"/>
      <c r="AO203" s="325"/>
      <c r="AP203" s="325"/>
      <c r="AQ203" s="325"/>
      <c r="AR203" s="325"/>
      <c r="AS203" s="325"/>
      <c r="AT203" s="325"/>
      <c r="AU203" s="325"/>
      <c r="AV203" s="325"/>
      <c r="AW203" s="325"/>
      <c r="AX203" s="325"/>
      <c r="AY203" s="325"/>
      <c r="AZ203" s="325"/>
      <c r="BA203" s="325"/>
      <c r="BB203" s="325"/>
      <c r="BC203" s="325"/>
      <c r="BD203" s="325"/>
      <c r="BE203" s="325"/>
      <c r="BF203" s="325"/>
      <c r="BG203" s="325"/>
      <c r="BH203" s="325"/>
      <c r="BI203" s="325"/>
      <c r="BJ203" s="325"/>
      <c r="BK203" s="325"/>
      <c r="BL203" s="325"/>
      <c r="BM203" s="325"/>
      <c r="BN203" s="325"/>
      <c r="BO203" s="325"/>
      <c r="BP203" s="325"/>
      <c r="BQ203" s="325"/>
    </row>
    <row r="204" spans="1:69" ht="14.25" customHeight="1" x14ac:dyDescent="0.2">
      <c r="A204" s="3"/>
      <c r="B204" s="289"/>
      <c r="C204" s="3"/>
      <c r="D204" s="3"/>
      <c r="E204" s="3"/>
      <c r="F204" s="3"/>
      <c r="G204" s="289"/>
      <c r="H204" s="3"/>
      <c r="I204" s="3"/>
      <c r="J204" s="3"/>
      <c r="K204" s="3"/>
      <c r="L204" s="289"/>
      <c r="M204" s="3"/>
      <c r="N204" s="3"/>
      <c r="O204" s="3"/>
      <c r="P204" s="3"/>
      <c r="Q204" s="3"/>
      <c r="R204" s="3"/>
      <c r="S204" s="376"/>
      <c r="T204" s="418">
        <f t="shared" si="32"/>
        <v>178</v>
      </c>
      <c r="U204" s="376"/>
      <c r="V204" s="370">
        <f t="shared" si="31"/>
        <v>1.1698721052089286E-2</v>
      </c>
      <c r="W204" s="289"/>
      <c r="X204" s="370">
        <f t="shared" si="23"/>
        <v>4.6103867392618486E-2</v>
      </c>
      <c r="Y204" s="429"/>
      <c r="Z204" s="421">
        <f t="shared" si="24"/>
        <v>8.8273356307891571E-2</v>
      </c>
      <c r="AA204" s="429"/>
      <c r="AB204" s="421">
        <f t="shared" si="25"/>
        <v>9.3223628165704508E-2</v>
      </c>
      <c r="AC204" s="430"/>
      <c r="AD204" s="424">
        <f t="shared" si="26"/>
        <v>2.8626631768229327E-2</v>
      </c>
      <c r="AE204" s="431"/>
      <c r="AF204" s="421">
        <f t="shared" si="27"/>
        <v>0.28298735863211361</v>
      </c>
      <c r="AG204" s="421">
        <f t="shared" si="28"/>
        <v>2.5075263271345309</v>
      </c>
      <c r="AH204" s="426">
        <f t="shared" si="29"/>
        <v>3.5736973042524499E-3</v>
      </c>
      <c r="AI204" s="421">
        <f t="shared" si="30"/>
        <v>0.1903185180709096</v>
      </c>
      <c r="AJ204" s="325"/>
      <c r="AK204" s="325"/>
      <c r="AL204" s="325"/>
      <c r="AM204" s="325"/>
      <c r="AN204" s="325"/>
      <c r="AO204" s="325"/>
      <c r="AP204" s="325"/>
      <c r="AQ204" s="325"/>
      <c r="AR204" s="325"/>
      <c r="AS204" s="325"/>
      <c r="AT204" s="325"/>
      <c r="AU204" s="325"/>
      <c r="AV204" s="325"/>
      <c r="AW204" s="325"/>
      <c r="AX204" s="325"/>
      <c r="AY204" s="325"/>
      <c r="AZ204" s="325"/>
      <c r="BA204" s="325"/>
      <c r="BB204" s="325"/>
      <c r="BC204" s="325"/>
      <c r="BD204" s="325"/>
      <c r="BE204" s="325"/>
      <c r="BF204" s="325"/>
      <c r="BG204" s="325"/>
      <c r="BH204" s="325"/>
      <c r="BI204" s="325"/>
      <c r="BJ204" s="325"/>
      <c r="BK204" s="325"/>
      <c r="BL204" s="325"/>
      <c r="BM204" s="325"/>
      <c r="BN204" s="325"/>
      <c r="BO204" s="325"/>
      <c r="BP204" s="325"/>
      <c r="BQ204" s="325"/>
    </row>
    <row r="205" spans="1:69" ht="14.25" customHeight="1" x14ac:dyDescent="0.2">
      <c r="A205" s="3"/>
      <c r="B205" s="289"/>
      <c r="C205" s="3"/>
      <c r="D205" s="3"/>
      <c r="E205" s="3"/>
      <c r="F205" s="3"/>
      <c r="G205" s="289"/>
      <c r="H205" s="3"/>
      <c r="I205" s="3"/>
      <c r="J205" s="3"/>
      <c r="K205" s="3"/>
      <c r="L205" s="289"/>
      <c r="M205" s="3"/>
      <c r="N205" s="3"/>
      <c r="O205" s="3"/>
      <c r="P205" s="3"/>
      <c r="Q205" s="3"/>
      <c r="R205" s="3"/>
      <c r="S205" s="376"/>
      <c r="T205" s="418">
        <f t="shared" si="32"/>
        <v>179</v>
      </c>
      <c r="U205" s="376"/>
      <c r="V205" s="370">
        <f t="shared" si="31"/>
        <v>1.1409989125562209E-2</v>
      </c>
      <c r="W205" s="289"/>
      <c r="X205" s="370">
        <f t="shared" si="23"/>
        <v>4.5495130371259601E-2</v>
      </c>
      <c r="Y205" s="429"/>
      <c r="Z205" s="421">
        <f t="shared" si="24"/>
        <v>8.7688821093533709E-2</v>
      </c>
      <c r="AA205" s="429"/>
      <c r="AB205" s="421">
        <f t="shared" si="25"/>
        <v>9.2719796187079567E-2</v>
      </c>
      <c r="AC205" s="430"/>
      <c r="AD205" s="424">
        <f t="shared" si="26"/>
        <v>2.8114578537661639E-2</v>
      </c>
      <c r="AE205" s="431"/>
      <c r="AF205" s="421">
        <f t="shared" si="27"/>
        <v>0.28297687423090129</v>
      </c>
      <c r="AG205" s="421">
        <f t="shared" si="28"/>
        <v>2.5119328693033469</v>
      </c>
      <c r="AH205" s="426">
        <f t="shared" si="29"/>
        <v>3.5457006699863855E-3</v>
      </c>
      <c r="AI205" s="421">
        <f t="shared" si="30"/>
        <v>0.18985049123924472</v>
      </c>
      <c r="AJ205" s="325"/>
      <c r="AK205" s="325"/>
      <c r="AL205" s="325"/>
      <c r="AM205" s="325"/>
      <c r="AN205" s="325"/>
      <c r="AO205" s="325"/>
      <c r="AP205" s="325"/>
      <c r="AQ205" s="325"/>
      <c r="AR205" s="325"/>
      <c r="AS205" s="325"/>
      <c r="AT205" s="325"/>
      <c r="AU205" s="325"/>
      <c r="AV205" s="325"/>
      <c r="AW205" s="325"/>
      <c r="AX205" s="325"/>
      <c r="AY205" s="325"/>
      <c r="AZ205" s="325"/>
      <c r="BA205" s="325"/>
      <c r="BB205" s="325"/>
      <c r="BC205" s="325"/>
      <c r="BD205" s="325"/>
      <c r="BE205" s="325"/>
      <c r="BF205" s="325"/>
      <c r="BG205" s="325"/>
      <c r="BH205" s="325"/>
      <c r="BI205" s="325"/>
      <c r="BJ205" s="325"/>
      <c r="BK205" s="325"/>
      <c r="BL205" s="325"/>
      <c r="BM205" s="325"/>
      <c r="BN205" s="325"/>
      <c r="BO205" s="325"/>
      <c r="BP205" s="325"/>
      <c r="BQ205" s="325"/>
    </row>
    <row r="206" spans="1:69" ht="14.25" customHeight="1" x14ac:dyDescent="0.2">
      <c r="A206" s="3"/>
      <c r="B206" s="289"/>
      <c r="C206" s="3"/>
      <c r="D206" s="3"/>
      <c r="E206" s="3"/>
      <c r="F206" s="3"/>
      <c r="G206" s="289"/>
      <c r="H206" s="3"/>
      <c r="I206" s="3"/>
      <c r="J206" s="3"/>
      <c r="K206" s="3"/>
      <c r="L206" s="289"/>
      <c r="M206" s="3"/>
      <c r="N206" s="3"/>
      <c r="O206" s="3"/>
      <c r="P206" s="3"/>
      <c r="Q206" s="3"/>
      <c r="R206" s="3"/>
      <c r="S206" s="376"/>
      <c r="T206" s="418">
        <f t="shared" si="32"/>
        <v>180</v>
      </c>
      <c r="U206" s="376"/>
      <c r="V206" s="370">
        <f t="shared" si="31"/>
        <v>1.1128383287863535E-2</v>
      </c>
      <c r="W206" s="289"/>
      <c r="X206" s="370">
        <f t="shared" si="23"/>
        <v>4.4895199019800915E-2</v>
      </c>
      <c r="Y206" s="429"/>
      <c r="Z206" s="421">
        <f t="shared" si="24"/>
        <v>8.7110410909277292E-2</v>
      </c>
      <c r="AA206" s="429"/>
      <c r="AB206" s="421">
        <f t="shared" si="25"/>
        <v>9.222119676084102E-2</v>
      </c>
      <c r="AC206" s="430"/>
      <c r="AD206" s="424">
        <f t="shared" si="26"/>
        <v>2.7611825349467045E-2</v>
      </c>
      <c r="AE206" s="431"/>
      <c r="AF206" s="421">
        <f t="shared" si="27"/>
        <v>0.28296680641713551</v>
      </c>
      <c r="AG206" s="421">
        <f t="shared" si="28"/>
        <v>2.5163148623633793</v>
      </c>
      <c r="AH206" s="426">
        <f t="shared" si="29"/>
        <v>3.5180775082790162E-3</v>
      </c>
      <c r="AI206" s="421">
        <f t="shared" si="30"/>
        <v>0.18938620336015596</v>
      </c>
      <c r="AJ206" s="325"/>
      <c r="AK206" s="325"/>
      <c r="AL206" s="325"/>
      <c r="AM206" s="325"/>
      <c r="AN206" s="325"/>
      <c r="AO206" s="325"/>
      <c r="AP206" s="325"/>
      <c r="AQ206" s="325"/>
      <c r="AR206" s="325"/>
      <c r="AS206" s="325"/>
      <c r="AT206" s="325"/>
      <c r="AU206" s="325"/>
      <c r="AV206" s="325"/>
      <c r="AW206" s="325"/>
      <c r="AX206" s="325"/>
      <c r="AY206" s="325"/>
      <c r="AZ206" s="325"/>
      <c r="BA206" s="325"/>
      <c r="BB206" s="325"/>
      <c r="BC206" s="325"/>
      <c r="BD206" s="325"/>
      <c r="BE206" s="325"/>
      <c r="BF206" s="325"/>
      <c r="BG206" s="325"/>
      <c r="BH206" s="325"/>
      <c r="BI206" s="325"/>
      <c r="BJ206" s="325"/>
      <c r="BK206" s="325"/>
      <c r="BL206" s="325"/>
      <c r="BM206" s="325"/>
      <c r="BN206" s="325"/>
      <c r="BO206" s="325"/>
      <c r="BP206" s="325"/>
      <c r="BQ206" s="325"/>
    </row>
    <row r="207" spans="1:69" ht="14.25" customHeight="1" x14ac:dyDescent="0.2">
      <c r="A207" s="3"/>
      <c r="B207" s="289"/>
      <c r="C207" s="3"/>
      <c r="D207" s="3"/>
      <c r="E207" s="3"/>
      <c r="F207" s="3"/>
      <c r="G207" s="289"/>
      <c r="H207" s="3"/>
      <c r="I207" s="3"/>
      <c r="J207" s="3"/>
      <c r="K207" s="3"/>
      <c r="L207" s="289"/>
      <c r="M207" s="3"/>
      <c r="N207" s="3"/>
      <c r="O207" s="3"/>
      <c r="P207" s="3"/>
      <c r="Q207" s="3"/>
      <c r="R207" s="3"/>
      <c r="S207" s="376"/>
      <c r="T207" s="418">
        <f t="shared" si="32"/>
        <v>181</v>
      </c>
      <c r="U207" s="376"/>
      <c r="V207" s="370">
        <f t="shared" si="31"/>
        <v>1.0853727662558004E-2</v>
      </c>
      <c r="W207" s="289"/>
      <c r="X207" s="370">
        <f t="shared" si="23"/>
        <v>4.4303931646844839E-2</v>
      </c>
      <c r="Y207" s="429"/>
      <c r="Z207" s="421">
        <f t="shared" si="24"/>
        <v>8.6538035643236588E-2</v>
      </c>
      <c r="AA207" s="429"/>
      <c r="AB207" s="421">
        <f t="shared" si="25"/>
        <v>9.1727749840529477E-2</v>
      </c>
      <c r="AC207" s="430"/>
      <c r="AD207" s="424">
        <f t="shared" si="26"/>
        <v>2.7118199502814688E-2</v>
      </c>
      <c r="AE207" s="431"/>
      <c r="AF207" s="421">
        <f t="shared" si="27"/>
        <v>0.28295713862418337</v>
      </c>
      <c r="AG207" s="421">
        <f t="shared" si="28"/>
        <v>2.5206725783290129</v>
      </c>
      <c r="AH207" s="426">
        <f t="shared" si="29"/>
        <v>3.4908208034646494E-3</v>
      </c>
      <c r="AI207" s="421">
        <f t="shared" si="30"/>
        <v>0.18892560413899057</v>
      </c>
      <c r="AJ207" s="325"/>
      <c r="AK207" s="325"/>
      <c r="AL207" s="325"/>
      <c r="AM207" s="325"/>
      <c r="AN207" s="325"/>
      <c r="AO207" s="325"/>
      <c r="AP207" s="325"/>
      <c r="AQ207" s="325"/>
      <c r="AR207" s="325"/>
      <c r="AS207" s="325"/>
      <c r="AT207" s="325"/>
      <c r="AU207" s="325"/>
      <c r="AV207" s="325"/>
      <c r="AW207" s="325"/>
      <c r="AX207" s="325"/>
      <c r="AY207" s="325"/>
      <c r="AZ207" s="325"/>
      <c r="BA207" s="325"/>
      <c r="BB207" s="325"/>
      <c r="BC207" s="325"/>
      <c r="BD207" s="325"/>
      <c r="BE207" s="325"/>
      <c r="BF207" s="325"/>
      <c r="BG207" s="325"/>
      <c r="BH207" s="325"/>
      <c r="BI207" s="325"/>
      <c r="BJ207" s="325"/>
      <c r="BK207" s="325"/>
      <c r="BL207" s="325"/>
      <c r="BM207" s="325"/>
      <c r="BN207" s="325"/>
      <c r="BO207" s="325"/>
      <c r="BP207" s="325"/>
      <c r="BQ207" s="325"/>
    </row>
    <row r="208" spans="1:69" ht="14.25" customHeight="1" x14ac:dyDescent="0.2">
      <c r="A208" s="3"/>
      <c r="B208" s="289"/>
      <c r="C208" s="3"/>
      <c r="D208" s="3"/>
      <c r="E208" s="3"/>
      <c r="F208" s="3"/>
      <c r="G208" s="289"/>
      <c r="H208" s="3"/>
      <c r="I208" s="3"/>
      <c r="J208" s="3"/>
      <c r="K208" s="3"/>
      <c r="L208" s="289"/>
      <c r="M208" s="3"/>
      <c r="N208" s="3"/>
      <c r="O208" s="3"/>
      <c r="P208" s="3"/>
      <c r="Q208" s="3"/>
      <c r="R208" s="3"/>
      <c r="S208" s="376"/>
      <c r="T208" s="418">
        <f t="shared" si="32"/>
        <v>182</v>
      </c>
      <c r="U208" s="376"/>
      <c r="V208" s="370">
        <f t="shared" si="31"/>
        <v>1.0585850713953357E-2</v>
      </c>
      <c r="W208" s="289"/>
      <c r="X208" s="370">
        <f t="shared" si="23"/>
        <v>4.3721189137481804E-2</v>
      </c>
      <c r="Y208" s="429"/>
      <c r="Z208" s="421">
        <f t="shared" si="24"/>
        <v>8.5971606910025922E-2</v>
      </c>
      <c r="AA208" s="429"/>
      <c r="AB208" s="421">
        <f t="shared" si="25"/>
        <v>9.1239376992384671E-2</v>
      </c>
      <c r="AC208" s="430"/>
      <c r="AD208" s="424">
        <f t="shared" si="26"/>
        <v>2.6633531612264894E-2</v>
      </c>
      <c r="AE208" s="431"/>
      <c r="AF208" s="421">
        <f t="shared" si="27"/>
        <v>0.28294785494530955</v>
      </c>
      <c r="AG208" s="421">
        <f t="shared" si="28"/>
        <v>2.5250062847184802</v>
      </c>
      <c r="AH208" s="426">
        <f t="shared" si="29"/>
        <v>3.4639237094478002E-3</v>
      </c>
      <c r="AI208" s="421">
        <f t="shared" si="30"/>
        <v>0.18846864422915316</v>
      </c>
      <c r="AJ208" s="325"/>
      <c r="AK208" s="325"/>
      <c r="AL208" s="325"/>
      <c r="AM208" s="325"/>
      <c r="AN208" s="325"/>
      <c r="AO208" s="325"/>
      <c r="AP208" s="325"/>
      <c r="AQ208" s="325"/>
      <c r="AR208" s="325"/>
      <c r="AS208" s="325"/>
      <c r="AT208" s="325"/>
      <c r="AU208" s="325"/>
      <c r="AV208" s="325"/>
      <c r="AW208" s="325"/>
      <c r="AX208" s="325"/>
      <c r="AY208" s="325"/>
      <c r="AZ208" s="325"/>
      <c r="BA208" s="325"/>
      <c r="BB208" s="325"/>
      <c r="BC208" s="325"/>
      <c r="BD208" s="325"/>
      <c r="BE208" s="325"/>
      <c r="BF208" s="325"/>
      <c r="BG208" s="325"/>
      <c r="BH208" s="325"/>
      <c r="BI208" s="325"/>
      <c r="BJ208" s="325"/>
      <c r="BK208" s="325"/>
      <c r="BL208" s="325"/>
      <c r="BM208" s="325"/>
      <c r="BN208" s="325"/>
      <c r="BO208" s="325"/>
      <c r="BP208" s="325"/>
      <c r="BQ208" s="325"/>
    </row>
    <row r="209" spans="1:69" ht="14.25" customHeight="1" x14ac:dyDescent="0.2">
      <c r="A209" s="3"/>
      <c r="B209" s="289"/>
      <c r="C209" s="3"/>
      <c r="D209" s="3"/>
      <c r="E209" s="3"/>
      <c r="F209" s="3"/>
      <c r="G209" s="289"/>
      <c r="H209" s="3"/>
      <c r="I209" s="3"/>
      <c r="J209" s="3"/>
      <c r="K209" s="3"/>
      <c r="L209" s="289"/>
      <c r="M209" s="3"/>
      <c r="N209" s="3"/>
      <c r="O209" s="3"/>
      <c r="P209" s="3"/>
      <c r="Q209" s="3"/>
      <c r="R209" s="3"/>
      <c r="S209" s="376"/>
      <c r="T209" s="418">
        <f t="shared" si="32"/>
        <v>183</v>
      </c>
      <c r="U209" s="376"/>
      <c r="V209" s="370">
        <f t="shared" si="31"/>
        <v>1.0324585139968076E-2</v>
      </c>
      <c r="W209" s="289"/>
      <c r="X209" s="370">
        <f t="shared" si="23"/>
        <v>4.3146834899596156E-2</v>
      </c>
      <c r="Y209" s="429"/>
      <c r="Z209" s="421">
        <f t="shared" si="24"/>
        <v>8.5411038009791218E-2</v>
      </c>
      <c r="AA209" s="429"/>
      <c r="AB209" s="421">
        <f t="shared" si="25"/>
        <v>9.0756001355129859E-2</v>
      </c>
      <c r="AC209" s="430"/>
      <c r="AD209" s="424">
        <f t="shared" si="26"/>
        <v>2.6157655540819946E-2</v>
      </c>
      <c r="AE209" s="431"/>
      <c r="AF209" s="421">
        <f t="shared" si="27"/>
        <v>0.28293894010730675</v>
      </c>
      <c r="AG209" s="421">
        <f t="shared" si="28"/>
        <v>2.5293162446524109</v>
      </c>
      <c r="AH209" s="426">
        <f t="shared" si="29"/>
        <v>3.4373795447014267E-3</v>
      </c>
      <c r="AI209" s="421">
        <f t="shared" si="30"/>
        <v>0.18801527520917669</v>
      </c>
      <c r="AJ209" s="325"/>
      <c r="AK209" s="325"/>
      <c r="AL209" s="325"/>
      <c r="AM209" s="325"/>
      <c r="AN209" s="325"/>
      <c r="AO209" s="325"/>
      <c r="AP209" s="325"/>
      <c r="AQ209" s="325"/>
      <c r="AR209" s="325"/>
      <c r="AS209" s="325"/>
      <c r="AT209" s="325"/>
      <c r="AU209" s="325"/>
      <c r="AV209" s="325"/>
      <c r="AW209" s="325"/>
      <c r="AX209" s="325"/>
      <c r="AY209" s="325"/>
      <c r="AZ209" s="325"/>
      <c r="BA209" s="325"/>
      <c r="BB209" s="325"/>
      <c r="BC209" s="325"/>
      <c r="BD209" s="325"/>
      <c r="BE209" s="325"/>
      <c r="BF209" s="325"/>
      <c r="BG209" s="325"/>
      <c r="BH209" s="325"/>
      <c r="BI209" s="325"/>
      <c r="BJ209" s="325"/>
      <c r="BK209" s="325"/>
      <c r="BL209" s="325"/>
      <c r="BM209" s="325"/>
      <c r="BN209" s="325"/>
      <c r="BO209" s="325"/>
      <c r="BP209" s="325"/>
      <c r="BQ209" s="325"/>
    </row>
    <row r="210" spans="1:69" ht="14.25" customHeight="1" x14ac:dyDescent="0.2">
      <c r="A210" s="3"/>
      <c r="B210" s="289"/>
      <c r="C210" s="3"/>
      <c r="D210" s="3"/>
      <c r="E210" s="3"/>
      <c r="F210" s="3"/>
      <c r="G210" s="289"/>
      <c r="H210" s="3"/>
      <c r="I210" s="3"/>
      <c r="J210" s="3"/>
      <c r="K210" s="3"/>
      <c r="L210" s="289"/>
      <c r="M210" s="3"/>
      <c r="N210" s="3"/>
      <c r="O210" s="3"/>
      <c r="P210" s="3"/>
      <c r="Q210" s="3"/>
      <c r="R210" s="3"/>
      <c r="S210" s="376"/>
      <c r="T210" s="418">
        <f t="shared" si="32"/>
        <v>184</v>
      </c>
      <c r="U210" s="376"/>
      <c r="V210" s="370">
        <f t="shared" si="31"/>
        <v>1.0069767767643139E-2</v>
      </c>
      <c r="W210" s="289"/>
      <c r="X210" s="370">
        <f t="shared" si="23"/>
        <v>4.2580734811466681E-2</v>
      </c>
      <c r="Y210" s="429"/>
      <c r="Z210" s="421">
        <f t="shared" si="24"/>
        <v>8.4856243888404292E-2</v>
      </c>
      <c r="AA210" s="429"/>
      <c r="AB210" s="421">
        <f t="shared" si="25"/>
        <v>9.027754760095065E-2</v>
      </c>
      <c r="AC210" s="430"/>
      <c r="AD210" s="424">
        <f t="shared" si="26"/>
        <v>2.5690408334434145E-2</v>
      </c>
      <c r="AE210" s="431"/>
      <c r="AF210" s="421">
        <f t="shared" si="27"/>
        <v>0.28293037944518568</v>
      </c>
      <c r="AG210" s="421">
        <f t="shared" si="28"/>
        <v>2.5336027169496904</v>
      </c>
      <c r="AH210" s="426">
        <f t="shared" si="29"/>
        <v>3.4111817874390628E-3</v>
      </c>
      <c r="AI210" s="421">
        <f t="shared" si="30"/>
        <v>0.1875654495604677</v>
      </c>
      <c r="AJ210" s="325"/>
      <c r="AK210" s="325"/>
      <c r="AL210" s="325"/>
      <c r="AM210" s="325"/>
      <c r="AN210" s="325"/>
      <c r="AO210" s="325"/>
      <c r="AP210" s="325"/>
      <c r="AQ210" s="325"/>
      <c r="AR210" s="325"/>
      <c r="AS210" s="325"/>
      <c r="AT210" s="325"/>
      <c r="AU210" s="325"/>
      <c r="AV210" s="325"/>
      <c r="AW210" s="325"/>
      <c r="AX210" s="325"/>
      <c r="AY210" s="325"/>
      <c r="AZ210" s="325"/>
      <c r="BA210" s="325"/>
      <c r="BB210" s="325"/>
      <c r="BC210" s="325"/>
      <c r="BD210" s="325"/>
      <c r="BE210" s="325"/>
      <c r="BF210" s="325"/>
      <c r="BG210" s="325"/>
      <c r="BH210" s="325"/>
      <c r="BI210" s="325"/>
      <c r="BJ210" s="325"/>
      <c r="BK210" s="325"/>
      <c r="BL210" s="325"/>
      <c r="BM210" s="325"/>
      <c r="BN210" s="325"/>
      <c r="BO210" s="325"/>
      <c r="BP210" s="325"/>
      <c r="BQ210" s="325"/>
    </row>
    <row r="211" spans="1:69" ht="14.25" customHeight="1" x14ac:dyDescent="0.2">
      <c r="A211" s="3"/>
      <c r="B211" s="289"/>
      <c r="C211" s="3"/>
      <c r="D211" s="3"/>
      <c r="E211" s="3"/>
      <c r="F211" s="3"/>
      <c r="G211" s="289"/>
      <c r="H211" s="3"/>
      <c r="I211" s="3"/>
      <c r="J211" s="3"/>
      <c r="K211" s="3"/>
      <c r="L211" s="289"/>
      <c r="M211" s="3"/>
      <c r="N211" s="3"/>
      <c r="O211" s="3"/>
      <c r="P211" s="3"/>
      <c r="Q211" s="3"/>
      <c r="R211" s="3"/>
      <c r="S211" s="376"/>
      <c r="T211" s="418">
        <f t="shared" si="32"/>
        <v>185</v>
      </c>
      <c r="U211" s="376"/>
      <c r="V211" s="370">
        <f t="shared" si="31"/>
        <v>9.8212394512326353E-3</v>
      </c>
      <c r="W211" s="289"/>
      <c r="X211" s="370">
        <f t="shared" si="23"/>
        <v>4.2022757170625667E-2</v>
      </c>
      <c r="Y211" s="429"/>
      <c r="Z211" s="421">
        <f t="shared" si="24"/>
        <v>8.4307141098780125E-2</v>
      </c>
      <c r="AA211" s="429"/>
      <c r="AB211" s="421">
        <f t="shared" si="25"/>
        <v>8.9803941897624459E-2</v>
      </c>
      <c r="AC211" s="430"/>
      <c r="AD211" s="424">
        <f t="shared" si="26"/>
        <v>2.5231630157947937E-2</v>
      </c>
      <c r="AE211" s="431"/>
      <c r="AF211" s="421">
        <f t="shared" si="27"/>
        <v>0.28292215887788258</v>
      </c>
      <c r="AG211" s="421">
        <f t="shared" si="28"/>
        <v>2.5378659562207266</v>
      </c>
      <c r="AH211" s="426">
        <f t="shared" si="29"/>
        <v>3.3853240709538863E-3</v>
      </c>
      <c r="AI211" s="421">
        <f t="shared" si="30"/>
        <v>0.18711912064570407</v>
      </c>
      <c r="AJ211" s="325"/>
      <c r="AK211" s="325"/>
      <c r="AL211" s="325"/>
      <c r="AM211" s="325"/>
      <c r="AN211" s="325"/>
      <c r="AO211" s="325"/>
      <c r="AP211" s="325"/>
      <c r="AQ211" s="325"/>
      <c r="AR211" s="325"/>
      <c r="AS211" s="325"/>
      <c r="AT211" s="325"/>
      <c r="AU211" s="325"/>
      <c r="AV211" s="325"/>
      <c r="AW211" s="325"/>
      <c r="AX211" s="325"/>
      <c r="AY211" s="325"/>
      <c r="AZ211" s="325"/>
      <c r="BA211" s="325"/>
      <c r="BB211" s="325"/>
      <c r="BC211" s="325"/>
      <c r="BD211" s="325"/>
      <c r="BE211" s="325"/>
      <c r="BF211" s="325"/>
      <c r="BG211" s="325"/>
      <c r="BH211" s="325"/>
      <c r="BI211" s="325"/>
      <c r="BJ211" s="325"/>
      <c r="BK211" s="325"/>
      <c r="BL211" s="325"/>
      <c r="BM211" s="325"/>
      <c r="BN211" s="325"/>
      <c r="BO211" s="325"/>
      <c r="BP211" s="325"/>
      <c r="BQ211" s="325"/>
    </row>
    <row r="212" spans="1:69" ht="14.25" customHeight="1" x14ac:dyDescent="0.2">
      <c r="A212" s="3"/>
      <c r="B212" s="289"/>
      <c r="C212" s="3"/>
      <c r="D212" s="3"/>
      <c r="E212" s="3"/>
      <c r="F212" s="3"/>
      <c r="G212" s="289"/>
      <c r="H212" s="3"/>
      <c r="I212" s="3"/>
      <c r="J212" s="3"/>
      <c r="K212" s="3"/>
      <c r="L212" s="289"/>
      <c r="M212" s="3"/>
      <c r="N212" s="3"/>
      <c r="O212" s="3"/>
      <c r="P212" s="3"/>
      <c r="Q212" s="3"/>
      <c r="R212" s="3"/>
      <c r="S212" s="376"/>
      <c r="T212" s="418">
        <f t="shared" si="32"/>
        <v>186</v>
      </c>
      <c r="U212" s="376"/>
      <c r="V212" s="370">
        <f t="shared" si="31"/>
        <v>9.5788449728095668E-3</v>
      </c>
      <c r="W212" s="289"/>
      <c r="X212" s="370">
        <f t="shared" si="23"/>
        <v>4.1472772643941488E-2</v>
      </c>
      <c r="Y212" s="429"/>
      <c r="Z212" s="421">
        <f t="shared" si="24"/>
        <v>8.3763647763281601E-2</v>
      </c>
      <c r="AA212" s="429"/>
      <c r="AB212" s="421">
        <f t="shared" si="25"/>
        <v>8.9335111871764183E-2</v>
      </c>
      <c r="AC212" s="430"/>
      <c r="AD212" s="424">
        <f t="shared" si="26"/>
        <v>2.4781164232411168E-2</v>
      </c>
      <c r="AE212" s="431"/>
      <c r="AF212" s="421">
        <f t="shared" si="27"/>
        <v>0.2829142648849427</v>
      </c>
      <c r="AG212" s="421">
        <f t="shared" si="28"/>
        <v>2.5421062129581995</v>
      </c>
      <c r="AH212" s="426">
        <f t="shared" si="29"/>
        <v>3.3598001791180633E-3</v>
      </c>
      <c r="AI212" s="421">
        <f t="shared" si="30"/>
        <v>0.1866762426878627</v>
      </c>
      <c r="AJ212" s="325"/>
      <c r="AK212" s="325"/>
      <c r="AL212" s="325"/>
      <c r="AM212" s="325"/>
      <c r="AN212" s="325"/>
      <c r="AO212" s="325"/>
      <c r="AP212" s="325"/>
      <c r="AQ212" s="325"/>
      <c r="AR212" s="325"/>
      <c r="AS212" s="325"/>
      <c r="AT212" s="325"/>
      <c r="AU212" s="325"/>
      <c r="AV212" s="325"/>
      <c r="AW212" s="325"/>
      <c r="AX212" s="325"/>
      <c r="AY212" s="325"/>
      <c r="AZ212" s="325"/>
      <c r="BA212" s="325"/>
      <c r="BB212" s="325"/>
      <c r="BC212" s="325"/>
      <c r="BD212" s="325"/>
      <c r="BE212" s="325"/>
      <c r="BF212" s="325"/>
      <c r="BG212" s="325"/>
      <c r="BH212" s="325"/>
      <c r="BI212" s="325"/>
      <c r="BJ212" s="325"/>
      <c r="BK212" s="325"/>
      <c r="BL212" s="325"/>
      <c r="BM212" s="325"/>
      <c r="BN212" s="325"/>
      <c r="BO212" s="325"/>
      <c r="BP212" s="325"/>
      <c r="BQ212" s="325"/>
    </row>
    <row r="213" spans="1:69" ht="14.25" customHeight="1" x14ac:dyDescent="0.2">
      <c r="A213" s="3"/>
      <c r="B213" s="289"/>
      <c r="C213" s="3"/>
      <c r="D213" s="3"/>
      <c r="E213" s="3"/>
      <c r="F213" s="3"/>
      <c r="G213" s="289"/>
      <c r="H213" s="3"/>
      <c r="I213" s="3"/>
      <c r="J213" s="3"/>
      <c r="K213" s="3"/>
      <c r="L213" s="289"/>
      <c r="M213" s="3"/>
      <c r="N213" s="3"/>
      <c r="O213" s="3"/>
      <c r="P213" s="3"/>
      <c r="Q213" s="3"/>
      <c r="R213" s="3"/>
      <c r="S213" s="376"/>
      <c r="T213" s="418">
        <f t="shared" si="32"/>
        <v>187</v>
      </c>
      <c r="U213" s="376"/>
      <c r="V213" s="370">
        <f t="shared" si="31"/>
        <v>9.3424329453247693E-3</v>
      </c>
      <c r="W213" s="289"/>
      <c r="X213" s="370">
        <f t="shared" si="23"/>
        <v>4.093065421889059E-2</v>
      </c>
      <c r="Y213" s="429"/>
      <c r="Z213" s="421">
        <f t="shared" si="24"/>
        <v>8.3225683537175077E-2</v>
      </c>
      <c r="AA213" s="429"/>
      <c r="AB213" s="421">
        <f t="shared" si="25"/>
        <v>8.8870986573135399E-2</v>
      </c>
      <c r="AC213" s="430"/>
      <c r="AD213" s="424">
        <f t="shared" si="26"/>
        <v>2.4338856773762352E-2</v>
      </c>
      <c r="AE213" s="431"/>
      <c r="AF213" s="421">
        <f t="shared" si="27"/>
        <v>0.2829066844841393</v>
      </c>
      <c r="AG213" s="421">
        <f t="shared" si="28"/>
        <v>2.5463237336253739</v>
      </c>
      <c r="AH213" s="426">
        <f t="shared" si="29"/>
        <v>3.3346040420361134E-3</v>
      </c>
      <c r="AI213" s="421">
        <f t="shared" si="30"/>
        <v>0.1862367707498549</v>
      </c>
      <c r="AJ213" s="325"/>
      <c r="AK213" s="325"/>
      <c r="AL213" s="325"/>
      <c r="AM213" s="325"/>
      <c r="AN213" s="325"/>
      <c r="AO213" s="325"/>
      <c r="AP213" s="325"/>
      <c r="AQ213" s="325"/>
      <c r="AR213" s="325"/>
      <c r="AS213" s="325"/>
      <c r="AT213" s="325"/>
      <c r="AU213" s="325"/>
      <c r="AV213" s="325"/>
      <c r="AW213" s="325"/>
      <c r="AX213" s="325"/>
      <c r="AY213" s="325"/>
      <c r="AZ213" s="325"/>
      <c r="BA213" s="325"/>
      <c r="BB213" s="325"/>
      <c r="BC213" s="325"/>
      <c r="BD213" s="325"/>
      <c r="BE213" s="325"/>
      <c r="BF213" s="325"/>
      <c r="BG213" s="325"/>
      <c r="BH213" s="325"/>
      <c r="BI213" s="325"/>
      <c r="BJ213" s="325"/>
      <c r="BK213" s="325"/>
      <c r="BL213" s="325"/>
      <c r="BM213" s="325"/>
      <c r="BN213" s="325"/>
      <c r="BO213" s="325"/>
      <c r="BP213" s="325"/>
      <c r="BQ213" s="325"/>
    </row>
    <row r="214" spans="1:69" ht="14.25" customHeight="1" x14ac:dyDescent="0.2">
      <c r="A214" s="3"/>
      <c r="B214" s="289"/>
      <c r="C214" s="3"/>
      <c r="D214" s="3"/>
      <c r="E214" s="3"/>
      <c r="F214" s="3"/>
      <c r="G214" s="289"/>
      <c r="H214" s="3"/>
      <c r="I214" s="3"/>
      <c r="J214" s="3"/>
      <c r="K214" s="3"/>
      <c r="L214" s="289"/>
      <c r="M214" s="3"/>
      <c r="N214" s="3"/>
      <c r="O214" s="3"/>
      <c r="P214" s="3"/>
      <c r="Q214" s="3"/>
      <c r="R214" s="3"/>
      <c r="S214" s="376"/>
      <c r="T214" s="418">
        <f t="shared" si="32"/>
        <v>188</v>
      </c>
      <c r="U214" s="376"/>
      <c r="V214" s="370">
        <f t="shared" si="31"/>
        <v>9.1118557180583822E-3</v>
      </c>
      <c r="W214" s="289"/>
      <c r="X214" s="370">
        <f t="shared" si="23"/>
        <v>4.0396277155986267E-2</v>
      </c>
      <c r="Y214" s="429"/>
      <c r="Z214" s="421">
        <f t="shared" si="24"/>
        <v>8.2693169573103242E-2</v>
      </c>
      <c r="AA214" s="429"/>
      <c r="AB214" s="421">
        <f t="shared" si="25"/>
        <v>8.8411496440013226E-2</v>
      </c>
      <c r="AC214" s="430"/>
      <c r="AD214" s="424">
        <f t="shared" si="26"/>
        <v>2.3904556932830889E-2</v>
      </c>
      <c r="AE214" s="431"/>
      <c r="AF214" s="421">
        <f t="shared" si="27"/>
        <v>0.28289940520999191</v>
      </c>
      <c r="AG214" s="421">
        <f t="shared" si="28"/>
        <v>2.5505187607420678</v>
      </c>
      <c r="AH214" s="426">
        <f t="shared" si="29"/>
        <v>3.3097297318460711E-3</v>
      </c>
      <c r="AI214" s="421">
        <f t="shared" si="30"/>
        <v>0.18580066071474835</v>
      </c>
      <c r="AJ214" s="325"/>
      <c r="AK214" s="325"/>
      <c r="AL214" s="325"/>
      <c r="AM214" s="325"/>
      <c r="AN214" s="325"/>
      <c r="AO214" s="325"/>
      <c r="AP214" s="325"/>
      <c r="AQ214" s="325"/>
      <c r="AR214" s="325"/>
      <c r="AS214" s="325"/>
      <c r="AT214" s="325"/>
      <c r="AU214" s="325"/>
      <c r="AV214" s="325"/>
      <c r="AW214" s="325"/>
      <c r="AX214" s="325"/>
      <c r="AY214" s="325"/>
      <c r="AZ214" s="325"/>
      <c r="BA214" s="325"/>
      <c r="BB214" s="325"/>
      <c r="BC214" s="325"/>
      <c r="BD214" s="325"/>
      <c r="BE214" s="325"/>
      <c r="BF214" s="325"/>
      <c r="BG214" s="325"/>
      <c r="BH214" s="325"/>
      <c r="BI214" s="325"/>
      <c r="BJ214" s="325"/>
      <c r="BK214" s="325"/>
      <c r="BL214" s="325"/>
      <c r="BM214" s="325"/>
      <c r="BN214" s="325"/>
      <c r="BO214" s="325"/>
      <c r="BP214" s="325"/>
      <c r="BQ214" s="325"/>
    </row>
    <row r="215" spans="1:69" ht="14.25" customHeight="1" x14ac:dyDescent="0.2">
      <c r="A215" s="3"/>
      <c r="B215" s="289"/>
      <c r="C215" s="3"/>
      <c r="D215" s="3"/>
      <c r="E215" s="3"/>
      <c r="F215" s="3"/>
      <c r="G215" s="289"/>
      <c r="H215" s="3"/>
      <c r="I215" s="3"/>
      <c r="J215" s="3"/>
      <c r="K215" s="3"/>
      <c r="L215" s="289"/>
      <c r="M215" s="3"/>
      <c r="N215" s="3"/>
      <c r="O215" s="3"/>
      <c r="P215" s="3"/>
      <c r="Q215" s="3"/>
      <c r="R215" s="3"/>
      <c r="S215" s="376"/>
      <c r="T215" s="418">
        <f t="shared" si="32"/>
        <v>189</v>
      </c>
      <c r="U215" s="376"/>
      <c r="V215" s="370">
        <f t="shared" si="31"/>
        <v>8.8869692844048571E-3</v>
      </c>
      <c r="W215" s="289"/>
      <c r="X215" s="370">
        <f t="shared" si="23"/>
        <v>3.9869518942332385E-2</v>
      </c>
      <c r="Y215" s="429"/>
      <c r="Z215" s="421">
        <f t="shared" si="24"/>
        <v>8.2166028486541753E-2</v>
      </c>
      <c r="AA215" s="429"/>
      <c r="AB215" s="421">
        <f t="shared" si="25"/>
        <v>8.795657326554196E-2</v>
      </c>
      <c r="AC215" s="430"/>
      <c r="AD215" s="424">
        <f t="shared" si="26"/>
        <v>2.3478116736631471E-2</v>
      </c>
      <c r="AE215" s="431"/>
      <c r="AF215" s="421">
        <f t="shared" si="27"/>
        <v>0.28289241509314561</v>
      </c>
      <c r="AG215" s="421">
        <f t="shared" si="28"/>
        <v>2.5546915329683304</v>
      </c>
      <c r="AH215" s="426">
        <f t="shared" si="29"/>
        <v>3.2851714586628732E-3</v>
      </c>
      <c r="AI215" s="421">
        <f t="shared" si="30"/>
        <v>0.18536786926655807</v>
      </c>
      <c r="AJ215" s="325"/>
      <c r="AK215" s="325"/>
      <c r="AL215" s="325"/>
      <c r="AM215" s="325"/>
      <c r="AN215" s="325"/>
      <c r="AO215" s="325"/>
      <c r="AP215" s="325"/>
      <c r="AQ215" s="325"/>
      <c r="AR215" s="325"/>
      <c r="AS215" s="325"/>
      <c r="AT215" s="325"/>
      <c r="AU215" s="325"/>
      <c r="AV215" s="325"/>
      <c r="AW215" s="325"/>
      <c r="AX215" s="325"/>
      <c r="AY215" s="325"/>
      <c r="AZ215" s="325"/>
      <c r="BA215" s="325"/>
      <c r="BB215" s="325"/>
      <c r="BC215" s="325"/>
      <c r="BD215" s="325"/>
      <c r="BE215" s="325"/>
      <c r="BF215" s="325"/>
      <c r="BG215" s="325"/>
      <c r="BH215" s="325"/>
      <c r="BI215" s="325"/>
      <c r="BJ215" s="325"/>
      <c r="BK215" s="325"/>
      <c r="BL215" s="325"/>
      <c r="BM215" s="325"/>
      <c r="BN215" s="325"/>
      <c r="BO215" s="325"/>
      <c r="BP215" s="325"/>
      <c r="BQ215" s="325"/>
    </row>
    <row r="216" spans="1:69" ht="14.25" customHeight="1" x14ac:dyDescent="0.2">
      <c r="A216" s="3"/>
      <c r="B216" s="289"/>
      <c r="C216" s="3"/>
      <c r="D216" s="3"/>
      <c r="E216" s="3"/>
      <c r="F216" s="3"/>
      <c r="G216" s="289"/>
      <c r="H216" s="3"/>
      <c r="I216" s="3"/>
      <c r="J216" s="3"/>
      <c r="K216" s="3"/>
      <c r="L216" s="289"/>
      <c r="M216" s="3"/>
      <c r="N216" s="3"/>
      <c r="O216" s="3"/>
      <c r="P216" s="3"/>
      <c r="Q216" s="3"/>
      <c r="R216" s="3"/>
      <c r="S216" s="376"/>
      <c r="T216" s="418">
        <f t="shared" si="32"/>
        <v>190</v>
      </c>
      <c r="U216" s="376"/>
      <c r="V216" s="370">
        <f t="shared" si="31"/>
        <v>8.6676331919338847E-3</v>
      </c>
      <c r="W216" s="289"/>
      <c r="X216" s="370">
        <f t="shared" si="23"/>
        <v>3.9350259246271072E-2</v>
      </c>
      <c r="Y216" s="429"/>
      <c r="Z216" s="421">
        <f t="shared" si="24"/>
        <v>8.1644184322208324E-2</v>
      </c>
      <c r="AA216" s="429"/>
      <c r="AB216" s="421">
        <f t="shared" si="25"/>
        <v>8.75061501650648E-2</v>
      </c>
      <c r="AC216" s="430"/>
      <c r="AD216" s="424">
        <f t="shared" si="26"/>
        <v>2.3059391030917142E-2</v>
      </c>
      <c r="AE216" s="431"/>
      <c r="AF216" s="421">
        <f t="shared" si="27"/>
        <v>0.28288570264057739</v>
      </c>
      <c r="AG216" s="421">
        <f t="shared" si="28"/>
        <v>2.5588422851859152</v>
      </c>
      <c r="AH216" s="426">
        <f t="shared" si="29"/>
        <v>3.2609235666582548E-3</v>
      </c>
      <c r="AI216" s="421">
        <f t="shared" si="30"/>
        <v>0.184938353871584</v>
      </c>
      <c r="AJ216" s="325"/>
      <c r="AK216" s="325"/>
      <c r="AL216" s="325"/>
      <c r="AM216" s="325"/>
      <c r="AN216" s="325"/>
      <c r="AO216" s="325"/>
      <c r="AP216" s="325"/>
      <c r="AQ216" s="325"/>
      <c r="AR216" s="325"/>
      <c r="AS216" s="325"/>
      <c r="AT216" s="325"/>
      <c r="AU216" s="325"/>
      <c r="AV216" s="325"/>
      <c r="AW216" s="325"/>
      <c r="AX216" s="325"/>
      <c r="AY216" s="325"/>
      <c r="AZ216" s="325"/>
      <c r="BA216" s="325"/>
      <c r="BB216" s="325"/>
      <c r="BC216" s="325"/>
      <c r="BD216" s="325"/>
      <c r="BE216" s="325"/>
      <c r="BF216" s="325"/>
      <c r="BG216" s="325"/>
      <c r="BH216" s="325"/>
      <c r="BI216" s="325"/>
      <c r="BJ216" s="325"/>
      <c r="BK216" s="325"/>
      <c r="BL216" s="325"/>
      <c r="BM216" s="325"/>
      <c r="BN216" s="325"/>
      <c r="BO216" s="325"/>
      <c r="BP216" s="325"/>
      <c r="BQ216" s="325"/>
    </row>
    <row r="217" spans="1:69" ht="14.25" customHeight="1" x14ac:dyDescent="0.2">
      <c r="A217" s="3"/>
      <c r="B217" s="289"/>
      <c r="C217" s="3"/>
      <c r="D217" s="3"/>
      <c r="E217" s="3"/>
      <c r="F217" s="3"/>
      <c r="G217" s="289"/>
      <c r="H217" s="3"/>
      <c r="I217" s="3"/>
      <c r="J217" s="3"/>
      <c r="K217" s="3"/>
      <c r="L217" s="289"/>
      <c r="M217" s="3"/>
      <c r="N217" s="3"/>
      <c r="O217" s="3"/>
      <c r="P217" s="3"/>
      <c r="Q217" s="3"/>
      <c r="R217" s="3"/>
      <c r="S217" s="376"/>
      <c r="T217" s="418">
        <f t="shared" si="32"/>
        <v>191</v>
      </c>
      <c r="U217" s="376"/>
      <c r="V217" s="370">
        <f t="shared" si="31"/>
        <v>8.4537104546710644E-3</v>
      </c>
      <c r="W217" s="289"/>
      <c r="X217" s="370">
        <f t="shared" si="23"/>
        <v>3.8838379873094762E-2</v>
      </c>
      <c r="Y217" s="429"/>
      <c r="Z217" s="421">
        <f t="shared" si="24"/>
        <v>8.1127562521393637E-2</v>
      </c>
      <c r="AA217" s="429"/>
      <c r="AB217" s="421">
        <f t="shared" si="25"/>
        <v>8.706016154439139E-2</v>
      </c>
      <c r="AC217" s="430"/>
      <c r="AD217" s="424">
        <f t="shared" si="26"/>
        <v>2.2648237423965933E-2</v>
      </c>
      <c r="AE217" s="431"/>
      <c r="AF217" s="421">
        <f t="shared" si="27"/>
        <v>0.28287925681659587</v>
      </c>
      <c r="AG217" s="421">
        <f t="shared" si="28"/>
        <v>2.5629712485776168</v>
      </c>
      <c r="AH217" s="426">
        <f t="shared" si="29"/>
        <v>3.2369805302719661E-3</v>
      </c>
      <c r="AI217" s="421">
        <f t="shared" si="30"/>
        <v>0.18451207276027923</v>
      </c>
      <c r="AJ217" s="325"/>
      <c r="AK217" s="325"/>
      <c r="AL217" s="325"/>
      <c r="AM217" s="325"/>
      <c r="AN217" s="325"/>
      <c r="AO217" s="325"/>
      <c r="AP217" s="325"/>
      <c r="AQ217" s="325"/>
      <c r="AR217" s="325"/>
      <c r="AS217" s="325"/>
      <c r="AT217" s="325"/>
      <c r="AU217" s="325"/>
      <c r="AV217" s="325"/>
      <c r="AW217" s="325"/>
      <c r="AX217" s="325"/>
      <c r="AY217" s="325"/>
      <c r="AZ217" s="325"/>
      <c r="BA217" s="325"/>
      <c r="BB217" s="325"/>
      <c r="BC217" s="325"/>
      <c r="BD217" s="325"/>
      <c r="BE217" s="325"/>
      <c r="BF217" s="325"/>
      <c r="BG217" s="325"/>
      <c r="BH217" s="325"/>
      <c r="BI217" s="325"/>
      <c r="BJ217" s="325"/>
      <c r="BK217" s="325"/>
      <c r="BL217" s="325"/>
      <c r="BM217" s="325"/>
      <c r="BN217" s="325"/>
      <c r="BO217" s="325"/>
      <c r="BP217" s="325"/>
      <c r="BQ217" s="325"/>
    </row>
    <row r="218" spans="1:69" ht="14.25" customHeight="1" x14ac:dyDescent="0.2">
      <c r="A218" s="3"/>
      <c r="B218" s="289"/>
      <c r="C218" s="3"/>
      <c r="D218" s="3"/>
      <c r="E218" s="3"/>
      <c r="F218" s="3"/>
      <c r="G218" s="289"/>
      <c r="H218" s="3"/>
      <c r="I218" s="3"/>
      <c r="J218" s="3"/>
      <c r="K218" s="3"/>
      <c r="L218" s="289"/>
      <c r="M218" s="3"/>
      <c r="N218" s="3"/>
      <c r="O218" s="3"/>
      <c r="P218" s="3"/>
      <c r="Q218" s="3"/>
      <c r="R218" s="3"/>
      <c r="S218" s="376"/>
      <c r="T218" s="418">
        <f t="shared" si="32"/>
        <v>192</v>
      </c>
      <c r="U218" s="376"/>
      <c r="V218" s="370">
        <f t="shared" si="31"/>
        <v>8.2450674675435646E-3</v>
      </c>
      <c r="W218" s="289"/>
      <c r="X218" s="370">
        <f t="shared" si="23"/>
        <v>3.8333764721793631E-2</v>
      </c>
      <c r="Y218" s="429"/>
      <c r="Z218" s="421">
        <f t="shared" si="24"/>
        <v>8.0616089890183984E-2</v>
      </c>
      <c r="AA218" s="429"/>
      <c r="AB218" s="421">
        <f t="shared" si="25"/>
        <v>8.6618543068971141E-2</v>
      </c>
      <c r="AC218" s="430"/>
      <c r="AD218" s="424">
        <f t="shared" si="26"/>
        <v>2.2244516231565648E-2</v>
      </c>
      <c r="AE218" s="431"/>
      <c r="AF218" s="421">
        <f t="shared" si="27"/>
        <v>0.28287306702460252</v>
      </c>
      <c r="AG218" s="421">
        <f t="shared" si="28"/>
        <v>2.5670786507045342</v>
      </c>
      <c r="AH218" s="426">
        <f t="shared" si="29"/>
        <v>3.2133369505492324E-3</v>
      </c>
      <c r="AI218" s="421">
        <f t="shared" si="30"/>
        <v>0.18408898490962999</v>
      </c>
      <c r="AJ218" s="325"/>
      <c r="AK218" s="325"/>
      <c r="AL218" s="325"/>
      <c r="AM218" s="325"/>
      <c r="AN218" s="325"/>
      <c r="AO218" s="325"/>
      <c r="AP218" s="325"/>
      <c r="AQ218" s="325"/>
      <c r="AR218" s="325"/>
      <c r="AS218" s="325"/>
      <c r="AT218" s="325"/>
      <c r="AU218" s="325"/>
      <c r="AV218" s="325"/>
      <c r="AW218" s="325"/>
      <c r="AX218" s="325"/>
      <c r="AY218" s="325"/>
      <c r="AZ218" s="325"/>
      <c r="BA218" s="325"/>
      <c r="BB218" s="325"/>
      <c r="BC218" s="325"/>
      <c r="BD218" s="325"/>
      <c r="BE218" s="325"/>
      <c r="BF218" s="325"/>
      <c r="BG218" s="325"/>
      <c r="BH218" s="325"/>
      <c r="BI218" s="325"/>
      <c r="BJ218" s="325"/>
      <c r="BK218" s="325"/>
      <c r="BL218" s="325"/>
      <c r="BM218" s="325"/>
      <c r="BN218" s="325"/>
      <c r="BO218" s="325"/>
      <c r="BP218" s="325"/>
      <c r="BQ218" s="325"/>
    </row>
    <row r="219" spans="1:69" ht="14.25" customHeight="1" x14ac:dyDescent="0.2">
      <c r="A219" s="3"/>
      <c r="B219" s="289"/>
      <c r="C219" s="3"/>
      <c r="D219" s="3"/>
      <c r="E219" s="3"/>
      <c r="F219" s="3"/>
      <c r="G219" s="289"/>
      <c r="H219" s="3"/>
      <c r="I219" s="3"/>
      <c r="J219" s="3"/>
      <c r="K219" s="3"/>
      <c r="L219" s="289"/>
      <c r="M219" s="3"/>
      <c r="N219" s="3"/>
      <c r="O219" s="3"/>
      <c r="P219" s="3"/>
      <c r="Q219" s="3"/>
      <c r="R219" s="3"/>
      <c r="S219" s="376"/>
      <c r="T219" s="418">
        <f t="shared" si="32"/>
        <v>193</v>
      </c>
      <c r="U219" s="376"/>
      <c r="V219" s="370">
        <f t="shared" si="31"/>
        <v>8.0415739229372993E-3</v>
      </c>
      <c r="W219" s="289"/>
      <c r="X219" s="370">
        <f t="shared" si="23"/>
        <v>3.7836299742810497E-2</v>
      </c>
      <c r="Y219" s="429"/>
      <c r="Z219" s="421">
        <f t="shared" si="24"/>
        <v>8.0109694568548995E-2</v>
      </c>
      <c r="AA219" s="429"/>
      <c r="AB219" s="421">
        <f t="shared" si="25"/>
        <v>8.6181231633943173E-2</v>
      </c>
      <c r="AC219" s="430"/>
      <c r="AD219" s="424">
        <f t="shared" si="26"/>
        <v>2.1848090423174371E-2</v>
      </c>
      <c r="AE219" s="431"/>
      <c r="AF219" s="421">
        <f t="shared" si="27"/>
        <v>0.28286712308958339</v>
      </c>
      <c r="AG219" s="421">
        <f t="shared" si="28"/>
        <v>2.5711647155813266</v>
      </c>
      <c r="AH219" s="426">
        <f t="shared" si="29"/>
        <v>3.1899875515995864E-3</v>
      </c>
      <c r="AI219" s="421">
        <f t="shared" si="30"/>
        <v>0.18366905002603065</v>
      </c>
      <c r="AJ219" s="325"/>
      <c r="AK219" s="325"/>
      <c r="AL219" s="325"/>
      <c r="AM219" s="325"/>
      <c r="AN219" s="325"/>
      <c r="AO219" s="325"/>
      <c r="AP219" s="325"/>
      <c r="AQ219" s="325"/>
      <c r="AR219" s="325"/>
      <c r="AS219" s="325"/>
      <c r="AT219" s="325"/>
      <c r="AU219" s="325"/>
      <c r="AV219" s="325"/>
      <c r="AW219" s="325"/>
      <c r="AX219" s="325"/>
      <c r="AY219" s="325"/>
      <c r="AZ219" s="325"/>
      <c r="BA219" s="325"/>
      <c r="BB219" s="325"/>
      <c r="BC219" s="325"/>
      <c r="BD219" s="325"/>
      <c r="BE219" s="325"/>
      <c r="BF219" s="325"/>
      <c r="BG219" s="325"/>
      <c r="BH219" s="325"/>
      <c r="BI219" s="325"/>
      <c r="BJ219" s="325"/>
      <c r="BK219" s="325"/>
      <c r="BL219" s="325"/>
      <c r="BM219" s="325"/>
      <c r="BN219" s="325"/>
      <c r="BO219" s="325"/>
      <c r="BP219" s="325"/>
      <c r="BQ219" s="325"/>
    </row>
    <row r="220" spans="1:69" ht="14.25" customHeight="1" x14ac:dyDescent="0.2">
      <c r="A220" s="3"/>
      <c r="B220" s="289"/>
      <c r="C220" s="3"/>
      <c r="D220" s="3"/>
      <c r="E220" s="3"/>
      <c r="F220" s="3"/>
      <c r="G220" s="289"/>
      <c r="H220" s="3"/>
      <c r="I220" s="3"/>
      <c r="J220" s="3"/>
      <c r="K220" s="3"/>
      <c r="L220" s="289"/>
      <c r="M220" s="3"/>
      <c r="N220" s="3"/>
      <c r="O220" s="3"/>
      <c r="P220" s="3"/>
      <c r="Q220" s="3"/>
      <c r="R220" s="3"/>
      <c r="S220" s="376"/>
      <c r="T220" s="418">
        <f t="shared" si="32"/>
        <v>194</v>
      </c>
      <c r="U220" s="376"/>
      <c r="V220" s="370">
        <f t="shared" si="31"/>
        <v>7.843102729313536E-3</v>
      </c>
      <c r="W220" s="289"/>
      <c r="X220" s="370">
        <f t="shared" ref="X220:X283" si="33">EXP(-1*(T220/$X$21)^$X$22)</f>
        <v>3.7345872896776086E-2</v>
      </c>
      <c r="Y220" s="429"/>
      <c r="Z220" s="421">
        <f t="shared" ref="Z220:Z283" si="34">1-_xlfn.NORM.DIST(LN(T220),$Z$21,$Z$22,TRUE)</f>
        <v>7.9608306000264362E-2</v>
      </c>
      <c r="AA220" s="429"/>
      <c r="AB220" s="421">
        <f t="shared" ref="AB220:AB283" si="35">(1+(T220/$AB$21)^$AB$22)^-1</f>
        <v>8.5748165335033863E-2</v>
      </c>
      <c r="AC220" s="430"/>
      <c r="AD220" s="424">
        <f t="shared" ref="AD220:AD283" si="36">1-_xlfn.GAMMA.DIST(T220,$AD$21,1/$AD$22,TRUE)</f>
        <v>2.1458825569224738E-2</v>
      </c>
      <c r="AE220" s="431"/>
      <c r="AF220" s="421">
        <f t="shared" ref="AF220:AF283" si="37">EXP((-$AF$22/$AF$21)*(EXP($AF$21*T220)-1))</f>
        <v>0.28286141524130154</v>
      </c>
      <c r="AG220" s="421">
        <f t="shared" ref="AG220:AG283" si="38">(LN(T220)-$AH$21)/$AH$22</f>
        <v>2.575229663749528</v>
      </c>
      <c r="AH220" s="426">
        <f t="shared" ref="AH220:AH283" si="39">$AH$24*EXP(ABS($AH$23)*-AG220)</f>
        <v>3.1669271771724954E-3</v>
      </c>
      <c r="AI220" s="421">
        <f t="shared" ref="AI220:AI283" si="40">_xlfn.GAMMA.DIST(AH220,$AH$24,1,TRUE)</f>
        <v>0.18325222852863768</v>
      </c>
      <c r="AJ220" s="325"/>
      <c r="AK220" s="325"/>
      <c r="AL220" s="325"/>
      <c r="AM220" s="325"/>
      <c r="AN220" s="325"/>
      <c r="AO220" s="325"/>
      <c r="AP220" s="325"/>
      <c r="AQ220" s="325"/>
      <c r="AR220" s="325"/>
      <c r="AS220" s="325"/>
      <c r="AT220" s="325"/>
      <c r="AU220" s="325"/>
      <c r="AV220" s="325"/>
      <c r="AW220" s="325"/>
      <c r="AX220" s="325"/>
      <c r="AY220" s="325"/>
      <c r="AZ220" s="325"/>
      <c r="BA220" s="325"/>
      <c r="BB220" s="325"/>
      <c r="BC220" s="325"/>
      <c r="BD220" s="325"/>
      <c r="BE220" s="325"/>
      <c r="BF220" s="325"/>
      <c r="BG220" s="325"/>
      <c r="BH220" s="325"/>
      <c r="BI220" s="325"/>
      <c r="BJ220" s="325"/>
      <c r="BK220" s="325"/>
      <c r="BL220" s="325"/>
      <c r="BM220" s="325"/>
      <c r="BN220" s="325"/>
      <c r="BO220" s="325"/>
      <c r="BP220" s="325"/>
      <c r="BQ220" s="325"/>
    </row>
    <row r="221" spans="1:69" ht="14.25" customHeight="1" x14ac:dyDescent="0.2">
      <c r="A221" s="3"/>
      <c r="B221" s="289"/>
      <c r="C221" s="3"/>
      <c r="D221" s="3"/>
      <c r="E221" s="3"/>
      <c r="F221" s="3"/>
      <c r="G221" s="289"/>
      <c r="H221" s="3"/>
      <c r="I221" s="3"/>
      <c r="J221" s="3"/>
      <c r="K221" s="3"/>
      <c r="L221" s="289"/>
      <c r="M221" s="3"/>
      <c r="N221" s="3"/>
      <c r="O221" s="3"/>
      <c r="P221" s="3"/>
      <c r="Q221" s="3"/>
      <c r="R221" s="3"/>
      <c r="S221" s="376"/>
      <c r="T221" s="418">
        <f t="shared" si="32"/>
        <v>195</v>
      </c>
      <c r="U221" s="376"/>
      <c r="V221" s="370">
        <f t="shared" ref="V221:V284" si="41">EXP(-1*$V$21*T221)</f>
        <v>7.6495299318341016E-3</v>
      </c>
      <c r="W221" s="289"/>
      <c r="X221" s="370">
        <f t="shared" si="33"/>
        <v>3.6862374114198203E-2</v>
      </c>
      <c r="Y221" s="429"/>
      <c r="Z221" s="421">
        <f t="shared" si="34"/>
        <v>7.9111854903646361E-2</v>
      </c>
      <c r="AA221" s="429"/>
      <c r="AB221" s="421">
        <f t="shared" si="35"/>
        <v>8.5319283440274105E-2</v>
      </c>
      <c r="AC221" s="430"/>
      <c r="AD221" s="424">
        <f t="shared" si="36"/>
        <v>2.1076589789546851E-2</v>
      </c>
      <c r="AE221" s="431"/>
      <c r="AF221" s="421">
        <f t="shared" si="37"/>
        <v>0.28285593409816318</v>
      </c>
      <c r="AG221" s="421">
        <f t="shared" si="38"/>
        <v>2.5792737123489715</v>
      </c>
      <c r="AH221" s="426">
        <f t="shared" si="39"/>
        <v>3.1441507873453218E-3</v>
      </c>
      <c r="AI221" s="421">
        <f t="shared" si="40"/>
        <v>0.18283848153318563</v>
      </c>
      <c r="AJ221" s="325"/>
      <c r="AK221" s="325"/>
      <c r="AL221" s="325"/>
      <c r="AM221" s="325"/>
      <c r="AN221" s="325"/>
      <c r="AO221" s="325"/>
      <c r="AP221" s="325"/>
      <c r="AQ221" s="325"/>
      <c r="AR221" s="325"/>
      <c r="AS221" s="325"/>
      <c r="AT221" s="325"/>
      <c r="AU221" s="325"/>
      <c r="AV221" s="325"/>
      <c r="AW221" s="325"/>
      <c r="AX221" s="325"/>
      <c r="AY221" s="325"/>
      <c r="AZ221" s="325"/>
      <c r="BA221" s="325"/>
      <c r="BB221" s="325"/>
      <c r="BC221" s="325"/>
      <c r="BD221" s="325"/>
      <c r="BE221" s="325"/>
      <c r="BF221" s="325"/>
      <c r="BG221" s="325"/>
      <c r="BH221" s="325"/>
      <c r="BI221" s="325"/>
      <c r="BJ221" s="325"/>
      <c r="BK221" s="325"/>
      <c r="BL221" s="325"/>
      <c r="BM221" s="325"/>
      <c r="BN221" s="325"/>
      <c r="BO221" s="325"/>
      <c r="BP221" s="325"/>
      <c r="BQ221" s="325"/>
    </row>
    <row r="222" spans="1:69" ht="14.25" customHeight="1" x14ac:dyDescent="0.2">
      <c r="A222" s="3"/>
      <c r="B222" s="289"/>
      <c r="C222" s="3"/>
      <c r="D222" s="3"/>
      <c r="E222" s="3"/>
      <c r="F222" s="3"/>
      <c r="G222" s="289"/>
      <c r="H222" s="3"/>
      <c r="I222" s="3"/>
      <c r="J222" s="3"/>
      <c r="K222" s="3"/>
      <c r="L222" s="289"/>
      <c r="M222" s="3"/>
      <c r="N222" s="3"/>
      <c r="O222" s="3"/>
      <c r="P222" s="3"/>
      <c r="Q222" s="3"/>
      <c r="R222" s="3"/>
      <c r="S222" s="376"/>
      <c r="T222" s="418">
        <f t="shared" si="32"/>
        <v>196</v>
      </c>
      <c r="U222" s="376"/>
      <c r="V222" s="370">
        <f t="shared" si="41"/>
        <v>7.4607346349455962E-3</v>
      </c>
      <c r="W222" s="289"/>
      <c r="X222" s="370">
        <f t="shared" si="33"/>
        <v>3.6385695256079736E-2</v>
      </c>
      <c r="Y222" s="429"/>
      <c r="Z222" s="421">
        <f t="shared" si="34"/>
        <v>7.8620273243069527E-2</v>
      </c>
      <c r="AA222" s="429"/>
      <c r="AB222" s="421">
        <f t="shared" si="35"/>
        <v>8.4894526362509437E-2</v>
      </c>
      <c r="AC222" s="430"/>
      <c r="AD222" s="424">
        <f t="shared" si="36"/>
        <v>2.0701253702884781E-2</v>
      </c>
      <c r="AE222" s="431"/>
      <c r="AF222" s="421">
        <f t="shared" si="37"/>
        <v>0.28285067065172759</v>
      </c>
      <c r="AG222" s="421">
        <f t="shared" si="38"/>
        <v>2.5832970751873936</v>
      </c>
      <c r="AH222" s="426">
        <f t="shared" si="39"/>
        <v>3.1216534553193723E-3</v>
      </c>
      <c r="AI222" s="421">
        <f t="shared" si="40"/>
        <v>0.18242777083625264</v>
      </c>
      <c r="AJ222" s="325"/>
      <c r="AK222" s="325"/>
      <c r="AL222" s="325"/>
      <c r="AM222" s="325"/>
      <c r="AN222" s="325"/>
      <c r="AO222" s="325"/>
      <c r="AP222" s="325"/>
      <c r="AQ222" s="325"/>
      <c r="AR222" s="325"/>
      <c r="AS222" s="325"/>
      <c r="AT222" s="325"/>
      <c r="AU222" s="325"/>
      <c r="AV222" s="325"/>
      <c r="AW222" s="325"/>
      <c r="AX222" s="325"/>
      <c r="AY222" s="325"/>
      <c r="AZ222" s="325"/>
      <c r="BA222" s="325"/>
      <c r="BB222" s="325"/>
      <c r="BC222" s="325"/>
      <c r="BD222" s="325"/>
      <c r="BE222" s="325"/>
      <c r="BF222" s="325"/>
      <c r="BG222" s="325"/>
      <c r="BH222" s="325"/>
      <c r="BI222" s="325"/>
      <c r="BJ222" s="325"/>
      <c r="BK222" s="325"/>
      <c r="BL222" s="325"/>
      <c r="BM222" s="325"/>
      <c r="BN222" s="325"/>
      <c r="BO222" s="325"/>
      <c r="BP222" s="325"/>
      <c r="BQ222" s="325"/>
    </row>
    <row r="223" spans="1:69" ht="14.25" customHeight="1" x14ac:dyDescent="0.2">
      <c r="A223" s="28"/>
      <c r="B223" s="28"/>
      <c r="C223" s="28"/>
      <c r="D223" s="28"/>
      <c r="E223" s="324"/>
      <c r="F223" s="324"/>
      <c r="G223" s="324"/>
      <c r="H223" s="324"/>
      <c r="I223" s="324"/>
      <c r="J223" s="324"/>
      <c r="K223" s="324"/>
      <c r="L223" s="324"/>
      <c r="M223" s="324"/>
      <c r="N223" s="324"/>
      <c r="O223" s="324"/>
      <c r="P223" s="324"/>
      <c r="Q223" s="324"/>
      <c r="R223" s="324"/>
      <c r="S223" s="419"/>
      <c r="T223" s="418">
        <f t="shared" si="32"/>
        <v>197</v>
      </c>
      <c r="U223" s="419"/>
      <c r="V223" s="370">
        <f t="shared" si="41"/>
        <v>7.2765989268742922E-3</v>
      </c>
      <c r="W223" s="429"/>
      <c r="X223" s="370">
        <f t="shared" si="33"/>
        <v>3.5915730075440438E-2</v>
      </c>
      <c r="Y223" s="429"/>
      <c r="Z223" s="421">
        <f t="shared" si="34"/>
        <v>7.8133494201246156E-2</v>
      </c>
      <c r="AA223" s="429"/>
      <c r="AB223" s="421">
        <f t="shared" si="35"/>
        <v>8.4473835632677491E-2</v>
      </c>
      <c r="AC223" s="430"/>
      <c r="AD223" s="424">
        <f t="shared" si="36"/>
        <v>2.033269037747798E-2</v>
      </c>
      <c r="AE223" s="431"/>
      <c r="AF223" s="421">
        <f t="shared" si="37"/>
        <v>0.28284561625183885</v>
      </c>
      <c r="AG223" s="421">
        <f t="shared" si="38"/>
        <v>2.5872999628082618</v>
      </c>
      <c r="AH223" s="426">
        <f t="shared" si="39"/>
        <v>3.0994303643200102E-3</v>
      </c>
      <c r="AI223" s="421">
        <f t="shared" si="40"/>
        <v>0.18202005889995657</v>
      </c>
      <c r="AJ223" s="325"/>
      <c r="AK223" s="325"/>
      <c r="AL223" s="325"/>
      <c r="AM223" s="325"/>
      <c r="AN223" s="325"/>
      <c r="AO223" s="325"/>
      <c r="AP223" s="325"/>
      <c r="AQ223" s="325"/>
      <c r="AR223" s="325"/>
      <c r="AS223" s="325"/>
      <c r="AT223" s="325"/>
      <c r="AU223" s="325"/>
      <c r="AV223" s="325"/>
      <c r="AW223" s="325"/>
      <c r="AX223" s="325"/>
      <c r="AY223" s="325"/>
      <c r="AZ223" s="325"/>
      <c r="BA223" s="325"/>
      <c r="BB223" s="325"/>
      <c r="BC223" s="325"/>
      <c r="BD223" s="325"/>
      <c r="BE223" s="325"/>
      <c r="BF223" s="325"/>
      <c r="BG223" s="325"/>
      <c r="BH223" s="325"/>
      <c r="BI223" s="325"/>
      <c r="BJ223" s="325"/>
      <c r="BK223" s="325"/>
      <c r="BL223" s="325"/>
      <c r="BM223" s="325"/>
      <c r="BN223" s="325"/>
      <c r="BO223" s="325"/>
      <c r="BP223" s="325"/>
      <c r="BQ223" s="325"/>
    </row>
    <row r="224" spans="1:69" ht="14.25" customHeight="1" x14ac:dyDescent="0.2">
      <c r="A224" s="28"/>
      <c r="B224" s="28"/>
      <c r="C224" s="28"/>
      <c r="D224" s="28"/>
      <c r="E224" s="324"/>
      <c r="F224" s="324"/>
      <c r="G224" s="324"/>
      <c r="H224" s="324"/>
      <c r="I224" s="324"/>
      <c r="J224" s="324"/>
      <c r="K224" s="324"/>
      <c r="L224" s="324"/>
      <c r="M224" s="324"/>
      <c r="N224" s="324"/>
      <c r="O224" s="324"/>
      <c r="P224" s="324"/>
      <c r="Q224" s="324"/>
      <c r="R224" s="324"/>
      <c r="S224" s="419"/>
      <c r="T224" s="418">
        <f t="shared" si="32"/>
        <v>198</v>
      </c>
      <c r="U224" s="419"/>
      <c r="V224" s="370">
        <f t="shared" si="41"/>
        <v>7.0970078059845376E-3</v>
      </c>
      <c r="W224" s="429"/>
      <c r="X224" s="370">
        <f t="shared" si="33"/>
        <v>3.5452374179718867E-2</v>
      </c>
      <c r="Y224" s="429"/>
      <c r="Z224" s="421">
        <f t="shared" si="34"/>
        <v>7.7651452152241451E-2</v>
      </c>
      <c r="AA224" s="429"/>
      <c r="AB224" s="421">
        <f t="shared" si="35"/>
        <v>8.4057153873828033E-2</v>
      </c>
      <c r="AC224" s="430"/>
      <c r="AD224" s="424">
        <f t="shared" si="36"/>
        <v>1.9970775282686648E-2</v>
      </c>
      <c r="AE224" s="431"/>
      <c r="AF224" s="421">
        <f t="shared" si="37"/>
        <v>0.28284076259235064</v>
      </c>
      <c r="AG224" s="421">
        <f t="shared" si="38"/>
        <v>2.5912825825568859</v>
      </c>
      <c r="AH224" s="426">
        <f t="shared" si="39"/>
        <v>3.0774768045969247E-3</v>
      </c>
      <c r="AI224" s="421">
        <f t="shared" si="40"/>
        <v>0.18161530883707333</v>
      </c>
      <c r="AJ224" s="325"/>
      <c r="AK224" s="325"/>
      <c r="AL224" s="325"/>
      <c r="AM224" s="325"/>
      <c r="AN224" s="325"/>
      <c r="AO224" s="325"/>
      <c r="AP224" s="325"/>
      <c r="AQ224" s="325"/>
      <c r="AR224" s="325"/>
      <c r="AS224" s="325"/>
      <c r="AT224" s="325"/>
      <c r="AU224" s="325"/>
      <c r="AV224" s="325"/>
      <c r="AW224" s="325"/>
      <c r="AX224" s="325"/>
      <c r="AY224" s="325"/>
      <c r="AZ224" s="325"/>
      <c r="BA224" s="325"/>
      <c r="BB224" s="325"/>
      <c r="BC224" s="325"/>
      <c r="BD224" s="325"/>
      <c r="BE224" s="325"/>
      <c r="BF224" s="325"/>
      <c r="BG224" s="325"/>
      <c r="BH224" s="325"/>
      <c r="BI224" s="325"/>
      <c r="BJ224" s="325"/>
      <c r="BK224" s="325"/>
      <c r="BL224" s="325"/>
      <c r="BM224" s="325"/>
      <c r="BN224" s="325"/>
      <c r="BO224" s="325"/>
      <c r="BP224" s="325"/>
      <c r="BQ224" s="325"/>
    </row>
    <row r="225" spans="1:69" ht="14.25" customHeight="1" x14ac:dyDescent="0.2">
      <c r="A225" s="28"/>
      <c r="B225" s="28"/>
      <c r="C225" s="28"/>
      <c r="D225" s="28"/>
      <c r="E225" s="324"/>
      <c r="F225" s="324"/>
      <c r="G225" s="324"/>
      <c r="H225" s="324"/>
      <c r="I225" s="324"/>
      <c r="J225" s="324"/>
      <c r="K225" s="324"/>
      <c r="L225" s="324"/>
      <c r="M225" s="324"/>
      <c r="N225" s="324"/>
      <c r="O225" s="324"/>
      <c r="P225" s="324"/>
      <c r="Q225" s="324"/>
      <c r="R225" s="324"/>
      <c r="S225" s="419"/>
      <c r="T225" s="418">
        <f t="shared" si="32"/>
        <v>199</v>
      </c>
      <c r="U225" s="419"/>
      <c r="V225" s="370">
        <f t="shared" si="41"/>
        <v>6.921849108954688E-3</v>
      </c>
      <c r="W225" s="429"/>
      <c r="X225" s="370">
        <f t="shared" si="33"/>
        <v>3.4995524994030983E-2</v>
      </c>
      <c r="Y225" s="429"/>
      <c r="Z225" s="421">
        <f t="shared" si="34"/>
        <v>7.7174082635202979E-2</v>
      </c>
      <c r="AA225" s="429"/>
      <c r="AB225" s="421">
        <f t="shared" si="35"/>
        <v>8.3644424775861342E-2</v>
      </c>
      <c r="AC225" s="430"/>
      <c r="AD225" s="424">
        <f t="shared" si="36"/>
        <v>1.9615386241633948E-2</v>
      </c>
      <c r="AE225" s="431"/>
      <c r="AF225" s="421">
        <f t="shared" si="37"/>
        <v>0.28283610169742196</v>
      </c>
      <c r="AG225" s="421">
        <f t="shared" si="38"/>
        <v>2.5952451386448683</v>
      </c>
      <c r="AH225" s="426">
        <f t="shared" si="39"/>
        <v>3.0557881705208074E-3</v>
      </c>
      <c r="AI225" s="421">
        <f t="shared" si="40"/>
        <v>0.18121348439655732</v>
      </c>
      <c r="AJ225" s="325"/>
      <c r="AK225" s="325"/>
      <c r="AL225" s="325"/>
      <c r="AM225" s="325"/>
      <c r="AN225" s="325"/>
      <c r="AO225" s="325"/>
      <c r="AP225" s="325"/>
      <c r="AQ225" s="325"/>
      <c r="AR225" s="325"/>
      <c r="AS225" s="325"/>
      <c r="AT225" s="325"/>
      <c r="AU225" s="325"/>
      <c r="AV225" s="325"/>
      <c r="AW225" s="325"/>
      <c r="AX225" s="325"/>
      <c r="AY225" s="325"/>
      <c r="AZ225" s="325"/>
      <c r="BA225" s="325"/>
      <c r="BB225" s="325"/>
      <c r="BC225" s="325"/>
      <c r="BD225" s="325"/>
      <c r="BE225" s="325"/>
      <c r="BF225" s="325"/>
      <c r="BG225" s="325"/>
      <c r="BH225" s="325"/>
      <c r="BI225" s="325"/>
      <c r="BJ225" s="325"/>
      <c r="BK225" s="325"/>
      <c r="BL225" s="325"/>
      <c r="BM225" s="325"/>
      <c r="BN225" s="325"/>
      <c r="BO225" s="325"/>
      <c r="BP225" s="325"/>
      <c r="BQ225" s="325"/>
    </row>
    <row r="226" spans="1:69" ht="14.25" customHeight="1" x14ac:dyDescent="0.2">
      <c r="A226" s="28"/>
      <c r="B226" s="28"/>
      <c r="C226" s="28"/>
      <c r="D226" s="28"/>
      <c r="E226" s="324"/>
      <c r="F226" s="324"/>
      <c r="G226" s="324"/>
      <c r="H226" s="324"/>
      <c r="I226" s="324"/>
      <c r="J226" s="324"/>
      <c r="K226" s="324"/>
      <c r="L226" s="324"/>
      <c r="M226" s="324"/>
      <c r="N226" s="324"/>
      <c r="O226" s="324"/>
      <c r="P226" s="324"/>
      <c r="Q226" s="324"/>
      <c r="R226" s="324"/>
      <c r="S226" s="419"/>
      <c r="T226" s="418">
        <f t="shared" si="32"/>
        <v>200</v>
      </c>
      <c r="U226" s="419"/>
      <c r="V226" s="370">
        <f t="shared" si="41"/>
        <v>6.7510134407256983E-3</v>
      </c>
      <c r="W226" s="429"/>
      <c r="X226" s="370">
        <f t="shared" si="33"/>
        <v>3.4545081725263251E-2</v>
      </c>
      <c r="Y226" s="429"/>
      <c r="Z226" s="421">
        <f t="shared" si="34"/>
        <v>7.6701322328781796E-2</v>
      </c>
      <c r="AA226" s="429"/>
      <c r="AB226" s="421">
        <f t="shared" si="35"/>
        <v>8.3235593070962302E-2</v>
      </c>
      <c r="AC226" s="430"/>
      <c r="AD226" s="424">
        <f t="shared" si="36"/>
        <v>1.9266403384842867E-2</v>
      </c>
      <c r="AE226" s="431"/>
      <c r="AF226" s="421">
        <f t="shared" si="37"/>
        <v>0.28283162590836142</v>
      </c>
      <c r="AG226" s="421">
        <f t="shared" si="38"/>
        <v>2.5991878322129343</v>
      </c>
      <c r="AH226" s="426">
        <f t="shared" si="39"/>
        <v>3.0343599577729286E-3</v>
      </c>
      <c r="AI226" s="421">
        <f t="shared" si="40"/>
        <v>0.18081454994945811</v>
      </c>
      <c r="AJ226" s="325"/>
      <c r="AK226" s="325"/>
      <c r="AL226" s="325"/>
      <c r="AM226" s="325"/>
      <c r="AN226" s="325"/>
      <c r="AO226" s="325"/>
      <c r="AP226" s="325"/>
      <c r="AQ226" s="325"/>
      <c r="AR226" s="325"/>
      <c r="AS226" s="325"/>
      <c r="AT226" s="325"/>
      <c r="AU226" s="325"/>
      <c r="AV226" s="325"/>
      <c r="AW226" s="325"/>
      <c r="AX226" s="325"/>
      <c r="AY226" s="325"/>
      <c r="AZ226" s="325"/>
      <c r="BA226" s="325"/>
      <c r="BB226" s="325"/>
      <c r="BC226" s="325"/>
      <c r="BD226" s="325"/>
      <c r="BE226" s="325"/>
      <c r="BF226" s="325"/>
      <c r="BG226" s="325"/>
      <c r="BH226" s="325"/>
      <c r="BI226" s="325"/>
      <c r="BJ226" s="325"/>
      <c r="BK226" s="325"/>
      <c r="BL226" s="325"/>
      <c r="BM226" s="325"/>
      <c r="BN226" s="325"/>
      <c r="BO226" s="325"/>
      <c r="BP226" s="325"/>
      <c r="BQ226" s="325"/>
    </row>
    <row r="227" spans="1:69" ht="14.25" customHeight="1" x14ac:dyDescent="0.2">
      <c r="A227" s="28"/>
      <c r="B227" s="28"/>
      <c r="C227" s="28"/>
      <c r="D227" s="28"/>
      <c r="E227" s="324"/>
      <c r="F227" s="324"/>
      <c r="G227" s="324"/>
      <c r="H227" s="324"/>
      <c r="I227" s="324"/>
      <c r="J227" s="324"/>
      <c r="K227" s="324"/>
      <c r="L227" s="324"/>
      <c r="M227" s="324"/>
      <c r="N227" s="324"/>
      <c r="O227" s="324"/>
      <c r="P227" s="324"/>
      <c r="Q227" s="324"/>
      <c r="R227" s="324"/>
      <c r="S227" s="419"/>
      <c r="T227" s="418">
        <f t="shared" si="32"/>
        <v>201</v>
      </c>
      <c r="U227" s="419"/>
      <c r="V227" s="370">
        <f t="shared" si="41"/>
        <v>6.5843941061786279E-3</v>
      </c>
      <c r="W227" s="429"/>
      <c r="X227" s="370">
        <f t="shared" si="33"/>
        <v>3.4100945326978313E-2</v>
      </c>
      <c r="Y227" s="429"/>
      <c r="Z227" s="421">
        <f t="shared" si="34"/>
        <v>7.6233109026224377E-2</v>
      </c>
      <c r="AA227" s="429"/>
      <c r="AB227" s="421">
        <f t="shared" si="35"/>
        <v>8.2830604509707986E-2</v>
      </c>
      <c r="AC227" s="430"/>
      <c r="AD227" s="424">
        <f t="shared" si="36"/>
        <v>1.8923709104844644E-2</v>
      </c>
      <c r="AE227" s="431"/>
      <c r="AF227" s="421">
        <f t="shared" si="37"/>
        <v>0.2828273278709959</v>
      </c>
      <c r="AG227" s="421">
        <f t="shared" si="38"/>
        <v>2.6031108613921963</v>
      </c>
      <c r="AH227" s="426">
        <f t="shared" si="39"/>
        <v>3.0131877606241401E-3</v>
      </c>
      <c r="AI227" s="421">
        <f t="shared" si="40"/>
        <v>0.18041847047521387</v>
      </c>
      <c r="AJ227" s="325"/>
      <c r="AK227" s="325"/>
      <c r="AL227" s="325"/>
      <c r="AM227" s="325"/>
      <c r="AN227" s="325"/>
      <c r="AO227" s="325"/>
      <c r="AP227" s="325"/>
      <c r="AQ227" s="325"/>
      <c r="AR227" s="325"/>
      <c r="AS227" s="325"/>
      <c r="AT227" s="325"/>
      <c r="AU227" s="325"/>
      <c r="AV227" s="325"/>
      <c r="AW227" s="325"/>
      <c r="AX227" s="325"/>
      <c r="AY227" s="325"/>
      <c r="AZ227" s="325"/>
      <c r="BA227" s="325"/>
      <c r="BB227" s="325"/>
      <c r="BC227" s="325"/>
      <c r="BD227" s="325"/>
      <c r="BE227" s="325"/>
      <c r="BF227" s="325"/>
      <c r="BG227" s="325"/>
      <c r="BH227" s="325"/>
      <c r="BI227" s="325"/>
      <c r="BJ227" s="325"/>
      <c r="BK227" s="325"/>
      <c r="BL227" s="325"/>
      <c r="BM227" s="325"/>
      <c r="BN227" s="325"/>
      <c r="BO227" s="325"/>
      <c r="BP227" s="325"/>
      <c r="BQ227" s="325"/>
    </row>
    <row r="228" spans="1:69" ht="14.25" customHeight="1" x14ac:dyDescent="0.2">
      <c r="A228" s="28"/>
      <c r="B228" s="28"/>
      <c r="C228" s="28"/>
      <c r="D228" s="28"/>
      <c r="E228" s="324"/>
      <c r="F228" s="324"/>
      <c r="G228" s="324"/>
      <c r="H228" s="324"/>
      <c r="I228" s="324"/>
      <c r="J228" s="324"/>
      <c r="K228" s="324"/>
      <c r="L228" s="324"/>
      <c r="M228" s="324"/>
      <c r="N228" s="324"/>
      <c r="O228" s="324"/>
      <c r="P228" s="324"/>
      <c r="Q228" s="324"/>
      <c r="R228" s="324"/>
      <c r="S228" s="419"/>
      <c r="T228" s="418">
        <f t="shared" si="32"/>
        <v>202</v>
      </c>
      <c r="U228" s="419"/>
      <c r="V228" s="370">
        <f t="shared" si="41"/>
        <v>6.42188704349839E-3</v>
      </c>
      <c r="W228" s="429"/>
      <c r="X228" s="370">
        <f t="shared" si="33"/>
        <v>3.3663018465111785E-2</v>
      </c>
      <c r="Y228" s="429"/>
      <c r="Z228" s="421">
        <f t="shared" si="34"/>
        <v>7.5769381611114905E-2</v>
      </c>
      <c r="AA228" s="429"/>
      <c r="AB228" s="421">
        <f t="shared" si="35"/>
        <v>8.2429405837826708E-2</v>
      </c>
      <c r="AC228" s="430"/>
      <c r="AD228" s="424">
        <f t="shared" si="36"/>
        <v>1.8587188011737199E-2</v>
      </c>
      <c r="AE228" s="431"/>
      <c r="AF228" s="421">
        <f t="shared" si="37"/>
        <v>0.28282320052354482</v>
      </c>
      <c r="AG228" s="421">
        <f t="shared" si="38"/>
        <v>2.6070144213639002</v>
      </c>
      <c r="AH228" s="426">
        <f t="shared" si="39"/>
        <v>2.9922672693000764E-3</v>
      </c>
      <c r="AI228" s="421">
        <f t="shared" si="40"/>
        <v>0.18002521154831533</v>
      </c>
      <c r="AJ228" s="325"/>
      <c r="AK228" s="325"/>
      <c r="AL228" s="325"/>
      <c r="AM228" s="325"/>
      <c r="AN228" s="325"/>
      <c r="AO228" s="325"/>
      <c r="AP228" s="325"/>
      <c r="AQ228" s="325"/>
      <c r="AR228" s="325"/>
      <c r="AS228" s="325"/>
      <c r="AT228" s="325"/>
      <c r="AU228" s="325"/>
      <c r="AV228" s="325"/>
      <c r="AW228" s="325"/>
      <c r="AX228" s="325"/>
      <c r="AY228" s="325"/>
      <c r="AZ228" s="325"/>
      <c r="BA228" s="325"/>
      <c r="BB228" s="325"/>
      <c r="BC228" s="325"/>
      <c r="BD228" s="325"/>
      <c r="BE228" s="325"/>
      <c r="BF228" s="325"/>
      <c r="BG228" s="325"/>
      <c r="BH228" s="325"/>
      <c r="BI228" s="325"/>
      <c r="BJ228" s="325"/>
      <c r="BK228" s="325"/>
      <c r="BL228" s="325"/>
      <c r="BM228" s="325"/>
      <c r="BN228" s="325"/>
      <c r="BO228" s="325"/>
      <c r="BP228" s="325"/>
      <c r="BQ228" s="325"/>
    </row>
    <row r="229" spans="1:69" ht="14.25" customHeight="1" x14ac:dyDescent="0.2">
      <c r="A229" s="28"/>
      <c r="B229" s="28"/>
      <c r="C229" s="28"/>
      <c r="D229" s="28"/>
      <c r="E229" s="324"/>
      <c r="F229" s="324"/>
      <c r="G229" s="324"/>
      <c r="H229" s="324"/>
      <c r="I229" s="324"/>
      <c r="J229" s="324"/>
      <c r="K229" s="324"/>
      <c r="L229" s="324"/>
      <c r="M229" s="324"/>
      <c r="N229" s="324"/>
      <c r="O229" s="324"/>
      <c r="P229" s="324"/>
      <c r="Q229" s="324"/>
      <c r="R229" s="324"/>
      <c r="S229" s="419"/>
      <c r="T229" s="418">
        <f t="shared" si="32"/>
        <v>203</v>
      </c>
      <c r="U229" s="419"/>
      <c r="V229" s="370">
        <f t="shared" si="41"/>
        <v>6.2633907591821292E-3</v>
      </c>
      <c r="W229" s="429"/>
      <c r="X229" s="370">
        <f t="shared" si="33"/>
        <v>3.3231205484440307E-2</v>
      </c>
      <c r="Y229" s="429"/>
      <c r="Z229" s="421">
        <f t="shared" si="34"/>
        <v>7.5310080033747506E-2</v>
      </c>
      <c r="AA229" s="429"/>
      <c r="AB229" s="421">
        <f t="shared" si="35"/>
        <v>8.2031944773589258E-2</v>
      </c>
      <c r="AC229" s="430"/>
      <c r="AD229" s="424">
        <f t="shared" si="36"/>
        <v>1.825672688966995E-2</v>
      </c>
      <c r="AE229" s="431"/>
      <c r="AF229" s="421">
        <f t="shared" si="37"/>
        <v>0.28281923708497841</v>
      </c>
      <c r="AG229" s="421">
        <f t="shared" si="38"/>
        <v>2.6108987044176932</v>
      </c>
      <c r="AH229" s="426">
        <f t="shared" si="39"/>
        <v>2.9715942674293709E-3</v>
      </c>
      <c r="AI229" s="421">
        <f t="shared" si="40"/>
        <v>0.17963473932532459</v>
      </c>
      <c r="AJ229" s="325"/>
      <c r="AK229" s="325"/>
      <c r="AL229" s="325"/>
      <c r="AM229" s="325"/>
      <c r="AN229" s="325"/>
      <c r="AO229" s="325"/>
      <c r="AP229" s="325"/>
      <c r="AQ229" s="325"/>
      <c r="AR229" s="325"/>
      <c r="AS229" s="325"/>
      <c r="AT229" s="325"/>
      <c r="AU229" s="325"/>
      <c r="AV229" s="325"/>
      <c r="AW229" s="325"/>
      <c r="AX229" s="325"/>
      <c r="AY229" s="325"/>
      <c r="AZ229" s="325"/>
      <c r="BA229" s="325"/>
      <c r="BB229" s="325"/>
      <c r="BC229" s="325"/>
      <c r="BD229" s="325"/>
      <c r="BE229" s="325"/>
      <c r="BF229" s="325"/>
      <c r="BG229" s="325"/>
      <c r="BH229" s="325"/>
      <c r="BI229" s="325"/>
      <c r="BJ229" s="325"/>
      <c r="BK229" s="325"/>
      <c r="BL229" s="325"/>
      <c r="BM229" s="325"/>
      <c r="BN229" s="325"/>
      <c r="BO229" s="325"/>
      <c r="BP229" s="325"/>
      <c r="BQ229" s="325"/>
    </row>
    <row r="230" spans="1:69" ht="14.25" customHeight="1" x14ac:dyDescent="0.2">
      <c r="A230" s="28"/>
      <c r="B230" s="28"/>
      <c r="C230" s="28"/>
      <c r="D230" s="28"/>
      <c r="E230" s="324"/>
      <c r="F230" s="324"/>
      <c r="G230" s="324"/>
      <c r="H230" s="324"/>
      <c r="I230" s="324"/>
      <c r="J230" s="324"/>
      <c r="K230" s="324"/>
      <c r="L230" s="324"/>
      <c r="M230" s="324"/>
      <c r="N230" s="324"/>
      <c r="O230" s="324"/>
      <c r="P230" s="324"/>
      <c r="Q230" s="324"/>
      <c r="R230" s="324"/>
      <c r="S230" s="419"/>
      <c r="T230" s="418">
        <f t="shared" ref="T230:T293" si="42">T229+1</f>
        <v>204</v>
      </c>
      <c r="U230" s="419"/>
      <c r="V230" s="370">
        <f t="shared" si="41"/>
        <v>6.1088062646516283E-3</v>
      </c>
      <c r="W230" s="429"/>
      <c r="X230" s="370">
        <f t="shared" si="33"/>
        <v>3.2805412375800251E-2</v>
      </c>
      <c r="Y230" s="429"/>
      <c r="Z230" s="421">
        <f t="shared" si="34"/>
        <v>7.4855145288110325E-2</v>
      </c>
      <c r="AA230" s="429"/>
      <c r="AB230" s="421">
        <f t="shared" si="35"/>
        <v>8.1638169985810694E-2</v>
      </c>
      <c r="AC230" s="430"/>
      <c r="AD230" s="424">
        <f t="shared" si="36"/>
        <v>1.7932214654235556E-2</v>
      </c>
      <c r="AE230" s="431"/>
      <c r="AF230" s="421">
        <f t="shared" si="37"/>
        <v>0.28281543104384022</v>
      </c>
      <c r="AG230" s="421">
        <f t="shared" si="38"/>
        <v>2.6147639000084637</v>
      </c>
      <c r="AH230" s="426">
        <f t="shared" si="39"/>
        <v>2.9511646295718947E-3</v>
      </c>
      <c r="AI230" s="421">
        <f t="shared" si="40"/>
        <v>0.1792470205322392</v>
      </c>
      <c r="AJ230" s="325"/>
      <c r="AK230" s="325"/>
      <c r="AL230" s="325"/>
      <c r="AM230" s="325"/>
      <c r="AN230" s="325"/>
      <c r="AO230" s="325"/>
      <c r="AP230" s="325"/>
      <c r="AQ230" s="325"/>
      <c r="AR230" s="325"/>
      <c r="AS230" s="325"/>
      <c r="AT230" s="325"/>
      <c r="AU230" s="325"/>
      <c r="AV230" s="325"/>
      <c r="AW230" s="325"/>
      <c r="AX230" s="325"/>
      <c r="AY230" s="325"/>
      <c r="AZ230" s="325"/>
      <c r="BA230" s="325"/>
      <c r="BB230" s="325"/>
      <c r="BC230" s="325"/>
      <c r="BD230" s="325"/>
      <c r="BE230" s="325"/>
      <c r="BF230" s="325"/>
      <c r="BG230" s="325"/>
      <c r="BH230" s="325"/>
      <c r="BI230" s="325"/>
      <c r="BJ230" s="325"/>
      <c r="BK230" s="325"/>
      <c r="BL230" s="325"/>
      <c r="BM230" s="325"/>
      <c r="BN230" s="325"/>
      <c r="BO230" s="325"/>
      <c r="BP230" s="325"/>
      <c r="BQ230" s="325"/>
    </row>
    <row r="231" spans="1:69" ht="14.25" customHeight="1" x14ac:dyDescent="0.2">
      <c r="A231" s="28"/>
      <c r="B231" s="28"/>
      <c r="C231" s="28"/>
      <c r="D231" s="28"/>
      <c r="E231" s="324"/>
      <c r="F231" s="324"/>
      <c r="G231" s="324"/>
      <c r="H231" s="324"/>
      <c r="I231" s="324"/>
      <c r="J231" s="324"/>
      <c r="K231" s="324"/>
      <c r="L231" s="324"/>
      <c r="M231" s="324"/>
      <c r="N231" s="324"/>
      <c r="O231" s="324"/>
      <c r="P231" s="324"/>
      <c r="Q231" s="324"/>
      <c r="R231" s="324"/>
      <c r="S231" s="419"/>
      <c r="T231" s="418">
        <f t="shared" si="42"/>
        <v>205</v>
      </c>
      <c r="U231" s="419"/>
      <c r="V231" s="370">
        <f t="shared" si="41"/>
        <v>5.9580370144301648E-3</v>
      </c>
      <c r="W231" s="429"/>
      <c r="X231" s="370">
        <f t="shared" si="33"/>
        <v>3.2385546744038138E-2</v>
      </c>
      <c r="Y231" s="429"/>
      <c r="Z231" s="421">
        <f t="shared" si="34"/>
        <v>7.4404519389462798E-2</v>
      </c>
      <c r="AA231" s="429"/>
      <c r="AB231" s="421">
        <f t="shared" si="35"/>
        <v>8.1248031072445562E-2</v>
      </c>
      <c r="AC231" s="430"/>
      <c r="AD231" s="424">
        <f t="shared" si="36"/>
        <v>1.7613542310748409E-2</v>
      </c>
      <c r="AE231" s="431"/>
      <c r="AF231" s="421">
        <f t="shared" si="37"/>
        <v>0.28281177614751685</v>
      </c>
      <c r="AG231" s="421">
        <f t="shared" si="38"/>
        <v>2.6186101948117892</v>
      </c>
      <c r="AH231" s="426">
        <f t="shared" si="39"/>
        <v>2.9309743188241566E-3</v>
      </c>
      <c r="AI231" s="421">
        <f t="shared" si="40"/>
        <v>0.17886202245219165</v>
      </c>
      <c r="AJ231" s="325"/>
      <c r="AK231" s="325"/>
      <c r="AL231" s="325"/>
      <c r="AM231" s="325"/>
      <c r="AN231" s="325"/>
      <c r="AO231" s="325"/>
      <c r="AP231" s="325"/>
      <c r="AQ231" s="325"/>
      <c r="AR231" s="325"/>
      <c r="AS231" s="325"/>
      <c r="AT231" s="325"/>
      <c r="AU231" s="325"/>
      <c r="AV231" s="325"/>
      <c r="AW231" s="325"/>
      <c r="AX231" s="325"/>
      <c r="AY231" s="325"/>
      <c r="AZ231" s="325"/>
      <c r="BA231" s="325"/>
      <c r="BB231" s="325"/>
      <c r="BC231" s="325"/>
      <c r="BD231" s="325"/>
      <c r="BE231" s="325"/>
      <c r="BF231" s="325"/>
      <c r="BG231" s="325"/>
      <c r="BH231" s="325"/>
      <c r="BI231" s="325"/>
      <c r="BJ231" s="325"/>
      <c r="BK231" s="325"/>
      <c r="BL231" s="325"/>
      <c r="BM231" s="325"/>
      <c r="BN231" s="325"/>
      <c r="BO231" s="325"/>
      <c r="BP231" s="325"/>
      <c r="BQ231" s="325"/>
    </row>
    <row r="232" spans="1:69" ht="14.25" customHeight="1" x14ac:dyDescent="0.2">
      <c r="A232" s="28"/>
      <c r="B232" s="28"/>
      <c r="C232" s="28"/>
      <c r="D232" s="28"/>
      <c r="E232" s="324"/>
      <c r="F232" s="324"/>
      <c r="G232" s="324"/>
      <c r="H232" s="324"/>
      <c r="I232" s="324"/>
      <c r="J232" s="324"/>
      <c r="K232" s="324"/>
      <c r="L232" s="324"/>
      <c r="M232" s="324"/>
      <c r="N232" s="324"/>
      <c r="O232" s="324"/>
      <c r="P232" s="324"/>
      <c r="Q232" s="324"/>
      <c r="R232" s="324"/>
      <c r="S232" s="419"/>
      <c r="T232" s="418">
        <f t="shared" si="42"/>
        <v>206</v>
      </c>
      <c r="U232" s="419"/>
      <c r="V232" s="370">
        <f t="shared" si="41"/>
        <v>5.8109888458452033E-3</v>
      </c>
      <c r="W232" s="429"/>
      <c r="X232" s="370">
        <f t="shared" si="33"/>
        <v>3.1971517776674022E-2</v>
      </c>
      <c r="Y232" s="429"/>
      <c r="Z232" s="421">
        <f t="shared" si="34"/>
        <v>7.3958145352487126E-2</v>
      </c>
      <c r="AA232" s="429"/>
      <c r="AB232" s="421">
        <f t="shared" si="35"/>
        <v>8.0861478539756046E-2</v>
      </c>
      <c r="AC232" s="430"/>
      <c r="AD232" s="424">
        <f t="shared" si="36"/>
        <v>1.7300602913386975E-2</v>
      </c>
      <c r="AE232" s="431"/>
      <c r="AF232" s="421">
        <f t="shared" si="37"/>
        <v>0.28280826639193479</v>
      </c>
      <c r="AG232" s="421">
        <f t="shared" si="38"/>
        <v>2.6224377727780319</v>
      </c>
      <c r="AH232" s="426">
        <f t="shared" si="39"/>
        <v>2.9110193844990627E-3</v>
      </c>
      <c r="AI232" s="421">
        <f t="shared" si="40"/>
        <v>0.17847971291347142</v>
      </c>
      <c r="AJ232" s="325"/>
      <c r="AK232" s="325"/>
      <c r="AL232" s="325"/>
      <c r="AM232" s="325"/>
      <c r="AN232" s="325"/>
      <c r="AO232" s="325"/>
      <c r="AP232" s="325"/>
      <c r="AQ232" s="325"/>
      <c r="AR232" s="325"/>
      <c r="AS232" s="325"/>
      <c r="AT232" s="325"/>
      <c r="AU232" s="325"/>
      <c r="AV232" s="325"/>
      <c r="AW232" s="325"/>
      <c r="AX232" s="325"/>
      <c r="AY232" s="325"/>
      <c r="AZ232" s="325"/>
      <c r="BA232" s="325"/>
      <c r="BB232" s="325"/>
      <c r="BC232" s="325"/>
      <c r="BD232" s="325"/>
      <c r="BE232" s="325"/>
      <c r="BF232" s="325"/>
      <c r="BG232" s="325"/>
      <c r="BH232" s="325"/>
      <c r="BI232" s="325"/>
      <c r="BJ232" s="325"/>
      <c r="BK232" s="325"/>
      <c r="BL232" s="325"/>
      <c r="BM232" s="325"/>
      <c r="BN232" s="325"/>
      <c r="BO232" s="325"/>
      <c r="BP232" s="325"/>
      <c r="BQ232" s="325"/>
    </row>
    <row r="233" spans="1:69" ht="14.25" customHeight="1" x14ac:dyDescent="0.2">
      <c r="A233" s="28"/>
      <c r="B233" s="28"/>
      <c r="C233" s="28"/>
      <c r="D233" s="28"/>
      <c r="E233" s="324"/>
      <c r="F233" s="324"/>
      <c r="G233" s="324"/>
      <c r="H233" s="324"/>
      <c r="I233" s="324"/>
      <c r="J233" s="324"/>
      <c r="K233" s="324"/>
      <c r="L233" s="324"/>
      <c r="M233" s="324"/>
      <c r="N233" s="324"/>
      <c r="O233" s="324"/>
      <c r="P233" s="324"/>
      <c r="Q233" s="324"/>
      <c r="R233" s="324"/>
      <c r="S233" s="419"/>
      <c r="T233" s="418">
        <f t="shared" si="42"/>
        <v>207</v>
      </c>
      <c r="U233" s="419"/>
      <c r="V233" s="370">
        <f t="shared" si="41"/>
        <v>5.6675699202192609E-3</v>
      </c>
      <c r="W233" s="429"/>
      <c r="X233" s="370">
        <f t="shared" si="33"/>
        <v>3.1563236213259432E-2</v>
      </c>
      <c r="Y233" s="429"/>
      <c r="Z233" s="421">
        <f t="shared" si="34"/>
        <v>7.3515967169998975E-2</v>
      </c>
      <c r="AA233" s="429"/>
      <c r="AB233" s="421">
        <f t="shared" si="35"/>
        <v>8.0478463782036797E-2</v>
      </c>
      <c r="AC233" s="430"/>
      <c r="AD233" s="424">
        <f t="shared" si="36"/>
        <v>1.6993291525184251E-2</v>
      </c>
      <c r="AE233" s="431"/>
      <c r="AF233" s="421">
        <f t="shared" si="37"/>
        <v>0.28280489601166953</v>
      </c>
      <c r="AG233" s="421">
        <f t="shared" si="38"/>
        <v>2.6262468151851324</v>
      </c>
      <c r="AH233" s="426">
        <f t="shared" si="39"/>
        <v>2.8912959598773533E-3</v>
      </c>
      <c r="AI233" s="421">
        <f t="shared" si="40"/>
        <v>0.17810006027786154</v>
      </c>
      <c r="AJ233" s="325"/>
      <c r="AK233" s="325"/>
      <c r="AL233" s="325"/>
      <c r="AM233" s="325"/>
      <c r="AN233" s="325"/>
      <c r="AO233" s="325"/>
      <c r="AP233" s="325"/>
      <c r="AQ233" s="325"/>
      <c r="AR233" s="325"/>
      <c r="AS233" s="325"/>
      <c r="AT233" s="325"/>
      <c r="AU233" s="325"/>
      <c r="AV233" s="325"/>
      <c r="AW233" s="325"/>
      <c r="AX233" s="325"/>
      <c r="AY233" s="325"/>
      <c r="AZ233" s="325"/>
      <c r="BA233" s="325"/>
      <c r="BB233" s="325"/>
      <c r="BC233" s="325"/>
      <c r="BD233" s="325"/>
      <c r="BE233" s="325"/>
      <c r="BF233" s="325"/>
      <c r="BG233" s="325"/>
      <c r="BH233" s="325"/>
      <c r="BI233" s="325"/>
      <c r="BJ233" s="325"/>
      <c r="BK233" s="325"/>
      <c r="BL233" s="325"/>
      <c r="BM233" s="325"/>
      <c r="BN233" s="325"/>
      <c r="BO233" s="325"/>
      <c r="BP233" s="325"/>
      <c r="BQ233" s="325"/>
    </row>
    <row r="234" spans="1:69" ht="14.25" customHeight="1" x14ac:dyDescent="0.2">
      <c r="A234" s="28"/>
      <c r="B234" s="28"/>
      <c r="C234" s="28"/>
      <c r="D234" s="28"/>
      <c r="E234" s="324"/>
      <c r="F234" s="324"/>
      <c r="G234" s="324"/>
      <c r="H234" s="324"/>
      <c r="I234" s="324"/>
      <c r="J234" s="324"/>
      <c r="K234" s="324"/>
      <c r="L234" s="324"/>
      <c r="M234" s="324"/>
      <c r="N234" s="324"/>
      <c r="O234" s="324"/>
      <c r="P234" s="324"/>
      <c r="Q234" s="324"/>
      <c r="R234" s="324"/>
      <c r="S234" s="419"/>
      <c r="T234" s="418">
        <f t="shared" si="42"/>
        <v>208</v>
      </c>
      <c r="U234" s="419"/>
      <c r="V234" s="370">
        <f t="shared" si="41"/>
        <v>5.5276906655122192E-3</v>
      </c>
      <c r="W234" s="429"/>
      <c r="X234" s="370">
        <f t="shared" si="33"/>
        <v>3.1160614315412588E-2</v>
      </c>
      <c r="Y234" s="429"/>
      <c r="Z234" s="421">
        <f t="shared" si="34"/>
        <v>7.3077929792198071E-2</v>
      </c>
      <c r="AA234" s="429"/>
      <c r="AB234" s="421">
        <f t="shared" si="35"/>
        <v>8.0098939061878358E-2</v>
      </c>
      <c r="AC234" s="430"/>
      <c r="AD234" s="424">
        <f t="shared" si="36"/>
        <v>1.6691505178844102E-2</v>
      </c>
      <c r="AE234" s="431"/>
      <c r="AF234" s="421">
        <f t="shared" si="37"/>
        <v>0.28280165947044827</v>
      </c>
      <c r="AG234" s="421">
        <f t="shared" si="38"/>
        <v>2.6300375006901264</v>
      </c>
      <c r="AH234" s="426">
        <f t="shared" si="39"/>
        <v>2.8718002600282388E-3</v>
      </c>
      <c r="AI234" s="421">
        <f t="shared" si="40"/>
        <v>0.17772303342927909</v>
      </c>
      <c r="AJ234" s="325"/>
      <c r="AK234" s="325"/>
      <c r="AL234" s="325"/>
      <c r="AM234" s="325"/>
      <c r="AN234" s="325"/>
      <c r="AO234" s="325"/>
      <c r="AP234" s="325"/>
      <c r="AQ234" s="325"/>
      <c r="AR234" s="325"/>
      <c r="AS234" s="325"/>
      <c r="AT234" s="325"/>
      <c r="AU234" s="325"/>
      <c r="AV234" s="325"/>
      <c r="AW234" s="325"/>
      <c r="AX234" s="325"/>
      <c r="AY234" s="325"/>
      <c r="AZ234" s="325"/>
      <c r="BA234" s="325"/>
      <c r="BB234" s="325"/>
      <c r="BC234" s="325"/>
      <c r="BD234" s="325"/>
      <c r="BE234" s="325"/>
      <c r="BF234" s="325"/>
      <c r="BG234" s="325"/>
      <c r="BH234" s="325"/>
      <c r="BI234" s="325"/>
      <c r="BJ234" s="325"/>
      <c r="BK234" s="325"/>
      <c r="BL234" s="325"/>
      <c r="BM234" s="325"/>
      <c r="BN234" s="325"/>
      <c r="BO234" s="325"/>
      <c r="BP234" s="325"/>
      <c r="BQ234" s="325"/>
    </row>
    <row r="235" spans="1:69" ht="14.25" customHeight="1" x14ac:dyDescent="0.2">
      <c r="A235" s="28"/>
      <c r="B235" s="28"/>
      <c r="C235" s="28"/>
      <c r="D235" s="28"/>
      <c r="E235" s="324"/>
      <c r="F235" s="324"/>
      <c r="G235" s="324"/>
      <c r="H235" s="324"/>
      <c r="I235" s="324"/>
      <c r="J235" s="324"/>
      <c r="K235" s="324"/>
      <c r="L235" s="324"/>
      <c r="M235" s="324"/>
      <c r="N235" s="324"/>
      <c r="O235" s="324"/>
      <c r="P235" s="324"/>
      <c r="Q235" s="324"/>
      <c r="R235" s="324"/>
      <c r="S235" s="419"/>
      <c r="T235" s="418">
        <f t="shared" si="42"/>
        <v>209</v>
      </c>
      <c r="U235" s="419"/>
      <c r="V235" s="370">
        <f t="shared" si="41"/>
        <v>5.3912637203792678E-3</v>
      </c>
      <c r="W235" s="429"/>
      <c r="X235" s="370">
        <f t="shared" si="33"/>
        <v>3.0763565837513076E-2</v>
      </c>
      <c r="Y235" s="429"/>
      <c r="Z235" s="421">
        <f t="shared" si="34"/>
        <v>7.264397910644671E-2</v>
      </c>
      <c r="AA235" s="429"/>
      <c r="AB235" s="421">
        <f t="shared" si="35"/>
        <v>7.9722857490952773E-2</v>
      </c>
      <c r="AC235" s="430"/>
      <c r="AD235" s="424">
        <f t="shared" si="36"/>
        <v>1.6395142838366517E-2</v>
      </c>
      <c r="AE235" s="431"/>
      <c r="AF235" s="421">
        <f t="shared" si="37"/>
        <v>0.28279855145203198</v>
      </c>
      <c r="AG235" s="421">
        <f t="shared" si="38"/>
        <v>2.6338100053794218</v>
      </c>
      <c r="AH235" s="426">
        <f t="shared" si="39"/>
        <v>2.8525285796967555E-3</v>
      </c>
      <c r="AI235" s="421">
        <f t="shared" si="40"/>
        <v>0.17734860176271114</v>
      </c>
      <c r="AJ235" s="325"/>
      <c r="AK235" s="325"/>
      <c r="AL235" s="325"/>
      <c r="AM235" s="325"/>
      <c r="AN235" s="325"/>
      <c r="AO235" s="325"/>
      <c r="AP235" s="325"/>
      <c r="AQ235" s="325"/>
      <c r="AR235" s="325"/>
      <c r="AS235" s="325"/>
      <c r="AT235" s="325"/>
      <c r="AU235" s="325"/>
      <c r="AV235" s="325"/>
      <c r="AW235" s="325"/>
      <c r="AX235" s="325"/>
      <c r="AY235" s="325"/>
      <c r="AZ235" s="325"/>
      <c r="BA235" s="325"/>
      <c r="BB235" s="325"/>
      <c r="BC235" s="325"/>
      <c r="BD235" s="325"/>
      <c r="BE235" s="325"/>
      <c r="BF235" s="325"/>
      <c r="BG235" s="325"/>
      <c r="BH235" s="325"/>
      <c r="BI235" s="325"/>
      <c r="BJ235" s="325"/>
      <c r="BK235" s="325"/>
      <c r="BL235" s="325"/>
      <c r="BM235" s="325"/>
      <c r="BN235" s="325"/>
      <c r="BO235" s="325"/>
      <c r="BP235" s="325"/>
      <c r="BQ235" s="325"/>
    </row>
    <row r="236" spans="1:69" ht="14.25" customHeight="1" x14ac:dyDescent="0.2">
      <c r="A236" s="28"/>
      <c r="B236" s="28"/>
      <c r="C236" s="28"/>
      <c r="D236" s="28"/>
      <c r="E236" s="324"/>
      <c r="F236" s="324"/>
      <c r="G236" s="324"/>
      <c r="H236" s="324"/>
      <c r="I236" s="324"/>
      <c r="J236" s="324"/>
      <c r="K236" s="324"/>
      <c r="L236" s="324"/>
      <c r="M236" s="324"/>
      <c r="N236" s="324"/>
      <c r="O236" s="324"/>
      <c r="P236" s="324"/>
      <c r="Q236" s="324"/>
      <c r="R236" s="324"/>
      <c r="S236" s="419"/>
      <c r="T236" s="418">
        <f t="shared" si="42"/>
        <v>210</v>
      </c>
      <c r="U236" s="419"/>
      <c r="V236" s="370">
        <f t="shared" si="41"/>
        <v>5.2582038796095245E-3</v>
      </c>
      <c r="W236" s="429"/>
      <c r="X236" s="370">
        <f t="shared" si="33"/>
        <v>3.0372005998040116E-2</v>
      </c>
      <c r="Y236" s="429"/>
      <c r="Z236" s="421">
        <f t="shared" si="34"/>
        <v>7.2214061917555084E-2</v>
      </c>
      <c r="AA236" s="429"/>
      <c r="AB236" s="421">
        <f t="shared" si="35"/>
        <v>7.9350173011305827E-2</v>
      </c>
      <c r="AC236" s="430"/>
      <c r="AD236" s="424">
        <f t="shared" si="36"/>
        <v>1.6104105361463228E-2</v>
      </c>
      <c r="AE236" s="431"/>
      <c r="AF236" s="421">
        <f t="shared" si="37"/>
        <v>0.28279556685146057</v>
      </c>
      <c r="AG236" s="421">
        <f t="shared" si="38"/>
        <v>2.6375645028178853</v>
      </c>
      <c r="AH236" s="426">
        <f t="shared" si="39"/>
        <v>2.8334772912554347E-3</v>
      </c>
      <c r="AI236" s="421">
        <f t="shared" si="40"/>
        <v>0.17697673517343548</v>
      </c>
      <c r="AJ236" s="325"/>
      <c r="AK236" s="325"/>
      <c r="AL236" s="325"/>
      <c r="AM236" s="325"/>
      <c r="AN236" s="325"/>
      <c r="AO236" s="325"/>
      <c r="AP236" s="325"/>
      <c r="AQ236" s="325"/>
      <c r="AR236" s="325"/>
      <c r="AS236" s="325"/>
      <c r="AT236" s="325"/>
      <c r="AU236" s="325"/>
      <c r="AV236" s="325"/>
      <c r="AW236" s="325"/>
      <c r="AX236" s="325"/>
      <c r="AY236" s="325"/>
      <c r="AZ236" s="325"/>
      <c r="BA236" s="325"/>
      <c r="BB236" s="325"/>
      <c r="BC236" s="325"/>
      <c r="BD236" s="325"/>
      <c r="BE236" s="325"/>
      <c r="BF236" s="325"/>
      <c r="BG236" s="325"/>
      <c r="BH236" s="325"/>
      <c r="BI236" s="325"/>
      <c r="BJ236" s="325"/>
      <c r="BK236" s="325"/>
      <c r="BL236" s="325"/>
      <c r="BM236" s="325"/>
      <c r="BN236" s="325"/>
      <c r="BO236" s="325"/>
      <c r="BP236" s="325"/>
      <c r="BQ236" s="325"/>
    </row>
    <row r="237" spans="1:69" ht="14.25" customHeight="1" x14ac:dyDescent="0.2">
      <c r="A237" s="28"/>
      <c r="B237" s="28"/>
      <c r="C237" s="28"/>
      <c r="D237" s="28"/>
      <c r="E237" s="324"/>
      <c r="F237" s="324"/>
      <c r="G237" s="324"/>
      <c r="H237" s="324"/>
      <c r="I237" s="324"/>
      <c r="J237" s="324"/>
      <c r="K237" s="324"/>
      <c r="L237" s="324"/>
      <c r="M237" s="324"/>
      <c r="N237" s="324"/>
      <c r="O237" s="324"/>
      <c r="P237" s="324"/>
      <c r="Q237" s="324"/>
      <c r="R237" s="324"/>
      <c r="S237" s="419"/>
      <c r="T237" s="418">
        <f t="shared" si="42"/>
        <v>211</v>
      </c>
      <c r="U237" s="419"/>
      <c r="V237" s="370">
        <f t="shared" si="41"/>
        <v>5.12842804091127E-3</v>
      </c>
      <c r="W237" s="429"/>
      <c r="X237" s="370">
        <f t="shared" si="33"/>
        <v>2.9985851451537752E-2</v>
      </c>
      <c r="Y237" s="429"/>
      <c r="Z237" s="421">
        <f t="shared" si="34"/>
        <v>7.1788125928563984E-2</v>
      </c>
      <c r="AA237" s="429"/>
      <c r="AB237" s="421">
        <f t="shared" si="35"/>
        <v>7.8980840377139788E-2</v>
      </c>
      <c r="AC237" s="430"/>
      <c r="AD237" s="424">
        <f t="shared" si="36"/>
        <v>1.5818295462746379E-2</v>
      </c>
      <c r="AE237" s="431"/>
      <c r="AF237" s="421">
        <f t="shared" si="37"/>
        <v>0.2827927007666482</v>
      </c>
      <c r="AG237" s="421">
        <f t="shared" si="38"/>
        <v>2.6413011640967565</v>
      </c>
      <c r="AH237" s="426">
        <f t="shared" si="39"/>
        <v>2.8146428427181271E-3</v>
      </c>
      <c r="AI237" s="421">
        <f t="shared" si="40"/>
        <v>0.17660740404651987</v>
      </c>
      <c r="AJ237" s="325"/>
      <c r="AK237" s="325"/>
      <c r="AL237" s="325"/>
      <c r="AM237" s="325"/>
      <c r="AN237" s="325"/>
      <c r="AO237" s="325"/>
      <c r="AP237" s="325"/>
      <c r="AQ237" s="325"/>
      <c r="AR237" s="325"/>
      <c r="AS237" s="325"/>
      <c r="AT237" s="325"/>
      <c r="AU237" s="325"/>
      <c r="AV237" s="325"/>
      <c r="AW237" s="325"/>
      <c r="AX237" s="325"/>
      <c r="AY237" s="325"/>
      <c r="AZ237" s="325"/>
      <c r="BA237" s="325"/>
      <c r="BB237" s="325"/>
      <c r="BC237" s="325"/>
      <c r="BD237" s="325"/>
      <c r="BE237" s="325"/>
      <c r="BF237" s="325"/>
      <c r="BG237" s="325"/>
      <c r="BH237" s="325"/>
      <c r="BI237" s="325"/>
      <c r="BJ237" s="325"/>
      <c r="BK237" s="325"/>
      <c r="BL237" s="325"/>
      <c r="BM237" s="325"/>
      <c r="BN237" s="325"/>
      <c r="BO237" s="325"/>
      <c r="BP237" s="325"/>
      <c r="BQ237" s="325"/>
    </row>
    <row r="238" spans="1:69" ht="14.25" customHeight="1" x14ac:dyDescent="0.2">
      <c r="A238" s="28"/>
      <c r="B238" s="28"/>
      <c r="C238" s="28"/>
      <c r="D238" s="28"/>
      <c r="E238" s="324"/>
      <c r="F238" s="324"/>
      <c r="G238" s="324"/>
      <c r="H238" s="324"/>
      <c r="I238" s="324"/>
      <c r="J238" s="324"/>
      <c r="K238" s="324"/>
      <c r="L238" s="324"/>
      <c r="M238" s="324"/>
      <c r="N238" s="324"/>
      <c r="O238" s="324"/>
      <c r="P238" s="324"/>
      <c r="Q238" s="324"/>
      <c r="R238" s="324"/>
      <c r="S238" s="419"/>
      <c r="T238" s="418">
        <f t="shared" si="42"/>
        <v>212</v>
      </c>
      <c r="U238" s="419"/>
      <c r="V238" s="370">
        <f t="shared" si="41"/>
        <v>5.0018551530105577E-3</v>
      </c>
      <c r="W238" s="429"/>
      <c r="X238" s="370">
        <f t="shared" si="33"/>
        <v>2.9605020261191307E-2</v>
      </c>
      <c r="Y238" s="429"/>
      <c r="Z238" s="421">
        <f t="shared" si="34"/>
        <v>7.1366119722006904E-2</v>
      </c>
      <c r="AA238" s="429"/>
      <c r="AB238" s="421">
        <f t="shared" si="35"/>
        <v>7.8614815137072094E-2</v>
      </c>
      <c r="AC238" s="430"/>
      <c r="AD238" s="424">
        <f t="shared" si="36"/>
        <v>1.5537617677672255E-2</v>
      </c>
      <c r="AE238" s="431"/>
      <c r="AF238" s="421">
        <f t="shared" si="37"/>
        <v>0.28278994849031208</v>
      </c>
      <c r="AG238" s="421">
        <f t="shared" si="38"/>
        <v>2.6450201578804298</v>
      </c>
      <c r="AH238" s="426">
        <f t="shared" si="39"/>
        <v>2.7960217558137324E-3</v>
      </c>
      <c r="AI238" s="421">
        <f t="shared" si="40"/>
        <v>0.17624057924658784</v>
      </c>
      <c r="AJ238" s="325"/>
      <c r="AK238" s="325"/>
      <c r="AL238" s="325"/>
      <c r="AM238" s="325"/>
      <c r="AN238" s="325"/>
      <c r="AO238" s="325"/>
      <c r="AP238" s="325"/>
      <c r="AQ238" s="325"/>
      <c r="AR238" s="325"/>
      <c r="AS238" s="325"/>
      <c r="AT238" s="325"/>
      <c r="AU238" s="325"/>
      <c r="AV238" s="325"/>
      <c r="AW238" s="325"/>
      <c r="AX238" s="325"/>
      <c r="AY238" s="325"/>
      <c r="AZ238" s="325"/>
      <c r="BA238" s="325"/>
      <c r="BB238" s="325"/>
      <c r="BC238" s="325"/>
      <c r="BD238" s="325"/>
      <c r="BE238" s="325"/>
      <c r="BF238" s="325"/>
      <c r="BG238" s="325"/>
      <c r="BH238" s="325"/>
      <c r="BI238" s="325"/>
      <c r="BJ238" s="325"/>
      <c r="BK238" s="325"/>
      <c r="BL238" s="325"/>
      <c r="BM238" s="325"/>
      <c r="BN238" s="325"/>
      <c r="BO238" s="325"/>
      <c r="BP238" s="325"/>
      <c r="BQ238" s="325"/>
    </row>
    <row r="239" spans="1:69" ht="14.25" customHeight="1" x14ac:dyDescent="0.2">
      <c r="A239" s="28"/>
      <c r="B239" s="28"/>
      <c r="C239" s="28"/>
      <c r="D239" s="28"/>
      <c r="E239" s="324"/>
      <c r="F239" s="324"/>
      <c r="G239" s="324"/>
      <c r="H239" s="324"/>
      <c r="I239" s="324"/>
      <c r="J239" s="324"/>
      <c r="K239" s="324"/>
      <c r="L239" s="324"/>
      <c r="M239" s="324"/>
      <c r="N239" s="324"/>
      <c r="O239" s="324"/>
      <c r="P239" s="324"/>
      <c r="Q239" s="324"/>
      <c r="R239" s="324"/>
      <c r="S239" s="419"/>
      <c r="T239" s="418">
        <f t="shared" si="42"/>
        <v>213</v>
      </c>
      <c r="U239" s="419"/>
      <c r="V239" s="370">
        <f t="shared" si="41"/>
        <v>4.8784061650307816E-3</v>
      </c>
      <c r="W239" s="429"/>
      <c r="X239" s="370">
        <f t="shared" si="33"/>
        <v>2.9229431872000007E-2</v>
      </c>
      <c r="Y239" s="429"/>
      <c r="Z239" s="421">
        <f t="shared" si="34"/>
        <v>7.0947992741638766E-2</v>
      </c>
      <c r="AA239" s="429"/>
      <c r="AB239" s="421">
        <f t="shared" si="35"/>
        <v>7.8252053616855513E-2</v>
      </c>
      <c r="AC239" s="430"/>
      <c r="AD239" s="424">
        <f t="shared" si="36"/>
        <v>1.5261978327224091E-2</v>
      </c>
      <c r="AE239" s="431"/>
      <c r="AF239" s="421">
        <f t="shared" si="37"/>
        <v>0.28278730550222431</v>
      </c>
      <c r="AG239" s="421">
        <f t="shared" si="38"/>
        <v>2.648721650452138</v>
      </c>
      <c r="AH239" s="426">
        <f t="shared" si="39"/>
        <v>2.7776106241178215E-3</v>
      </c>
      <c r="AI239" s="421">
        <f t="shared" si="40"/>
        <v>0.17587623210784786</v>
      </c>
      <c r="AJ239" s="325"/>
      <c r="AK239" s="325"/>
      <c r="AL239" s="325"/>
      <c r="AM239" s="325"/>
      <c r="AN239" s="325"/>
      <c r="AO239" s="325"/>
      <c r="AP239" s="325"/>
      <c r="AQ239" s="325"/>
      <c r="AR239" s="325"/>
      <c r="AS239" s="325"/>
      <c r="AT239" s="325"/>
      <c r="AU239" s="325"/>
      <c r="AV239" s="325"/>
      <c r="AW239" s="325"/>
      <c r="AX239" s="325"/>
      <c r="AY239" s="325"/>
      <c r="AZ239" s="325"/>
      <c r="BA239" s="325"/>
      <c r="BB239" s="325"/>
      <c r="BC239" s="325"/>
      <c r="BD239" s="325"/>
      <c r="BE239" s="325"/>
      <c r="BF239" s="325"/>
      <c r="BG239" s="325"/>
      <c r="BH239" s="325"/>
      <c r="BI239" s="325"/>
      <c r="BJ239" s="325"/>
      <c r="BK239" s="325"/>
      <c r="BL239" s="325"/>
      <c r="BM239" s="325"/>
      <c r="BN239" s="325"/>
      <c r="BO239" s="325"/>
      <c r="BP239" s="325"/>
      <c r="BQ239" s="325"/>
    </row>
    <row r="240" spans="1:69" ht="14.25" customHeight="1" x14ac:dyDescent="0.2">
      <c r="A240" s="28"/>
      <c r="B240" s="28"/>
      <c r="C240" s="28"/>
      <c r="D240" s="28"/>
      <c r="E240" s="324"/>
      <c r="F240" s="324"/>
      <c r="G240" s="324"/>
      <c r="H240" s="324"/>
      <c r="I240" s="324"/>
      <c r="J240" s="324"/>
      <c r="K240" s="324"/>
      <c r="L240" s="324"/>
      <c r="M240" s="324"/>
      <c r="N240" s="324"/>
      <c r="O240" s="324"/>
      <c r="P240" s="324"/>
      <c r="Q240" s="324"/>
      <c r="R240" s="324"/>
      <c r="S240" s="419"/>
      <c r="T240" s="418">
        <f t="shared" si="42"/>
        <v>214</v>
      </c>
      <c r="U240" s="419"/>
      <c r="V240" s="370">
        <f t="shared" si="41"/>
        <v>4.7580039771215861E-3</v>
      </c>
      <c r="W240" s="429"/>
      <c r="X240" s="370">
        <f t="shared" si="33"/>
        <v>2.8859007084530892E-2</v>
      </c>
      <c r="Y240" s="429"/>
      <c r="Z240" s="421">
        <f t="shared" si="34"/>
        <v>7.0533695274618058E-2</v>
      </c>
      <c r="AA240" s="429"/>
      <c r="AB240" s="421">
        <f t="shared" si="35"/>
        <v>7.7892512902546063E-2</v>
      </c>
      <c r="AC240" s="430"/>
      <c r="AD240" s="424">
        <f t="shared" si="36"/>
        <v>1.4991285483317407E-2</v>
      </c>
      <c r="AE240" s="431"/>
      <c r="AF240" s="421">
        <f t="shared" si="37"/>
        <v>0.28278476746177184</v>
      </c>
      <c r="AG240" s="421">
        <f t="shared" si="38"/>
        <v>2.6524058057585638</v>
      </c>
      <c r="AH240" s="426">
        <f t="shared" si="39"/>
        <v>2.759406111240086E-3</v>
      </c>
      <c r="AI240" s="421">
        <f t="shared" si="40"/>
        <v>0.17551433442437314</v>
      </c>
      <c r="AJ240" s="325"/>
      <c r="AK240" s="325"/>
      <c r="AL240" s="325"/>
      <c r="AM240" s="325"/>
      <c r="AN240" s="325"/>
      <c r="AO240" s="325"/>
      <c r="AP240" s="325"/>
      <c r="AQ240" s="325"/>
      <c r="AR240" s="325"/>
      <c r="AS240" s="325"/>
      <c r="AT240" s="325"/>
      <c r="AU240" s="325"/>
      <c r="AV240" s="325"/>
      <c r="AW240" s="325"/>
      <c r="AX240" s="325"/>
      <c r="AY240" s="325"/>
      <c r="AZ240" s="325"/>
      <c r="BA240" s="325"/>
      <c r="BB240" s="325"/>
      <c r="BC240" s="325"/>
      <c r="BD240" s="325"/>
      <c r="BE240" s="325"/>
      <c r="BF240" s="325"/>
      <c r="BG240" s="325"/>
      <c r="BH240" s="325"/>
      <c r="BI240" s="325"/>
      <c r="BJ240" s="325"/>
      <c r="BK240" s="325"/>
      <c r="BL240" s="325"/>
      <c r="BM240" s="325"/>
      <c r="BN240" s="325"/>
      <c r="BO240" s="325"/>
      <c r="BP240" s="325"/>
      <c r="BQ240" s="325"/>
    </row>
    <row r="241" spans="1:69" ht="14.25" customHeight="1" x14ac:dyDescent="0.2">
      <c r="A241" s="28"/>
      <c r="B241" s="28"/>
      <c r="C241" s="28"/>
      <c r="D241" s="28"/>
      <c r="E241" s="324"/>
      <c r="F241" s="324"/>
      <c r="G241" s="324"/>
      <c r="H241" s="324"/>
      <c r="I241" s="324"/>
      <c r="J241" s="324"/>
      <c r="K241" s="324"/>
      <c r="L241" s="324"/>
      <c r="M241" s="324"/>
      <c r="N241" s="324"/>
      <c r="O241" s="324"/>
      <c r="P241" s="324"/>
      <c r="Q241" s="324"/>
      <c r="R241" s="324"/>
      <c r="S241" s="419"/>
      <c r="T241" s="418">
        <f t="shared" si="42"/>
        <v>215</v>
      </c>
      <c r="U241" s="419"/>
      <c r="V241" s="370">
        <f t="shared" si="41"/>
        <v>4.6405733923062945E-3</v>
      </c>
      <c r="W241" s="429"/>
      <c r="X241" s="370">
        <f t="shared" si="33"/>
        <v>2.8493668029239382E-2</v>
      </c>
      <c r="Y241" s="429"/>
      <c r="Z241" s="421">
        <f t="shared" si="34"/>
        <v>7.0123178434128297E-2</v>
      </c>
      <c r="AA241" s="429"/>
      <c r="AB241" s="421">
        <f t="shared" si="35"/>
        <v>7.7536150824105005E-2</v>
      </c>
      <c r="AC241" s="430"/>
      <c r="AD241" s="424">
        <f t="shared" si="36"/>
        <v>1.4725448934911012E-2</v>
      </c>
      <c r="AE241" s="431"/>
      <c r="AF241" s="421">
        <f t="shared" si="37"/>
        <v>0.28278233020081306</v>
      </c>
      <c r="AG241" s="421">
        <f t="shared" si="38"/>
        <v>2.6560727854534134</v>
      </c>
      <c r="AH241" s="426">
        <f t="shared" si="39"/>
        <v>2.7414049490657308E-3</v>
      </c>
      <c r="AI241" s="421">
        <f t="shared" si="40"/>
        <v>0.17515485844062767</v>
      </c>
      <c r="AJ241" s="325"/>
      <c r="AK241" s="325"/>
      <c r="AL241" s="325"/>
      <c r="AM241" s="325"/>
      <c r="AN241" s="325"/>
      <c r="AO241" s="325"/>
      <c r="AP241" s="325"/>
      <c r="AQ241" s="325"/>
      <c r="AR241" s="325"/>
      <c r="AS241" s="325"/>
      <c r="AT241" s="325"/>
      <c r="AU241" s="325"/>
      <c r="AV241" s="325"/>
      <c r="AW241" s="325"/>
      <c r="AX241" s="325"/>
      <c r="AY241" s="325"/>
      <c r="AZ241" s="325"/>
      <c r="BA241" s="325"/>
      <c r="BB241" s="325"/>
      <c r="BC241" s="325"/>
      <c r="BD241" s="325"/>
      <c r="BE241" s="325"/>
      <c r="BF241" s="325"/>
      <c r="BG241" s="325"/>
      <c r="BH241" s="325"/>
      <c r="BI241" s="325"/>
      <c r="BJ241" s="325"/>
      <c r="BK241" s="325"/>
      <c r="BL241" s="325"/>
      <c r="BM241" s="325"/>
      <c r="BN241" s="325"/>
      <c r="BO241" s="325"/>
      <c r="BP241" s="325"/>
      <c r="BQ241" s="325"/>
    </row>
    <row r="242" spans="1:69" ht="14.25" customHeight="1" x14ac:dyDescent="0.2">
      <c r="A242" s="28"/>
      <c r="B242" s="28"/>
      <c r="C242" s="28"/>
      <c r="D242" s="28"/>
      <c r="E242" s="324"/>
      <c r="F242" s="324"/>
      <c r="G242" s="324"/>
      <c r="H242" s="324"/>
      <c r="I242" s="324"/>
      <c r="J242" s="324"/>
      <c r="K242" s="324"/>
      <c r="L242" s="324"/>
      <c r="M242" s="324"/>
      <c r="N242" s="324"/>
      <c r="O242" s="324"/>
      <c r="P242" s="324"/>
      <c r="Q242" s="324"/>
      <c r="R242" s="324"/>
      <c r="S242" s="419"/>
      <c r="T242" s="418">
        <f t="shared" si="42"/>
        <v>216</v>
      </c>
      <c r="U242" s="419"/>
      <c r="V242" s="370">
        <f t="shared" si="41"/>
        <v>4.526041069517762E-3</v>
      </c>
      <c r="W242" s="429"/>
      <c r="X242" s="370">
        <f t="shared" si="33"/>
        <v>2.8133338141343087E-2</v>
      </c>
      <c r="Y242" s="429"/>
      <c r="Z242" s="421">
        <f t="shared" si="34"/>
        <v>6.9716394142427585E-2</v>
      </c>
      <c r="AA242" s="429"/>
      <c r="AB242" s="421">
        <f t="shared" si="35"/>
        <v>7.7182925939421582E-2</v>
      </c>
      <c r="AC242" s="430"/>
      <c r="AD242" s="424">
        <f t="shared" si="36"/>
        <v>1.4464380154809664E-2</v>
      </c>
      <c r="AE242" s="431"/>
      <c r="AF242" s="421">
        <f t="shared" si="37"/>
        <v>0.28277998971681872</v>
      </c>
      <c r="AG242" s="421">
        <f t="shared" si="38"/>
        <v>2.6597227489399766</v>
      </c>
      <c r="AH242" s="426">
        <f t="shared" si="39"/>
        <v>2.7236039360489729E-3</v>
      </c>
      <c r="AI242" s="421">
        <f t="shared" si="40"/>
        <v>0.17479777684222975</v>
      </c>
      <c r="AJ242" s="325"/>
      <c r="AK242" s="325"/>
      <c r="AL242" s="325"/>
      <c r="AM242" s="325"/>
      <c r="AN242" s="325"/>
      <c r="AO242" s="325"/>
      <c r="AP242" s="325"/>
      <c r="AQ242" s="325"/>
      <c r="AR242" s="325"/>
      <c r="AS242" s="325"/>
      <c r="AT242" s="325"/>
      <c r="AU242" s="325"/>
      <c r="AV242" s="325"/>
      <c r="AW242" s="325"/>
      <c r="AX242" s="325"/>
      <c r="AY242" s="325"/>
      <c r="AZ242" s="325"/>
      <c r="BA242" s="325"/>
      <c r="BB242" s="325"/>
      <c r="BC242" s="325"/>
      <c r="BD242" s="325"/>
      <c r="BE242" s="325"/>
      <c r="BF242" s="325"/>
      <c r="BG242" s="325"/>
      <c r="BH242" s="325"/>
      <c r="BI242" s="325"/>
      <c r="BJ242" s="325"/>
      <c r="BK242" s="325"/>
      <c r="BL242" s="325"/>
      <c r="BM242" s="325"/>
      <c r="BN242" s="325"/>
      <c r="BO242" s="325"/>
      <c r="BP242" s="325"/>
      <c r="BQ242" s="325"/>
    </row>
    <row r="243" spans="1:69" ht="14.25" customHeight="1" x14ac:dyDescent="0.2">
      <c r="A243" s="28"/>
      <c r="B243" s="28"/>
      <c r="C243" s="28"/>
      <c r="D243" s="28"/>
      <c r="E243" s="324"/>
      <c r="F243" s="324"/>
      <c r="G243" s="324"/>
      <c r="H243" s="324"/>
      <c r="I243" s="324"/>
      <c r="J243" s="324"/>
      <c r="K243" s="324"/>
      <c r="L243" s="324"/>
      <c r="M243" s="324"/>
      <c r="N243" s="324"/>
      <c r="O243" s="324"/>
      <c r="P243" s="324"/>
      <c r="Q243" s="324"/>
      <c r="R243" s="324"/>
      <c r="S243" s="419"/>
      <c r="T243" s="418">
        <f t="shared" si="42"/>
        <v>217</v>
      </c>
      <c r="U243" s="419"/>
      <c r="V243" s="370">
        <f t="shared" si="41"/>
        <v>4.4143354777933432E-3</v>
      </c>
      <c r="W243" s="429"/>
      <c r="X243" s="370">
        <f t="shared" si="33"/>
        <v>2.7777942136234517E-2</v>
      </c>
      <c r="Y243" s="429"/>
      <c r="Z243" s="421">
        <f t="shared" si="34"/>
        <v>6.9313295114312279E-2</v>
      </c>
      <c r="AA243" s="429"/>
      <c r="AB243" s="421">
        <f t="shared" si="35"/>
        <v>7.6832797518745291E-2</v>
      </c>
      <c r="AC243" s="430"/>
      <c r="AD243" s="424">
        <f t="shared" si="36"/>
        <v>1.4207992267141756E-2</v>
      </c>
      <c r="AE243" s="431"/>
      <c r="AF243" s="421">
        <f t="shared" si="37"/>
        <v>0.28277774216628665</v>
      </c>
      <c r="AG243" s="421">
        <f t="shared" si="38"/>
        <v>2.6633558534127051</v>
      </c>
      <c r="AH243" s="426">
        <f t="shared" si="39"/>
        <v>2.7059999355568396E-3</v>
      </c>
      <c r="AI243" s="421">
        <f t="shared" si="40"/>
        <v>0.1744430627469474</v>
      </c>
      <c r="AJ243" s="325"/>
      <c r="AK243" s="325"/>
      <c r="AL243" s="325"/>
      <c r="AM243" s="325"/>
      <c r="AN243" s="325"/>
      <c r="AO243" s="325"/>
      <c r="AP243" s="325"/>
      <c r="AQ243" s="325"/>
      <c r="AR243" s="325"/>
      <c r="AS243" s="325"/>
      <c r="AT243" s="325"/>
      <c r="AU243" s="325"/>
      <c r="AV243" s="325"/>
      <c r="AW243" s="325"/>
      <c r="AX243" s="325"/>
      <c r="AY243" s="325"/>
      <c r="AZ243" s="325"/>
      <c r="BA243" s="325"/>
      <c r="BB243" s="325"/>
      <c r="BC243" s="325"/>
      <c r="BD243" s="325"/>
      <c r="BE243" s="325"/>
      <c r="BF243" s="325"/>
      <c r="BG243" s="325"/>
      <c r="BH243" s="325"/>
      <c r="BI243" s="325"/>
      <c r="BJ243" s="325"/>
      <c r="BK243" s="325"/>
      <c r="BL243" s="325"/>
      <c r="BM243" s="325"/>
      <c r="BN243" s="325"/>
      <c r="BO243" s="325"/>
      <c r="BP243" s="325"/>
      <c r="BQ243" s="325"/>
    </row>
    <row r="244" spans="1:69" ht="14.25" customHeight="1" x14ac:dyDescent="0.2">
      <c r="A244" s="28"/>
      <c r="B244" s="28"/>
      <c r="C244" s="28"/>
      <c r="D244" s="28"/>
      <c r="E244" s="324"/>
      <c r="F244" s="324"/>
      <c r="G244" s="324"/>
      <c r="H244" s="324"/>
      <c r="I244" s="324"/>
      <c r="J244" s="324"/>
      <c r="K244" s="324"/>
      <c r="L244" s="324"/>
      <c r="M244" s="324"/>
      <c r="N244" s="324"/>
      <c r="O244" s="324"/>
      <c r="P244" s="324"/>
      <c r="Q244" s="324"/>
      <c r="R244" s="324"/>
      <c r="S244" s="419"/>
      <c r="T244" s="418">
        <f t="shared" si="42"/>
        <v>218</v>
      </c>
      <c r="U244" s="419"/>
      <c r="V244" s="370">
        <f t="shared" si="41"/>
        <v>4.3053868516003567E-3</v>
      </c>
      <c r="W244" s="429"/>
      <c r="X244" s="370">
        <f t="shared" si="33"/>
        <v>2.7427405985420018E-2</v>
      </c>
      <c r="Y244" s="429"/>
      <c r="Z244" s="421">
        <f t="shared" si="34"/>
        <v>6.8913834840985011E-2</v>
      </c>
      <c r="AA244" s="429"/>
      <c r="AB244" s="421">
        <f t="shared" si="35"/>
        <v>7.648572552951384E-2</v>
      </c>
      <c r="AC244" s="430"/>
      <c r="AD244" s="424">
        <f t="shared" si="36"/>
        <v>1.3956200015498688E-2</v>
      </c>
      <c r="AE244" s="431"/>
      <c r="AF244" s="421">
        <f t="shared" si="37"/>
        <v>0.28277558385841817</v>
      </c>
      <c r="AG244" s="421">
        <f t="shared" si="38"/>
        <v>2.6669722538978364</v>
      </c>
      <c r="AH244" s="426">
        <f t="shared" si="39"/>
        <v>2.6885898742615749E-3</v>
      </c>
      <c r="AI244" s="421">
        <f t="shared" si="40"/>
        <v>0.1740906896959166</v>
      </c>
      <c r="AJ244" s="325"/>
      <c r="AK244" s="325"/>
      <c r="AL244" s="325"/>
      <c r="AM244" s="325"/>
      <c r="AN244" s="325"/>
      <c r="AO244" s="325"/>
      <c r="AP244" s="325"/>
      <c r="AQ244" s="325"/>
      <c r="AR244" s="325"/>
      <c r="AS244" s="325"/>
      <c r="AT244" s="325"/>
      <c r="AU244" s="325"/>
      <c r="AV244" s="325"/>
      <c r="AW244" s="325"/>
      <c r="AX244" s="325"/>
      <c r="AY244" s="325"/>
      <c r="AZ244" s="325"/>
      <c r="BA244" s="325"/>
      <c r="BB244" s="325"/>
      <c r="BC244" s="325"/>
      <c r="BD244" s="325"/>
      <c r="BE244" s="325"/>
      <c r="BF244" s="325"/>
      <c r="BG244" s="325"/>
      <c r="BH244" s="325"/>
      <c r="BI244" s="325"/>
      <c r="BJ244" s="325"/>
      <c r="BK244" s="325"/>
      <c r="BL244" s="325"/>
      <c r="BM244" s="325"/>
      <c r="BN244" s="325"/>
      <c r="BO244" s="325"/>
      <c r="BP244" s="325"/>
      <c r="BQ244" s="325"/>
    </row>
    <row r="245" spans="1:69" ht="14.25" customHeight="1" x14ac:dyDescent="0.2">
      <c r="A245" s="28"/>
      <c r="B245" s="28"/>
      <c r="C245" s="28"/>
      <c r="D245" s="28"/>
      <c r="E245" s="324"/>
      <c r="F245" s="324"/>
      <c r="G245" s="324"/>
      <c r="H245" s="324"/>
      <c r="I245" s="324"/>
      <c r="J245" s="324"/>
      <c r="K245" s="324"/>
      <c r="L245" s="324"/>
      <c r="M245" s="324"/>
      <c r="N245" s="324"/>
      <c r="O245" s="324"/>
      <c r="P245" s="324"/>
      <c r="Q245" s="324"/>
      <c r="R245" s="324"/>
      <c r="S245" s="419"/>
      <c r="T245" s="418">
        <f t="shared" si="42"/>
        <v>219</v>
      </c>
      <c r="U245" s="419"/>
      <c r="V245" s="370">
        <f t="shared" si="41"/>
        <v>4.1991271472641371E-3</v>
      </c>
      <c r="W245" s="429"/>
      <c r="X245" s="370">
        <f t="shared" si="33"/>
        <v>2.7081656892972039E-2</v>
      </c>
      <c r="Y245" s="429"/>
      <c r="Z245" s="421">
        <f t="shared" si="34"/>
        <v>6.8517967574313055E-2</v>
      </c>
      <c r="AA245" s="429"/>
      <c r="AB245" s="421">
        <f t="shared" si="35"/>
        <v>7.6141670621566196E-2</v>
      </c>
      <c r="AC245" s="430"/>
      <c r="AD245" s="424">
        <f t="shared" si="36"/>
        <v>1.370891973171906E-2</v>
      </c>
      <c r="AE245" s="431"/>
      <c r="AF245" s="421">
        <f t="shared" si="37"/>
        <v>0.28277351124904654</v>
      </c>
      <c r="AG245" s="421">
        <f t="shared" si="38"/>
        <v>2.6705721032930878</v>
      </c>
      <c r="AH245" s="426">
        <f t="shared" si="39"/>
        <v>2.6713707405799972E-3</v>
      </c>
      <c r="AI245" s="421">
        <f t="shared" si="40"/>
        <v>0.17374063164507766</v>
      </c>
      <c r="AJ245" s="325"/>
      <c r="AK245" s="325"/>
      <c r="AL245" s="325"/>
      <c r="AM245" s="325"/>
      <c r="AN245" s="325"/>
      <c r="AO245" s="325"/>
      <c r="AP245" s="325"/>
      <c r="AQ245" s="325"/>
      <c r="AR245" s="325"/>
      <c r="AS245" s="325"/>
      <c r="AT245" s="325"/>
      <c r="AU245" s="325"/>
      <c r="AV245" s="325"/>
      <c r="AW245" s="325"/>
      <c r="AX245" s="325"/>
      <c r="AY245" s="325"/>
      <c r="AZ245" s="325"/>
      <c r="BA245" s="325"/>
      <c r="BB245" s="325"/>
      <c r="BC245" s="325"/>
      <c r="BD245" s="325"/>
      <c r="BE245" s="325"/>
      <c r="BF245" s="325"/>
      <c r="BG245" s="325"/>
      <c r="BH245" s="325"/>
      <c r="BI245" s="325"/>
      <c r="BJ245" s="325"/>
      <c r="BK245" s="325"/>
      <c r="BL245" s="325"/>
      <c r="BM245" s="325"/>
      <c r="BN245" s="325"/>
      <c r="BO245" s="325"/>
      <c r="BP245" s="325"/>
      <c r="BQ245" s="325"/>
    </row>
    <row r="246" spans="1:69" ht="14.25" customHeight="1" x14ac:dyDescent="0.2">
      <c r="A246" s="28"/>
      <c r="B246" s="28"/>
      <c r="C246" s="28"/>
      <c r="D246" s="28"/>
      <c r="E246" s="324"/>
      <c r="F246" s="324"/>
      <c r="G246" s="324"/>
      <c r="H246" s="324"/>
      <c r="I246" s="324"/>
      <c r="J246" s="324"/>
      <c r="K246" s="324"/>
      <c r="L246" s="324"/>
      <c r="M246" s="324"/>
      <c r="N246" s="324"/>
      <c r="O246" s="324"/>
      <c r="P246" s="324"/>
      <c r="Q246" s="324"/>
      <c r="R246" s="324"/>
      <c r="S246" s="419"/>
      <c r="T246" s="418">
        <f t="shared" si="42"/>
        <v>220</v>
      </c>
      <c r="U246" s="419"/>
      <c r="V246" s="370">
        <f t="shared" si="41"/>
        <v>4.0954900004714799E-3</v>
      </c>
      <c r="W246" s="429"/>
      <c r="X246" s="370">
        <f t="shared" si="33"/>
        <v>2.674062327248174E-2</v>
      </c>
      <c r="Y246" s="429"/>
      <c r="Z246" s="421">
        <f t="shared" si="34"/>
        <v>6.8125648311469389E-2</v>
      </c>
      <c r="AA246" s="429"/>
      <c r="AB246" s="421">
        <f t="shared" si="35"/>
        <v>7.5800594112729658E-2</v>
      </c>
      <c r="AC246" s="430"/>
      <c r="AD246" s="424">
        <f t="shared" si="36"/>
        <v>1.3466069305306694E-2</v>
      </c>
      <c r="AE246" s="431"/>
      <c r="AF246" s="421">
        <f t="shared" si="37"/>
        <v>0.28277152093480745</v>
      </c>
      <c r="AG246" s="421">
        <f t="shared" si="38"/>
        <v>2.6741555524064413</v>
      </c>
      <c r="AH246" s="426">
        <f t="shared" si="39"/>
        <v>2.6543395831582911E-3</v>
      </c>
      <c r="AI246" s="421">
        <f t="shared" si="40"/>
        <v>0.17339286295682366</v>
      </c>
      <c r="AJ246" s="325"/>
      <c r="AK246" s="325"/>
      <c r="AL246" s="325"/>
      <c r="AM246" s="325"/>
      <c r="AN246" s="325"/>
      <c r="AO246" s="325"/>
      <c r="AP246" s="325"/>
      <c r="AQ246" s="325"/>
      <c r="AR246" s="325"/>
      <c r="AS246" s="325"/>
      <c r="AT246" s="325"/>
      <c r="AU246" s="325"/>
      <c r="AV246" s="325"/>
      <c r="AW246" s="325"/>
      <c r="AX246" s="325"/>
      <c r="AY246" s="325"/>
      <c r="AZ246" s="325"/>
      <c r="BA246" s="325"/>
      <c r="BB246" s="325"/>
      <c r="BC246" s="325"/>
      <c r="BD246" s="325"/>
      <c r="BE246" s="325"/>
      <c r="BF246" s="325"/>
      <c r="BG246" s="325"/>
      <c r="BH246" s="325"/>
      <c r="BI246" s="325"/>
      <c r="BJ246" s="325"/>
      <c r="BK246" s="325"/>
      <c r="BL246" s="325"/>
      <c r="BM246" s="325"/>
      <c r="BN246" s="325"/>
      <c r="BO246" s="325"/>
      <c r="BP246" s="325"/>
      <c r="BQ246" s="325"/>
    </row>
    <row r="247" spans="1:69" ht="14.25" customHeight="1" x14ac:dyDescent="0.2">
      <c r="A247" s="28"/>
      <c r="B247" s="28"/>
      <c r="C247" s="28"/>
      <c r="D247" s="28"/>
      <c r="E247" s="324"/>
      <c r="F247" s="324"/>
      <c r="G247" s="324"/>
      <c r="H247" s="324"/>
      <c r="I247" s="324"/>
      <c r="J247" s="324"/>
      <c r="K247" s="324"/>
      <c r="L247" s="324"/>
      <c r="M247" s="324"/>
      <c r="N247" s="324"/>
      <c r="O247" s="324"/>
      <c r="P247" s="324"/>
      <c r="Q247" s="324"/>
      <c r="R247" s="324"/>
      <c r="S247" s="419"/>
      <c r="T247" s="418">
        <f t="shared" si="42"/>
        <v>221</v>
      </c>
      <c r="U247" s="419"/>
      <c r="V247" s="370">
        <f t="shared" si="41"/>
        <v>3.9944106848229261E-3</v>
      </c>
      <c r="W247" s="429"/>
      <c r="X247" s="370">
        <f t="shared" si="33"/>
        <v>2.6404234724500777E-2</v>
      </c>
      <c r="Y247" s="429"/>
      <c r="Z247" s="421">
        <f t="shared" si="34"/>
        <v>6.7736832779942135E-2</v>
      </c>
      <c r="AA247" s="429"/>
      <c r="AB247" s="421">
        <f t="shared" si="35"/>
        <v>7.546245797476854E-2</v>
      </c>
      <c r="AC247" s="430"/>
      <c r="AD247" s="424">
        <f t="shared" si="36"/>
        <v>1.3227568153466374E-2</v>
      </c>
      <c r="AE247" s="431"/>
      <c r="AF247" s="421">
        <f t="shared" si="37"/>
        <v>0.28276960964754111</v>
      </c>
      <c r="AG247" s="421">
        <f t="shared" si="38"/>
        <v>2.6777227499940559</v>
      </c>
      <c r="AH247" s="426">
        <f t="shared" si="39"/>
        <v>2.6374935094005997E-3</v>
      </c>
      <c r="AI247" s="421">
        <f t="shared" si="40"/>
        <v>0.17304735839185212</v>
      </c>
      <c r="AJ247" s="325"/>
      <c r="AK247" s="325"/>
      <c r="AL247" s="325"/>
      <c r="AM247" s="325"/>
      <c r="AN247" s="325"/>
      <c r="AO247" s="325"/>
      <c r="AP247" s="325"/>
      <c r="AQ247" s="325"/>
      <c r="AR247" s="325"/>
      <c r="AS247" s="325"/>
      <c r="AT247" s="325"/>
      <c r="AU247" s="325"/>
      <c r="AV247" s="325"/>
      <c r="AW247" s="325"/>
      <c r="AX247" s="325"/>
      <c r="AY247" s="325"/>
      <c r="AZ247" s="325"/>
      <c r="BA247" s="325"/>
      <c r="BB247" s="325"/>
      <c r="BC247" s="325"/>
      <c r="BD247" s="325"/>
      <c r="BE247" s="325"/>
      <c r="BF247" s="325"/>
      <c r="BG247" s="325"/>
      <c r="BH247" s="325"/>
      <c r="BI247" s="325"/>
      <c r="BJ247" s="325"/>
      <c r="BK247" s="325"/>
      <c r="BL247" s="325"/>
      <c r="BM247" s="325"/>
      <c r="BN247" s="325"/>
      <c r="BO247" s="325"/>
      <c r="BP247" s="325"/>
      <c r="BQ247" s="325"/>
    </row>
    <row r="248" spans="1:69" ht="14.25" customHeight="1" x14ac:dyDescent="0.2">
      <c r="A248" s="28"/>
      <c r="B248" s="28"/>
      <c r="C248" s="28"/>
      <c r="D248" s="28"/>
      <c r="E248" s="324"/>
      <c r="F248" s="324"/>
      <c r="G248" s="324"/>
      <c r="H248" s="324"/>
      <c r="I248" s="324"/>
      <c r="J248" s="324"/>
      <c r="K248" s="324"/>
      <c r="L248" s="324"/>
      <c r="M248" s="324"/>
      <c r="N248" s="324"/>
      <c r="O248" s="324"/>
      <c r="P248" s="324"/>
      <c r="Q248" s="324"/>
      <c r="R248" s="324"/>
      <c r="S248" s="419"/>
      <c r="T248" s="418">
        <f t="shared" si="42"/>
        <v>222</v>
      </c>
      <c r="U248" s="419"/>
      <c r="V248" s="370">
        <f t="shared" si="41"/>
        <v>3.8958260714080008E-3</v>
      </c>
      <c r="W248" s="429"/>
      <c r="X248" s="370">
        <f t="shared" si="33"/>
        <v>2.6072422014459234E-2</v>
      </c>
      <c r="Y248" s="429"/>
      <c r="Z248" s="421">
        <f t="shared" si="34"/>
        <v>6.7351477422904038E-2</v>
      </c>
      <c r="AA248" s="429"/>
      <c r="AB248" s="421">
        <f t="shared" si="35"/>
        <v>7.512722481968577E-2</v>
      </c>
      <c r="AC248" s="430"/>
      <c r="AD248" s="424">
        <f t="shared" si="36"/>
        <v>1.2993337191744669E-2</v>
      </c>
      <c r="AE248" s="431"/>
      <c r="AF248" s="421">
        <f t="shared" si="37"/>
        <v>0.28276777424891741</v>
      </c>
      <c r="AG248" s="421">
        <f t="shared" si="38"/>
        <v>2.6812738427973239</v>
      </c>
      <c r="AH248" s="426">
        <f t="shared" si="39"/>
        <v>2.620829684040058E-3</v>
      </c>
      <c r="AI248" s="421">
        <f t="shared" si="40"/>
        <v>0.17270409310121701</v>
      </c>
      <c r="AJ248" s="325"/>
      <c r="AK248" s="325"/>
      <c r="AL248" s="325"/>
      <c r="AM248" s="325"/>
      <c r="AN248" s="325"/>
      <c r="AO248" s="325"/>
      <c r="AP248" s="325"/>
      <c r="AQ248" s="325"/>
      <c r="AR248" s="325"/>
      <c r="AS248" s="325"/>
      <c r="AT248" s="325"/>
      <c r="AU248" s="325"/>
      <c r="AV248" s="325"/>
      <c r="AW248" s="325"/>
      <c r="AX248" s="325"/>
      <c r="AY248" s="325"/>
      <c r="AZ248" s="325"/>
      <c r="BA248" s="325"/>
      <c r="BB248" s="325"/>
      <c r="BC248" s="325"/>
      <c r="BD248" s="325"/>
      <c r="BE248" s="325"/>
      <c r="BF248" s="325"/>
      <c r="BG248" s="325"/>
      <c r="BH248" s="325"/>
      <c r="BI248" s="325"/>
      <c r="BJ248" s="325"/>
      <c r="BK248" s="325"/>
      <c r="BL248" s="325"/>
      <c r="BM248" s="325"/>
      <c r="BN248" s="325"/>
      <c r="BO248" s="325"/>
      <c r="BP248" s="325"/>
      <c r="BQ248" s="325"/>
    </row>
    <row r="249" spans="1:69" ht="14.25" customHeight="1" x14ac:dyDescent="0.2">
      <c r="A249" s="28"/>
      <c r="B249" s="28"/>
      <c r="C249" s="28"/>
      <c r="D249" s="28"/>
      <c r="E249" s="324"/>
      <c r="F249" s="324"/>
      <c r="G249" s="324"/>
      <c r="H249" s="324"/>
      <c r="I249" s="324"/>
      <c r="J249" s="324"/>
      <c r="K249" s="324"/>
      <c r="L249" s="324"/>
      <c r="M249" s="324"/>
      <c r="N249" s="324"/>
      <c r="O249" s="324"/>
      <c r="P249" s="324"/>
      <c r="Q249" s="324"/>
      <c r="R249" s="324"/>
      <c r="S249" s="419"/>
      <c r="T249" s="418">
        <f t="shared" si="42"/>
        <v>223</v>
      </c>
      <c r="U249" s="419"/>
      <c r="V249" s="370">
        <f t="shared" si="41"/>
        <v>3.7996745893781629E-3</v>
      </c>
      <c r="W249" s="429"/>
      <c r="X249" s="370">
        <f t="shared" si="33"/>
        <v>2.5745117051049236E-2</v>
      </c>
      <c r="Y249" s="429"/>
      <c r="Z249" s="421">
        <f t="shared" si="34"/>
        <v>6.6969539384932442E-2</v>
      </c>
      <c r="AA249" s="429"/>
      <c r="AB249" s="421">
        <f t="shared" si="35"/>
        <v>7.4794857886365834E-2</v>
      </c>
      <c r="AC249" s="430"/>
      <c r="AD249" s="424">
        <f t="shared" si="36"/>
        <v>1.2763298805262169E-2</v>
      </c>
      <c r="AE249" s="431"/>
      <c r="AF249" s="421">
        <f t="shared" si="37"/>
        <v>0.28276601172527538</v>
      </c>
      <c r="AG249" s="421">
        <f t="shared" si="38"/>
        <v>2.6848089755790845</v>
      </c>
      <c r="AH249" s="426">
        <f t="shared" si="39"/>
        <v>2.6043453277508496E-3</v>
      </c>
      <c r="AI249" s="421">
        <f t="shared" si="40"/>
        <v>0.17236304261857494</v>
      </c>
      <c r="AJ249" s="325"/>
      <c r="AK249" s="325"/>
      <c r="AL249" s="325"/>
      <c r="AM249" s="325"/>
      <c r="AN249" s="325"/>
      <c r="AO249" s="325"/>
      <c r="AP249" s="325"/>
      <c r="AQ249" s="325"/>
      <c r="AR249" s="325"/>
      <c r="AS249" s="325"/>
      <c r="AT249" s="325"/>
      <c r="AU249" s="325"/>
      <c r="AV249" s="325"/>
      <c r="AW249" s="325"/>
      <c r="AX249" s="325"/>
      <c r="AY249" s="325"/>
      <c r="AZ249" s="325"/>
      <c r="BA249" s="325"/>
      <c r="BB249" s="325"/>
      <c r="BC249" s="325"/>
      <c r="BD249" s="325"/>
      <c r="BE249" s="325"/>
      <c r="BF249" s="325"/>
      <c r="BG249" s="325"/>
      <c r="BH249" s="325"/>
      <c r="BI249" s="325"/>
      <c r="BJ249" s="325"/>
      <c r="BK249" s="325"/>
      <c r="BL249" s="325"/>
      <c r="BM249" s="325"/>
      <c r="BN249" s="325"/>
      <c r="BO249" s="325"/>
      <c r="BP249" s="325"/>
      <c r="BQ249" s="325"/>
    </row>
    <row r="250" spans="1:69" ht="14.25" customHeight="1" x14ac:dyDescent="0.2">
      <c r="A250" s="28"/>
      <c r="B250" s="28"/>
      <c r="C250" s="28"/>
      <c r="D250" s="28"/>
      <c r="E250" s="324"/>
      <c r="F250" s="324"/>
      <c r="G250" s="324"/>
      <c r="H250" s="324"/>
      <c r="I250" s="324"/>
      <c r="J250" s="324"/>
      <c r="K250" s="324"/>
      <c r="L250" s="324"/>
      <c r="M250" s="324"/>
      <c r="N250" s="324"/>
      <c r="O250" s="324"/>
      <c r="P250" s="324"/>
      <c r="Q250" s="324"/>
      <c r="R250" s="324"/>
      <c r="S250" s="419"/>
      <c r="T250" s="418">
        <f t="shared" si="42"/>
        <v>224</v>
      </c>
      <c r="U250" s="419"/>
      <c r="V250" s="370">
        <f t="shared" si="41"/>
        <v>3.7058961874928379E-3</v>
      </c>
      <c r="W250" s="429"/>
      <c r="X250" s="370">
        <f t="shared" si="33"/>
        <v>2.5422252865062642E-2</v>
      </c>
      <c r="Y250" s="429"/>
      <c r="Z250" s="421">
        <f t="shared" si="34"/>
        <v>6.6590976498067889E-2</v>
      </c>
      <c r="AA250" s="429"/>
      <c r="AB250" s="421">
        <f t="shared" si="35"/>
        <v>7.4465321027549547E-2</v>
      </c>
      <c r="AC250" s="430"/>
      <c r="AD250" s="424">
        <f t="shared" si="36"/>
        <v>1.2537376820526136E-2</v>
      </c>
      <c r="AE250" s="431"/>
      <c r="AF250" s="421">
        <f t="shared" si="37"/>
        <v>0.28276431918266726</v>
      </c>
      <c r="AG250" s="421">
        <f t="shared" si="38"/>
        <v>2.6883282911590398</v>
      </c>
      <c r="AH250" s="426">
        <f t="shared" si="39"/>
        <v>2.5880377157998483E-3</v>
      </c>
      <c r="AI250" s="421">
        <f t="shared" si="40"/>
        <v>0.17202418285261703</v>
      </c>
      <c r="AJ250" s="325"/>
      <c r="AK250" s="325"/>
      <c r="AL250" s="325"/>
      <c r="AM250" s="325"/>
      <c r="AN250" s="325"/>
      <c r="AO250" s="325"/>
      <c r="AP250" s="325"/>
      <c r="AQ250" s="325"/>
      <c r="AR250" s="325"/>
      <c r="AS250" s="325"/>
      <c r="AT250" s="325"/>
      <c r="AU250" s="325"/>
      <c r="AV250" s="325"/>
      <c r="AW250" s="325"/>
      <c r="AX250" s="325"/>
      <c r="AY250" s="325"/>
      <c r="AZ250" s="325"/>
      <c r="BA250" s="325"/>
      <c r="BB250" s="325"/>
      <c r="BC250" s="325"/>
      <c r="BD250" s="325"/>
      <c r="BE250" s="325"/>
      <c r="BF250" s="325"/>
      <c r="BG250" s="325"/>
      <c r="BH250" s="325"/>
      <c r="BI250" s="325"/>
      <c r="BJ250" s="325"/>
      <c r="BK250" s="325"/>
      <c r="BL250" s="325"/>
      <c r="BM250" s="325"/>
      <c r="BN250" s="325"/>
      <c r="BO250" s="325"/>
      <c r="BP250" s="325"/>
      <c r="BQ250" s="325"/>
    </row>
    <row r="251" spans="1:69" ht="14.25" customHeight="1" x14ac:dyDescent="0.2">
      <c r="A251" s="28"/>
      <c r="B251" s="28"/>
      <c r="C251" s="28"/>
      <c r="D251" s="28"/>
      <c r="E251" s="324"/>
      <c r="F251" s="324"/>
      <c r="G251" s="324"/>
      <c r="H251" s="324"/>
      <c r="I251" s="324"/>
      <c r="J251" s="324"/>
      <c r="K251" s="324"/>
      <c r="L251" s="324"/>
      <c r="M251" s="324"/>
      <c r="N251" s="324"/>
      <c r="O251" s="324"/>
      <c r="P251" s="324"/>
      <c r="Q251" s="324"/>
      <c r="R251" s="324"/>
      <c r="S251" s="419"/>
      <c r="T251" s="418">
        <f t="shared" si="42"/>
        <v>225</v>
      </c>
      <c r="U251" s="419"/>
      <c r="V251" s="370">
        <f t="shared" si="41"/>
        <v>3.6144322966145215E-3</v>
      </c>
      <c r="W251" s="429"/>
      <c r="X251" s="370">
        <f t="shared" si="33"/>
        <v>2.5103763588671987E-2</v>
      </c>
      <c r="Y251" s="429"/>
      <c r="Z251" s="421">
        <f t="shared" si="34"/>
        <v>6.6215747268204117E-2</v>
      </c>
      <c r="AA251" s="429"/>
      <c r="AB251" s="421">
        <f t="shared" si="35"/>
        <v>7.4138578697131571E-2</v>
      </c>
      <c r="AC251" s="430"/>
      <c r="AD251" s="424">
        <f t="shared" si="36"/>
        <v>1.2315496477808718E-2</v>
      </c>
      <c r="AE251" s="431"/>
      <c r="AF251" s="421">
        <f t="shared" si="37"/>
        <v>0.28276269384210068</v>
      </c>
      <c r="AG251" s="421">
        <f t="shared" si="38"/>
        <v>2.6918319304483767</v>
      </c>
      <c r="AH251" s="426">
        <f t="shared" si="39"/>
        <v>2.5719041767366382E-3</v>
      </c>
      <c r="AI251" s="421">
        <f t="shared" si="40"/>
        <v>0.17168749007968498</v>
      </c>
      <c r="AJ251" s="325"/>
      <c r="AK251" s="325"/>
      <c r="AL251" s="325"/>
      <c r="AM251" s="325"/>
      <c r="AN251" s="325"/>
      <c r="AO251" s="325"/>
      <c r="AP251" s="325"/>
      <c r="AQ251" s="325"/>
      <c r="AR251" s="325"/>
      <c r="AS251" s="325"/>
      <c r="AT251" s="325"/>
      <c r="AU251" s="325"/>
      <c r="AV251" s="325"/>
      <c r="AW251" s="325"/>
      <c r="AX251" s="325"/>
      <c r="AY251" s="325"/>
      <c r="AZ251" s="325"/>
      <c r="BA251" s="325"/>
      <c r="BB251" s="325"/>
      <c r="BC251" s="325"/>
      <c r="BD251" s="325"/>
      <c r="BE251" s="325"/>
      <c r="BF251" s="325"/>
      <c r="BG251" s="325"/>
      <c r="BH251" s="325"/>
      <c r="BI251" s="325"/>
      <c r="BJ251" s="325"/>
      <c r="BK251" s="325"/>
      <c r="BL251" s="325"/>
      <c r="BM251" s="325"/>
      <c r="BN251" s="325"/>
      <c r="BO251" s="325"/>
      <c r="BP251" s="325"/>
      <c r="BQ251" s="325"/>
    </row>
    <row r="252" spans="1:69" ht="14.25" customHeight="1" x14ac:dyDescent="0.2">
      <c r="A252" s="28"/>
      <c r="B252" s="28"/>
      <c r="C252" s="28"/>
      <c r="D252" s="28"/>
      <c r="E252" s="324"/>
      <c r="F252" s="324"/>
      <c r="G252" s="324"/>
      <c r="H252" s="324"/>
      <c r="I252" s="324"/>
      <c r="J252" s="324"/>
      <c r="K252" s="324"/>
      <c r="L252" s="324"/>
      <c r="M252" s="324"/>
      <c r="N252" s="324"/>
      <c r="O252" s="324"/>
      <c r="P252" s="324"/>
      <c r="Q252" s="324"/>
      <c r="R252" s="324"/>
      <c r="S252" s="419"/>
      <c r="T252" s="418">
        <f t="shared" si="42"/>
        <v>226</v>
      </c>
      <c r="U252" s="419"/>
      <c r="V252" s="370">
        <f t="shared" si="41"/>
        <v>3.5252257931295251E-3</v>
      </c>
      <c r="W252" s="429"/>
      <c r="X252" s="370">
        <f t="shared" si="33"/>
        <v>2.4789584435143966E-2</v>
      </c>
      <c r="Y252" s="429"/>
      <c r="Z252" s="421">
        <f t="shared" si="34"/>
        <v>6.5843810861799246E-2</v>
      </c>
      <c r="AA252" s="429"/>
      <c r="AB252" s="421">
        <f t="shared" si="35"/>
        <v>7.3814595937770705E-2</v>
      </c>
      <c r="AC252" s="430"/>
      <c r="AD252" s="424">
        <f t="shared" si="36"/>
        <v>1.209758440407982E-2</v>
      </c>
      <c r="AE252" s="431"/>
      <c r="AF252" s="421">
        <f t="shared" si="37"/>
        <v>0.28276113303496936</v>
      </c>
      <c r="AG252" s="421">
        <f t="shared" si="38"/>
        <v>2.6953200324836186</v>
      </c>
      <c r="AH252" s="426">
        <f t="shared" si="39"/>
        <v>2.5559420911206248E-3</v>
      </c>
      <c r="AI252" s="421">
        <f t="shared" si="40"/>
        <v>0.17135294093656372</v>
      </c>
      <c r="AJ252" s="325"/>
      <c r="AK252" s="325"/>
      <c r="AL252" s="325"/>
      <c r="AM252" s="325"/>
      <c r="AN252" s="325"/>
      <c r="AO252" s="325"/>
      <c r="AP252" s="325"/>
      <c r="AQ252" s="325"/>
      <c r="AR252" s="325"/>
      <c r="AS252" s="325"/>
      <c r="AT252" s="325"/>
      <c r="AU252" s="325"/>
      <c r="AV252" s="325"/>
      <c r="AW252" s="325"/>
      <c r="AX252" s="325"/>
      <c r="AY252" s="325"/>
      <c r="AZ252" s="325"/>
      <c r="BA252" s="325"/>
      <c r="BB252" s="325"/>
      <c r="BC252" s="325"/>
      <c r="BD252" s="325"/>
      <c r="BE252" s="325"/>
      <c r="BF252" s="325"/>
      <c r="BG252" s="325"/>
      <c r="BH252" s="325"/>
      <c r="BI252" s="325"/>
      <c r="BJ252" s="325"/>
      <c r="BK252" s="325"/>
      <c r="BL252" s="325"/>
      <c r="BM252" s="325"/>
      <c r="BN252" s="325"/>
      <c r="BO252" s="325"/>
      <c r="BP252" s="325"/>
      <c r="BQ252" s="325"/>
    </row>
    <row r="253" spans="1:69" ht="14.25" customHeight="1" x14ac:dyDescent="0.2">
      <c r="A253" s="28"/>
      <c r="B253" s="28"/>
      <c r="C253" s="28"/>
      <c r="D253" s="28"/>
      <c r="E253" s="324"/>
      <c r="F253" s="324"/>
      <c r="G253" s="324"/>
      <c r="H253" s="324"/>
      <c r="I253" s="324"/>
      <c r="J253" s="324"/>
      <c r="K253" s="324"/>
      <c r="L253" s="324"/>
      <c r="M253" s="324"/>
      <c r="N253" s="324"/>
      <c r="O253" s="324"/>
      <c r="P253" s="324"/>
      <c r="Q253" s="324"/>
      <c r="R253" s="324"/>
      <c r="S253" s="419"/>
      <c r="T253" s="418">
        <f t="shared" si="42"/>
        <v>227</v>
      </c>
      <c r="U253" s="419"/>
      <c r="V253" s="370">
        <f t="shared" si="41"/>
        <v>3.4382209632715251E-3</v>
      </c>
      <c r="W253" s="429"/>
      <c r="X253" s="370">
        <f t="shared" si="33"/>
        <v>2.4479651678975721E-2</v>
      </c>
      <c r="Y253" s="429"/>
      <c r="Z253" s="421">
        <f t="shared" si="34"/>
        <v>6.5475127092899266E-2</v>
      </c>
      <c r="AA253" s="429"/>
      <c r="AB253" s="421">
        <f t="shared" si="35"/>
        <v>7.3493338368804478E-2</v>
      </c>
      <c r="AC253" s="430"/>
      <c r="AD253" s="424">
        <f t="shared" si="36"/>
        <v>1.1883568586482207E-2</v>
      </c>
      <c r="AE253" s="431"/>
      <c r="AF253" s="421">
        <f t="shared" si="37"/>
        <v>0.2827596341986664</v>
      </c>
      <c r="AG253" s="421">
        <f t="shared" si="38"/>
        <v>2.6987927344597331</v>
      </c>
      <c r="AH253" s="426">
        <f t="shared" si="39"/>
        <v>2.5401488902840057E-3</v>
      </c>
      <c r="AI253" s="421">
        <f t="shared" si="40"/>
        <v>0.17102051241344735</v>
      </c>
      <c r="AJ253" s="325"/>
      <c r="AK253" s="325"/>
      <c r="AL253" s="325"/>
      <c r="AM253" s="325"/>
      <c r="AN253" s="325"/>
      <c r="AO253" s="325"/>
      <c r="AP253" s="325"/>
      <c r="AQ253" s="325"/>
      <c r="AR253" s="325"/>
      <c r="AS253" s="325"/>
      <c r="AT253" s="325"/>
      <c r="AU253" s="325"/>
      <c r="AV253" s="325"/>
      <c r="AW253" s="325"/>
      <c r="AX253" s="325"/>
      <c r="AY253" s="325"/>
      <c r="AZ253" s="325"/>
      <c r="BA253" s="325"/>
      <c r="BB253" s="325"/>
      <c r="BC253" s="325"/>
      <c r="BD253" s="325"/>
      <c r="BE253" s="325"/>
      <c r="BF253" s="325"/>
      <c r="BG253" s="325"/>
      <c r="BH253" s="325"/>
      <c r="BI253" s="325"/>
      <c r="BJ253" s="325"/>
      <c r="BK253" s="325"/>
      <c r="BL253" s="325"/>
      <c r="BM253" s="325"/>
      <c r="BN253" s="325"/>
      <c r="BO253" s="325"/>
      <c r="BP253" s="325"/>
      <c r="BQ253" s="325"/>
    </row>
    <row r="254" spans="1:69" ht="14.25" customHeight="1" x14ac:dyDescent="0.2">
      <c r="A254" s="28"/>
      <c r="B254" s="28"/>
      <c r="C254" s="28"/>
      <c r="D254" s="28"/>
      <c r="E254" s="324"/>
      <c r="F254" s="324"/>
      <c r="G254" s="324"/>
      <c r="H254" s="324"/>
      <c r="I254" s="324"/>
      <c r="J254" s="324"/>
      <c r="K254" s="324"/>
      <c r="L254" s="324"/>
      <c r="M254" s="324"/>
      <c r="N254" s="324"/>
      <c r="O254" s="324"/>
      <c r="P254" s="324"/>
      <c r="Q254" s="324"/>
      <c r="R254" s="324"/>
      <c r="S254" s="419"/>
      <c r="T254" s="418">
        <f t="shared" si="42"/>
        <v>228</v>
      </c>
      <c r="U254" s="419"/>
      <c r="V254" s="370">
        <f t="shared" si="41"/>
        <v>3.3533634683256238E-3</v>
      </c>
      <c r="W254" s="429"/>
      <c r="X254" s="370">
        <f t="shared" si="33"/>
        <v>2.4173902636443166E-2</v>
      </c>
      <c r="Y254" s="429"/>
      <c r="Z254" s="421">
        <f t="shared" si="34"/>
        <v>6.5109656410465844E-2</v>
      </c>
      <c r="AA254" s="429"/>
      <c r="AB254" s="421">
        <f t="shared" si="35"/>
        <v>7.3174772174459182E-2</v>
      </c>
      <c r="AC254" s="430"/>
      <c r="AD254" s="424">
        <f t="shared" si="36"/>
        <v>1.1673378346338636E-2</v>
      </c>
      <c r="AE254" s="431"/>
      <c r="AF254" s="421">
        <f t="shared" si="37"/>
        <v>0.28275819487237125</v>
      </c>
      <c r="AG254" s="421">
        <f t="shared" si="38"/>
        <v>2.7022501717625125</v>
      </c>
      <c r="AH254" s="426">
        <f t="shared" si="39"/>
        <v>2.5245220551294596E-3</v>
      </c>
      <c r="AI254" s="421">
        <f t="shared" si="40"/>
        <v>0.17069018184707077</v>
      </c>
      <c r="AJ254" s="325"/>
      <c r="AK254" s="325"/>
      <c r="AL254" s="325"/>
      <c r="AM254" s="325"/>
      <c r="AN254" s="325"/>
      <c r="AO254" s="325"/>
      <c r="AP254" s="325"/>
      <c r="AQ254" s="325"/>
      <c r="AR254" s="325"/>
      <c r="AS254" s="325"/>
      <c r="AT254" s="325"/>
      <c r="AU254" s="325"/>
      <c r="AV254" s="325"/>
      <c r="AW254" s="325"/>
      <c r="AX254" s="325"/>
      <c r="AY254" s="325"/>
      <c r="AZ254" s="325"/>
      <c r="BA254" s="325"/>
      <c r="BB254" s="325"/>
      <c r="BC254" s="325"/>
      <c r="BD254" s="325"/>
      <c r="BE254" s="325"/>
      <c r="BF254" s="325"/>
      <c r="BG254" s="325"/>
      <c r="BH254" s="325"/>
      <c r="BI254" s="325"/>
      <c r="BJ254" s="325"/>
      <c r="BK254" s="325"/>
      <c r="BL254" s="325"/>
      <c r="BM254" s="325"/>
      <c r="BN254" s="325"/>
      <c r="BO254" s="325"/>
      <c r="BP254" s="325"/>
      <c r="BQ254" s="325"/>
    </row>
    <row r="255" spans="1:69" ht="14.25" customHeight="1" x14ac:dyDescent="0.2">
      <c r="A255" s="28"/>
      <c r="B255" s="28"/>
      <c r="C255" s="28"/>
      <c r="D255" s="28"/>
      <c r="E255" s="324"/>
      <c r="F255" s="324"/>
      <c r="G255" s="324"/>
      <c r="H255" s="324"/>
      <c r="I255" s="324"/>
      <c r="J255" s="324"/>
      <c r="K255" s="324"/>
      <c r="L255" s="324"/>
      <c r="M255" s="324"/>
      <c r="N255" s="324"/>
      <c r="O255" s="324"/>
      <c r="P255" s="324"/>
      <c r="Q255" s="324"/>
      <c r="R255" s="324"/>
      <c r="S255" s="419"/>
      <c r="T255" s="418">
        <f t="shared" si="42"/>
        <v>229</v>
      </c>
      <c r="U255" s="419"/>
      <c r="V255" s="370">
        <f t="shared" si="41"/>
        <v>3.2706003106912035E-3</v>
      </c>
      <c r="W255" s="429"/>
      <c r="X255" s="370">
        <f t="shared" si="33"/>
        <v>2.3872275646552289E-2</v>
      </c>
      <c r="Y255" s="429"/>
      <c r="Z255" s="421">
        <f t="shared" si="34"/>
        <v>6.4747359885999445E-2</v>
      </c>
      <c r="AA255" s="429"/>
      <c r="AB255" s="421">
        <f t="shared" si="35"/>
        <v>7.2858864092347181E-2</v>
      </c>
      <c r="AC255" s="430"/>
      <c r="AD255" s="424">
        <f t="shared" si="36"/>
        <v>1.1466944313677008E-2</v>
      </c>
      <c r="AE255" s="431"/>
      <c r="AF255" s="421">
        <f t="shared" si="37"/>
        <v>0.28275681269300523</v>
      </c>
      <c r="AG255" s="421">
        <f t="shared" si="38"/>
        <v>2.7056924780002434</v>
      </c>
      <c r="AH255" s="426">
        <f t="shared" si="39"/>
        <v>2.5090591149614289E-3</v>
      </c>
      <c r="AI255" s="421">
        <f t="shared" si="40"/>
        <v>0.17036192691400526</v>
      </c>
      <c r="AJ255" s="325"/>
      <c r="AK255" s="325"/>
      <c r="AL255" s="325"/>
      <c r="AM255" s="325"/>
      <c r="AN255" s="325"/>
      <c r="AO255" s="325"/>
      <c r="AP255" s="325"/>
      <c r="AQ255" s="325"/>
      <c r="AR255" s="325"/>
      <c r="AS255" s="325"/>
      <c r="AT255" s="325"/>
      <c r="AU255" s="325"/>
      <c r="AV255" s="325"/>
      <c r="AW255" s="325"/>
      <c r="AX255" s="325"/>
      <c r="AY255" s="325"/>
      <c r="AZ255" s="325"/>
      <c r="BA255" s="325"/>
      <c r="BB255" s="325"/>
      <c r="BC255" s="325"/>
      <c r="BD255" s="325"/>
      <c r="BE255" s="325"/>
      <c r="BF255" s="325"/>
      <c r="BG255" s="325"/>
      <c r="BH255" s="325"/>
      <c r="BI255" s="325"/>
      <c r="BJ255" s="325"/>
      <c r="BK255" s="325"/>
      <c r="BL255" s="325"/>
      <c r="BM255" s="325"/>
      <c r="BN255" s="325"/>
      <c r="BO255" s="325"/>
      <c r="BP255" s="325"/>
      <c r="BQ255" s="325"/>
    </row>
    <row r="256" spans="1:69" ht="14.25" customHeight="1" x14ac:dyDescent="0.2">
      <c r="A256" s="28"/>
      <c r="B256" s="28"/>
      <c r="C256" s="28"/>
      <c r="D256" s="28"/>
      <c r="E256" s="324"/>
      <c r="F256" s="324"/>
      <c r="G256" s="324"/>
      <c r="H256" s="324"/>
      <c r="I256" s="324"/>
      <c r="J256" s="324"/>
      <c r="K256" s="324"/>
      <c r="L256" s="324"/>
      <c r="M256" s="324"/>
      <c r="N256" s="324"/>
      <c r="O256" s="324"/>
      <c r="P256" s="324"/>
      <c r="Q256" s="324"/>
      <c r="R256" s="324"/>
      <c r="S256" s="419"/>
      <c r="T256" s="418">
        <f t="shared" si="42"/>
        <v>230</v>
      </c>
      <c r="U256" s="419"/>
      <c r="V256" s="370">
        <f t="shared" si="41"/>
        <v>3.1898798007823632E-3</v>
      </c>
      <c r="W256" s="429"/>
      <c r="X256" s="370">
        <f t="shared" si="33"/>
        <v>2.3574710052383572E-2</v>
      </c>
      <c r="Y256" s="429"/>
      <c r="Z256" s="421">
        <f t="shared" si="34"/>
        <v>6.438819920145078E-2</v>
      </c>
      <c r="AA256" s="429"/>
      <c r="AB256" s="421">
        <f t="shared" si="35"/>
        <v>7.2545581402243015E-2</v>
      </c>
      <c r="AC256" s="430"/>
      <c r="AD256" s="424">
        <f t="shared" si="36"/>
        <v>1.1264198402264891E-2</v>
      </c>
      <c r="AE256" s="431"/>
      <c r="AF256" s="421">
        <f t="shared" si="37"/>
        <v>0.28275548539134687</v>
      </c>
      <c r="AG256" s="421">
        <f t="shared" si="38"/>
        <v>2.7091197850346878</v>
      </c>
      <c r="AH256" s="426">
        <f t="shared" si="39"/>
        <v>2.4937576463499199E-3</v>
      </c>
      <c r="AI256" s="421">
        <f t="shared" si="40"/>
        <v>0.17003572562411251</v>
      </c>
      <c r="AJ256" s="325"/>
      <c r="AK256" s="325"/>
      <c r="AL256" s="325"/>
      <c r="AM256" s="325"/>
      <c r="AN256" s="325"/>
      <c r="AO256" s="325"/>
      <c r="AP256" s="325"/>
      <c r="AQ256" s="325"/>
      <c r="AR256" s="325"/>
      <c r="AS256" s="325"/>
      <c r="AT256" s="325"/>
      <c r="AU256" s="325"/>
      <c r="AV256" s="325"/>
      <c r="AW256" s="325"/>
      <c r="AX256" s="325"/>
      <c r="AY256" s="325"/>
      <c r="AZ256" s="325"/>
      <c r="BA256" s="325"/>
      <c r="BB256" s="325"/>
      <c r="BC256" s="325"/>
      <c r="BD256" s="325"/>
      <c r="BE256" s="325"/>
      <c r="BF256" s="325"/>
      <c r="BG256" s="325"/>
      <c r="BH256" s="325"/>
      <c r="BI256" s="325"/>
      <c r="BJ256" s="325"/>
      <c r="BK256" s="325"/>
      <c r="BL256" s="325"/>
      <c r="BM256" s="325"/>
      <c r="BN256" s="325"/>
      <c r="BO256" s="325"/>
      <c r="BP256" s="325"/>
      <c r="BQ256" s="325"/>
    </row>
    <row r="257" spans="1:69" ht="14.25" customHeight="1" x14ac:dyDescent="0.2">
      <c r="A257" s="28"/>
      <c r="B257" s="28"/>
      <c r="C257" s="28"/>
      <c r="D257" s="28"/>
      <c r="E257" s="324"/>
      <c r="F257" s="324"/>
      <c r="G257" s="324"/>
      <c r="H257" s="324"/>
      <c r="I257" s="324"/>
      <c r="J257" s="324"/>
      <c r="K257" s="324"/>
      <c r="L257" s="324"/>
      <c r="M257" s="324"/>
      <c r="N257" s="324"/>
      <c r="O257" s="324"/>
      <c r="P257" s="324"/>
      <c r="Q257" s="324"/>
      <c r="R257" s="324"/>
      <c r="S257" s="419"/>
      <c r="T257" s="418">
        <f t="shared" si="42"/>
        <v>231</v>
      </c>
      <c r="U257" s="419"/>
      <c r="V257" s="370">
        <f t="shared" si="41"/>
        <v>3.1111515247452788E-3</v>
      </c>
      <c r="W257" s="429"/>
      <c r="X257" s="370">
        <f t="shared" si="33"/>
        <v>2.3281146182820317E-2</v>
      </c>
      <c r="Y257" s="429"/>
      <c r="Z257" s="421">
        <f t="shared" si="34"/>
        <v>6.4032136637411807E-2</v>
      </c>
      <c r="AA257" s="429"/>
      <c r="AB257" s="421">
        <f t="shared" si="35"/>
        <v>7.2234891915130897E-2</v>
      </c>
      <c r="AC257" s="430"/>
      <c r="AD257" s="424">
        <f t="shared" si="36"/>
        <v>1.1065073785141544E-2</v>
      </c>
      <c r="AE257" s="431"/>
      <c r="AF257" s="421">
        <f t="shared" si="37"/>
        <v>0.28275421078830287</v>
      </c>
      <c r="AG257" s="421">
        <f t="shared" si="38"/>
        <v>2.7125322230113915</v>
      </c>
      <c r="AH257" s="426">
        <f t="shared" si="39"/>
        <v>2.4786152720257691E-3</v>
      </c>
      <c r="AI257" s="421">
        <f t="shared" si="40"/>
        <v>0.16971155631415155</v>
      </c>
      <c r="AJ257" s="325"/>
      <c r="AK257" s="325"/>
      <c r="AL257" s="325"/>
      <c r="AM257" s="325"/>
      <c r="AN257" s="325"/>
      <c r="AO257" s="325"/>
      <c r="AP257" s="325"/>
      <c r="AQ257" s="325"/>
      <c r="AR257" s="325"/>
      <c r="AS257" s="325"/>
      <c r="AT257" s="325"/>
      <c r="AU257" s="325"/>
      <c r="AV257" s="325"/>
      <c r="AW257" s="325"/>
      <c r="AX257" s="325"/>
      <c r="AY257" s="325"/>
      <c r="AZ257" s="325"/>
      <c r="BA257" s="325"/>
      <c r="BB257" s="325"/>
      <c r="BC257" s="325"/>
      <c r="BD257" s="325"/>
      <c r="BE257" s="325"/>
      <c r="BF257" s="325"/>
      <c r="BG257" s="325"/>
      <c r="BH257" s="325"/>
      <c r="BI257" s="325"/>
      <c r="BJ257" s="325"/>
      <c r="BK257" s="325"/>
      <c r="BL257" s="325"/>
      <c r="BM257" s="325"/>
      <c r="BN257" s="325"/>
      <c r="BO257" s="325"/>
      <c r="BP257" s="325"/>
      <c r="BQ257" s="325"/>
    </row>
    <row r="258" spans="1:69" ht="14.25" customHeight="1" x14ac:dyDescent="0.2">
      <c r="A258" s="28"/>
      <c r="B258" s="28"/>
      <c r="C258" s="28"/>
      <c r="D258" s="28"/>
      <c r="E258" s="324"/>
      <c r="F258" s="324"/>
      <c r="G258" s="324"/>
      <c r="H258" s="324"/>
      <c r="I258" s="324"/>
      <c r="J258" s="324"/>
      <c r="K258" s="324"/>
      <c r="L258" s="324"/>
      <c r="M258" s="324"/>
      <c r="N258" s="324"/>
      <c r="O258" s="324"/>
      <c r="P258" s="324"/>
      <c r="Q258" s="324"/>
      <c r="R258" s="324"/>
      <c r="S258" s="419"/>
      <c r="T258" s="418">
        <f t="shared" si="42"/>
        <v>232</v>
      </c>
      <c r="U258" s="419"/>
      <c r="V258" s="370">
        <f t="shared" si="41"/>
        <v>3.0343663129723275E-3</v>
      </c>
      <c r="W258" s="429"/>
      <c r="X258" s="370">
        <f t="shared" si="33"/>
        <v>2.299152533465243E-2</v>
      </c>
      <c r="Y258" s="429"/>
      <c r="Z258" s="421">
        <f t="shared" si="34"/>
        <v>6.367913506157874E-2</v>
      </c>
      <c r="AA258" s="429"/>
      <c r="AB258" s="421">
        <f t="shared" si="35"/>
        <v>7.1926763962515752E-2</v>
      </c>
      <c r="AC258" s="430"/>
      <c r="AD258" s="424">
        <f t="shared" si="36"/>
        <v>1.0869504870636648E-2</v>
      </c>
      <c r="AE258" s="431"/>
      <c r="AF258" s="421">
        <f t="shared" si="37"/>
        <v>0.28275298679132654</v>
      </c>
      <c r="AG258" s="421">
        <f t="shared" si="38"/>
        <v>2.7159299203893394</v>
      </c>
      <c r="AH258" s="426">
        <f t="shared" si="39"/>
        <v>2.4636296598063638E-3</v>
      </c>
      <c r="AI258" s="421">
        <f t="shared" si="40"/>
        <v>0.16938939764153554</v>
      </c>
      <c r="AJ258" s="325"/>
      <c r="AK258" s="325"/>
      <c r="AL258" s="325"/>
      <c r="AM258" s="325"/>
      <c r="AN258" s="325"/>
      <c r="AO258" s="325"/>
      <c r="AP258" s="325"/>
      <c r="AQ258" s="325"/>
      <c r="AR258" s="325"/>
      <c r="AS258" s="325"/>
      <c r="AT258" s="325"/>
      <c r="AU258" s="325"/>
      <c r="AV258" s="325"/>
      <c r="AW258" s="325"/>
      <c r="AX258" s="325"/>
      <c r="AY258" s="325"/>
      <c r="AZ258" s="325"/>
      <c r="BA258" s="325"/>
      <c r="BB258" s="325"/>
      <c r="BC258" s="325"/>
      <c r="BD258" s="325"/>
      <c r="BE258" s="325"/>
      <c r="BF258" s="325"/>
      <c r="BG258" s="325"/>
      <c r="BH258" s="325"/>
      <c r="BI258" s="325"/>
      <c r="BJ258" s="325"/>
      <c r="BK258" s="325"/>
      <c r="BL258" s="325"/>
      <c r="BM258" s="325"/>
      <c r="BN258" s="325"/>
      <c r="BO258" s="325"/>
      <c r="BP258" s="325"/>
      <c r="BQ258" s="325"/>
    </row>
    <row r="259" spans="1:69" ht="14.25" customHeight="1" x14ac:dyDescent="0.2">
      <c r="A259" s="28"/>
      <c r="B259" s="28"/>
      <c r="C259" s="28"/>
      <c r="D259" s="28"/>
      <c r="E259" s="324"/>
      <c r="F259" s="324"/>
      <c r="G259" s="324"/>
      <c r="H259" s="324"/>
      <c r="I259" s="324"/>
      <c r="J259" s="324"/>
      <c r="K259" s="324"/>
      <c r="L259" s="324"/>
      <c r="M259" s="324"/>
      <c r="N259" s="324"/>
      <c r="O259" s="324"/>
      <c r="P259" s="324"/>
      <c r="Q259" s="324"/>
      <c r="R259" s="324"/>
      <c r="S259" s="419"/>
      <c r="T259" s="418">
        <f t="shared" si="42"/>
        <v>233</v>
      </c>
      <c r="U259" s="419"/>
      <c r="V259" s="370">
        <f t="shared" si="41"/>
        <v>2.9594762093932787E-3</v>
      </c>
      <c r="W259" s="429"/>
      <c r="X259" s="370">
        <f t="shared" si="33"/>
        <v>2.2705789755045846E-2</v>
      </c>
      <c r="Y259" s="429"/>
      <c r="Z259" s="421">
        <f t="shared" si="34"/>
        <v>6.3329157917480949E-2</v>
      </c>
      <c r="AA259" s="429"/>
      <c r="AB259" s="421">
        <f t="shared" si="35"/>
        <v>7.1621166385990379E-2</v>
      </c>
      <c r="AC259" s="430"/>
      <c r="AD259" s="424">
        <f t="shared" si="36"/>
        <v>1.0677427278866225E-2</v>
      </c>
      <c r="AE259" s="431"/>
      <c r="AF259" s="421">
        <f t="shared" si="37"/>
        <v>0.28275181139097905</v>
      </c>
      <c r="AG259" s="421">
        <f t="shared" si="38"/>
        <v>2.7193130039699689</v>
      </c>
      <c r="AH259" s="426">
        <f t="shared" si="39"/>
        <v>2.4487985215509013E-3</v>
      </c>
      <c r="AI259" s="421">
        <f t="shared" si="40"/>
        <v>0.16906922857823459</v>
      </c>
      <c r="AJ259" s="325"/>
      <c r="AK259" s="325"/>
      <c r="AL259" s="325"/>
      <c r="AM259" s="325"/>
      <c r="AN259" s="325"/>
      <c r="AO259" s="325"/>
      <c r="AP259" s="325"/>
      <c r="AQ259" s="325"/>
      <c r="AR259" s="325"/>
      <c r="AS259" s="325"/>
      <c r="AT259" s="325"/>
      <c r="AU259" s="325"/>
      <c r="AV259" s="325"/>
      <c r="AW259" s="325"/>
      <c r="AX259" s="325"/>
      <c r="AY259" s="325"/>
      <c r="AZ259" s="325"/>
      <c r="BA259" s="325"/>
      <c r="BB259" s="325"/>
      <c r="BC259" s="325"/>
      <c r="BD259" s="325"/>
      <c r="BE259" s="325"/>
      <c r="BF259" s="325"/>
      <c r="BG259" s="325"/>
      <c r="BH259" s="325"/>
      <c r="BI259" s="325"/>
      <c r="BJ259" s="325"/>
      <c r="BK259" s="325"/>
      <c r="BL259" s="325"/>
      <c r="BM259" s="325"/>
      <c r="BN259" s="325"/>
      <c r="BO259" s="325"/>
      <c r="BP259" s="325"/>
      <c r="BQ259" s="325"/>
    </row>
    <row r="260" spans="1:69" ht="14.25" customHeight="1" x14ac:dyDescent="0.2">
      <c r="A260" s="28"/>
      <c r="B260" s="28"/>
      <c r="C260" s="28"/>
      <c r="D260" s="28"/>
      <c r="E260" s="324"/>
      <c r="F260" s="324"/>
      <c r="G260" s="324"/>
      <c r="H260" s="324"/>
      <c r="I260" s="324"/>
      <c r="J260" s="324"/>
      <c r="K260" s="324"/>
      <c r="L260" s="324"/>
      <c r="M260" s="324"/>
      <c r="N260" s="324"/>
      <c r="O260" s="324"/>
      <c r="P260" s="324"/>
      <c r="Q260" s="324"/>
      <c r="R260" s="324"/>
      <c r="S260" s="419"/>
      <c r="T260" s="418">
        <f t="shared" si="42"/>
        <v>234</v>
      </c>
      <c r="U260" s="419"/>
      <c r="V260" s="370">
        <f t="shared" si="41"/>
        <v>2.8864344415244253E-3</v>
      </c>
      <c r="W260" s="429"/>
      <c r="X260" s="370">
        <f t="shared" si="33"/>
        <v>2.2423882624370516E-2</v>
      </c>
      <c r="Y260" s="429"/>
      <c r="Z260" s="421">
        <f t="shared" si="34"/>
        <v>6.298216921346711E-2</v>
      </c>
      <c r="AA260" s="429"/>
      <c r="AB260" s="421">
        <f t="shared" si="35"/>
        <v>7.1318068527051998E-2</v>
      </c>
      <c r="AC260" s="430"/>
      <c r="AD260" s="424">
        <f t="shared" si="36"/>
        <v>1.0488777818694617E-2</v>
      </c>
      <c r="AE260" s="431"/>
      <c r="AF260" s="421">
        <f t="shared" si="37"/>
        <v>0.28275068265762732</v>
      </c>
      <c r="AG260" s="421">
        <f t="shared" si="38"/>
        <v>2.7226815989255688</v>
      </c>
      <c r="AH260" s="426">
        <f t="shared" si="39"/>
        <v>2.4341196121441537E-3</v>
      </c>
      <c r="AI260" s="421">
        <f t="shared" si="40"/>
        <v>0.16875102840481868</v>
      </c>
      <c r="AJ260" s="325"/>
      <c r="AK260" s="325"/>
      <c r="AL260" s="325"/>
      <c r="AM260" s="325"/>
      <c r="AN260" s="325"/>
      <c r="AO260" s="325"/>
      <c r="AP260" s="325"/>
      <c r="AQ260" s="325"/>
      <c r="AR260" s="325"/>
      <c r="AS260" s="325"/>
      <c r="AT260" s="325"/>
      <c r="AU260" s="325"/>
      <c r="AV260" s="325"/>
      <c r="AW260" s="325"/>
      <c r="AX260" s="325"/>
      <c r="AY260" s="325"/>
      <c r="AZ260" s="325"/>
      <c r="BA260" s="325"/>
      <c r="BB260" s="325"/>
      <c r="BC260" s="325"/>
      <c r="BD260" s="325"/>
      <c r="BE260" s="325"/>
      <c r="BF260" s="325"/>
      <c r="BG260" s="325"/>
      <c r="BH260" s="325"/>
      <c r="BI260" s="325"/>
      <c r="BJ260" s="325"/>
      <c r="BK260" s="325"/>
      <c r="BL260" s="325"/>
      <c r="BM260" s="325"/>
      <c r="BN260" s="325"/>
      <c r="BO260" s="325"/>
      <c r="BP260" s="325"/>
      <c r="BQ260" s="325"/>
    </row>
    <row r="261" spans="1:69" ht="14.25" customHeight="1" x14ac:dyDescent="0.2">
      <c r="A261" s="28"/>
      <c r="B261" s="28"/>
      <c r="C261" s="28"/>
      <c r="D261" s="28"/>
      <c r="E261" s="324"/>
      <c r="F261" s="324"/>
      <c r="G261" s="324"/>
      <c r="H261" s="324"/>
      <c r="I261" s="324"/>
      <c r="J261" s="324"/>
      <c r="K261" s="324"/>
      <c r="L261" s="324"/>
      <c r="M261" s="324"/>
      <c r="N261" s="324"/>
      <c r="O261" s="324"/>
      <c r="P261" s="324"/>
      <c r="Q261" s="324"/>
      <c r="R261" s="324"/>
      <c r="S261" s="419"/>
      <c r="T261" s="418">
        <f t="shared" si="42"/>
        <v>235</v>
      </c>
      <c r="U261" s="419"/>
      <c r="V261" s="370">
        <f t="shared" si="41"/>
        <v>2.8151953912569075E-3</v>
      </c>
      <c r="W261" s="429"/>
      <c r="X261" s="370">
        <f t="shared" si="33"/>
        <v>2.2145748039377328E-2</v>
      </c>
      <c r="Y261" s="429"/>
      <c r="Z261" s="421">
        <f t="shared" si="34"/>
        <v>6.2638133511943472E-2</v>
      </c>
      <c r="AA261" s="429"/>
      <c r="AB261" s="421">
        <f t="shared" si="35"/>
        <v>7.1017440217160679E-2</v>
      </c>
      <c r="AC261" s="430"/>
      <c r="AD261" s="424">
        <f t="shared" si="36"/>
        <v>1.0303494465154106E-2</v>
      </c>
      <c r="AE261" s="431"/>
      <c r="AF261" s="421">
        <f t="shared" si="37"/>
        <v>0.28274959873827327</v>
      </c>
      <c r="AG261" s="421">
        <f t="shared" si="38"/>
        <v>2.7260358288270652</v>
      </c>
      <c r="AH261" s="426">
        <f t="shared" si="39"/>
        <v>2.4195907285079745E-3</v>
      </c>
      <c r="AI261" s="421">
        <f t="shared" si="40"/>
        <v>0.16843477670463997</v>
      </c>
      <c r="AJ261" s="325"/>
      <c r="AK261" s="325"/>
      <c r="AL261" s="325"/>
      <c r="AM261" s="325"/>
      <c r="AN261" s="325"/>
      <c r="AO261" s="325"/>
      <c r="AP261" s="325"/>
      <c r="AQ261" s="325"/>
      <c r="AR261" s="325"/>
      <c r="AS261" s="325"/>
      <c r="AT261" s="325"/>
      <c r="AU261" s="325"/>
      <c r="AV261" s="325"/>
      <c r="AW261" s="325"/>
      <c r="AX261" s="325"/>
      <c r="AY261" s="325"/>
      <c r="AZ261" s="325"/>
      <c r="BA261" s="325"/>
      <c r="BB261" s="325"/>
      <c r="BC261" s="325"/>
      <c r="BD261" s="325"/>
      <c r="BE261" s="325"/>
      <c r="BF261" s="325"/>
      <c r="BG261" s="325"/>
      <c r="BH261" s="325"/>
      <c r="BI261" s="325"/>
      <c r="BJ261" s="325"/>
      <c r="BK261" s="325"/>
      <c r="BL261" s="325"/>
      <c r="BM261" s="325"/>
      <c r="BN261" s="325"/>
      <c r="BO261" s="325"/>
      <c r="BP261" s="325"/>
      <c r="BQ261" s="325"/>
    </row>
    <row r="262" spans="1:69" ht="14.25" customHeight="1" x14ac:dyDescent="0.2">
      <c r="A262" s="28"/>
      <c r="B262" s="28"/>
      <c r="C262" s="28"/>
      <c r="D262" s="28"/>
      <c r="E262" s="324"/>
      <c r="F262" s="324"/>
      <c r="G262" s="324"/>
      <c r="H262" s="324"/>
      <c r="I262" s="324"/>
      <c r="J262" s="324"/>
      <c r="K262" s="324"/>
      <c r="L262" s="324"/>
      <c r="M262" s="324"/>
      <c r="N262" s="324"/>
      <c r="O262" s="324"/>
      <c r="P262" s="324"/>
      <c r="Q262" s="324"/>
      <c r="R262" s="324"/>
      <c r="S262" s="419"/>
      <c r="T262" s="418">
        <f t="shared" si="42"/>
        <v>236</v>
      </c>
      <c r="U262" s="419"/>
      <c r="V262" s="370">
        <f t="shared" si="41"/>
        <v>2.7457145663660025E-3</v>
      </c>
      <c r="W262" s="429"/>
      <c r="X262" s="370">
        <f t="shared" si="33"/>
        <v>2.1871330996716818E-2</v>
      </c>
      <c r="Y262" s="429"/>
      <c r="Z262" s="421">
        <f t="shared" si="34"/>
        <v>6.2297015918854948E-2</v>
      </c>
      <c r="AA262" s="429"/>
      <c r="AB262" s="421">
        <f t="shared" si="35"/>
        <v>7.0719251768033481E-2</v>
      </c>
      <c r="AC262" s="430"/>
      <c r="AD262" s="424">
        <f t="shared" si="36"/>
        <v>1.0121516337310066E-2</v>
      </c>
      <c r="AE262" s="431"/>
      <c r="AF262" s="421">
        <f t="shared" si="37"/>
        <v>0.28274855785350911</v>
      </c>
      <c r="AG262" s="421">
        <f t="shared" si="38"/>
        <v>2.7293758156712244</v>
      </c>
      <c r="AH262" s="426">
        <f t="shared" si="39"/>
        <v>2.4052097086395344E-3</v>
      </c>
      <c r="AI262" s="421">
        <f t="shared" si="40"/>
        <v>0.16812045335814649</v>
      </c>
      <c r="AJ262" s="325"/>
      <c r="AK262" s="325"/>
      <c r="AL262" s="325"/>
      <c r="AM262" s="325"/>
      <c r="AN262" s="325"/>
      <c r="AO262" s="325"/>
      <c r="AP262" s="325"/>
      <c r="AQ262" s="325"/>
      <c r="AR262" s="325"/>
      <c r="AS262" s="325"/>
      <c r="AT262" s="325"/>
      <c r="AU262" s="325"/>
      <c r="AV262" s="325"/>
      <c r="AW262" s="325"/>
      <c r="AX262" s="325"/>
      <c r="AY262" s="325"/>
      <c r="AZ262" s="325"/>
      <c r="BA262" s="325"/>
      <c r="BB262" s="325"/>
      <c r="BC262" s="325"/>
      <c r="BD262" s="325"/>
      <c r="BE262" s="325"/>
      <c r="BF262" s="325"/>
      <c r="BG262" s="325"/>
      <c r="BH262" s="325"/>
      <c r="BI262" s="325"/>
      <c r="BJ262" s="325"/>
      <c r="BK262" s="325"/>
      <c r="BL262" s="325"/>
      <c r="BM262" s="325"/>
      <c r="BN262" s="325"/>
      <c r="BO262" s="325"/>
      <c r="BP262" s="325"/>
      <c r="BQ262" s="325"/>
    </row>
    <row r="263" spans="1:69" ht="14.25" customHeight="1" x14ac:dyDescent="0.2">
      <c r="A263" s="28"/>
      <c r="B263" s="28"/>
      <c r="C263" s="28"/>
      <c r="D263" s="28"/>
      <c r="E263" s="324"/>
      <c r="F263" s="324"/>
      <c r="G263" s="324"/>
      <c r="H263" s="324"/>
      <c r="I263" s="324"/>
      <c r="J263" s="324"/>
      <c r="K263" s="324"/>
      <c r="L263" s="324"/>
      <c r="M263" s="324"/>
      <c r="N263" s="324"/>
      <c r="O263" s="324"/>
      <c r="P263" s="324"/>
      <c r="Q263" s="324"/>
      <c r="R263" s="324"/>
      <c r="S263" s="419"/>
      <c r="T263" s="418">
        <f t="shared" si="42"/>
        <v>237</v>
      </c>
      <c r="U263" s="419"/>
      <c r="V263" s="370">
        <f t="shared" si="41"/>
        <v>2.6779485727235837E-3</v>
      </c>
      <c r="W263" s="429"/>
      <c r="X263" s="370">
        <f t="shared" si="33"/>
        <v>2.160057737679142E-2</v>
      </c>
      <c r="Y263" s="429"/>
      <c r="Z263" s="421">
        <f t="shared" si="34"/>
        <v>6.1958782073406216E-2</v>
      </c>
      <c r="AA263" s="429"/>
      <c r="AB263" s="421">
        <f t="shared" si="35"/>
        <v>7.0423473962167721E-2</v>
      </c>
      <c r="AC263" s="430"/>
      <c r="AD263" s="424">
        <f t="shared" si="36"/>
        <v>9.9427836765659805E-3</v>
      </c>
      <c r="AE263" s="431"/>
      <c r="AF263" s="421">
        <f t="shared" si="37"/>
        <v>0.2827475582945938</v>
      </c>
      <c r="AG263" s="421">
        <f t="shared" si="38"/>
        <v>2.7327016799072741</v>
      </c>
      <c r="AH263" s="426">
        <f t="shared" si="39"/>
        <v>2.3909744306755834E-3</v>
      </c>
      <c r="AI263" s="421">
        <f t="shared" si="40"/>
        <v>0.16780803853732945</v>
      </c>
      <c r="AJ263" s="325"/>
      <c r="AK263" s="325"/>
      <c r="AL263" s="325"/>
      <c r="AM263" s="325"/>
      <c r="AN263" s="325"/>
      <c r="AO263" s="325"/>
      <c r="AP263" s="325"/>
      <c r="AQ263" s="325"/>
      <c r="AR263" s="325"/>
      <c r="AS263" s="325"/>
      <c r="AT263" s="325"/>
      <c r="AU263" s="325"/>
      <c r="AV263" s="325"/>
      <c r="AW263" s="325"/>
      <c r="AX263" s="325"/>
      <c r="AY263" s="325"/>
      <c r="AZ263" s="325"/>
      <c r="BA263" s="325"/>
      <c r="BB263" s="325"/>
      <c r="BC263" s="325"/>
      <c r="BD263" s="325"/>
      <c r="BE263" s="325"/>
      <c r="BF263" s="325"/>
      <c r="BG263" s="325"/>
      <c r="BH263" s="325"/>
      <c r="BI263" s="325"/>
      <c r="BJ263" s="325"/>
      <c r="BK263" s="325"/>
      <c r="BL263" s="325"/>
      <c r="BM263" s="325"/>
      <c r="BN263" s="325"/>
      <c r="BO263" s="325"/>
      <c r="BP263" s="325"/>
      <c r="BQ263" s="325"/>
    </row>
    <row r="264" spans="1:69" ht="14.25" customHeight="1" x14ac:dyDescent="0.2">
      <c r="A264" s="28"/>
      <c r="B264" s="28"/>
      <c r="C264" s="28"/>
      <c r="D264" s="28"/>
      <c r="E264" s="324"/>
      <c r="F264" s="324"/>
      <c r="G264" s="324"/>
      <c r="H264" s="324"/>
      <c r="I264" s="324"/>
      <c r="J264" s="324"/>
      <c r="K264" s="324"/>
      <c r="L264" s="324"/>
      <c r="M264" s="324"/>
      <c r="N264" s="324"/>
      <c r="O264" s="324"/>
      <c r="P264" s="324"/>
      <c r="Q264" s="324"/>
      <c r="R264" s="324"/>
      <c r="S264" s="419"/>
      <c r="T264" s="418">
        <f t="shared" si="42"/>
        <v>238</v>
      </c>
      <c r="U264" s="419"/>
      <c r="V264" s="370">
        <f t="shared" si="41"/>
        <v>2.6118550871963918E-3</v>
      </c>
      <c r="W264" s="429"/>
      <c r="X264" s="370">
        <f t="shared" si="33"/>
        <v>2.133343392793367E-2</v>
      </c>
      <c r="Y264" s="429"/>
      <c r="Z264" s="421">
        <f t="shared" si="34"/>
        <v>6.1623398138012764E-2</v>
      </c>
      <c r="AA264" s="429"/>
      <c r="AB264" s="421">
        <f t="shared" si="35"/>
        <v>7.013007804358698E-2</v>
      </c>
      <c r="AC264" s="430"/>
      <c r="AD264" s="424">
        <f t="shared" si="36"/>
        <v>9.7672378253955694E-3</v>
      </c>
      <c r="AE264" s="431"/>
      <c r="AF264" s="421">
        <f t="shared" si="37"/>
        <v>0.28274659842064553</v>
      </c>
      <c r="AG264" s="421">
        <f t="shared" si="38"/>
        <v>2.7360135404629702</v>
      </c>
      <c r="AH264" s="426">
        <f t="shared" si="39"/>
        <v>2.376882811981818E-3</v>
      </c>
      <c r="AI264" s="421">
        <f t="shared" si="40"/>
        <v>0.16749751270029309</v>
      </c>
      <c r="AJ264" s="325"/>
      <c r="AK264" s="325"/>
      <c r="AL264" s="325"/>
      <c r="AM264" s="325"/>
      <c r="AN264" s="325"/>
      <c r="AO264" s="325"/>
      <c r="AP264" s="325"/>
      <c r="AQ264" s="325"/>
      <c r="AR264" s="325"/>
      <c r="AS264" s="325"/>
      <c r="AT264" s="325"/>
      <c r="AU264" s="325"/>
      <c r="AV264" s="325"/>
      <c r="AW264" s="325"/>
      <c r="AX264" s="325"/>
      <c r="AY264" s="325"/>
      <c r="AZ264" s="325"/>
      <c r="BA264" s="325"/>
      <c r="BB264" s="325"/>
      <c r="BC264" s="325"/>
      <c r="BD264" s="325"/>
      <c r="BE264" s="325"/>
      <c r="BF264" s="325"/>
      <c r="BG264" s="325"/>
      <c r="BH264" s="325"/>
      <c r="BI264" s="325"/>
      <c r="BJ264" s="325"/>
      <c r="BK264" s="325"/>
      <c r="BL264" s="325"/>
      <c r="BM264" s="325"/>
      <c r="BN264" s="325"/>
      <c r="BO264" s="325"/>
      <c r="BP264" s="325"/>
      <c r="BQ264" s="325"/>
    </row>
    <row r="265" spans="1:69" ht="14.25" customHeight="1" x14ac:dyDescent="0.2">
      <c r="A265" s="28"/>
      <c r="B265" s="28"/>
      <c r="C265" s="28"/>
      <c r="D265" s="28"/>
      <c r="E265" s="324"/>
      <c r="F265" s="324"/>
      <c r="G265" s="324"/>
      <c r="H265" s="324"/>
      <c r="I265" s="324"/>
      <c r="J265" s="324"/>
      <c r="K265" s="324"/>
      <c r="L265" s="324"/>
      <c r="M265" s="324"/>
      <c r="N265" s="324"/>
      <c r="O265" s="324"/>
      <c r="P265" s="324"/>
      <c r="Q265" s="324"/>
      <c r="R265" s="324"/>
      <c r="S265" s="419"/>
      <c r="T265" s="418">
        <f t="shared" si="42"/>
        <v>239</v>
      </c>
      <c r="U265" s="419"/>
      <c r="V265" s="370">
        <f t="shared" si="41"/>
        <v>2.5473928312131975E-3</v>
      </c>
      <c r="W265" s="429"/>
      <c r="X265" s="370">
        <f t="shared" si="33"/>
        <v>2.1069848250903023E-2</v>
      </c>
      <c r="Y265" s="429"/>
      <c r="Z265" s="421">
        <f t="shared" si="34"/>
        <v>6.1290830788479078E-2</v>
      </c>
      <c r="AA265" s="429"/>
      <c r="AB265" s="421">
        <f t="shared" si="35"/>
        <v>6.983903570880394E-2</v>
      </c>
      <c r="AC265" s="430"/>
      <c r="AD265" s="424">
        <f t="shared" si="36"/>
        <v>9.5948212064942417E-3</v>
      </c>
      <c r="AE265" s="431"/>
      <c r="AF265" s="421">
        <f t="shared" si="37"/>
        <v>0.2827456766559458</v>
      </c>
      <c r="AG265" s="421">
        <f t="shared" si="38"/>
        <v>2.739311514770113</v>
      </c>
      <c r="AH265" s="426">
        <f t="shared" si="39"/>
        <v>2.3629328082666666E-3</v>
      </c>
      <c r="AI265" s="421">
        <f t="shared" si="40"/>
        <v>0.16718885658595126</v>
      </c>
      <c r="AJ265" s="325"/>
      <c r="AK265" s="325"/>
      <c r="AL265" s="325"/>
      <c r="AM265" s="325"/>
      <c r="AN265" s="325"/>
      <c r="AO265" s="325"/>
      <c r="AP265" s="325"/>
      <c r="AQ265" s="325"/>
      <c r="AR265" s="325"/>
      <c r="AS265" s="325"/>
      <c r="AT265" s="325"/>
      <c r="AU265" s="325"/>
      <c r="AV265" s="325"/>
      <c r="AW265" s="325"/>
      <c r="AX265" s="325"/>
      <c r="AY265" s="325"/>
      <c r="AZ265" s="325"/>
      <c r="BA265" s="325"/>
      <c r="BB265" s="325"/>
      <c r="BC265" s="325"/>
      <c r="BD265" s="325"/>
      <c r="BE265" s="325"/>
      <c r="BF265" s="325"/>
      <c r="BG265" s="325"/>
      <c r="BH265" s="325"/>
      <c r="BI265" s="325"/>
      <c r="BJ265" s="325"/>
      <c r="BK265" s="325"/>
      <c r="BL265" s="325"/>
      <c r="BM265" s="325"/>
      <c r="BN265" s="325"/>
      <c r="BO265" s="325"/>
      <c r="BP265" s="325"/>
      <c r="BQ265" s="325"/>
    </row>
    <row r="266" spans="1:69" ht="14.25" customHeight="1" x14ac:dyDescent="0.2">
      <c r="A266" s="28"/>
      <c r="B266" s="28"/>
      <c r="C266" s="28"/>
      <c r="D266" s="28"/>
      <c r="E266" s="324"/>
      <c r="F266" s="324"/>
      <c r="G266" s="324"/>
      <c r="H266" s="324"/>
      <c r="I266" s="324"/>
      <c r="J266" s="324"/>
      <c r="K266" s="324"/>
      <c r="L266" s="324"/>
      <c r="M266" s="324"/>
      <c r="N266" s="324"/>
      <c r="O266" s="324"/>
      <c r="P266" s="324"/>
      <c r="Q266" s="324"/>
      <c r="R266" s="324"/>
      <c r="S266" s="419"/>
      <c r="T266" s="418">
        <f t="shared" si="42"/>
        <v>240</v>
      </c>
      <c r="U266" s="419"/>
      <c r="V266" s="370">
        <f t="shared" si="41"/>
        <v>2.484521544984341E-3</v>
      </c>
      <c r="W266" s="429"/>
      <c r="X266" s="370">
        <f t="shared" si="33"/>
        <v>2.0809768783693828E-2</v>
      </c>
      <c r="Y266" s="429"/>
      <c r="Z266" s="421">
        <f t="shared" si="34"/>
        <v>6.096104720439588E-2</v>
      </c>
      <c r="AA266" s="429"/>
      <c r="AB266" s="421">
        <f t="shared" si="35"/>
        <v>6.9550319097993848E-2</v>
      </c>
      <c r="AC266" s="430"/>
      <c r="AD266" s="424">
        <f t="shared" si="36"/>
        <v>9.4254773023427774E-3</v>
      </c>
      <c r="AE266" s="431"/>
      <c r="AF266" s="421">
        <f t="shared" si="37"/>
        <v>0.28274479148735121</v>
      </c>
      <c r="AG266" s="421">
        <f t="shared" si="38"/>
        <v>2.7425957187895316</v>
      </c>
      <c r="AH266" s="426">
        <f t="shared" si="39"/>
        <v>2.3491224127186834E-3</v>
      </c>
      <c r="AI266" s="421">
        <f t="shared" si="40"/>
        <v>0.16688205120884228</v>
      </c>
      <c r="AJ266" s="325"/>
      <c r="AK266" s="325"/>
      <c r="AL266" s="325"/>
      <c r="AM266" s="325"/>
      <c r="AN266" s="325"/>
      <c r="AO266" s="325"/>
      <c r="AP266" s="325"/>
      <c r="AQ266" s="325"/>
      <c r="AR266" s="325"/>
      <c r="AS266" s="325"/>
      <c r="AT266" s="325"/>
      <c r="AU266" s="325"/>
      <c r="AV266" s="325"/>
      <c r="AW266" s="325"/>
      <c r="AX266" s="325"/>
      <c r="AY266" s="325"/>
      <c r="AZ266" s="325"/>
      <c r="BA266" s="325"/>
      <c r="BB266" s="325"/>
      <c r="BC266" s="325"/>
      <c r="BD266" s="325"/>
      <c r="BE266" s="325"/>
      <c r="BF266" s="325"/>
      <c r="BG266" s="325"/>
      <c r="BH266" s="325"/>
      <c r="BI266" s="325"/>
      <c r="BJ266" s="325"/>
      <c r="BK266" s="325"/>
      <c r="BL266" s="325"/>
      <c r="BM266" s="325"/>
      <c r="BN266" s="325"/>
      <c r="BO266" s="325"/>
      <c r="BP266" s="325"/>
      <c r="BQ266" s="325"/>
    </row>
    <row r="267" spans="1:69" ht="14.25" customHeight="1" x14ac:dyDescent="0.2">
      <c r="A267" s="28"/>
      <c r="B267" s="28"/>
      <c r="C267" s="28"/>
      <c r="D267" s="28"/>
      <c r="E267" s="324"/>
      <c r="F267" s="324"/>
      <c r="G267" s="324"/>
      <c r="H267" s="324"/>
      <c r="I267" s="324"/>
      <c r="J267" s="324"/>
      <c r="K267" s="324"/>
      <c r="L267" s="324"/>
      <c r="M267" s="324"/>
      <c r="N267" s="324"/>
      <c r="O267" s="324"/>
      <c r="P267" s="324"/>
      <c r="Q267" s="324"/>
      <c r="R267" s="324"/>
      <c r="S267" s="419"/>
      <c r="T267" s="418">
        <f t="shared" si="42"/>
        <v>241</v>
      </c>
      <c r="U267" s="419"/>
      <c r="V267" s="370">
        <f t="shared" si="41"/>
        <v>2.4232019623575507E-3</v>
      </c>
      <c r="W267" s="429"/>
      <c r="X267" s="370">
        <f t="shared" si="33"/>
        <v>2.0553144786647604E-2</v>
      </c>
      <c r="Y267" s="429"/>
      <c r="Z267" s="421">
        <f t="shared" si="34"/>
        <v>6.0634015059750968E-2</v>
      </c>
      <c r="AA267" s="429"/>
      <c r="AB267" s="421">
        <f t="shared" si="35"/>
        <v>6.9263900786373303E-2</v>
      </c>
      <c r="AC267" s="430"/>
      <c r="AD267" s="424">
        <f t="shared" si="36"/>
        <v>9.2591506351713537E-3</v>
      </c>
      <c r="AE267" s="431"/>
      <c r="AF267" s="421">
        <f t="shared" si="37"/>
        <v>0.2827439414618072</v>
      </c>
      <c r="AG267" s="421">
        <f t="shared" si="38"/>
        <v>2.74586626703555</v>
      </c>
      <c r="AH267" s="426">
        <f t="shared" si="39"/>
        <v>2.3354496551668416E-3</v>
      </c>
      <c r="AI267" s="421">
        <f t="shared" si="40"/>
        <v>0.16657707785406056</v>
      </c>
      <c r="AJ267" s="325"/>
      <c r="AK267" s="325"/>
      <c r="AL267" s="325"/>
      <c r="AM267" s="325"/>
      <c r="AN267" s="325"/>
      <c r="AO267" s="325"/>
      <c r="AP267" s="325"/>
      <c r="AQ267" s="325"/>
      <c r="AR267" s="325"/>
      <c r="AS267" s="325"/>
      <c r="AT267" s="325"/>
      <c r="AU267" s="325"/>
      <c r="AV267" s="325"/>
      <c r="AW267" s="325"/>
      <c r="AX267" s="325"/>
      <c r="AY267" s="325"/>
      <c r="AZ267" s="325"/>
      <c r="BA267" s="325"/>
      <c r="BB267" s="325"/>
      <c r="BC267" s="325"/>
      <c r="BD267" s="325"/>
      <c r="BE267" s="325"/>
      <c r="BF267" s="325"/>
      <c r="BG267" s="325"/>
      <c r="BH267" s="325"/>
      <c r="BI267" s="325"/>
      <c r="BJ267" s="325"/>
      <c r="BK267" s="325"/>
      <c r="BL267" s="325"/>
      <c r="BM267" s="325"/>
      <c r="BN267" s="325"/>
      <c r="BO267" s="325"/>
      <c r="BP267" s="325"/>
      <c r="BQ267" s="325"/>
    </row>
    <row r="268" spans="1:69" ht="14.25" customHeight="1" x14ac:dyDescent="0.2">
      <c r="A268" s="28"/>
      <c r="B268" s="28"/>
      <c r="C268" s="28"/>
      <c r="D268" s="28"/>
      <c r="E268" s="324"/>
      <c r="F268" s="324"/>
      <c r="G268" s="324"/>
      <c r="H268" s="324"/>
      <c r="I268" s="324"/>
      <c r="J268" s="324"/>
      <c r="K268" s="324"/>
      <c r="L268" s="324"/>
      <c r="M268" s="324"/>
      <c r="N268" s="324"/>
      <c r="O268" s="324"/>
      <c r="P268" s="324"/>
      <c r="Q268" s="324"/>
      <c r="R268" s="324"/>
      <c r="S268" s="419"/>
      <c r="T268" s="418">
        <f t="shared" si="42"/>
        <v>242</v>
      </c>
      <c r="U268" s="419"/>
      <c r="V268" s="370">
        <f t="shared" si="41"/>
        <v>2.3633957862943355E-3</v>
      </c>
      <c r="W268" s="429"/>
      <c r="X268" s="370">
        <f t="shared" si="33"/>
        <v>2.0299926327862653E-2</v>
      </c>
      <c r="Y268" s="429"/>
      <c r="Z268" s="421">
        <f t="shared" si="34"/>
        <v>6.0309702513749786E-2</v>
      </c>
      <c r="AA268" s="429"/>
      <c r="AB268" s="421">
        <f t="shared" si="35"/>
        <v>6.8979753775778765E-2</v>
      </c>
      <c r="AC268" s="430"/>
      <c r="AD268" s="424">
        <f t="shared" si="36"/>
        <v>9.0957867473192566E-3</v>
      </c>
      <c r="AE268" s="431"/>
      <c r="AF268" s="421">
        <f t="shared" si="37"/>
        <v>0.28274312518396166</v>
      </c>
      <c r="AG268" s="421">
        <f t="shared" si="38"/>
        <v>2.7491232725999475</v>
      </c>
      <c r="AH268" s="426">
        <f t="shared" si="39"/>
        <v>2.3219126012630356E-3</v>
      </c>
      <c r="AI268" s="421">
        <f t="shared" si="40"/>
        <v>0.16627391807230321</v>
      </c>
      <c r="AJ268" s="325"/>
      <c r="AK268" s="325"/>
      <c r="AL268" s="325"/>
      <c r="AM268" s="325"/>
      <c r="AN268" s="325"/>
      <c r="AO268" s="325"/>
      <c r="AP268" s="325"/>
      <c r="AQ268" s="325"/>
      <c r="AR268" s="325"/>
      <c r="AS268" s="325"/>
      <c r="AT268" s="325"/>
      <c r="AU268" s="325"/>
      <c r="AV268" s="325"/>
      <c r="AW268" s="325"/>
      <c r="AX268" s="325"/>
      <c r="AY268" s="325"/>
      <c r="AZ268" s="325"/>
      <c r="BA268" s="325"/>
      <c r="BB268" s="325"/>
      <c r="BC268" s="325"/>
      <c r="BD268" s="325"/>
      <c r="BE268" s="325"/>
      <c r="BF268" s="325"/>
      <c r="BG268" s="325"/>
      <c r="BH268" s="325"/>
      <c r="BI268" s="325"/>
      <c r="BJ268" s="325"/>
      <c r="BK268" s="325"/>
      <c r="BL268" s="325"/>
      <c r="BM268" s="325"/>
      <c r="BN268" s="325"/>
      <c r="BO268" s="325"/>
      <c r="BP268" s="325"/>
      <c r="BQ268" s="325"/>
    </row>
    <row r="269" spans="1:69" ht="14.25" customHeight="1" x14ac:dyDescent="0.2">
      <c r="A269" s="28"/>
      <c r="B269" s="28"/>
      <c r="C269" s="28"/>
      <c r="D269" s="28"/>
      <c r="E269" s="324"/>
      <c r="F269" s="324"/>
      <c r="G269" s="324"/>
      <c r="H269" s="324"/>
      <c r="I269" s="324"/>
      <c r="J269" s="324"/>
      <c r="K269" s="324"/>
      <c r="L269" s="324"/>
      <c r="M269" s="324"/>
      <c r="N269" s="324"/>
      <c r="O269" s="324"/>
      <c r="P269" s="324"/>
      <c r="Q269" s="324"/>
      <c r="R269" s="324"/>
      <c r="S269" s="419"/>
      <c r="T269" s="418">
        <f t="shared" si="42"/>
        <v>243</v>
      </c>
      <c r="U269" s="419"/>
      <c r="V269" s="370">
        <f t="shared" si="41"/>
        <v>2.3050656649516378E-3</v>
      </c>
      <c r="W269" s="429"/>
      <c r="X269" s="370">
        <f t="shared" si="33"/>
        <v>2.0050064268894247E-2</v>
      </c>
      <c r="Y269" s="429"/>
      <c r="Z269" s="421">
        <f t="shared" si="34"/>
        <v>5.9988078201838491E-2</v>
      </c>
      <c r="AA269" s="429"/>
      <c r="AB269" s="421">
        <f t="shared" si="35"/>
        <v>6.8697851486438921E-2</v>
      </c>
      <c r="AC269" s="430"/>
      <c r="AD269" s="424">
        <f t="shared" si="36"/>
        <v>8.93533218197895E-3</v>
      </c>
      <c r="AE269" s="431"/>
      <c r="AF269" s="421">
        <f t="shared" si="37"/>
        <v>0.28274234131387216</v>
      </c>
      <c r="AG269" s="421">
        <f t="shared" si="38"/>
        <v>2.7523668471754186</v>
      </c>
      <c r="AH269" s="426">
        <f t="shared" si="39"/>
        <v>2.3085093516861206E-3</v>
      </c>
      <c r="AI269" s="421">
        <f t="shared" si="40"/>
        <v>0.16597255367502525</v>
      </c>
      <c r="AJ269" s="325"/>
      <c r="AK269" s="325"/>
      <c r="AL269" s="325"/>
      <c r="AM269" s="325"/>
      <c r="AN269" s="325"/>
      <c r="AO269" s="325"/>
      <c r="AP269" s="325"/>
      <c r="AQ269" s="325"/>
      <c r="AR269" s="325"/>
      <c r="AS269" s="325"/>
      <c r="AT269" s="325"/>
      <c r="AU269" s="325"/>
      <c r="AV269" s="325"/>
      <c r="AW269" s="325"/>
      <c r="AX269" s="325"/>
      <c r="AY269" s="325"/>
      <c r="AZ269" s="325"/>
      <c r="BA269" s="325"/>
      <c r="BB269" s="325"/>
      <c r="BC269" s="325"/>
      <c r="BD269" s="325"/>
      <c r="BE269" s="325"/>
      <c r="BF269" s="325"/>
      <c r="BG269" s="325"/>
      <c r="BH269" s="325"/>
      <c r="BI269" s="325"/>
      <c r="BJ269" s="325"/>
      <c r="BK269" s="325"/>
      <c r="BL269" s="325"/>
      <c r="BM269" s="325"/>
      <c r="BN269" s="325"/>
      <c r="BO269" s="325"/>
      <c r="BP269" s="325"/>
      <c r="BQ269" s="325"/>
    </row>
    <row r="270" spans="1:69" ht="14.25" customHeight="1" x14ac:dyDescent="0.2">
      <c r="A270" s="28"/>
      <c r="B270" s="28"/>
      <c r="C270" s="28"/>
      <c r="D270" s="28"/>
      <c r="E270" s="324"/>
      <c r="F270" s="324"/>
      <c r="G270" s="324"/>
      <c r="H270" s="324"/>
      <c r="I270" s="324"/>
      <c r="J270" s="324"/>
      <c r="K270" s="324"/>
      <c r="L270" s="324"/>
      <c r="M270" s="324"/>
      <c r="N270" s="324"/>
      <c r="O270" s="324"/>
      <c r="P270" s="324"/>
      <c r="Q270" s="324"/>
      <c r="R270" s="324"/>
      <c r="S270" s="419"/>
      <c r="T270" s="418">
        <f t="shared" si="42"/>
        <v>244</v>
      </c>
      <c r="U270" s="419"/>
      <c r="V270" s="370">
        <f t="shared" si="41"/>
        <v>2.2481751683538029E-3</v>
      </c>
      <c r="W270" s="429"/>
      <c r="X270" s="370">
        <f t="shared" si="33"/>
        <v>1.9803510250738825E-2</v>
      </c>
      <c r="Y270" s="429"/>
      <c r="Z270" s="421">
        <f t="shared" si="34"/>
        <v>5.966911122692431E-2</v>
      </c>
      <c r="AA270" s="429"/>
      <c r="AB270" s="421">
        <f t="shared" si="35"/>
        <v>6.8418167748936748E-2</v>
      </c>
      <c r="AC270" s="430"/>
      <c r="AD270" s="424">
        <f t="shared" si="36"/>
        <v>8.7777344643178434E-3</v>
      </c>
      <c r="AE270" s="431"/>
      <c r="AF270" s="421">
        <f t="shared" si="37"/>
        <v>0.28274158856480575</v>
      </c>
      <c r="AG270" s="421">
        <f t="shared" si="38"/>
        <v>2.7555971010785627</v>
      </c>
      <c r="AH270" s="426">
        <f t="shared" si="39"/>
        <v>2.2952380413667839E-3</v>
      </c>
      <c r="AI270" s="421">
        <f t="shared" si="40"/>
        <v>0.16567296672970439</v>
      </c>
      <c r="AJ270" s="325"/>
      <c r="AK270" s="325"/>
      <c r="AL270" s="325"/>
      <c r="AM270" s="325"/>
      <c r="AN270" s="325"/>
      <c r="AO270" s="325"/>
      <c r="AP270" s="325"/>
      <c r="AQ270" s="325"/>
      <c r="AR270" s="325"/>
      <c r="AS270" s="325"/>
      <c r="AT270" s="325"/>
      <c r="AU270" s="325"/>
      <c r="AV270" s="325"/>
      <c r="AW270" s="325"/>
      <c r="AX270" s="325"/>
      <c r="AY270" s="325"/>
      <c r="AZ270" s="325"/>
      <c r="BA270" s="325"/>
      <c r="BB270" s="325"/>
      <c r="BC270" s="325"/>
      <c r="BD270" s="325"/>
      <c r="BE270" s="325"/>
      <c r="BF270" s="325"/>
      <c r="BG270" s="325"/>
      <c r="BH270" s="325"/>
      <c r="BI270" s="325"/>
      <c r="BJ270" s="325"/>
      <c r="BK270" s="325"/>
      <c r="BL270" s="325"/>
      <c r="BM270" s="325"/>
      <c r="BN270" s="325"/>
      <c r="BO270" s="325"/>
      <c r="BP270" s="325"/>
      <c r="BQ270" s="325"/>
    </row>
    <row r="271" spans="1:69" ht="14.25" customHeight="1" x14ac:dyDescent="0.2">
      <c r="A271" s="28"/>
      <c r="B271" s="28"/>
      <c r="C271" s="28"/>
      <c r="D271" s="28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419"/>
      <c r="T271" s="418">
        <f t="shared" si="42"/>
        <v>245</v>
      </c>
      <c r="U271" s="419"/>
      <c r="V271" s="370">
        <f t="shared" si="41"/>
        <v>2.1926887656403024E-3</v>
      </c>
      <c r="W271" s="429"/>
      <c r="X271" s="370">
        <f t="shared" si="33"/>
        <v>1.9560216680096151E-2</v>
      </c>
      <c r="Y271" s="429"/>
      <c r="Z271" s="421">
        <f t="shared" si="34"/>
        <v>5.9352771150790296E-2</v>
      </c>
      <c r="AA271" s="429"/>
      <c r="AB271" s="421">
        <f t="shared" si="35"/>
        <v>6.814067679635484E-2</v>
      </c>
      <c r="AC271" s="430"/>
      <c r="AD271" s="424">
        <f t="shared" si="36"/>
        <v>8.6229420829704306E-3</v>
      </c>
      <c r="AE271" s="431"/>
      <c r="AF271" s="421">
        <f t="shared" si="37"/>
        <v>0.28274086570112517</v>
      </c>
      <c r="AG271" s="421">
        <f t="shared" si="38"/>
        <v>2.7588141432723918</v>
      </c>
      <c r="AH271" s="426">
        <f t="shared" si="39"/>
        <v>2.2820968387327234E-3</v>
      </c>
      <c r="AI271" s="421">
        <f t="shared" si="40"/>
        <v>0.16537513955520969</v>
      </c>
      <c r="AJ271" s="325"/>
      <c r="AK271" s="325"/>
      <c r="AL271" s="325"/>
      <c r="AM271" s="325"/>
      <c r="AN271" s="325"/>
      <c r="AO271" s="325"/>
      <c r="AP271" s="325"/>
      <c r="AQ271" s="325"/>
      <c r="AR271" s="325"/>
      <c r="AS271" s="325"/>
      <c r="AT271" s="325"/>
      <c r="AU271" s="325"/>
      <c r="AV271" s="325"/>
      <c r="AW271" s="325"/>
      <c r="AX271" s="325"/>
      <c r="AY271" s="325"/>
      <c r="AZ271" s="325"/>
      <c r="BA271" s="325"/>
      <c r="BB271" s="325"/>
      <c r="BC271" s="325"/>
      <c r="BD271" s="325"/>
      <c r="BE271" s="325"/>
      <c r="BF271" s="325"/>
      <c r="BG271" s="325"/>
      <c r="BH271" s="325"/>
      <c r="BI271" s="325"/>
      <c r="BJ271" s="325"/>
      <c r="BK271" s="325"/>
      <c r="BL271" s="325"/>
      <c r="BM271" s="325"/>
      <c r="BN271" s="325"/>
      <c r="BO271" s="325"/>
      <c r="BP271" s="325"/>
      <c r="BQ271" s="325"/>
    </row>
    <row r="272" spans="1:69" ht="14.25" customHeight="1" x14ac:dyDescent="0.2">
      <c r="A272" s="28"/>
      <c r="B272" s="28"/>
      <c r="C272" s="28"/>
      <c r="D272" s="28"/>
      <c r="E272" s="324"/>
      <c r="F272" s="324"/>
      <c r="G272" s="324"/>
      <c r="H272" s="324"/>
      <c r="I272" s="324"/>
      <c r="J272" s="324"/>
      <c r="K272" s="324"/>
      <c r="L272" s="324"/>
      <c r="M272" s="324"/>
      <c r="N272" s="324"/>
      <c r="O272" s="324"/>
      <c r="P272" s="324"/>
      <c r="Q272" s="324"/>
      <c r="R272" s="324"/>
      <c r="S272" s="419"/>
      <c r="T272" s="418">
        <f t="shared" si="42"/>
        <v>246</v>
      </c>
      <c r="U272" s="419"/>
      <c r="V272" s="370">
        <f t="shared" si="41"/>
        <v>2.1385718028749975E-3</v>
      </c>
      <c r="W272" s="429"/>
      <c r="X272" s="370">
        <f t="shared" si="33"/>
        <v>1.9320136715902624E-2</v>
      </c>
      <c r="Y272" s="429"/>
      <c r="Z272" s="421">
        <f t="shared" si="34"/>
        <v>5.903902798569638E-2</v>
      </c>
      <c r="AA272" s="429"/>
      <c r="AB272" s="421">
        <f t="shared" si="35"/>
        <v>6.7865353256600647E-2</v>
      </c>
      <c r="AC272" s="430"/>
      <c r="AD272" s="424">
        <f t="shared" si="36"/>
        <v>8.4709044718922488E-3</v>
      </c>
      <c r="AE272" s="431"/>
      <c r="AF272" s="421">
        <f t="shared" si="37"/>
        <v>0.28274017153625891</v>
      </c>
      <c r="AG272" s="421">
        <f t="shared" si="38"/>
        <v>2.7620180813883857</v>
      </c>
      <c r="AH272" s="426">
        <f t="shared" si="39"/>
        <v>2.2690839449734015E-3</v>
      </c>
      <c r="AI272" s="421">
        <f t="shared" si="40"/>
        <v>0.16507905471727341</v>
      </c>
      <c r="AJ272" s="325"/>
      <c r="AK272" s="325"/>
      <c r="AL272" s="325"/>
      <c r="AM272" s="325"/>
      <c r="AN272" s="325"/>
      <c r="AO272" s="325"/>
      <c r="AP272" s="325"/>
      <c r="AQ272" s="325"/>
      <c r="AR272" s="325"/>
      <c r="AS272" s="325"/>
      <c r="AT272" s="325"/>
      <c r="AU272" s="325"/>
      <c r="AV272" s="325"/>
      <c r="AW272" s="325"/>
      <c r="AX272" s="325"/>
      <c r="AY272" s="325"/>
      <c r="AZ272" s="325"/>
      <c r="BA272" s="325"/>
      <c r="BB272" s="325"/>
      <c r="BC272" s="325"/>
      <c r="BD272" s="325"/>
      <c r="BE272" s="325"/>
      <c r="BF272" s="325"/>
      <c r="BG272" s="325"/>
      <c r="BH272" s="325"/>
      <c r="BI272" s="325"/>
      <c r="BJ272" s="325"/>
      <c r="BK272" s="325"/>
      <c r="BL272" s="325"/>
      <c r="BM272" s="325"/>
      <c r="BN272" s="325"/>
      <c r="BO272" s="325"/>
      <c r="BP272" s="325"/>
      <c r="BQ272" s="325"/>
    </row>
    <row r="273" spans="1:69" ht="14.25" customHeight="1" x14ac:dyDescent="0.2">
      <c r="A273" s="28"/>
      <c r="B273" s="28"/>
      <c r="C273" s="28"/>
      <c r="D273" s="28"/>
      <c r="E273" s="324"/>
      <c r="F273" s="324"/>
      <c r="G273" s="324"/>
      <c r="H273" s="324"/>
      <c r="I273" s="324"/>
      <c r="J273" s="324"/>
      <c r="K273" s="324"/>
      <c r="L273" s="324"/>
      <c r="M273" s="324"/>
      <c r="N273" s="324"/>
      <c r="O273" s="324"/>
      <c r="P273" s="324"/>
      <c r="Q273" s="324"/>
      <c r="R273" s="324"/>
      <c r="S273" s="419"/>
      <c r="T273" s="418">
        <f t="shared" si="42"/>
        <v>247</v>
      </c>
      <c r="U273" s="419"/>
      <c r="V273" s="370">
        <f t="shared" si="41"/>
        <v>2.0857904814030825E-3</v>
      </c>
      <c r="W273" s="429"/>
      <c r="X273" s="370">
        <f t="shared" si="33"/>
        <v>1.9083224256130387E-2</v>
      </c>
      <c r="Y273" s="429"/>
      <c r="Z273" s="421">
        <f t="shared" si="34"/>
        <v>5.8727852186164275E-2</v>
      </c>
      <c r="AA273" s="429"/>
      <c r="AB273" s="421">
        <f t="shared" si="35"/>
        <v>6.7592172144905496E-2</v>
      </c>
      <c r="AC273" s="430"/>
      <c r="AD273" s="424">
        <f t="shared" si="36"/>
        <v>8.3215719925684439E-3</v>
      </c>
      <c r="AE273" s="431"/>
      <c r="AF273" s="421">
        <f t="shared" si="37"/>
        <v>0.28273950493075312</v>
      </c>
      <c r="AG273" s="421">
        <f t="shared" si="38"/>
        <v>2.7652090217481047</v>
      </c>
      <c r="AH273" s="426">
        <f t="shared" si="39"/>
        <v>2.2561975933238589E-3</v>
      </c>
      <c r="AI273" s="421">
        <f t="shared" si="40"/>
        <v>0.1647846950240604</v>
      </c>
      <c r="AJ273" s="325"/>
      <c r="AK273" s="325"/>
      <c r="AL273" s="325"/>
      <c r="AM273" s="325"/>
      <c r="AN273" s="325"/>
      <c r="AO273" s="325"/>
      <c r="AP273" s="325"/>
      <c r="AQ273" s="325"/>
      <c r="AR273" s="325"/>
      <c r="AS273" s="325"/>
      <c r="AT273" s="325"/>
      <c r="AU273" s="325"/>
      <c r="AV273" s="325"/>
      <c r="AW273" s="325"/>
      <c r="AX273" s="325"/>
      <c r="AY273" s="325"/>
      <c r="AZ273" s="325"/>
      <c r="BA273" s="325"/>
      <c r="BB273" s="325"/>
      <c r="BC273" s="325"/>
      <c r="BD273" s="325"/>
      <c r="BE273" s="325"/>
      <c r="BF273" s="325"/>
      <c r="BG273" s="325"/>
      <c r="BH273" s="325"/>
      <c r="BI273" s="325"/>
      <c r="BJ273" s="325"/>
      <c r="BK273" s="325"/>
      <c r="BL273" s="325"/>
      <c r="BM273" s="325"/>
      <c r="BN273" s="325"/>
      <c r="BO273" s="325"/>
      <c r="BP273" s="325"/>
      <c r="BQ273" s="325"/>
    </row>
    <row r="274" spans="1:69" ht="14.25" customHeight="1" x14ac:dyDescent="0.2">
      <c r="A274" s="28"/>
      <c r="B274" s="28"/>
      <c r="C274" s="28"/>
      <c r="D274" s="28"/>
      <c r="E274" s="324"/>
      <c r="F274" s="324"/>
      <c r="G274" s="324"/>
      <c r="H274" s="324"/>
      <c r="I274" s="324"/>
      <c r="J274" s="324"/>
      <c r="K274" s="324"/>
      <c r="L274" s="324"/>
      <c r="M274" s="324"/>
      <c r="N274" s="324"/>
      <c r="O274" s="324"/>
      <c r="P274" s="324"/>
      <c r="Q274" s="324"/>
      <c r="R274" s="324"/>
      <c r="S274" s="419"/>
      <c r="T274" s="418">
        <f t="shared" si="42"/>
        <v>248</v>
      </c>
      <c r="U274" s="419"/>
      <c r="V274" s="370">
        <f t="shared" si="41"/>
        <v>2.0343118367421946E-3</v>
      </c>
      <c r="W274" s="429"/>
      <c r="X274" s="370">
        <f t="shared" si="33"/>
        <v>1.8849433924845688E-2</v>
      </c>
      <c r="Y274" s="429"/>
      <c r="Z274" s="421">
        <f t="shared" si="34"/>
        <v>5.8419214640941686E-2</v>
      </c>
      <c r="AA274" s="429"/>
      <c r="AB274" s="421">
        <f t="shared" si="35"/>
        <v>6.7321108856493839E-2</v>
      </c>
      <c r="AC274" s="430"/>
      <c r="AD274" s="424">
        <f t="shared" si="36"/>
        <v>8.1748959165697244E-3</v>
      </c>
      <c r="AE274" s="431"/>
      <c r="AF274" s="421">
        <f t="shared" si="37"/>
        <v>0.28273886479039978</v>
      </c>
      <c r="AG274" s="421">
        <f t="shared" si="38"/>
        <v>2.7683870693843513</v>
      </c>
      <c r="AH274" s="426">
        <f t="shared" si="39"/>
        <v>2.2434360483670561E-3</v>
      </c>
      <c r="AI274" s="421">
        <f t="shared" si="40"/>
        <v>0.16449204352183752</v>
      </c>
      <c r="AJ274" s="325"/>
      <c r="AK274" s="325"/>
      <c r="AL274" s="325"/>
      <c r="AM274" s="325"/>
      <c r="AN274" s="325"/>
      <c r="AO274" s="325"/>
      <c r="AP274" s="325"/>
      <c r="AQ274" s="325"/>
      <c r="AR274" s="325"/>
      <c r="AS274" s="325"/>
      <c r="AT274" s="325"/>
      <c r="AU274" s="325"/>
      <c r="AV274" s="325"/>
      <c r="AW274" s="325"/>
      <c r="AX274" s="325"/>
      <c r="AY274" s="325"/>
      <c r="AZ274" s="325"/>
      <c r="BA274" s="325"/>
      <c r="BB274" s="325"/>
      <c r="BC274" s="325"/>
      <c r="BD274" s="325"/>
      <c r="BE274" s="325"/>
      <c r="BF274" s="325"/>
      <c r="BG274" s="325"/>
      <c r="BH274" s="325"/>
      <c r="BI274" s="325"/>
      <c r="BJ274" s="325"/>
      <c r="BK274" s="325"/>
      <c r="BL274" s="325"/>
      <c r="BM274" s="325"/>
      <c r="BN274" s="325"/>
      <c r="BO274" s="325"/>
      <c r="BP274" s="325"/>
      <c r="BQ274" s="325"/>
    </row>
    <row r="275" spans="1:69" ht="14.25" customHeight="1" x14ac:dyDescent="0.2">
      <c r="A275" s="28"/>
      <c r="B275" s="28"/>
      <c r="C275" s="28"/>
      <c r="D275" s="28"/>
      <c r="E275" s="324"/>
      <c r="F275" s="324"/>
      <c r="G275" s="324"/>
      <c r="H275" s="324"/>
      <c r="I275" s="324"/>
      <c r="J275" s="324"/>
      <c r="K275" s="324"/>
      <c r="L275" s="324"/>
      <c r="M275" s="324"/>
      <c r="N275" s="324"/>
      <c r="O275" s="324"/>
      <c r="P275" s="324"/>
      <c r="Q275" s="324"/>
      <c r="R275" s="324"/>
      <c r="S275" s="419"/>
      <c r="T275" s="418">
        <f t="shared" si="42"/>
        <v>249</v>
      </c>
      <c r="U275" s="419"/>
      <c r="V275" s="370">
        <f t="shared" si="41"/>
        <v>1.9841037179945038E-3</v>
      </c>
      <c r="W275" s="429"/>
      <c r="X275" s="370">
        <f t="shared" si="33"/>
        <v>1.8618721059521275E-2</v>
      </c>
      <c r="Y275" s="429"/>
      <c r="Z275" s="421">
        <f t="shared" si="34"/>
        <v>5.8113086665138591E-2</v>
      </c>
      <c r="AA275" s="429"/>
      <c r="AB275" s="421">
        <f t="shared" si="35"/>
        <v>6.7052139159417656E-2</v>
      </c>
      <c r="AC275" s="430"/>
      <c r="AD275" s="424">
        <f t="shared" si="36"/>
        <v>8.0308284084484871E-3</v>
      </c>
      <c r="AE275" s="431"/>
      <c r="AF275" s="421">
        <f t="shared" si="37"/>
        <v>0.28273825006443959</v>
      </c>
      <c r="AG275" s="421">
        <f t="shared" si="38"/>
        <v>2.771552328061921</v>
      </c>
      <c r="AH275" s="426">
        <f t="shared" si="39"/>
        <v>2.2307976053540647E-3</v>
      </c>
      <c r="AI275" s="421">
        <f t="shared" si="40"/>
        <v>0.16420108349073465</v>
      </c>
      <c r="AJ275" s="325"/>
      <c r="AK275" s="325"/>
      <c r="AL275" s="325"/>
      <c r="AM275" s="325"/>
      <c r="AN275" s="325"/>
      <c r="AO275" s="325"/>
      <c r="AP275" s="325"/>
      <c r="AQ275" s="325"/>
      <c r="AR275" s="325"/>
      <c r="AS275" s="325"/>
      <c r="AT275" s="325"/>
      <c r="AU275" s="325"/>
      <c r="AV275" s="325"/>
      <c r="AW275" s="325"/>
      <c r="AX275" s="325"/>
      <c r="AY275" s="325"/>
      <c r="AZ275" s="325"/>
      <c r="BA275" s="325"/>
      <c r="BB275" s="325"/>
      <c r="BC275" s="325"/>
      <c r="BD275" s="325"/>
      <c r="BE275" s="325"/>
      <c r="BF275" s="325"/>
      <c r="BG275" s="325"/>
      <c r="BH275" s="325"/>
      <c r="BI275" s="325"/>
      <c r="BJ275" s="325"/>
      <c r="BK275" s="325"/>
      <c r="BL275" s="325"/>
      <c r="BM275" s="325"/>
      <c r="BN275" s="325"/>
      <c r="BO275" s="325"/>
      <c r="BP275" s="325"/>
      <c r="BQ275" s="325"/>
    </row>
    <row r="276" spans="1:69" ht="14.25" customHeight="1" x14ac:dyDescent="0.2">
      <c r="A276" s="28"/>
      <c r="B276" s="28"/>
      <c r="C276" s="28"/>
      <c r="D276" s="28"/>
      <c r="E276" s="324"/>
      <c r="F276" s="324"/>
      <c r="G276" s="324"/>
      <c r="H276" s="324"/>
      <c r="I276" s="324"/>
      <c r="J276" s="324"/>
      <c r="K276" s="324"/>
      <c r="L276" s="324"/>
      <c r="M276" s="324"/>
      <c r="N276" s="324"/>
      <c r="O276" s="324"/>
      <c r="P276" s="324"/>
      <c r="Q276" s="324"/>
      <c r="R276" s="324"/>
      <c r="S276" s="419"/>
      <c r="T276" s="418">
        <f t="shared" si="42"/>
        <v>250</v>
      </c>
      <c r="U276" s="419"/>
      <c r="V276" s="370">
        <f t="shared" si="41"/>
        <v>1.9351347677669247E-3</v>
      </c>
      <c r="W276" s="429"/>
      <c r="X276" s="370">
        <f t="shared" si="33"/>
        <v>1.8391041698596764E-2</v>
      </c>
      <c r="Y276" s="429"/>
      <c r="Z276" s="421">
        <f t="shared" si="34"/>
        <v>5.7809439992535072E-2</v>
      </c>
      <c r="AA276" s="429"/>
      <c r="AB276" s="421">
        <f t="shared" si="35"/>
        <v>6.6785239187551929E-2</v>
      </c>
      <c r="AC276" s="430"/>
      <c r="AD276" s="424">
        <f t="shared" si="36"/>
        <v>7.8893225089682328E-3</v>
      </c>
      <c r="AE276" s="431"/>
      <c r="AF276" s="421">
        <f t="shared" si="37"/>
        <v>0.28273765974383652</v>
      </c>
      <c r="AG276" s="421">
        <f t="shared" si="38"/>
        <v>2.7747049002979316</v>
      </c>
      <c r="AH276" s="426">
        <f t="shared" si="39"/>
        <v>2.2182805895417097E-3</v>
      </c>
      <c r="AI276" s="421">
        <f t="shared" si="40"/>
        <v>0.16391179844059883</v>
      </c>
      <c r="AJ276" s="325"/>
      <c r="AK276" s="325"/>
      <c r="AL276" s="325"/>
      <c r="AM276" s="325"/>
      <c r="AN276" s="325"/>
      <c r="AO276" s="325"/>
      <c r="AP276" s="325"/>
      <c r="AQ276" s="325"/>
      <c r="AR276" s="325"/>
      <c r="AS276" s="325"/>
      <c r="AT276" s="325"/>
      <c r="AU276" s="325"/>
      <c r="AV276" s="325"/>
      <c r="AW276" s="325"/>
      <c r="AX276" s="325"/>
      <c r="AY276" s="325"/>
      <c r="AZ276" s="325"/>
      <c r="BA276" s="325"/>
      <c r="BB276" s="325"/>
      <c r="BC276" s="325"/>
      <c r="BD276" s="325"/>
      <c r="BE276" s="325"/>
      <c r="BF276" s="325"/>
      <c r="BG276" s="325"/>
      <c r="BH276" s="325"/>
      <c r="BI276" s="325"/>
      <c r="BJ276" s="325"/>
      <c r="BK276" s="325"/>
      <c r="BL276" s="325"/>
      <c r="BM276" s="325"/>
      <c r="BN276" s="325"/>
      <c r="BO276" s="325"/>
      <c r="BP276" s="325"/>
      <c r="BQ276" s="325"/>
    </row>
    <row r="277" spans="1:69" ht="14.25" customHeight="1" x14ac:dyDescent="0.2">
      <c r="A277" s="28"/>
      <c r="B277" s="28"/>
      <c r="C277" s="28"/>
      <c r="D277" s="28"/>
      <c r="E277" s="324"/>
      <c r="F277" s="324"/>
      <c r="G277" s="324"/>
      <c r="H277" s="324"/>
      <c r="I277" s="324"/>
      <c r="J277" s="324"/>
      <c r="K277" s="324"/>
      <c r="L277" s="324"/>
      <c r="M277" s="324"/>
      <c r="N277" s="324"/>
      <c r="O277" s="324"/>
      <c r="P277" s="324"/>
      <c r="Q277" s="324"/>
      <c r="R277" s="324"/>
      <c r="S277" s="419"/>
      <c r="T277" s="418">
        <f t="shared" si="42"/>
        <v>251</v>
      </c>
      <c r="U277" s="419"/>
      <c r="V277" s="370">
        <f t="shared" si="41"/>
        <v>1.8873744025869131E-3</v>
      </c>
      <c r="W277" s="429"/>
      <c r="X277" s="370">
        <f t="shared" si="33"/>
        <v>1.8166352569281983E-2</v>
      </c>
      <c r="Y277" s="429"/>
      <c r="Z277" s="421">
        <f t="shared" si="34"/>
        <v>5.7508246768052995E-2</v>
      </c>
      <c r="AA277" s="429"/>
      <c r="AB277" s="421">
        <f t="shared" si="35"/>
        <v>6.6520385433746887E-2</v>
      </c>
      <c r="AC277" s="430"/>
      <c r="AD277" s="424">
        <f t="shared" si="36"/>
        <v>7.7503321186589424E-3</v>
      </c>
      <c r="AE277" s="431"/>
      <c r="AF277" s="421">
        <f t="shared" si="37"/>
        <v>0.28273709285962079</v>
      </c>
      <c r="AG277" s="421">
        <f t="shared" si="38"/>
        <v>2.7778448873817418</v>
      </c>
      <c r="AH277" s="426">
        <f t="shared" si="39"/>
        <v>2.2058833555470875E-3</v>
      </c>
      <c r="AI277" s="421">
        <f t="shared" si="40"/>
        <v>0.16362417210693825</v>
      </c>
      <c r="AJ277" s="325"/>
      <c r="AK277" s="325"/>
      <c r="AL277" s="325"/>
      <c r="AM277" s="325"/>
      <c r="AN277" s="325"/>
      <c r="AO277" s="325"/>
      <c r="AP277" s="325"/>
      <c r="AQ277" s="325"/>
      <c r="AR277" s="325"/>
      <c r="AS277" s="325"/>
      <c r="AT277" s="325"/>
      <c r="AU277" s="325"/>
      <c r="AV277" s="325"/>
      <c r="AW277" s="325"/>
      <c r="AX277" s="325"/>
      <c r="AY277" s="325"/>
      <c r="AZ277" s="325"/>
      <c r="BA277" s="325"/>
      <c r="BB277" s="325"/>
      <c r="BC277" s="325"/>
      <c r="BD277" s="325"/>
      <c r="BE277" s="325"/>
      <c r="BF277" s="325"/>
      <c r="BG277" s="325"/>
      <c r="BH277" s="325"/>
      <c r="BI277" s="325"/>
      <c r="BJ277" s="325"/>
      <c r="BK277" s="325"/>
      <c r="BL277" s="325"/>
      <c r="BM277" s="325"/>
      <c r="BN277" s="325"/>
      <c r="BO277" s="325"/>
      <c r="BP277" s="325"/>
      <c r="BQ277" s="325"/>
    </row>
    <row r="278" spans="1:69" ht="14.25" customHeight="1" x14ac:dyDescent="0.2">
      <c r="A278" s="28"/>
      <c r="B278" s="28"/>
      <c r="C278" s="28"/>
      <c r="D278" s="28"/>
      <c r="E278" s="324"/>
      <c r="F278" s="324"/>
      <c r="G278" s="324"/>
      <c r="H278" s="324"/>
      <c r="I278" s="324"/>
      <c r="J278" s="324"/>
      <c r="K278" s="324"/>
      <c r="L278" s="324"/>
      <c r="M278" s="324"/>
      <c r="N278" s="324"/>
      <c r="O278" s="324"/>
      <c r="P278" s="324"/>
      <c r="Q278" s="324"/>
      <c r="R278" s="324"/>
      <c r="S278" s="419"/>
      <c r="T278" s="418">
        <f t="shared" si="42"/>
        <v>252</v>
      </c>
      <c r="U278" s="419"/>
      <c r="V278" s="370">
        <f t="shared" si="41"/>
        <v>1.8407927938016101E-3</v>
      </c>
      <c r="W278" s="429"/>
      <c r="X278" s="370">
        <f t="shared" si="33"/>
        <v>1.7944611075597475E-2</v>
      </c>
      <c r="Y278" s="429"/>
      <c r="Z278" s="421">
        <f t="shared" si="34"/>
        <v>5.7209479540390684E-2</v>
      </c>
      <c r="AA278" s="429"/>
      <c r="AB278" s="421">
        <f t="shared" si="35"/>
        <v>6.625755474313319E-2</v>
      </c>
      <c r="AC278" s="430"/>
      <c r="AD278" s="424">
        <f t="shared" si="36"/>
        <v>7.613811981692753E-3</v>
      </c>
      <c r="AE278" s="431"/>
      <c r="AF278" s="421">
        <f t="shared" si="37"/>
        <v>0.28273654848129737</v>
      </c>
      <c r="AG278" s="421">
        <f t="shared" si="38"/>
        <v>2.7809723893944822</v>
      </c>
      <c r="AH278" s="426">
        <f t="shared" si="39"/>
        <v>2.1936042867184724E-3</v>
      </c>
      <c r="AI278" s="421">
        <f t="shared" si="40"/>
        <v>0.16333818844695422</v>
      </c>
      <c r="AJ278" s="325"/>
      <c r="AK278" s="325"/>
      <c r="AL278" s="325"/>
      <c r="AM278" s="325"/>
      <c r="AN278" s="325"/>
      <c r="AO278" s="325"/>
      <c r="AP278" s="325"/>
      <c r="AQ278" s="325"/>
      <c r="AR278" s="325"/>
      <c r="AS278" s="325"/>
      <c r="AT278" s="325"/>
      <c r="AU278" s="325"/>
      <c r="AV278" s="325"/>
      <c r="AW278" s="325"/>
      <c r="AX278" s="325"/>
      <c r="AY278" s="325"/>
      <c r="AZ278" s="325"/>
      <c r="BA278" s="325"/>
      <c r="BB278" s="325"/>
      <c r="BC278" s="325"/>
      <c r="BD278" s="325"/>
      <c r="BE278" s="325"/>
      <c r="BF278" s="325"/>
      <c r="BG278" s="325"/>
      <c r="BH278" s="325"/>
      <c r="BI278" s="325"/>
      <c r="BJ278" s="325"/>
      <c r="BK278" s="325"/>
      <c r="BL278" s="325"/>
      <c r="BM278" s="325"/>
      <c r="BN278" s="325"/>
      <c r="BO278" s="325"/>
      <c r="BP278" s="325"/>
      <c r="BQ278" s="325"/>
    </row>
    <row r="279" spans="1:69" ht="14.25" customHeight="1" x14ac:dyDescent="0.2">
      <c r="A279" s="28"/>
      <c r="B279" s="28"/>
      <c r="C279" s="28"/>
      <c r="D279" s="28"/>
      <c r="E279" s="324"/>
      <c r="F279" s="324"/>
      <c r="G279" s="324"/>
      <c r="H279" s="324"/>
      <c r="I279" s="324"/>
      <c r="J279" s="324"/>
      <c r="K279" s="324"/>
      <c r="L279" s="324"/>
      <c r="M279" s="324"/>
      <c r="N279" s="324"/>
      <c r="O279" s="324"/>
      <c r="P279" s="324"/>
      <c r="Q279" s="324"/>
      <c r="R279" s="324"/>
      <c r="S279" s="419"/>
      <c r="T279" s="418">
        <f t="shared" si="42"/>
        <v>253</v>
      </c>
      <c r="U279" s="419"/>
      <c r="V279" s="370">
        <f t="shared" si="41"/>
        <v>1.7953608489484092E-3</v>
      </c>
      <c r="W279" s="429"/>
      <c r="X279" s="370">
        <f t="shared" si="33"/>
        <v>1.772577528664724E-2</v>
      </c>
      <c r="Y279" s="429"/>
      <c r="Z279" s="421">
        <f t="shared" si="34"/>
        <v>5.6913111254812465E-2</v>
      </c>
      <c r="AA279" s="429"/>
      <c r="AB279" s="421">
        <f t="shared" si="35"/>
        <v>6.5996724306575813E-2</v>
      </c>
      <c r="AC279" s="430"/>
      <c r="AD279" s="424">
        <f t="shared" si="36"/>
        <v>7.4797176700724943E-3</v>
      </c>
      <c r="AE279" s="431"/>
      <c r="AF279" s="421">
        <f t="shared" si="37"/>
        <v>0.28273602571531803</v>
      </c>
      <c r="AG279" s="421">
        <f t="shared" si="38"/>
        <v>2.7840875052281944</v>
      </c>
      <c r="AH279" s="426">
        <f t="shared" si="39"/>
        <v>2.1814417945221235E-3</v>
      </c>
      <c r="AI279" s="421">
        <f t="shared" si="40"/>
        <v>0.16305383163565618</v>
      </c>
      <c r="AJ279" s="325"/>
      <c r="AK279" s="325"/>
      <c r="AL279" s="325"/>
      <c r="AM279" s="325"/>
      <c r="AN279" s="325"/>
      <c r="AO279" s="325"/>
      <c r="AP279" s="325"/>
      <c r="AQ279" s="325"/>
      <c r="AR279" s="325"/>
      <c r="AS279" s="325"/>
      <c r="AT279" s="325"/>
      <c r="AU279" s="325"/>
      <c r="AV279" s="325"/>
      <c r="AW279" s="325"/>
      <c r="AX279" s="325"/>
      <c r="AY279" s="325"/>
      <c r="AZ279" s="325"/>
      <c r="BA279" s="325"/>
      <c r="BB279" s="325"/>
      <c r="BC279" s="325"/>
      <c r="BD279" s="325"/>
      <c r="BE279" s="325"/>
      <c r="BF279" s="325"/>
      <c r="BG279" s="325"/>
      <c r="BH279" s="325"/>
      <c r="BI279" s="325"/>
      <c r="BJ279" s="325"/>
      <c r="BK279" s="325"/>
      <c r="BL279" s="325"/>
      <c r="BM279" s="325"/>
      <c r="BN279" s="325"/>
      <c r="BO279" s="325"/>
      <c r="BP279" s="325"/>
      <c r="BQ279" s="325"/>
    </row>
    <row r="280" spans="1:69" ht="14.25" customHeight="1" x14ac:dyDescent="0.2">
      <c r="A280" s="28"/>
      <c r="B280" s="28"/>
      <c r="C280" s="28"/>
      <c r="D280" s="28"/>
      <c r="E280" s="324"/>
      <c r="F280" s="324"/>
      <c r="G280" s="324"/>
      <c r="H280" s="324"/>
      <c r="I280" s="324"/>
      <c r="J280" s="324"/>
      <c r="K280" s="324"/>
      <c r="L280" s="324"/>
      <c r="M280" s="324"/>
      <c r="N280" s="324"/>
      <c r="O280" s="324"/>
      <c r="P280" s="324"/>
      <c r="Q280" s="324"/>
      <c r="R280" s="324"/>
      <c r="S280" s="419"/>
      <c r="T280" s="418">
        <f t="shared" si="42"/>
        <v>254</v>
      </c>
      <c r="U280" s="419"/>
      <c r="V280" s="370">
        <f t="shared" si="41"/>
        <v>1.7510501935853098E-3</v>
      </c>
      <c r="W280" s="429"/>
      <c r="X280" s="370">
        <f t="shared" si="33"/>
        <v>1.7509803925118774E-2</v>
      </c>
      <c r="Y280" s="429"/>
      <c r="Z280" s="421">
        <f t="shared" si="34"/>
        <v>5.6619115246093643E-2</v>
      </c>
      <c r="AA280" s="429"/>
      <c r="AB280" s="421">
        <f t="shared" si="35"/>
        <v>6.5737871654272848E-2</v>
      </c>
      <c r="AC280" s="430"/>
      <c r="AD280" s="424">
        <f t="shared" si="36"/>
        <v>7.3480055681265366E-3</v>
      </c>
      <c r="AE280" s="431"/>
      <c r="AF280" s="421">
        <f t="shared" si="37"/>
        <v>0.28273552370361449</v>
      </c>
      <c r="AG280" s="421">
        <f t="shared" si="38"/>
        <v>2.787190332604593</v>
      </c>
      <c r="AH280" s="426">
        <f t="shared" si="39"/>
        <v>2.1693943179445594E-3</v>
      </c>
      <c r="AI280" s="421">
        <f t="shared" si="40"/>
        <v>0.16277108606206245</v>
      </c>
      <c r="AJ280" s="325"/>
      <c r="AK280" s="325"/>
      <c r="AL280" s="325"/>
      <c r="AM280" s="325"/>
      <c r="AN280" s="325"/>
      <c r="AO280" s="325"/>
      <c r="AP280" s="325"/>
      <c r="AQ280" s="325"/>
      <c r="AR280" s="325"/>
      <c r="AS280" s="325"/>
      <c r="AT280" s="325"/>
      <c r="AU280" s="325"/>
      <c r="AV280" s="325"/>
      <c r="AW280" s="325"/>
      <c r="AX280" s="325"/>
      <c r="AY280" s="325"/>
      <c r="AZ280" s="325"/>
      <c r="BA280" s="325"/>
      <c r="BB280" s="325"/>
      <c r="BC280" s="325"/>
      <c r="BD280" s="325"/>
      <c r="BE280" s="325"/>
      <c r="BF280" s="325"/>
      <c r="BG280" s="325"/>
      <c r="BH280" s="325"/>
      <c r="BI280" s="325"/>
      <c r="BJ280" s="325"/>
      <c r="BK280" s="325"/>
      <c r="BL280" s="325"/>
      <c r="BM280" s="325"/>
      <c r="BN280" s="325"/>
      <c r="BO280" s="325"/>
      <c r="BP280" s="325"/>
      <c r="BQ280" s="325"/>
    </row>
    <row r="281" spans="1:69" ht="14.25" customHeight="1" x14ac:dyDescent="0.2">
      <c r="A281" s="28"/>
      <c r="B281" s="28"/>
      <c r="C281" s="28"/>
      <c r="D281" s="28"/>
      <c r="E281" s="324"/>
      <c r="F281" s="324"/>
      <c r="G281" s="324"/>
      <c r="H281" s="324"/>
      <c r="I281" s="324"/>
      <c r="J281" s="324"/>
      <c r="K281" s="324"/>
      <c r="L281" s="324"/>
      <c r="M281" s="324"/>
      <c r="N281" s="324"/>
      <c r="O281" s="324"/>
      <c r="P281" s="324"/>
      <c r="Q281" s="324"/>
      <c r="R281" s="324"/>
      <c r="S281" s="419"/>
      <c r="T281" s="418">
        <f t="shared" si="42"/>
        <v>255</v>
      </c>
      <c r="U281" s="419"/>
      <c r="V281" s="370">
        <f t="shared" si="41"/>
        <v>1.7078331535697086E-3</v>
      </c>
      <c r="W281" s="429"/>
      <c r="X281" s="370">
        <f t="shared" si="33"/>
        <v>1.7296656356005049E-2</v>
      </c>
      <c r="Y281" s="429"/>
      <c r="Z281" s="421">
        <f t="shared" si="34"/>
        <v>5.6327465231613805E-2</v>
      </c>
      <c r="AA281" s="429"/>
      <c r="AB281" s="421">
        <f t="shared" si="35"/>
        <v>6.548097464949558E-2</v>
      </c>
      <c r="AC281" s="430"/>
      <c r="AD281" s="424">
        <f t="shared" si="36"/>
        <v>7.2186328573048408E-3</v>
      </c>
      <c r="AE281" s="431"/>
      <c r="AF281" s="421">
        <f t="shared" si="37"/>
        <v>0.28273504162218871</v>
      </c>
      <c r="AG281" s="421">
        <f t="shared" si="38"/>
        <v>2.790280968093461</v>
      </c>
      <c r="AH281" s="426">
        <f t="shared" si="39"/>
        <v>2.1574603229098112E-3</v>
      </c>
      <c r="AI281" s="421">
        <f t="shared" si="40"/>
        <v>0.16248993632547928</v>
      </c>
      <c r="AJ281" s="325"/>
      <c r="AK281" s="325"/>
      <c r="AL281" s="325"/>
      <c r="AM281" s="325"/>
      <c r="AN281" s="325"/>
      <c r="AO281" s="325"/>
      <c r="AP281" s="325"/>
      <c r="AQ281" s="325"/>
      <c r="AR281" s="325"/>
      <c r="AS281" s="325"/>
      <c r="AT281" s="325"/>
      <c r="AU281" s="325"/>
      <c r="AV281" s="325"/>
      <c r="AW281" s="325"/>
      <c r="AX281" s="325"/>
      <c r="AY281" s="325"/>
      <c r="AZ281" s="325"/>
      <c r="BA281" s="325"/>
      <c r="BB281" s="325"/>
      <c r="BC281" s="325"/>
      <c r="BD281" s="325"/>
      <c r="BE281" s="325"/>
      <c r="BF281" s="325"/>
      <c r="BG281" s="325"/>
      <c r="BH281" s="325"/>
      <c r="BI281" s="325"/>
      <c r="BJ281" s="325"/>
      <c r="BK281" s="325"/>
      <c r="BL281" s="325"/>
      <c r="BM281" s="325"/>
      <c r="BN281" s="325"/>
      <c r="BO281" s="325"/>
      <c r="BP281" s="325"/>
      <c r="BQ281" s="325"/>
    </row>
    <row r="282" spans="1:69" ht="14.25" customHeight="1" x14ac:dyDescent="0.2">
      <c r="A282" s="28"/>
      <c r="B282" s="28"/>
      <c r="C282" s="28"/>
      <c r="D282" s="28"/>
      <c r="E282" s="324"/>
      <c r="F282" s="324"/>
      <c r="G282" s="324"/>
      <c r="H282" s="324"/>
      <c r="I282" s="324"/>
      <c r="J282" s="324"/>
      <c r="K282" s="324"/>
      <c r="L282" s="324"/>
      <c r="M282" s="324"/>
      <c r="N282" s="324"/>
      <c r="O282" s="324"/>
      <c r="P282" s="324"/>
      <c r="Q282" s="324"/>
      <c r="R282" s="324"/>
      <c r="S282" s="419"/>
      <c r="T282" s="418">
        <f t="shared" si="42"/>
        <v>256</v>
      </c>
      <c r="U282" s="419"/>
      <c r="V282" s="370">
        <f t="shared" si="41"/>
        <v>1.6656827377745621E-3</v>
      </c>
      <c r="W282" s="429"/>
      <c r="X282" s="370">
        <f t="shared" si="33"/>
        <v>1.708629257554397E-2</v>
      </c>
      <c r="Y282" s="429"/>
      <c r="Z282" s="421">
        <f t="shared" si="34"/>
        <v>5.6038135304596337E-2</v>
      </c>
      <c r="AA282" s="429"/>
      <c r="AB282" s="421">
        <f t="shared" si="35"/>
        <v>6.5226011482466401E-2</v>
      </c>
      <c r="AC282" s="430"/>
      <c r="AD282" s="424">
        <f t="shared" si="36"/>
        <v>7.0915575012686638E-3</v>
      </c>
      <c r="AE282" s="431"/>
      <c r="AF282" s="421">
        <f t="shared" si="37"/>
        <v>0.28273457867976032</v>
      </c>
      <c r="AG282" s="421">
        <f t="shared" si="38"/>
        <v>2.793359507130686</v>
      </c>
      <c r="AH282" s="426">
        <f t="shared" si="39"/>
        <v>2.1456383017112429E-3</v>
      </c>
      <c r="AI282" s="421">
        <f t="shared" si="40"/>
        <v>0.1622103672318608</v>
      </c>
      <c r="AJ282" s="325"/>
      <c r="AK282" s="325"/>
      <c r="AL282" s="325"/>
      <c r="AM282" s="325"/>
      <c r="AN282" s="325"/>
      <c r="AO282" s="325"/>
      <c r="AP282" s="325"/>
      <c r="AQ282" s="325"/>
      <c r="AR282" s="325"/>
      <c r="AS282" s="325"/>
      <c r="AT282" s="325"/>
      <c r="AU282" s="325"/>
      <c r="AV282" s="325"/>
      <c r="AW282" s="325"/>
      <c r="AX282" s="325"/>
      <c r="AY282" s="325"/>
      <c r="AZ282" s="325"/>
      <c r="BA282" s="325"/>
      <c r="BB282" s="325"/>
      <c r="BC282" s="325"/>
      <c r="BD282" s="325"/>
      <c r="BE282" s="325"/>
      <c r="BF282" s="325"/>
      <c r="BG282" s="325"/>
      <c r="BH282" s="325"/>
      <c r="BI282" s="325"/>
      <c r="BJ282" s="325"/>
      <c r="BK282" s="325"/>
      <c r="BL282" s="325"/>
      <c r="BM282" s="325"/>
      <c r="BN282" s="325"/>
      <c r="BO282" s="325"/>
      <c r="BP282" s="325"/>
      <c r="BQ282" s="325"/>
    </row>
    <row r="283" spans="1:69" ht="14.25" customHeight="1" x14ac:dyDescent="0.2">
      <c r="A283" s="28"/>
      <c r="B283" s="28"/>
      <c r="C283" s="28"/>
      <c r="D283" s="28"/>
      <c r="E283" s="324"/>
      <c r="F283" s="324"/>
      <c r="G283" s="324"/>
      <c r="H283" s="324"/>
      <c r="I283" s="324"/>
      <c r="J283" s="324"/>
      <c r="K283" s="324"/>
      <c r="L283" s="324"/>
      <c r="M283" s="324"/>
      <c r="N283" s="324"/>
      <c r="O283" s="324"/>
      <c r="P283" s="324"/>
      <c r="Q283" s="324"/>
      <c r="R283" s="324"/>
      <c r="S283" s="419"/>
      <c r="T283" s="418">
        <f t="shared" si="42"/>
        <v>257</v>
      </c>
      <c r="U283" s="419"/>
      <c r="V283" s="370">
        <f t="shared" si="41"/>
        <v>1.6245726212311255E-3</v>
      </c>
      <c r="W283" s="429"/>
      <c r="X283" s="370">
        <f t="shared" si="33"/>
        <v>1.6878673200370432E-2</v>
      </c>
      <c r="Y283" s="429"/>
      <c r="Z283" s="421">
        <f t="shared" si="34"/>
        <v>5.575109992749061E-2</v>
      </c>
      <c r="AA283" s="429"/>
      <c r="AB283" s="421">
        <f t="shared" si="35"/>
        <v>6.4972960664370555E-2</v>
      </c>
      <c r="AC283" s="430"/>
      <c r="AD283" s="424">
        <f t="shared" si="36"/>
        <v>6.9667382312691428E-3</v>
      </c>
      <c r="AE283" s="431"/>
      <c r="AF283" s="421">
        <f t="shared" si="37"/>
        <v>0.28273413411646708</v>
      </c>
      <c r="AG283" s="421">
        <f t="shared" si="38"/>
        <v>2.7964260440359374</v>
      </c>
      <c r="AH283" s="426">
        <f t="shared" si="39"/>
        <v>2.133926772457554E-3</v>
      </c>
      <c r="AI283" s="421">
        <f t="shared" si="40"/>
        <v>0.16193236379024487</v>
      </c>
      <c r="AJ283" s="325"/>
      <c r="AK283" s="325"/>
      <c r="AL283" s="325"/>
      <c r="AM283" s="325"/>
      <c r="AN283" s="325"/>
      <c r="AO283" s="325"/>
      <c r="AP283" s="325"/>
      <c r="AQ283" s="325"/>
      <c r="AR283" s="325"/>
      <c r="AS283" s="325"/>
      <c r="AT283" s="325"/>
      <c r="AU283" s="325"/>
      <c r="AV283" s="325"/>
      <c r="AW283" s="325"/>
      <c r="AX283" s="325"/>
      <c r="AY283" s="325"/>
      <c r="AZ283" s="325"/>
      <c r="BA283" s="325"/>
      <c r="BB283" s="325"/>
      <c r="BC283" s="325"/>
      <c r="BD283" s="325"/>
      <c r="BE283" s="325"/>
      <c r="BF283" s="325"/>
      <c r="BG283" s="325"/>
      <c r="BH283" s="325"/>
      <c r="BI283" s="325"/>
      <c r="BJ283" s="325"/>
      <c r="BK283" s="325"/>
      <c r="BL283" s="325"/>
      <c r="BM283" s="325"/>
      <c r="BN283" s="325"/>
      <c r="BO283" s="325"/>
      <c r="BP283" s="325"/>
      <c r="BQ283" s="325"/>
    </row>
    <row r="284" spans="1:69" ht="14.25" customHeight="1" x14ac:dyDescent="0.2">
      <c r="A284" s="28"/>
      <c r="B284" s="28"/>
      <c r="C284" s="28"/>
      <c r="D284" s="28"/>
      <c r="E284" s="324"/>
      <c r="F284" s="324"/>
      <c r="G284" s="324"/>
      <c r="H284" s="324"/>
      <c r="I284" s="324"/>
      <c r="J284" s="324"/>
      <c r="K284" s="324"/>
      <c r="L284" s="324"/>
      <c r="M284" s="324"/>
      <c r="N284" s="324"/>
      <c r="O284" s="324"/>
      <c r="P284" s="324"/>
      <c r="Q284" s="324"/>
      <c r="R284" s="324"/>
      <c r="S284" s="419"/>
      <c r="T284" s="418">
        <f t="shared" si="42"/>
        <v>258</v>
      </c>
      <c r="U284" s="419"/>
      <c r="V284" s="370">
        <f t="shared" si="41"/>
        <v>1.5844771286877386E-3</v>
      </c>
      <c r="W284" s="429"/>
      <c r="X284" s="370">
        <f t="shared" ref="X284:X347" si="43">EXP(-1*(T284/$X$21)^$X$22)</f>
        <v>1.6673759456876488E-2</v>
      </c>
      <c r="Y284" s="429"/>
      <c r="Z284" s="421">
        <f t="shared" ref="Z284:Z347" si="44">1-_xlfn.NORM.DIST(LN(T284),$Z$21,$Z$22,TRUE)</f>
        <v>5.5466333925492051E-2</v>
      </c>
      <c r="AA284" s="429"/>
      <c r="AB284" s="421">
        <f t="shared" ref="AB284:AB347" si="45">(1+(T284/$AB$21)^$AB$22)^-1</f>
        <v>6.4721801021498729E-2</v>
      </c>
      <c r="AC284" s="430"/>
      <c r="AD284" s="424">
        <f t="shared" ref="AD284:AD347" si="46">1-_xlfn.GAMMA.DIST(T284,$AD$21,1/$AD$22,TRUE)</f>
        <v>6.8441345318083213E-3</v>
      </c>
      <c r="AE284" s="431"/>
      <c r="AF284" s="421">
        <f t="shared" ref="AF284:AF347" si="47">EXP((-$AF$22/$AF$21)*(EXP($AF$21*T284)-1))</f>
        <v>0.28273370720261742</v>
      </c>
      <c r="AG284" s="421">
        <f t="shared" ref="AG284:AG347" si="48">(LN(T284)-$AH$21)/$AH$22</f>
        <v>2.7994806720300107</v>
      </c>
      <c r="AH284" s="426">
        <f t="shared" ref="AH284:AH347" si="49">$AH$24*EXP(ABS($AH$23)*-AG284)</f>
        <v>2.1223242785324641E-3</v>
      </c>
      <c r="AI284" s="421">
        <f t="shared" ref="AI284:AI347" si="50">_xlfn.GAMMA.DIST(AH284,$AH$24,1,TRUE)</f>
        <v>0.16165591120926442</v>
      </c>
      <c r="AJ284" s="325"/>
      <c r="AK284" s="325"/>
      <c r="AL284" s="325"/>
      <c r="AM284" s="325"/>
      <c r="AN284" s="325"/>
      <c r="AO284" s="325"/>
      <c r="AP284" s="325"/>
      <c r="AQ284" s="325"/>
      <c r="AR284" s="325"/>
      <c r="AS284" s="325"/>
      <c r="AT284" s="325"/>
      <c r="AU284" s="325"/>
      <c r="AV284" s="325"/>
      <c r="AW284" s="325"/>
      <c r="AX284" s="325"/>
      <c r="AY284" s="325"/>
      <c r="AZ284" s="325"/>
      <c r="BA284" s="325"/>
      <c r="BB284" s="325"/>
      <c r="BC284" s="325"/>
      <c r="BD284" s="325"/>
      <c r="BE284" s="325"/>
      <c r="BF284" s="325"/>
      <c r="BG284" s="325"/>
      <c r="BH284" s="325"/>
      <c r="BI284" s="325"/>
      <c r="BJ284" s="325"/>
      <c r="BK284" s="325"/>
      <c r="BL284" s="325"/>
      <c r="BM284" s="325"/>
      <c r="BN284" s="325"/>
      <c r="BO284" s="325"/>
      <c r="BP284" s="325"/>
      <c r="BQ284" s="325"/>
    </row>
    <row r="285" spans="1:69" ht="14.25" customHeight="1" x14ac:dyDescent="0.2">
      <c r="A285" s="28"/>
      <c r="B285" s="28"/>
      <c r="C285" s="28"/>
      <c r="D285" s="28"/>
      <c r="E285" s="324"/>
      <c r="F285" s="324"/>
      <c r="G285" s="324"/>
      <c r="H285" s="324"/>
      <c r="I285" s="324"/>
      <c r="J285" s="324"/>
      <c r="K285" s="324"/>
      <c r="L285" s="324"/>
      <c r="M285" s="324"/>
      <c r="N285" s="324"/>
      <c r="O285" s="324"/>
      <c r="P285" s="324"/>
      <c r="Q285" s="324"/>
      <c r="R285" s="324"/>
      <c r="S285" s="419"/>
      <c r="T285" s="418">
        <f t="shared" si="42"/>
        <v>259</v>
      </c>
      <c r="U285" s="419"/>
      <c r="V285" s="370">
        <f t="shared" ref="V285:V348" si="51">EXP(-1*$V$21*T285)</f>
        <v>1.5453712185743934E-3</v>
      </c>
      <c r="W285" s="429"/>
      <c r="X285" s="370">
        <f t="shared" si="43"/>
        <v>1.6471513170774957E-2</v>
      </c>
      <c r="Y285" s="429"/>
      <c r="Z285" s="421">
        <f t="shared" si="44"/>
        <v>5.5183812480198324E-2</v>
      </c>
      <c r="AA285" s="429"/>
      <c r="AB285" s="421">
        <f t="shared" si="45"/>
        <v>6.4472511689517106E-2</v>
      </c>
      <c r="AC285" s="430"/>
      <c r="AD285" s="424">
        <f t="shared" si="46"/>
        <v>6.7237066265768419E-3</v>
      </c>
      <c r="AE285" s="431"/>
      <c r="AF285" s="421">
        <f t="shared" si="47"/>
        <v>0.28273329723749208</v>
      </c>
      <c r="AG285" s="421">
        <f t="shared" si="48"/>
        <v>2.8025234832518295</v>
      </c>
      <c r="AH285" s="426">
        <f t="shared" si="49"/>
        <v>2.1108293880677952E-3</v>
      </c>
      <c r="AI285" s="421">
        <f t="shared" si="50"/>
        <v>0.16138099489373128</v>
      </c>
      <c r="AJ285" s="325"/>
      <c r="AK285" s="325"/>
      <c r="AL285" s="325"/>
      <c r="AM285" s="325"/>
      <c r="AN285" s="325"/>
      <c r="AO285" s="325"/>
      <c r="AP285" s="325"/>
      <c r="AQ285" s="325"/>
      <c r="AR285" s="325"/>
      <c r="AS285" s="325"/>
      <c r="AT285" s="325"/>
      <c r="AU285" s="325"/>
      <c r="AV285" s="325"/>
      <c r="AW285" s="325"/>
      <c r="AX285" s="325"/>
      <c r="AY285" s="325"/>
      <c r="AZ285" s="325"/>
      <c r="BA285" s="325"/>
      <c r="BB285" s="325"/>
      <c r="BC285" s="325"/>
      <c r="BD285" s="325"/>
      <c r="BE285" s="325"/>
      <c r="BF285" s="325"/>
      <c r="BG285" s="325"/>
      <c r="BH285" s="325"/>
      <c r="BI285" s="325"/>
      <c r="BJ285" s="325"/>
      <c r="BK285" s="325"/>
      <c r="BL285" s="325"/>
      <c r="BM285" s="325"/>
      <c r="BN285" s="325"/>
      <c r="BO285" s="325"/>
      <c r="BP285" s="325"/>
      <c r="BQ285" s="325"/>
    </row>
    <row r="286" spans="1:69" ht="14.25" customHeight="1" x14ac:dyDescent="0.2">
      <c r="A286" s="28"/>
      <c r="B286" s="28"/>
      <c r="C286" s="28"/>
      <c r="D286" s="28"/>
      <c r="E286" s="324"/>
      <c r="F286" s="324"/>
      <c r="G286" s="324"/>
      <c r="H286" s="324"/>
      <c r="I286" s="324"/>
      <c r="J286" s="324"/>
      <c r="K286" s="324"/>
      <c r="L286" s="324"/>
      <c r="M286" s="324"/>
      <c r="N286" s="324"/>
      <c r="O286" s="324"/>
      <c r="P286" s="324"/>
      <c r="Q286" s="324"/>
      <c r="R286" s="324"/>
      <c r="S286" s="419"/>
      <c r="T286" s="418">
        <f t="shared" si="42"/>
        <v>260</v>
      </c>
      <c r="U286" s="419"/>
      <c r="V286" s="370">
        <f t="shared" si="51"/>
        <v>1.5072304673630636E-3</v>
      </c>
      <c r="W286" s="429"/>
      <c r="X286" s="370">
        <f t="shared" si="43"/>
        <v>1.6271896756862355E-2</v>
      </c>
      <c r="Y286" s="429"/>
      <c r="Z286" s="421">
        <f t="shared" si="44"/>
        <v>5.4903511123397308E-2</v>
      </c>
      <c r="AA286" s="429"/>
      <c r="AB286" s="421">
        <f t="shared" si="45"/>
        <v>6.42250721078617E-2</v>
      </c>
      <c r="AC286" s="430"/>
      <c r="AD286" s="424">
        <f t="shared" si="46"/>
        <v>6.605415464662423E-3</v>
      </c>
      <c r="AE286" s="431"/>
      <c r="AF286" s="421">
        <f t="shared" si="47"/>
        <v>0.28273290354819414</v>
      </c>
      <c r="AG286" s="421">
        <f t="shared" si="48"/>
        <v>2.8055545687751238</v>
      </c>
      <c r="AH286" s="426">
        <f t="shared" si="49"/>
        <v>2.0994406934294906E-3</v>
      </c>
      <c r="AI286" s="421">
        <f t="shared" si="50"/>
        <v>0.16110760044129199</v>
      </c>
      <c r="AJ286" s="325"/>
      <c r="AK286" s="325"/>
      <c r="AL286" s="325"/>
      <c r="AM286" s="325"/>
      <c r="AN286" s="325"/>
      <c r="AO286" s="325"/>
      <c r="AP286" s="325"/>
      <c r="AQ286" s="325"/>
      <c r="AR286" s="325"/>
      <c r="AS286" s="325"/>
      <c r="AT286" s="325"/>
      <c r="AU286" s="325"/>
      <c r="AV286" s="325"/>
      <c r="AW286" s="325"/>
      <c r="AX286" s="325"/>
      <c r="AY286" s="325"/>
      <c r="AZ286" s="325"/>
      <c r="BA286" s="325"/>
      <c r="BB286" s="325"/>
      <c r="BC286" s="325"/>
      <c r="BD286" s="325"/>
      <c r="BE286" s="325"/>
      <c r="BF286" s="325"/>
      <c r="BG286" s="325"/>
      <c r="BH286" s="325"/>
      <c r="BI286" s="325"/>
      <c r="BJ286" s="325"/>
      <c r="BK286" s="325"/>
      <c r="BL286" s="325"/>
      <c r="BM286" s="325"/>
      <c r="BN286" s="325"/>
      <c r="BO286" s="325"/>
      <c r="BP286" s="325"/>
      <c r="BQ286" s="325"/>
    </row>
    <row r="287" spans="1:69" ht="14.25" customHeight="1" x14ac:dyDescent="0.2">
      <c r="A287" s="28"/>
      <c r="B287" s="28"/>
      <c r="C287" s="28"/>
      <c r="D287" s="28"/>
      <c r="E287" s="324"/>
      <c r="F287" s="324"/>
      <c r="G287" s="324"/>
      <c r="H287" s="324"/>
      <c r="I287" s="324"/>
      <c r="J287" s="324"/>
      <c r="K287" s="324"/>
      <c r="L287" s="324"/>
      <c r="M287" s="324"/>
      <c r="N287" s="324"/>
      <c r="O287" s="324"/>
      <c r="P287" s="324"/>
      <c r="Q287" s="324"/>
      <c r="R287" s="324"/>
      <c r="S287" s="419"/>
      <c r="T287" s="418">
        <f t="shared" si="42"/>
        <v>261</v>
      </c>
      <c r="U287" s="419"/>
      <c r="V287" s="370">
        <f t="shared" si="51"/>
        <v>1.4700310543140343E-3</v>
      </c>
      <c r="W287" s="429"/>
      <c r="X287" s="370">
        <f t="shared" si="43"/>
        <v>1.6074873208976721E-2</v>
      </c>
      <c r="Y287" s="429"/>
      <c r="Z287" s="421">
        <f t="shared" si="44"/>
        <v>5.4625405730984511E-2</v>
      </c>
      <c r="AA287" s="429"/>
      <c r="AB287" s="421">
        <f t="shared" si="45"/>
        <v>6.3979462014253349E-2</v>
      </c>
      <c r="AC287" s="430"/>
      <c r="AD287" s="424">
        <f t="shared" si="46"/>
        <v>6.4892227070252329E-3</v>
      </c>
      <c r="AE287" s="431"/>
      <c r="AF287" s="421">
        <f t="shared" si="47"/>
        <v>0.28273252548854322</v>
      </c>
      <c r="AG287" s="421">
        <f t="shared" si="48"/>
        <v>2.8085740186247818</v>
      </c>
      <c r="AH287" s="426">
        <f t="shared" si="49"/>
        <v>2.0881568107162627E-3</v>
      </c>
      <c r="AI287" s="421">
        <f t="shared" si="50"/>
        <v>0.16083571363915267</v>
      </c>
      <c r="AJ287" s="325"/>
      <c r="AK287" s="325"/>
      <c r="AL287" s="325"/>
      <c r="AM287" s="325"/>
      <c r="AN287" s="325"/>
      <c r="AO287" s="325"/>
      <c r="AP287" s="325"/>
      <c r="AQ287" s="325"/>
      <c r="AR287" s="325"/>
      <c r="AS287" s="325"/>
      <c r="AT287" s="325"/>
      <c r="AU287" s="325"/>
      <c r="AV287" s="325"/>
      <c r="AW287" s="325"/>
      <c r="AX287" s="325"/>
      <c r="AY287" s="325"/>
      <c r="AZ287" s="325"/>
      <c r="BA287" s="325"/>
      <c r="BB287" s="325"/>
      <c r="BC287" s="325"/>
      <c r="BD287" s="325"/>
      <c r="BE287" s="325"/>
      <c r="BF287" s="325"/>
      <c r="BG287" s="325"/>
      <c r="BH287" s="325"/>
      <c r="BI287" s="325"/>
      <c r="BJ287" s="325"/>
      <c r="BK287" s="325"/>
      <c r="BL287" s="325"/>
      <c r="BM287" s="325"/>
      <c r="BN287" s="325"/>
      <c r="BO287" s="325"/>
      <c r="BP287" s="325"/>
      <c r="BQ287" s="325"/>
    </row>
    <row r="288" spans="1:69" ht="14.25" customHeight="1" x14ac:dyDescent="0.2">
      <c r="A288" s="28"/>
      <c r="B288" s="28"/>
      <c r="C288" s="28"/>
      <c r="D288" s="28"/>
      <c r="E288" s="324"/>
      <c r="F288" s="324"/>
      <c r="G288" s="324"/>
      <c r="H288" s="324"/>
      <c r="I288" s="324"/>
      <c r="J288" s="324"/>
      <c r="K288" s="324"/>
      <c r="L288" s="324"/>
      <c r="M288" s="324"/>
      <c r="N288" s="324"/>
      <c r="O288" s="324"/>
      <c r="P288" s="324"/>
      <c r="Q288" s="324"/>
      <c r="R288" s="324"/>
      <c r="S288" s="419"/>
      <c r="T288" s="418">
        <f t="shared" si="42"/>
        <v>262</v>
      </c>
      <c r="U288" s="419"/>
      <c r="V288" s="370">
        <f t="shared" si="51"/>
        <v>1.4337497465986991E-3</v>
      </c>
      <c r="W288" s="429"/>
      <c r="X288" s="370">
        <f t="shared" si="43"/>
        <v>1.5880406090146199E-2</v>
      </c>
      <c r="Y288" s="429"/>
      <c r="Z288" s="421">
        <f t="shared" si="44"/>
        <v>5.4349472517005726E-2</v>
      </c>
      <c r="AA288" s="429"/>
      <c r="AB288" s="421">
        <f t="shared" si="45"/>
        <v>6.373566143933139E-2</v>
      </c>
      <c r="AC288" s="430"/>
      <c r="AD288" s="424">
        <f t="shared" si="46"/>
        <v>6.3750907132322787E-3</v>
      </c>
      <c r="AE288" s="431"/>
      <c r="AF288" s="421">
        <f t="shared" si="47"/>
        <v>0.28273216243801563</v>
      </c>
      <c r="AG288" s="421">
        <f t="shared" si="48"/>
        <v>2.8115819217928983</v>
      </c>
      <c r="AH288" s="426">
        <f t="shared" si="49"/>
        <v>2.0769763792704622E-3</v>
      </c>
      <c r="AI288" s="421">
        <f t="shared" si="50"/>
        <v>0.1605653204608728</v>
      </c>
      <c r="AJ288" s="325"/>
      <c r="AK288" s="325"/>
      <c r="AL288" s="325"/>
      <c r="AM288" s="325"/>
      <c r="AN288" s="325"/>
      <c r="AO288" s="325"/>
      <c r="AP288" s="325"/>
      <c r="AQ288" s="325"/>
      <c r="AR288" s="325"/>
      <c r="AS288" s="325"/>
      <c r="AT288" s="325"/>
      <c r="AU288" s="325"/>
      <c r="AV288" s="325"/>
      <c r="AW288" s="325"/>
      <c r="AX288" s="325"/>
      <c r="AY288" s="325"/>
      <c r="AZ288" s="325"/>
      <c r="BA288" s="325"/>
      <c r="BB288" s="325"/>
      <c r="BC288" s="325"/>
      <c r="BD288" s="325"/>
      <c r="BE288" s="325"/>
      <c r="BF288" s="325"/>
      <c r="BG288" s="325"/>
      <c r="BH288" s="325"/>
      <c r="BI288" s="325"/>
      <c r="BJ288" s="325"/>
      <c r="BK288" s="325"/>
      <c r="BL288" s="325"/>
      <c r="BM288" s="325"/>
      <c r="BN288" s="325"/>
      <c r="BO288" s="325"/>
      <c r="BP288" s="325"/>
      <c r="BQ288" s="325"/>
    </row>
    <row r="289" spans="1:69" ht="14.25" customHeight="1" x14ac:dyDescent="0.2">
      <c r="A289" s="28"/>
      <c r="B289" s="28"/>
      <c r="C289" s="28"/>
      <c r="D289" s="28"/>
      <c r="E289" s="324"/>
      <c r="F289" s="324"/>
      <c r="G289" s="324"/>
      <c r="H289" s="324"/>
      <c r="I289" s="324"/>
      <c r="J289" s="324"/>
      <c r="K289" s="324"/>
      <c r="L289" s="324"/>
      <c r="M289" s="324"/>
      <c r="N289" s="324"/>
      <c r="O289" s="324"/>
      <c r="P289" s="324"/>
      <c r="Q289" s="324"/>
      <c r="R289" s="324"/>
      <c r="S289" s="419"/>
      <c r="T289" s="418">
        <f t="shared" si="42"/>
        <v>263</v>
      </c>
      <c r="U289" s="419"/>
      <c r="V289" s="370">
        <f t="shared" si="51"/>
        <v>1.3983638847895382E-3</v>
      </c>
      <c r="W289" s="429"/>
      <c r="X289" s="370">
        <f t="shared" si="43"/>
        <v>1.5688459522924251E-2</v>
      </c>
      <c r="Y289" s="429"/>
      <c r="Z289" s="421">
        <f t="shared" si="44"/>
        <v>5.4075688027822033E-2</v>
      </c>
      <c r="AA289" s="429"/>
      <c r="AB289" s="421">
        <f t="shared" si="45"/>
        <v>6.3493650701401741E-2</v>
      </c>
      <c r="AC289" s="430"/>
      <c r="AD289" s="424">
        <f t="shared" si="46"/>
        <v>6.2629825284475915E-3</v>
      </c>
      <c r="AE289" s="431"/>
      <c r="AF289" s="421">
        <f t="shared" si="47"/>
        <v>0.28273181380072476</v>
      </c>
      <c r="AG289" s="421">
        <f t="shared" si="48"/>
        <v>2.8145783662545112</v>
      </c>
      <c r="AH289" s="426">
        <f t="shared" si="49"/>
        <v>2.0658980612008509E-3</v>
      </c>
      <c r="AI289" s="421">
        <f t="shared" si="50"/>
        <v>0.16029640706322304</v>
      </c>
      <c r="AJ289" s="325"/>
      <c r="AK289" s="325"/>
      <c r="AL289" s="325"/>
      <c r="AM289" s="325"/>
      <c r="AN289" s="325"/>
      <c r="AO289" s="325"/>
      <c r="AP289" s="325"/>
      <c r="AQ289" s="325"/>
      <c r="AR289" s="325"/>
      <c r="AS289" s="325"/>
      <c r="AT289" s="325"/>
      <c r="AU289" s="325"/>
      <c r="AV289" s="325"/>
      <c r="AW289" s="325"/>
      <c r="AX289" s="325"/>
      <c r="AY289" s="325"/>
      <c r="AZ289" s="325"/>
      <c r="BA289" s="325"/>
      <c r="BB289" s="325"/>
      <c r="BC289" s="325"/>
      <c r="BD289" s="325"/>
      <c r="BE289" s="325"/>
      <c r="BF289" s="325"/>
      <c r="BG289" s="325"/>
      <c r="BH289" s="325"/>
      <c r="BI289" s="325"/>
      <c r="BJ289" s="325"/>
      <c r="BK289" s="325"/>
      <c r="BL289" s="325"/>
      <c r="BM289" s="325"/>
      <c r="BN289" s="325"/>
      <c r="BO289" s="325"/>
      <c r="BP289" s="325"/>
      <c r="BQ289" s="325"/>
    </row>
    <row r="290" spans="1:69" ht="14.25" customHeight="1" x14ac:dyDescent="0.2">
      <c r="A290" s="28"/>
      <c r="B290" s="28"/>
      <c r="C290" s="28"/>
      <c r="D290" s="28"/>
      <c r="E290" s="324"/>
      <c r="F290" s="324"/>
      <c r="G290" s="324"/>
      <c r="H290" s="324"/>
      <c r="I290" s="324"/>
      <c r="J290" s="324"/>
      <c r="K290" s="324"/>
      <c r="L290" s="324"/>
      <c r="M290" s="324"/>
      <c r="N290" s="324"/>
      <c r="O290" s="324"/>
      <c r="P290" s="324"/>
      <c r="Q290" s="324"/>
      <c r="R290" s="324"/>
      <c r="S290" s="419"/>
      <c r="T290" s="418">
        <f t="shared" si="42"/>
        <v>264</v>
      </c>
      <c r="U290" s="419"/>
      <c r="V290" s="370">
        <f t="shared" si="51"/>
        <v>1.3638513687082127E-3</v>
      </c>
      <c r="W290" s="429"/>
      <c r="X290" s="370">
        <f t="shared" si="43"/>
        <v>1.5498998179907844E-2</v>
      </c>
      <c r="Y290" s="429"/>
      <c r="Z290" s="421">
        <f t="shared" si="44"/>
        <v>5.3804029136396481E-2</v>
      </c>
      <c r="AA290" s="429"/>
      <c r="AB290" s="421">
        <f t="shared" si="45"/>
        <v>6.325341040129788E-2</v>
      </c>
      <c r="AC290" s="430"/>
      <c r="AD290" s="424">
        <f t="shared" si="46"/>
        <v>6.1528618706724325E-3</v>
      </c>
      <c r="AE290" s="431"/>
      <c r="AF290" s="421">
        <f t="shared" si="47"/>
        <v>0.28273147900444334</v>
      </c>
      <c r="AG290" s="421">
        <f t="shared" si="48"/>
        <v>2.8175634389830377</v>
      </c>
      <c r="AH290" s="426">
        <f t="shared" si="49"/>
        <v>2.0549205409169631E-3</v>
      </c>
      <c r="AI290" s="421">
        <f t="shared" si="50"/>
        <v>0.16002895978311021</v>
      </c>
      <c r="AJ290" s="325"/>
      <c r="AK290" s="325"/>
      <c r="AL290" s="325"/>
      <c r="AM290" s="325"/>
      <c r="AN290" s="325"/>
      <c r="AO290" s="325"/>
      <c r="AP290" s="325"/>
      <c r="AQ290" s="325"/>
      <c r="AR290" s="325"/>
      <c r="AS290" s="325"/>
      <c r="AT290" s="325"/>
      <c r="AU290" s="325"/>
      <c r="AV290" s="325"/>
      <c r="AW290" s="325"/>
      <c r="AX290" s="325"/>
      <c r="AY290" s="325"/>
      <c r="AZ290" s="325"/>
      <c r="BA290" s="325"/>
      <c r="BB290" s="325"/>
      <c r="BC290" s="325"/>
      <c r="BD290" s="325"/>
      <c r="BE290" s="325"/>
      <c r="BF290" s="325"/>
      <c r="BG290" s="325"/>
      <c r="BH290" s="325"/>
      <c r="BI290" s="325"/>
      <c r="BJ290" s="325"/>
      <c r="BK290" s="325"/>
      <c r="BL290" s="325"/>
      <c r="BM290" s="325"/>
      <c r="BN290" s="325"/>
      <c r="BO290" s="325"/>
      <c r="BP290" s="325"/>
      <c r="BQ290" s="325"/>
    </row>
    <row r="291" spans="1:69" ht="14.25" customHeight="1" x14ac:dyDescent="0.2">
      <c r="A291" s="28"/>
      <c r="B291" s="28"/>
      <c r="C291" s="28"/>
      <c r="D291" s="28"/>
      <c r="E291" s="324"/>
      <c r="F291" s="324"/>
      <c r="G291" s="324"/>
      <c r="H291" s="324"/>
      <c r="I291" s="324"/>
      <c r="J291" s="324"/>
      <c r="K291" s="324"/>
      <c r="L291" s="324"/>
      <c r="M291" s="324"/>
      <c r="N291" s="324"/>
      <c r="O291" s="324"/>
      <c r="P291" s="324"/>
      <c r="Q291" s="324"/>
      <c r="R291" s="324"/>
      <c r="S291" s="419"/>
      <c r="T291" s="418">
        <f t="shared" si="42"/>
        <v>265</v>
      </c>
      <c r="U291" s="419"/>
      <c r="V291" s="370">
        <f t="shared" si="51"/>
        <v>1.3301906436229362E-3</v>
      </c>
      <c r="W291" s="429"/>
      <c r="X291" s="370">
        <f t="shared" si="43"/>
        <v>1.531198727443419E-2</v>
      </c>
      <c r="Y291" s="429"/>
      <c r="Z291" s="421">
        <f t="shared" si="44"/>
        <v>5.3534473036695673E-2</v>
      </c>
      <c r="AA291" s="429"/>
      <c r="AB291" s="421">
        <f t="shared" si="45"/>
        <v>6.3014921417350794E-2</v>
      </c>
      <c r="AC291" s="430"/>
      <c r="AD291" s="424">
        <f t="shared" si="46"/>
        <v>6.0446931182300823E-3</v>
      </c>
      <c r="AE291" s="431"/>
      <c r="AF291" s="421">
        <f t="shared" si="47"/>
        <v>0.28273115749966338</v>
      </c>
      <c r="AG291" s="421">
        <f t="shared" si="48"/>
        <v>2.8205372259654271</v>
      </c>
      <c r="AH291" s="426">
        <f t="shared" si="49"/>
        <v>2.0440425246746785E-3</v>
      </c>
      <c r="AI291" s="421">
        <f t="shared" si="50"/>
        <v>0.15976296513456387</v>
      </c>
      <c r="AJ291" s="325"/>
      <c r="AK291" s="325"/>
      <c r="AL291" s="325"/>
      <c r="AM291" s="325"/>
      <c r="AN291" s="325"/>
      <c r="AO291" s="325"/>
      <c r="AP291" s="325"/>
      <c r="AQ291" s="325"/>
      <c r="AR291" s="325"/>
      <c r="AS291" s="325"/>
      <c r="AT291" s="325"/>
      <c r="AU291" s="325"/>
      <c r="AV291" s="325"/>
      <c r="AW291" s="325"/>
      <c r="AX291" s="325"/>
      <c r="AY291" s="325"/>
      <c r="AZ291" s="325"/>
      <c r="BA291" s="325"/>
      <c r="BB291" s="325"/>
      <c r="BC291" s="325"/>
      <c r="BD291" s="325"/>
      <c r="BE291" s="325"/>
      <c r="BF291" s="325"/>
      <c r="BG291" s="325"/>
      <c r="BH291" s="325"/>
      <c r="BI291" s="325"/>
      <c r="BJ291" s="325"/>
      <c r="BK291" s="325"/>
      <c r="BL291" s="325"/>
      <c r="BM291" s="325"/>
      <c r="BN291" s="325"/>
      <c r="BO291" s="325"/>
      <c r="BP291" s="325"/>
      <c r="BQ291" s="325"/>
    </row>
    <row r="292" spans="1:69" ht="14.25" customHeight="1" x14ac:dyDescent="0.2">
      <c r="A292" s="28"/>
      <c r="B292" s="28"/>
      <c r="C292" s="28"/>
      <c r="D292" s="28"/>
      <c r="E292" s="324"/>
      <c r="F292" s="324"/>
      <c r="G292" s="324"/>
      <c r="H292" s="324"/>
      <c r="I292" s="324"/>
      <c r="J292" s="324"/>
      <c r="K292" s="324"/>
      <c r="L292" s="324"/>
      <c r="M292" s="324"/>
      <c r="N292" s="324"/>
      <c r="O292" s="324"/>
      <c r="P292" s="324"/>
      <c r="Q292" s="324"/>
      <c r="R292" s="324"/>
      <c r="S292" s="419"/>
      <c r="T292" s="418">
        <f t="shared" si="42"/>
        <v>266</v>
      </c>
      <c r="U292" s="419"/>
      <c r="V292" s="370">
        <f t="shared" si="51"/>
        <v>1.2973606867865048E-3</v>
      </c>
      <c r="W292" s="429"/>
      <c r="X292" s="370">
        <f t="shared" si="43"/>
        <v>1.5127392551452798E-2</v>
      </c>
      <c r="Y292" s="429"/>
      <c r="Z292" s="421">
        <f t="shared" si="44"/>
        <v>5.3266997238206604E-2</v>
      </c>
      <c r="AA292" s="429"/>
      <c r="AB292" s="421">
        <f t="shared" si="45"/>
        <v>6.2778164900465699E-2</v>
      </c>
      <c r="AC292" s="430"/>
      <c r="AD292" s="424">
        <f t="shared" si="46"/>
        <v>5.9384412974908818E-3</v>
      </c>
      <c r="AE292" s="431"/>
      <c r="AF292" s="421">
        <f t="shared" si="47"/>
        <v>0.28273084875869459</v>
      </c>
      <c r="AG292" s="421">
        <f t="shared" si="48"/>
        <v>2.8234998122170181</v>
      </c>
      <c r="AH292" s="426">
        <f t="shared" si="49"/>
        <v>2.033262740132762E-3</v>
      </c>
      <c r="AI292" s="421">
        <f t="shared" si="50"/>
        <v>0.15949840980578436</v>
      </c>
      <c r="AJ292" s="325"/>
      <c r="AK292" s="325"/>
      <c r="AL292" s="325"/>
      <c r="AM292" s="325"/>
      <c r="AN292" s="325"/>
      <c r="AO292" s="325"/>
      <c r="AP292" s="325"/>
      <c r="AQ292" s="325"/>
      <c r="AR292" s="325"/>
      <c r="AS292" s="325"/>
      <c r="AT292" s="325"/>
      <c r="AU292" s="325"/>
      <c r="AV292" s="325"/>
      <c r="AW292" s="325"/>
      <c r="AX292" s="325"/>
      <c r="AY292" s="325"/>
      <c r="AZ292" s="325"/>
      <c r="BA292" s="325"/>
      <c r="BB292" s="325"/>
      <c r="BC292" s="325"/>
      <c r="BD292" s="325"/>
      <c r="BE292" s="325"/>
      <c r="BF292" s="325"/>
      <c r="BG292" s="325"/>
      <c r="BH292" s="325"/>
      <c r="BI292" s="325"/>
      <c r="BJ292" s="325"/>
      <c r="BK292" s="325"/>
      <c r="BL292" s="325"/>
      <c r="BM292" s="325"/>
      <c r="BN292" s="325"/>
      <c r="BO292" s="325"/>
      <c r="BP292" s="325"/>
      <c r="BQ292" s="325"/>
    </row>
    <row r="293" spans="1:69" ht="14.25" customHeight="1" x14ac:dyDescent="0.2">
      <c r="A293" s="28"/>
      <c r="B293" s="28"/>
      <c r="C293" s="28"/>
      <c r="D293" s="28"/>
      <c r="E293" s="324"/>
      <c r="F293" s="324"/>
      <c r="G293" s="324"/>
      <c r="H293" s="324"/>
      <c r="I293" s="324"/>
      <c r="J293" s="324"/>
      <c r="K293" s="324"/>
      <c r="L293" s="324"/>
      <c r="M293" s="324"/>
      <c r="N293" s="324"/>
      <c r="O293" s="324"/>
      <c r="P293" s="324"/>
      <c r="Q293" s="324"/>
      <c r="R293" s="324"/>
      <c r="S293" s="419"/>
      <c r="T293" s="418">
        <f t="shared" si="42"/>
        <v>267</v>
      </c>
      <c r="U293" s="419"/>
      <c r="V293" s="370">
        <f t="shared" si="51"/>
        <v>1.2653409943065765E-3</v>
      </c>
      <c r="W293" s="429"/>
      <c r="X293" s="370">
        <f t="shared" si="43"/>
        <v>1.494518027856884E-2</v>
      </c>
      <c r="Y293" s="429"/>
      <c r="Z293" s="421">
        <f t="shared" si="44"/>
        <v>5.3001579560565393E-2</v>
      </c>
      <c r="AA293" s="429"/>
      <c r="AB293" s="421">
        <f t="shared" si="45"/>
        <v>6.2543122269303364E-2</v>
      </c>
      <c r="AC293" s="430"/>
      <c r="AD293" s="424">
        <f t="shared" si="46"/>
        <v>5.8340720708323079E-3</v>
      </c>
      <c r="AE293" s="431"/>
      <c r="AF293" s="421">
        <f t="shared" si="47"/>
        <v>0.28273055227479765</v>
      </c>
      <c r="AG293" s="421">
        <f t="shared" si="48"/>
        <v>2.8264512817961256</v>
      </c>
      <c r="AH293" s="426">
        <f t="shared" si="49"/>
        <v>2.022579935919993E-3</v>
      </c>
      <c r="AI293" s="421">
        <f t="shared" si="50"/>
        <v>0.15923528065625117</v>
      </c>
      <c r="AJ293" s="325"/>
      <c r="AK293" s="325"/>
      <c r="AL293" s="325"/>
      <c r="AM293" s="325"/>
      <c r="AN293" s="325"/>
      <c r="AO293" s="325"/>
      <c r="AP293" s="325"/>
      <c r="AQ293" s="325"/>
      <c r="AR293" s="325"/>
      <c r="AS293" s="325"/>
      <c r="AT293" s="325"/>
      <c r="AU293" s="325"/>
      <c r="AV293" s="325"/>
      <c r="AW293" s="325"/>
      <c r="AX293" s="325"/>
      <c r="AY293" s="325"/>
      <c r="AZ293" s="325"/>
      <c r="BA293" s="325"/>
      <c r="BB293" s="325"/>
      <c r="BC293" s="325"/>
      <c r="BD293" s="325"/>
      <c r="BE293" s="325"/>
      <c r="BF293" s="325"/>
      <c r="BG293" s="325"/>
      <c r="BH293" s="325"/>
      <c r="BI293" s="325"/>
      <c r="BJ293" s="325"/>
      <c r="BK293" s="325"/>
      <c r="BL293" s="325"/>
      <c r="BM293" s="325"/>
      <c r="BN293" s="325"/>
      <c r="BO293" s="325"/>
      <c r="BP293" s="325"/>
      <c r="BQ293" s="325"/>
    </row>
    <row r="294" spans="1:69" ht="14.25" customHeight="1" x14ac:dyDescent="0.2">
      <c r="A294" s="28"/>
      <c r="B294" s="28"/>
      <c r="C294" s="28"/>
      <c r="D294" s="28"/>
      <c r="E294" s="324"/>
      <c r="F294" s="324"/>
      <c r="G294" s="324"/>
      <c r="H294" s="324"/>
      <c r="I294" s="324"/>
      <c r="J294" s="324"/>
      <c r="K294" s="324"/>
      <c r="L294" s="324"/>
      <c r="M294" s="324"/>
      <c r="N294" s="324"/>
      <c r="O294" s="324"/>
      <c r="P294" s="324"/>
      <c r="Q294" s="324"/>
      <c r="R294" s="324"/>
      <c r="S294" s="419"/>
      <c r="T294" s="418">
        <f t="shared" ref="T294:T357" si="52">T293+1</f>
        <v>268</v>
      </c>
      <c r="U294" s="419"/>
      <c r="V294" s="370">
        <f t="shared" si="51"/>
        <v>1.2341115683400024E-3</v>
      </c>
      <c r="W294" s="429"/>
      <c r="X294" s="370">
        <f t="shared" si="43"/>
        <v>1.4765317237254374E-2</v>
      </c>
      <c r="Y294" s="429"/>
      <c r="Z294" s="421">
        <f t="shared" si="44"/>
        <v>5.2738198128293612E-2</v>
      </c>
      <c r="AA294" s="429"/>
      <c r="AB294" s="421">
        <f t="shared" si="45"/>
        <v>6.2309775205562364E-2</v>
      </c>
      <c r="AC294" s="430"/>
      <c r="AD294" s="424">
        <f t="shared" si="46"/>
        <v>5.7315517248298642E-3</v>
      </c>
      <c r="AE294" s="431"/>
      <c r="AF294" s="421">
        <f t="shared" si="47"/>
        <v>0.28273026756135261</v>
      </c>
      <c r="AG294" s="421">
        <f t="shared" si="48"/>
        <v>2.8293917178183481</v>
      </c>
      <c r="AH294" s="426">
        <f t="shared" si="49"/>
        <v>2.0119928812126716E-3</v>
      </c>
      <c r="AI294" s="421">
        <f t="shared" si="50"/>
        <v>0.15897356471389024</v>
      </c>
      <c r="AJ294" s="325"/>
      <c r="AK294" s="325"/>
      <c r="AL294" s="325"/>
      <c r="AM294" s="325"/>
      <c r="AN294" s="325"/>
      <c r="AO294" s="325"/>
      <c r="AP294" s="325"/>
      <c r="AQ294" s="325"/>
      <c r="AR294" s="325"/>
      <c r="AS294" s="325"/>
      <c r="AT294" s="325"/>
      <c r="AU294" s="325"/>
      <c r="AV294" s="325"/>
      <c r="AW294" s="325"/>
      <c r="AX294" s="325"/>
      <c r="AY294" s="325"/>
      <c r="AZ294" s="325"/>
      <c r="BA294" s="325"/>
      <c r="BB294" s="325"/>
      <c r="BC294" s="325"/>
      <c r="BD294" s="325"/>
      <c r="BE294" s="325"/>
      <c r="BF294" s="325"/>
      <c r="BG294" s="325"/>
      <c r="BH294" s="325"/>
      <c r="BI294" s="325"/>
      <c r="BJ294" s="325"/>
      <c r="BK294" s="325"/>
      <c r="BL294" s="325"/>
      <c r="BM294" s="325"/>
      <c r="BN294" s="325"/>
      <c r="BO294" s="325"/>
      <c r="BP294" s="325"/>
      <c r="BQ294" s="325"/>
    </row>
    <row r="295" spans="1:69" ht="14.25" customHeight="1" x14ac:dyDescent="0.2">
      <c r="A295" s="28"/>
      <c r="B295" s="28"/>
      <c r="C295" s="28"/>
      <c r="D295" s="28"/>
      <c r="E295" s="324"/>
      <c r="F295" s="324"/>
      <c r="G295" s="324"/>
      <c r="H295" s="324"/>
      <c r="I295" s="324"/>
      <c r="J295" s="324"/>
      <c r="K295" s="324"/>
      <c r="L295" s="324"/>
      <c r="M295" s="324"/>
      <c r="N295" s="324"/>
      <c r="O295" s="324"/>
      <c r="P295" s="324"/>
      <c r="Q295" s="324"/>
      <c r="R295" s="324"/>
      <c r="S295" s="419"/>
      <c r="T295" s="418">
        <f t="shared" si="52"/>
        <v>269</v>
      </c>
      <c r="U295" s="419"/>
      <c r="V295" s="370">
        <f t="shared" si="51"/>
        <v>1.2036529046032065E-3</v>
      </c>
      <c r="W295" s="429"/>
      <c r="X295" s="370">
        <f t="shared" si="43"/>
        <v>1.4587770714223722E-2</v>
      </c>
      <c r="Y295" s="429"/>
      <c r="Z295" s="421">
        <f t="shared" si="44"/>
        <v>5.2476831365641963E-2</v>
      </c>
      <c r="AA295" s="429"/>
      <c r="AB295" s="421">
        <f t="shared" si="45"/>
        <v>6.2078105649360886E-2</v>
      </c>
      <c r="AC295" s="430"/>
      <c r="AD295" s="424">
        <f t="shared" si="46"/>
        <v>5.6308471586736797E-3</v>
      </c>
      <c r="AE295" s="431"/>
      <c r="AF295" s="421">
        <f t="shared" si="47"/>
        <v>0.2827299941510597</v>
      </c>
      <c r="AG295" s="421">
        <f t="shared" si="48"/>
        <v>2.832321202470617</v>
      </c>
      <c r="AH295" s="426">
        <f t="shared" si="49"/>
        <v>2.001500365322133E-3</v>
      </c>
      <c r="AI295" s="421">
        <f t="shared" si="50"/>
        <v>0.15871324917229795</v>
      </c>
      <c r="AJ295" s="325"/>
      <c r="AK295" s="325"/>
      <c r="AL295" s="325"/>
      <c r="AM295" s="325"/>
      <c r="AN295" s="325"/>
      <c r="AO295" s="325"/>
      <c r="AP295" s="325"/>
      <c r="AQ295" s="325"/>
      <c r="AR295" s="325"/>
      <c r="AS295" s="325"/>
      <c r="AT295" s="325"/>
      <c r="AU295" s="325"/>
      <c r="AV295" s="325"/>
      <c r="AW295" s="325"/>
      <c r="AX295" s="325"/>
      <c r="AY295" s="325"/>
      <c r="AZ295" s="325"/>
      <c r="BA295" s="325"/>
      <c r="BB295" s="325"/>
      <c r="BC295" s="325"/>
      <c r="BD295" s="325"/>
      <c r="BE295" s="325"/>
      <c r="BF295" s="325"/>
      <c r="BG295" s="325"/>
      <c r="BH295" s="325"/>
      <c r="BI295" s="325"/>
      <c r="BJ295" s="325"/>
      <c r="BK295" s="325"/>
      <c r="BL295" s="325"/>
      <c r="BM295" s="325"/>
      <c r="BN295" s="325"/>
      <c r="BO295" s="325"/>
      <c r="BP295" s="325"/>
      <c r="BQ295" s="325"/>
    </row>
    <row r="296" spans="1:69" ht="14.25" customHeight="1" x14ac:dyDescent="0.2">
      <c r="A296" s="28"/>
      <c r="B296" s="28"/>
      <c r="C296" s="28"/>
      <c r="D296" s="28"/>
      <c r="E296" s="324"/>
      <c r="F296" s="324"/>
      <c r="G296" s="324"/>
      <c r="H296" s="324"/>
      <c r="I296" s="324"/>
      <c r="J296" s="324"/>
      <c r="K296" s="324"/>
      <c r="L296" s="324"/>
      <c r="M296" s="324"/>
      <c r="N296" s="324"/>
      <c r="O296" s="324"/>
      <c r="P296" s="324"/>
      <c r="Q296" s="324"/>
      <c r="R296" s="324"/>
      <c r="S296" s="419"/>
      <c r="T296" s="418">
        <f t="shared" si="52"/>
        <v>270</v>
      </c>
      <c r="U296" s="419"/>
      <c r="V296" s="370">
        <f t="shared" si="51"/>
        <v>1.1739459801908211E-3</v>
      </c>
      <c r="W296" s="429"/>
      <c r="X296" s="370">
        <f t="shared" si="43"/>
        <v>1.4412508492969813E-2</v>
      </c>
      <c r="Y296" s="429"/>
      <c r="Z296" s="421">
        <f t="shared" si="44"/>
        <v>5.2217457991537763E-2</v>
      </c>
      <c r="AA296" s="429"/>
      <c r="AB296" s="421">
        <f t="shared" si="45"/>
        <v>6.1848095794714897E-2</v>
      </c>
      <c r="AC296" s="430"/>
      <c r="AD296" s="424">
        <f t="shared" si="46"/>
        <v>5.5319258728063758E-3</v>
      </c>
      <c r="AE296" s="431"/>
      <c r="AF296" s="421">
        <f t="shared" si="47"/>
        <v>0.28272973159517234</v>
      </c>
      <c r="AG296" s="421">
        <f t="shared" si="48"/>
        <v>2.835239817024974</v>
      </c>
      <c r="AH296" s="426">
        <f t="shared" si="49"/>
        <v>1.9911011972920823E-3</v>
      </c>
      <c r="AI296" s="421">
        <f t="shared" si="50"/>
        <v>0.15845432138802068</v>
      </c>
      <c r="AJ296" s="325"/>
      <c r="AK296" s="325"/>
      <c r="AL296" s="325"/>
      <c r="AM296" s="325"/>
      <c r="AN296" s="325"/>
      <c r="AO296" s="325"/>
      <c r="AP296" s="325"/>
      <c r="AQ296" s="325"/>
      <c r="AR296" s="325"/>
      <c r="AS296" s="325"/>
      <c r="AT296" s="325"/>
      <c r="AU296" s="325"/>
      <c r="AV296" s="325"/>
      <c r="AW296" s="325"/>
      <c r="AX296" s="325"/>
      <c r="AY296" s="325"/>
      <c r="AZ296" s="325"/>
      <c r="BA296" s="325"/>
      <c r="BB296" s="325"/>
      <c r="BC296" s="325"/>
      <c r="BD296" s="325"/>
      <c r="BE296" s="325"/>
      <c r="BF296" s="325"/>
      <c r="BG296" s="325"/>
      <c r="BH296" s="325"/>
      <c r="BI296" s="325"/>
      <c r="BJ296" s="325"/>
      <c r="BK296" s="325"/>
      <c r="BL296" s="325"/>
      <c r="BM296" s="325"/>
      <c r="BN296" s="325"/>
      <c r="BO296" s="325"/>
      <c r="BP296" s="325"/>
      <c r="BQ296" s="325"/>
    </row>
    <row r="297" spans="1:69" ht="14.25" customHeight="1" x14ac:dyDescent="0.2">
      <c r="A297" s="28"/>
      <c r="B297" s="28"/>
      <c r="C297" s="28"/>
      <c r="D297" s="28"/>
      <c r="E297" s="324"/>
      <c r="F297" s="324"/>
      <c r="G297" s="324"/>
      <c r="H297" s="324"/>
      <c r="I297" s="324"/>
      <c r="J297" s="324"/>
      <c r="K297" s="324"/>
      <c r="L297" s="324"/>
      <c r="M297" s="324"/>
      <c r="N297" s="324"/>
      <c r="O297" s="324"/>
      <c r="P297" s="324"/>
      <c r="Q297" s="324"/>
      <c r="R297" s="324"/>
      <c r="S297" s="419"/>
      <c r="T297" s="418">
        <f t="shared" si="52"/>
        <v>271</v>
      </c>
      <c r="U297" s="419"/>
      <c r="V297" s="370">
        <f t="shared" si="51"/>
        <v>1.1449722416949639E-3</v>
      </c>
      <c r="W297" s="429"/>
      <c r="X297" s="370">
        <f t="shared" si="43"/>
        <v>1.4239498845457962E-2</v>
      </c>
      <c r="Y297" s="429"/>
      <c r="Z297" s="421">
        <f t="shared" si="44"/>
        <v>5.1960057014633243E-2</v>
      </c>
      <c r="AA297" s="429"/>
      <c r="AB297" s="421">
        <f t="shared" si="45"/>
        <v>6.1619728085110889E-2</v>
      </c>
      <c r="AC297" s="430"/>
      <c r="AD297" s="424">
        <f t="shared" si="46"/>
        <v>5.4347559577780924E-3</v>
      </c>
      <c r="AE297" s="431"/>
      <c r="AF297" s="421">
        <f t="shared" si="47"/>
        <v>0.2827294794627605</v>
      </c>
      <c r="AG297" s="421">
        <f t="shared" si="48"/>
        <v>2.8381476418521046</v>
      </c>
      <c r="AH297" s="426">
        <f t="shared" si="49"/>
        <v>1.9807942055053989E-3</v>
      </c>
      <c r="AI297" s="421">
        <f t="shared" si="50"/>
        <v>0.15819676887789003</v>
      </c>
      <c r="AJ297" s="325"/>
      <c r="AK297" s="325"/>
      <c r="AL297" s="325"/>
      <c r="AM297" s="325"/>
      <c r="AN297" s="325"/>
      <c r="AO297" s="325"/>
      <c r="AP297" s="325"/>
      <c r="AQ297" s="325"/>
      <c r="AR297" s="325"/>
      <c r="AS297" s="325"/>
      <c r="AT297" s="325"/>
      <c r="AU297" s="325"/>
      <c r="AV297" s="325"/>
      <c r="AW297" s="325"/>
      <c r="AX297" s="325"/>
      <c r="AY297" s="325"/>
      <c r="AZ297" s="325"/>
      <c r="BA297" s="325"/>
      <c r="BB297" s="325"/>
      <c r="BC297" s="325"/>
      <c r="BD297" s="325"/>
      <c r="BE297" s="325"/>
      <c r="BF297" s="325"/>
      <c r="BG297" s="325"/>
      <c r="BH297" s="325"/>
      <c r="BI297" s="325"/>
      <c r="BJ297" s="325"/>
      <c r="BK297" s="325"/>
      <c r="BL297" s="325"/>
      <c r="BM297" s="325"/>
      <c r="BN297" s="325"/>
      <c r="BO297" s="325"/>
      <c r="BP297" s="325"/>
      <c r="BQ297" s="325"/>
    </row>
    <row r="298" spans="1:69" ht="14.25" customHeight="1" x14ac:dyDescent="0.2">
      <c r="A298" s="28"/>
      <c r="B298" s="28"/>
      <c r="C298" s="28"/>
      <c r="D298" s="28"/>
      <c r="E298" s="324"/>
      <c r="F298" s="324"/>
      <c r="G298" s="324"/>
      <c r="H298" s="324"/>
      <c r="I298" s="324"/>
      <c r="J298" s="324"/>
      <c r="K298" s="324"/>
      <c r="L298" s="324"/>
      <c r="M298" s="324"/>
      <c r="N298" s="324"/>
      <c r="O298" s="324"/>
      <c r="P298" s="324"/>
      <c r="Q298" s="324"/>
      <c r="R298" s="324"/>
      <c r="S298" s="419"/>
      <c r="T298" s="418">
        <f t="shared" si="52"/>
        <v>272</v>
      </c>
      <c r="U298" s="419"/>
      <c r="V298" s="370">
        <f t="shared" si="51"/>
        <v>1.116713593617739E-3</v>
      </c>
      <c r="W298" s="429"/>
      <c r="X298" s="370">
        <f t="shared" si="43"/>
        <v>1.4068710523973968E-2</v>
      </c>
      <c r="Y298" s="429"/>
      <c r="Z298" s="421">
        <f t="shared" si="44"/>
        <v>5.1704607728452978E-2</v>
      </c>
      <c r="AA298" s="429"/>
      <c r="AB298" s="421">
        <f t="shared" si="45"/>
        <v>6.1392985209170477E-2</v>
      </c>
      <c r="AC298" s="430"/>
      <c r="AD298" s="424">
        <f t="shared" si="46"/>
        <v>5.3393060833137884E-3</v>
      </c>
      <c r="AE298" s="431"/>
      <c r="AF298" s="421">
        <f t="shared" si="47"/>
        <v>0.28272923734000316</v>
      </c>
      <c r="AG298" s="421">
        <f t="shared" si="48"/>
        <v>2.8410447564346164</v>
      </c>
      <c r="AH298" s="426">
        <f t="shared" si="49"/>
        <v>1.9705782373002057E-3</v>
      </c>
      <c r="AI298" s="421">
        <f t="shared" si="50"/>
        <v>0.15794057931640981</v>
      </c>
      <c r="AJ298" s="325"/>
      <c r="AK298" s="325"/>
      <c r="AL298" s="325"/>
      <c r="AM298" s="325"/>
      <c r="AN298" s="325"/>
      <c r="AO298" s="325"/>
      <c r="AP298" s="325"/>
      <c r="AQ298" s="325"/>
      <c r="AR298" s="325"/>
      <c r="AS298" s="325"/>
      <c r="AT298" s="325"/>
      <c r="AU298" s="325"/>
      <c r="AV298" s="325"/>
      <c r="AW298" s="325"/>
      <c r="AX298" s="325"/>
      <c r="AY298" s="325"/>
      <c r="AZ298" s="325"/>
      <c r="BA298" s="325"/>
      <c r="BB298" s="325"/>
      <c r="BC298" s="325"/>
      <c r="BD298" s="325"/>
      <c r="BE298" s="325"/>
      <c r="BF298" s="325"/>
      <c r="BG298" s="325"/>
      <c r="BH298" s="325"/>
      <c r="BI298" s="325"/>
      <c r="BJ298" s="325"/>
      <c r="BK298" s="325"/>
      <c r="BL298" s="325"/>
      <c r="BM298" s="325"/>
      <c r="BN298" s="325"/>
      <c r="BO298" s="325"/>
      <c r="BP298" s="325"/>
      <c r="BQ298" s="325"/>
    </row>
    <row r="299" spans="1:69" ht="14.25" customHeight="1" x14ac:dyDescent="0.2">
      <c r="A299" s="28"/>
      <c r="B299" s="28"/>
      <c r="C299" s="28"/>
      <c r="D299" s="28"/>
      <c r="E299" s="324"/>
      <c r="F299" s="324"/>
      <c r="G299" s="324"/>
      <c r="H299" s="324"/>
      <c r="I299" s="324"/>
      <c r="J299" s="324"/>
      <c r="K299" s="324"/>
      <c r="L299" s="324"/>
      <c r="M299" s="324"/>
      <c r="N299" s="324"/>
      <c r="O299" s="324"/>
      <c r="P299" s="324"/>
      <c r="Q299" s="324"/>
      <c r="R299" s="324"/>
      <c r="S299" s="419"/>
      <c r="T299" s="418">
        <f t="shared" si="52"/>
        <v>273</v>
      </c>
      <c r="U299" s="419"/>
      <c r="V299" s="370">
        <f t="shared" si="51"/>
        <v>1.0891523870697256E-3</v>
      </c>
      <c r="W299" s="429"/>
      <c r="X299" s="370">
        <f t="shared" si="43"/>
        <v>1.3900112753122956E-2</v>
      </c>
      <c r="Y299" s="429"/>
      <c r="Z299" s="421">
        <f t="shared" si="44"/>
        <v>5.1451089706638586E-2</v>
      </c>
      <c r="AA299" s="429"/>
      <c r="AB299" s="421">
        <f t="shared" si="45"/>
        <v>6.116785009640488E-2</v>
      </c>
      <c r="AC299" s="430"/>
      <c r="AD299" s="424">
        <f t="shared" si="46"/>
        <v>5.245545487589709E-3</v>
      </c>
      <c r="AE299" s="431"/>
      <c r="AF299" s="421">
        <f t="shared" si="47"/>
        <v>0.28272900482950902</v>
      </c>
      <c r="AG299" s="421">
        <f t="shared" si="48"/>
        <v>2.8439312393800744</v>
      </c>
      <c r="AH299" s="426">
        <f t="shared" si="49"/>
        <v>1.9604521585949537E-3</v>
      </c>
      <c r="AI299" s="421">
        <f t="shared" si="50"/>
        <v>0.15768574053319614</v>
      </c>
      <c r="AJ299" s="325"/>
      <c r="AK299" s="325"/>
      <c r="AL299" s="325"/>
      <c r="AM299" s="325"/>
      <c r="AN299" s="325"/>
      <c r="AO299" s="325"/>
      <c r="AP299" s="325"/>
      <c r="AQ299" s="325"/>
      <c r="AR299" s="325"/>
      <c r="AS299" s="325"/>
      <c r="AT299" s="325"/>
      <c r="AU299" s="325"/>
      <c r="AV299" s="325"/>
      <c r="AW299" s="325"/>
      <c r="AX299" s="325"/>
      <c r="AY299" s="325"/>
      <c r="AZ299" s="325"/>
      <c r="BA299" s="325"/>
      <c r="BB299" s="325"/>
      <c r="BC299" s="325"/>
      <c r="BD299" s="325"/>
      <c r="BE299" s="325"/>
      <c r="BF299" s="325"/>
      <c r="BG299" s="325"/>
      <c r="BH299" s="325"/>
      <c r="BI299" s="325"/>
      <c r="BJ299" s="325"/>
      <c r="BK299" s="325"/>
      <c r="BL299" s="325"/>
      <c r="BM299" s="325"/>
      <c r="BN299" s="325"/>
      <c r="BO299" s="325"/>
      <c r="BP299" s="325"/>
      <c r="BQ299" s="325"/>
    </row>
    <row r="300" spans="1:69" ht="14.25" customHeight="1" x14ac:dyDescent="0.2">
      <c r="A300" s="28"/>
      <c r="B300" s="28"/>
      <c r="C300" s="28"/>
      <c r="D300" s="28"/>
      <c r="E300" s="324"/>
      <c r="F300" s="324"/>
      <c r="G300" s="324"/>
      <c r="H300" s="324"/>
      <c r="I300" s="324"/>
      <c r="J300" s="324"/>
      <c r="K300" s="324"/>
      <c r="L300" s="324"/>
      <c r="M300" s="324"/>
      <c r="N300" s="324"/>
      <c r="O300" s="324"/>
      <c r="P300" s="324"/>
      <c r="Q300" s="324"/>
      <c r="R300" s="324"/>
      <c r="S300" s="419"/>
      <c r="T300" s="418">
        <f t="shared" si="52"/>
        <v>274</v>
      </c>
      <c r="U300" s="419"/>
      <c r="V300" s="370">
        <f t="shared" si="51"/>
        <v>1.0622714087473947E-3</v>
      </c>
      <c r="W300" s="429"/>
      <c r="X300" s="370">
        <f t="shared" si="43"/>
        <v>1.3733675221976441E-2</v>
      </c>
      <c r="Y300" s="429"/>
      <c r="Z300" s="421">
        <f t="shared" si="44"/>
        <v>5.1199482798287232E-2</v>
      </c>
      <c r="AA300" s="429"/>
      <c r="AB300" s="421">
        <f t="shared" si="45"/>
        <v>6.0944305913057127E-2</v>
      </c>
      <c r="AC300" s="430"/>
      <c r="AD300" s="424">
        <f t="shared" si="46"/>
        <v>5.1534439667137999E-3</v>
      </c>
      <c r="AE300" s="431"/>
      <c r="AF300" s="421">
        <f t="shared" si="47"/>
        <v>0.2827287815496643</v>
      </c>
      <c r="AG300" s="421">
        <f t="shared" si="48"/>
        <v>2.8468071684338017</v>
      </c>
      <c r="AH300" s="426">
        <f t="shared" si="49"/>
        <v>1.9504148535222281E-3</v>
      </c>
      <c r="AI300" s="421">
        <f t="shared" si="50"/>
        <v>0.15743224051046742</v>
      </c>
      <c r="AJ300" s="325"/>
      <c r="AK300" s="325"/>
      <c r="AL300" s="325"/>
      <c r="AM300" s="325"/>
      <c r="AN300" s="325"/>
      <c r="AO300" s="325"/>
      <c r="AP300" s="325"/>
      <c r="AQ300" s="325"/>
      <c r="AR300" s="325"/>
      <c r="AS300" s="325"/>
      <c r="AT300" s="325"/>
      <c r="AU300" s="325"/>
      <c r="AV300" s="325"/>
      <c r="AW300" s="325"/>
      <c r="AX300" s="325"/>
      <c r="AY300" s="325"/>
      <c r="AZ300" s="325"/>
      <c r="BA300" s="325"/>
      <c r="BB300" s="325"/>
      <c r="BC300" s="325"/>
      <c r="BD300" s="325"/>
      <c r="BE300" s="325"/>
      <c r="BF300" s="325"/>
      <c r="BG300" s="325"/>
      <c r="BH300" s="325"/>
      <c r="BI300" s="325"/>
      <c r="BJ300" s="325"/>
      <c r="BK300" s="325"/>
      <c r="BL300" s="325"/>
      <c r="BM300" s="325"/>
      <c r="BN300" s="325"/>
      <c r="BO300" s="325"/>
      <c r="BP300" s="325"/>
      <c r="BQ300" s="325"/>
    </row>
    <row r="301" spans="1:69" ht="14.25" customHeight="1" x14ac:dyDescent="0.2">
      <c r="A301" s="28"/>
      <c r="B301" s="28"/>
      <c r="C301" s="28"/>
      <c r="D301" s="28"/>
      <c r="E301" s="324"/>
      <c r="F301" s="324"/>
      <c r="G301" s="324"/>
      <c r="H301" s="324"/>
      <c r="I301" s="324"/>
      <c r="J301" s="324"/>
      <c r="K301" s="324"/>
      <c r="L301" s="324"/>
      <c r="M301" s="324"/>
      <c r="N301" s="324"/>
      <c r="O301" s="324"/>
      <c r="P301" s="324"/>
      <c r="Q301" s="324"/>
      <c r="R301" s="324"/>
      <c r="S301" s="419"/>
      <c r="T301" s="418">
        <f t="shared" si="52"/>
        <v>275</v>
      </c>
      <c r="U301" s="419"/>
      <c r="V301" s="370">
        <f t="shared" si="51"/>
        <v>1.0360538701825709E-3</v>
      </c>
      <c r="W301" s="429"/>
      <c r="X301" s="370">
        <f t="shared" si="43"/>
        <v>1.3569368076364045E-2</v>
      </c>
      <c r="Y301" s="429"/>
      <c r="Z301" s="421">
        <f t="shared" si="44"/>
        <v>5.094976712338295E-2</v>
      </c>
      <c r="AA301" s="429"/>
      <c r="AB301" s="421">
        <f t="shared" si="45"/>
        <v>6.0722336058029742E-2</v>
      </c>
      <c r="AC301" s="430"/>
      <c r="AD301" s="424">
        <f t="shared" si="46"/>
        <v>5.0629718644054078E-3</v>
      </c>
      <c r="AE301" s="431"/>
      <c r="AF301" s="421">
        <f t="shared" si="47"/>
        <v>0.2827285671340059</v>
      </c>
      <c r="AG301" s="421">
        <f t="shared" si="48"/>
        <v>2.8496726204914387</v>
      </c>
      <c r="AH301" s="426">
        <f t="shared" si="49"/>
        <v>1.9404652240711147E-3</v>
      </c>
      <c r="AI301" s="421">
        <f t="shared" si="50"/>
        <v>0.1571800673805849</v>
      </c>
      <c r="AJ301" s="325"/>
      <c r="AK301" s="325"/>
      <c r="AL301" s="325"/>
      <c r="AM301" s="325"/>
      <c r="AN301" s="325"/>
      <c r="AO301" s="325"/>
      <c r="AP301" s="325"/>
      <c r="AQ301" s="325"/>
      <c r="AR301" s="325"/>
      <c r="AS301" s="325"/>
      <c r="AT301" s="325"/>
      <c r="AU301" s="325"/>
      <c r="AV301" s="325"/>
      <c r="AW301" s="325"/>
      <c r="AX301" s="325"/>
      <c r="AY301" s="325"/>
      <c r="AZ301" s="325"/>
      <c r="BA301" s="325"/>
      <c r="BB301" s="325"/>
      <c r="BC301" s="325"/>
      <c r="BD301" s="325"/>
      <c r="BE301" s="325"/>
      <c r="BF301" s="325"/>
      <c r="BG301" s="325"/>
      <c r="BH301" s="325"/>
      <c r="BI301" s="325"/>
      <c r="BJ301" s="325"/>
      <c r="BK301" s="325"/>
      <c r="BL301" s="325"/>
      <c r="BM301" s="325"/>
      <c r="BN301" s="325"/>
      <c r="BO301" s="325"/>
      <c r="BP301" s="325"/>
      <c r="BQ301" s="325"/>
    </row>
    <row r="302" spans="1:69" ht="14.25" customHeight="1" x14ac:dyDescent="0.2">
      <c r="A302" s="28"/>
      <c r="B302" s="28"/>
      <c r="C302" s="28"/>
      <c r="D302" s="28"/>
      <c r="E302" s="324"/>
      <c r="F302" s="324"/>
      <c r="G302" s="324"/>
      <c r="H302" s="324"/>
      <c r="I302" s="324"/>
      <c r="J302" s="324"/>
      <c r="K302" s="324"/>
      <c r="L302" s="324"/>
      <c r="M302" s="324"/>
      <c r="N302" s="324"/>
      <c r="O302" s="324"/>
      <c r="P302" s="324"/>
      <c r="Q302" s="324"/>
      <c r="R302" s="324"/>
      <c r="S302" s="419"/>
      <c r="T302" s="418">
        <f t="shared" si="52"/>
        <v>276</v>
      </c>
      <c r="U302" s="419"/>
      <c r="V302" s="370">
        <f t="shared" si="51"/>
        <v>1.0104833972572227E-3</v>
      </c>
      <c r="W302" s="429"/>
      <c r="X302" s="370">
        <f t="shared" si="43"/>
        <v>1.3407161911307029E-2</v>
      </c>
      <c r="Y302" s="429"/>
      <c r="Z302" s="421">
        <f t="shared" si="44"/>
        <v>5.0701923068318E-2</v>
      </c>
      <c r="AA302" s="429"/>
      <c r="AB302" s="421">
        <f t="shared" si="45"/>
        <v>6.050192415889593E-2</v>
      </c>
      <c r="AC302" s="430"/>
      <c r="AD302" s="424">
        <f t="shared" si="46"/>
        <v>4.9741000618730435E-3</v>
      </c>
      <c r="AE302" s="431"/>
      <c r="AF302" s="421">
        <f t="shared" si="47"/>
        <v>0.2827283612306204</v>
      </c>
      <c r="AG302" s="421">
        <f t="shared" si="48"/>
        <v>2.8525276716112846</v>
      </c>
      <c r="AH302" s="426">
        <f t="shared" si="49"/>
        <v>1.9306021897378281E-3</v>
      </c>
      <c r="AI302" s="421">
        <f t="shared" si="50"/>
        <v>0.15692920942364041</v>
      </c>
      <c r="AJ302" s="325"/>
      <c r="AK302" s="325"/>
      <c r="AL302" s="325"/>
      <c r="AM302" s="325"/>
      <c r="AN302" s="325"/>
      <c r="AO302" s="325"/>
      <c r="AP302" s="325"/>
      <c r="AQ302" s="325"/>
      <c r="AR302" s="325"/>
      <c r="AS302" s="325"/>
      <c r="AT302" s="325"/>
      <c r="AU302" s="325"/>
      <c r="AV302" s="325"/>
      <c r="AW302" s="325"/>
      <c r="AX302" s="325"/>
      <c r="AY302" s="325"/>
      <c r="AZ302" s="325"/>
      <c r="BA302" s="325"/>
      <c r="BB302" s="325"/>
      <c r="BC302" s="325"/>
      <c r="BD302" s="325"/>
      <c r="BE302" s="325"/>
      <c r="BF302" s="325"/>
      <c r="BG302" s="325"/>
      <c r="BH302" s="325"/>
      <c r="BI302" s="325"/>
      <c r="BJ302" s="325"/>
      <c r="BK302" s="325"/>
      <c r="BL302" s="325"/>
      <c r="BM302" s="325"/>
      <c r="BN302" s="325"/>
      <c r="BO302" s="325"/>
      <c r="BP302" s="325"/>
      <c r="BQ302" s="325"/>
    </row>
    <row r="303" spans="1:69" ht="14.25" customHeight="1" x14ac:dyDescent="0.2">
      <c r="A303" s="28"/>
      <c r="B303" s="28"/>
      <c r="C303" s="28"/>
      <c r="D303" s="28"/>
      <c r="E303" s="324"/>
      <c r="F303" s="324"/>
      <c r="G303" s="324"/>
      <c r="H303" s="324"/>
      <c r="I303" s="324"/>
      <c r="J303" s="324"/>
      <c r="K303" s="324"/>
      <c r="L303" s="324"/>
      <c r="M303" s="324"/>
      <c r="N303" s="324"/>
      <c r="O303" s="324"/>
      <c r="P303" s="324"/>
      <c r="Q303" s="324"/>
      <c r="R303" s="324"/>
      <c r="S303" s="419"/>
      <c r="T303" s="418">
        <f t="shared" si="52"/>
        <v>277</v>
      </c>
      <c r="U303" s="419"/>
      <c r="V303" s="370">
        <f t="shared" si="51"/>
        <v>9.8554401997703726E-4</v>
      </c>
      <c r="W303" s="429"/>
      <c r="X303" s="370">
        <f t="shared" si="43"/>
        <v>1.3247027763590989E-2</v>
      </c>
      <c r="Y303" s="429"/>
      <c r="Z303" s="421">
        <f t="shared" si="44"/>
        <v>5.0455931281501609E-2</v>
      </c>
      <c r="AA303" s="429"/>
      <c r="AB303" s="421">
        <f t="shared" si="45"/>
        <v>6.0283054067992475E-2</v>
      </c>
      <c r="AC303" s="430"/>
      <c r="AD303" s="424">
        <f t="shared" si="46"/>
        <v>4.8867999678827712E-3</v>
      </c>
      <c r="AE303" s="431"/>
      <c r="AF303" s="421">
        <f t="shared" si="47"/>
        <v>0.28272816350156571</v>
      </c>
      <c r="AG303" s="421">
        <f t="shared" si="48"/>
        <v>2.8553723970264109</v>
      </c>
      <c r="AH303" s="426">
        <f t="shared" si="49"/>
        <v>1.920824687184412E-3</v>
      </c>
      <c r="AI303" s="421">
        <f t="shared" si="50"/>
        <v>0.15667965506509191</v>
      </c>
      <c r="AJ303" s="325"/>
      <c r="AK303" s="325"/>
      <c r="AL303" s="325"/>
      <c r="AM303" s="325"/>
      <c r="AN303" s="325"/>
      <c r="AO303" s="325"/>
      <c r="AP303" s="325"/>
      <c r="AQ303" s="325"/>
      <c r="AR303" s="325"/>
      <c r="AS303" s="325"/>
      <c r="AT303" s="325"/>
      <c r="AU303" s="325"/>
      <c r="AV303" s="325"/>
      <c r="AW303" s="325"/>
      <c r="AX303" s="325"/>
      <c r="AY303" s="325"/>
      <c r="AZ303" s="325"/>
      <c r="BA303" s="325"/>
      <c r="BB303" s="325"/>
      <c r="BC303" s="325"/>
      <c r="BD303" s="325"/>
      <c r="BE303" s="325"/>
      <c r="BF303" s="325"/>
      <c r="BG303" s="325"/>
      <c r="BH303" s="325"/>
      <c r="BI303" s="325"/>
      <c r="BJ303" s="325"/>
      <c r="BK303" s="325"/>
      <c r="BL303" s="325"/>
      <c r="BM303" s="325"/>
      <c r="BN303" s="325"/>
      <c r="BO303" s="325"/>
      <c r="BP303" s="325"/>
      <c r="BQ303" s="325"/>
    </row>
    <row r="304" spans="1:69" ht="14.25" customHeight="1" x14ac:dyDescent="0.2">
      <c r="A304" s="28"/>
      <c r="B304" s="28"/>
      <c r="C304" s="28"/>
      <c r="D304" s="28"/>
      <c r="E304" s="324"/>
      <c r="F304" s="324"/>
      <c r="G304" s="324"/>
      <c r="H304" s="324"/>
      <c r="I304" s="324"/>
      <c r="J304" s="324"/>
      <c r="K304" s="324"/>
      <c r="L304" s="324"/>
      <c r="M304" s="324"/>
      <c r="N304" s="324"/>
      <c r="O304" s="324"/>
      <c r="P304" s="324"/>
      <c r="Q304" s="324"/>
      <c r="R304" s="324"/>
      <c r="S304" s="419"/>
      <c r="T304" s="418">
        <f t="shared" si="52"/>
        <v>278</v>
      </c>
      <c r="U304" s="419"/>
      <c r="V304" s="370">
        <f t="shared" si="51"/>
        <v>9.6122016249738636E-4</v>
      </c>
      <c r="W304" s="429"/>
      <c r="X304" s="370">
        <f t="shared" si="43"/>
        <v>1.3088937104474395E-2</v>
      </c>
      <c r="Y304" s="429"/>
      <c r="Z304" s="421">
        <f t="shared" si="44"/>
        <v>5.0211772669056742E-2</v>
      </c>
      <c r="AA304" s="429"/>
      <c r="AB304" s="421">
        <f t="shared" si="45"/>
        <v>6.0065709858591984E-2</v>
      </c>
      <c r="AC304" s="430"/>
      <c r="AD304" s="424">
        <f t="shared" si="46"/>
        <v>4.801043509016556E-3</v>
      </c>
      <c r="AE304" s="431"/>
      <c r="AF304" s="421">
        <f t="shared" si="47"/>
        <v>0.282727973622317</v>
      </c>
      <c r="AG304" s="421">
        <f t="shared" si="48"/>
        <v>2.8582068711565523</v>
      </c>
      <c r="AH304" s="426">
        <f t="shared" si="49"/>
        <v>1.9111316699053319E-3</v>
      </c>
      <c r="AI304" s="421">
        <f t="shared" si="50"/>
        <v>0.15643139287344626</v>
      </c>
      <c r="AJ304" s="325"/>
      <c r="AK304" s="325"/>
      <c r="AL304" s="325"/>
      <c r="AM304" s="325"/>
      <c r="AN304" s="325"/>
      <c r="AO304" s="325"/>
      <c r="AP304" s="325"/>
      <c r="AQ304" s="325"/>
      <c r="AR304" s="325"/>
      <c r="AS304" s="325"/>
      <c r="AT304" s="325"/>
      <c r="AU304" s="325"/>
      <c r="AV304" s="325"/>
      <c r="AW304" s="325"/>
      <c r="AX304" s="325"/>
      <c r="AY304" s="325"/>
      <c r="AZ304" s="325"/>
      <c r="BA304" s="325"/>
      <c r="BB304" s="325"/>
      <c r="BC304" s="325"/>
      <c r="BD304" s="325"/>
      <c r="BE304" s="325"/>
      <c r="BF304" s="325"/>
      <c r="BG304" s="325"/>
      <c r="BH304" s="325"/>
      <c r="BI304" s="325"/>
      <c r="BJ304" s="325"/>
      <c r="BK304" s="325"/>
      <c r="BL304" s="325"/>
      <c r="BM304" s="325"/>
      <c r="BN304" s="325"/>
      <c r="BO304" s="325"/>
      <c r="BP304" s="325"/>
      <c r="BQ304" s="325"/>
    </row>
    <row r="305" spans="1:69" ht="14.25" customHeight="1" x14ac:dyDescent="0.2">
      <c r="A305" s="28"/>
      <c r="B305" s="28"/>
      <c r="C305" s="28"/>
      <c r="D305" s="28"/>
      <c r="E305" s="324"/>
      <c r="F305" s="324"/>
      <c r="G305" s="324"/>
      <c r="H305" s="324"/>
      <c r="I305" s="324"/>
      <c r="J305" s="324"/>
      <c r="K305" s="324"/>
      <c r="L305" s="324"/>
      <c r="M305" s="324"/>
      <c r="N305" s="324"/>
      <c r="O305" s="324"/>
      <c r="P305" s="324"/>
      <c r="Q305" s="324"/>
      <c r="R305" s="324"/>
      <c r="S305" s="419"/>
      <c r="T305" s="418">
        <f t="shared" si="52"/>
        <v>279</v>
      </c>
      <c r="U305" s="419"/>
      <c r="V305" s="370">
        <f t="shared" si="51"/>
        <v>9.3749663339546152E-4</v>
      </c>
      <c r="W305" s="429"/>
      <c r="X305" s="370">
        <f t="shared" si="43"/>
        <v>1.293286183253059E-2</v>
      </c>
      <c r="Y305" s="429"/>
      <c r="Z305" s="421">
        <f t="shared" si="44"/>
        <v>4.9969428390598591E-2</v>
      </c>
      <c r="AA305" s="429"/>
      <c r="AB305" s="421">
        <f t="shared" si="45"/>
        <v>5.9849875821152941E-2</v>
      </c>
      <c r="AC305" s="430"/>
      <c r="AD305" s="424">
        <f t="shared" si="46"/>
        <v>4.7168031201143545E-3</v>
      </c>
      <c r="AE305" s="431"/>
      <c r="AF305" s="421">
        <f t="shared" si="47"/>
        <v>0.28272779128123338</v>
      </c>
      <c r="AG305" s="421">
        <f t="shared" si="48"/>
        <v>2.8610311676197933</v>
      </c>
      <c r="AH305" s="426">
        <f t="shared" si="49"/>
        <v>1.9015221079016617E-3</v>
      </c>
      <c r="AI305" s="421">
        <f t="shared" si="50"/>
        <v>0.15618441155798485</v>
      </c>
      <c r="AJ305" s="325"/>
      <c r="AK305" s="325"/>
      <c r="AL305" s="325"/>
      <c r="AM305" s="325"/>
      <c r="AN305" s="325"/>
      <c r="AO305" s="325"/>
      <c r="AP305" s="325"/>
      <c r="AQ305" s="325"/>
      <c r="AR305" s="325"/>
      <c r="AS305" s="325"/>
      <c r="AT305" s="325"/>
      <c r="AU305" s="325"/>
      <c r="AV305" s="325"/>
      <c r="AW305" s="325"/>
      <c r="AX305" s="325"/>
      <c r="AY305" s="325"/>
      <c r="AZ305" s="325"/>
      <c r="BA305" s="325"/>
      <c r="BB305" s="325"/>
      <c r="BC305" s="325"/>
      <c r="BD305" s="325"/>
      <c r="BE305" s="325"/>
      <c r="BF305" s="325"/>
      <c r="BG305" s="325"/>
      <c r="BH305" s="325"/>
      <c r="BI305" s="325"/>
      <c r="BJ305" s="325"/>
      <c r="BK305" s="325"/>
      <c r="BL305" s="325"/>
      <c r="BM305" s="325"/>
      <c r="BN305" s="325"/>
      <c r="BO305" s="325"/>
      <c r="BP305" s="325"/>
      <c r="BQ305" s="325"/>
    </row>
    <row r="306" spans="1:69" ht="14.25" customHeight="1" x14ac:dyDescent="0.2">
      <c r="A306" s="28"/>
      <c r="B306" s="28"/>
      <c r="C306" s="28"/>
      <c r="D306" s="28"/>
      <c r="E306" s="324"/>
      <c r="F306" s="324"/>
      <c r="G306" s="324"/>
      <c r="H306" s="324"/>
      <c r="I306" s="324"/>
      <c r="J306" s="324"/>
      <c r="K306" s="324"/>
      <c r="L306" s="324"/>
      <c r="M306" s="324"/>
      <c r="N306" s="324"/>
      <c r="O306" s="324"/>
      <c r="P306" s="324"/>
      <c r="Q306" s="324"/>
      <c r="R306" s="324"/>
      <c r="S306" s="419"/>
      <c r="T306" s="418">
        <f t="shared" si="52"/>
        <v>280</v>
      </c>
      <c r="U306" s="419"/>
      <c r="V306" s="370">
        <f t="shared" si="51"/>
        <v>9.1435861618249618E-4</v>
      </c>
      <c r="W306" s="429"/>
      <c r="X306" s="370">
        <f t="shared" si="43"/>
        <v>1.2778774266620371E-2</v>
      </c>
      <c r="Y306" s="429"/>
      <c r="Z306" s="421">
        <f t="shared" si="44"/>
        <v>4.9728879855096775E-2</v>
      </c>
      <c r="AA306" s="429"/>
      <c r="AB306" s="421">
        <f t="shared" si="45"/>
        <v>5.9635536459645921E-2</v>
      </c>
      <c r="AC306" s="430"/>
      <c r="AD306" s="424">
        <f t="shared" si="46"/>
        <v>4.6340517348981702E-3</v>
      </c>
      <c r="AE306" s="431"/>
      <c r="AF306" s="421">
        <f t="shared" si="47"/>
        <v>0.28272761617904679</v>
      </c>
      <c r="AG306" s="421">
        <f t="shared" si="48"/>
        <v>2.8638453592440372</v>
      </c>
      <c r="AH306" s="426">
        <f t="shared" si="49"/>
        <v>1.8919949873627618E-3</v>
      </c>
      <c r="AI306" s="421">
        <f t="shared" si="50"/>
        <v>0.15593869996653562</v>
      </c>
      <c r="AJ306" s="325"/>
      <c r="AK306" s="325"/>
      <c r="AL306" s="325"/>
      <c r="AM306" s="325"/>
      <c r="AN306" s="325"/>
      <c r="AO306" s="325"/>
      <c r="AP306" s="325"/>
      <c r="AQ306" s="325"/>
      <c r="AR306" s="325"/>
      <c r="AS306" s="325"/>
      <c r="AT306" s="325"/>
      <c r="AU306" s="325"/>
      <c r="AV306" s="325"/>
      <c r="AW306" s="325"/>
      <c r="AX306" s="325"/>
      <c r="AY306" s="325"/>
      <c r="AZ306" s="325"/>
      <c r="BA306" s="325"/>
      <c r="BB306" s="325"/>
      <c r="BC306" s="325"/>
      <c r="BD306" s="325"/>
      <c r="BE306" s="325"/>
      <c r="BF306" s="325"/>
      <c r="BG306" s="325"/>
      <c r="BH306" s="325"/>
      <c r="BI306" s="325"/>
      <c r="BJ306" s="325"/>
      <c r="BK306" s="325"/>
      <c r="BL306" s="325"/>
      <c r="BM306" s="325"/>
      <c r="BN306" s="325"/>
      <c r="BO306" s="325"/>
      <c r="BP306" s="325"/>
      <c r="BQ306" s="325"/>
    </row>
    <row r="307" spans="1:69" ht="14.25" customHeight="1" x14ac:dyDescent="0.2">
      <c r="A307" s="28"/>
      <c r="B307" s="28"/>
      <c r="C307" s="28"/>
      <c r="D307" s="28"/>
      <c r="E307" s="324"/>
      <c r="F307" s="324"/>
      <c r="G307" s="324"/>
      <c r="H307" s="324"/>
      <c r="I307" s="324"/>
      <c r="J307" s="324"/>
      <c r="K307" s="324"/>
      <c r="L307" s="324"/>
      <c r="M307" s="324"/>
      <c r="N307" s="324"/>
      <c r="O307" s="324"/>
      <c r="P307" s="324"/>
      <c r="Q307" s="324"/>
      <c r="R307" s="324"/>
      <c r="S307" s="419"/>
      <c r="T307" s="418">
        <f t="shared" si="52"/>
        <v>281</v>
      </c>
      <c r="U307" s="419"/>
      <c r="V307" s="370">
        <f t="shared" si="51"/>
        <v>8.9179166005015414E-4</v>
      </c>
      <c r="W307" s="429"/>
      <c r="X307" s="370">
        <f t="shared" si="43"/>
        <v>1.2626647138992475E-2</v>
      </c>
      <c r="Y307" s="429"/>
      <c r="Z307" s="421">
        <f t="shared" si="44"/>
        <v>4.9490108716818138E-2</v>
      </c>
      <c r="AA307" s="429"/>
      <c r="AB307" s="421">
        <f t="shared" si="45"/>
        <v>5.9422676487953387E-2</v>
      </c>
      <c r="AC307" s="430"/>
      <c r="AD307" s="424">
        <f t="shared" si="46"/>
        <v>4.5527627767734113E-3</v>
      </c>
      <c r="AE307" s="431"/>
      <c r="AF307" s="421">
        <f t="shared" si="47"/>
        <v>0.28272744802837052</v>
      </c>
      <c r="AG307" s="421">
        <f t="shared" si="48"/>
        <v>2.8666495180782769</v>
      </c>
      <c r="AH307" s="426">
        <f t="shared" si="49"/>
        <v>1.8825493103551772E-3</v>
      </c>
      <c r="AI307" s="421">
        <f t="shared" si="50"/>
        <v>0.15569424708328683</v>
      </c>
      <c r="AJ307" s="325"/>
      <c r="AK307" s="325"/>
      <c r="AL307" s="325"/>
      <c r="AM307" s="325"/>
      <c r="AN307" s="325"/>
      <c r="AO307" s="325"/>
      <c r="AP307" s="325"/>
      <c r="AQ307" s="325"/>
      <c r="AR307" s="325"/>
      <c r="AS307" s="325"/>
      <c r="AT307" s="325"/>
      <c r="AU307" s="325"/>
      <c r="AV307" s="325"/>
      <c r="AW307" s="325"/>
      <c r="AX307" s="325"/>
      <c r="AY307" s="325"/>
      <c r="AZ307" s="325"/>
      <c r="BA307" s="325"/>
      <c r="BB307" s="325"/>
      <c r="BC307" s="325"/>
      <c r="BD307" s="325"/>
      <c r="BE307" s="325"/>
      <c r="BF307" s="325"/>
      <c r="BG307" s="325"/>
      <c r="BH307" s="325"/>
      <c r="BI307" s="325"/>
      <c r="BJ307" s="325"/>
      <c r="BK307" s="325"/>
      <c r="BL307" s="325"/>
      <c r="BM307" s="325"/>
      <c r="BN307" s="325"/>
      <c r="BO307" s="325"/>
      <c r="BP307" s="325"/>
      <c r="BQ307" s="325"/>
    </row>
    <row r="308" spans="1:69" ht="14.25" customHeight="1" x14ac:dyDescent="0.2">
      <c r="A308" s="28"/>
      <c r="B308" s="28"/>
      <c r="C308" s="28"/>
      <c r="D308" s="28"/>
      <c r="E308" s="324"/>
      <c r="F308" s="324"/>
      <c r="G308" s="324"/>
      <c r="H308" s="324"/>
      <c r="I308" s="324"/>
      <c r="J308" s="324"/>
      <c r="K308" s="324"/>
      <c r="L308" s="324"/>
      <c r="M308" s="324"/>
      <c r="N308" s="324"/>
      <c r="O308" s="324"/>
      <c r="P308" s="324"/>
      <c r="Q308" s="324"/>
      <c r="R308" s="324"/>
      <c r="S308" s="419"/>
      <c r="T308" s="418">
        <f t="shared" si="52"/>
        <v>282</v>
      </c>
      <c r="U308" s="419"/>
      <c r="V308" s="370">
        <f t="shared" si="51"/>
        <v>8.6978167084530121E-4</v>
      </c>
      <c r="W308" s="429"/>
      <c r="X308" s="370">
        <f t="shared" si="43"/>
        <v>1.2476453588509498E-2</v>
      </c>
      <c r="Y308" s="429"/>
      <c r="Z308" s="421">
        <f t="shared" si="44"/>
        <v>4.9253096871346824E-2</v>
      </c>
      <c r="AA308" s="429"/>
      <c r="AB308" s="421">
        <f t="shared" si="45"/>
        <v>5.9211280826342312E-2</v>
      </c>
      <c r="AC308" s="430"/>
      <c r="AD308" s="424">
        <f t="shared" si="46"/>
        <v>4.4729101498044432E-3</v>
      </c>
      <c r="AE308" s="431"/>
      <c r="AF308" s="421">
        <f t="shared" si="47"/>
        <v>0.2827272865532276</v>
      </c>
      <c r="AG308" s="421">
        <f t="shared" si="48"/>
        <v>2.8694437154036625</v>
      </c>
      <c r="AH308" s="426">
        <f t="shared" si="49"/>
        <v>1.8731840945186099E-3</v>
      </c>
      <c r="AI308" s="421">
        <f t="shared" si="50"/>
        <v>0.15545104202664309</v>
      </c>
      <c r="AJ308" s="325"/>
      <c r="AK308" s="325"/>
      <c r="AL308" s="325"/>
      <c r="AM308" s="325"/>
      <c r="AN308" s="325"/>
      <c r="AO308" s="325"/>
      <c r="AP308" s="325"/>
      <c r="AQ308" s="325"/>
      <c r="AR308" s="325"/>
      <c r="AS308" s="325"/>
      <c r="AT308" s="325"/>
      <c r="AU308" s="325"/>
      <c r="AV308" s="325"/>
      <c r="AW308" s="325"/>
      <c r="AX308" s="325"/>
      <c r="AY308" s="325"/>
      <c r="AZ308" s="325"/>
      <c r="BA308" s="325"/>
      <c r="BB308" s="325"/>
      <c r="BC308" s="325"/>
      <c r="BD308" s="325"/>
      <c r="BE308" s="325"/>
      <c r="BF308" s="325"/>
      <c r="BG308" s="325"/>
      <c r="BH308" s="325"/>
      <c r="BI308" s="325"/>
      <c r="BJ308" s="325"/>
      <c r="BK308" s="325"/>
      <c r="BL308" s="325"/>
      <c r="BM308" s="325"/>
      <c r="BN308" s="325"/>
      <c r="BO308" s="325"/>
      <c r="BP308" s="325"/>
      <c r="BQ308" s="325"/>
    </row>
    <row r="309" spans="1:69" ht="14.25" customHeight="1" x14ac:dyDescent="0.2">
      <c r="A309" s="28"/>
      <c r="B309" s="28"/>
      <c r="C309" s="28"/>
      <c r="D309" s="28"/>
      <c r="E309" s="324"/>
      <c r="F309" s="324"/>
      <c r="G309" s="324"/>
      <c r="H309" s="324"/>
      <c r="I309" s="324"/>
      <c r="J309" s="324"/>
      <c r="K309" s="324"/>
      <c r="L309" s="324"/>
      <c r="M309" s="324"/>
      <c r="N309" s="324"/>
      <c r="O309" s="324"/>
      <c r="P309" s="324"/>
      <c r="Q309" s="324"/>
      <c r="R309" s="324"/>
      <c r="S309" s="419"/>
      <c r="T309" s="418">
        <f t="shared" si="52"/>
        <v>283</v>
      </c>
      <c r="U309" s="419"/>
      <c r="V309" s="370">
        <f t="shared" si="51"/>
        <v>8.4831490226752976E-4</v>
      </c>
      <c r="W309" s="429"/>
      <c r="X309" s="370">
        <f t="shared" si="43"/>
        <v>1.2328167153996514E-2</v>
      </c>
      <c r="Y309" s="429"/>
      <c r="Z309" s="421">
        <f t="shared" si="44"/>
        <v>4.9017826451682289E-2</v>
      </c>
      <c r="AA309" s="429"/>
      <c r="AB309" s="421">
        <f t="shared" si="45"/>
        <v>5.9001334598007327E-2</v>
      </c>
      <c r="AC309" s="430"/>
      <c r="AD309" s="424">
        <f t="shared" si="46"/>
        <v>4.3944682298605597E-3</v>
      </c>
      <c r="AE309" s="431"/>
      <c r="AF309" s="421">
        <f t="shared" si="47"/>
        <v>0.28272713148859774</v>
      </c>
      <c r="AG309" s="421">
        <f t="shared" si="48"/>
        <v>2.8722280217443705</v>
      </c>
      <c r="AH309" s="426">
        <f t="shared" si="49"/>
        <v>1.8638983727687676E-3</v>
      </c>
      <c r="AI309" s="421">
        <f t="shared" si="50"/>
        <v>0.15520907404712289</v>
      </c>
      <c r="AJ309" s="325"/>
      <c r="AK309" s="325"/>
      <c r="AL309" s="325"/>
      <c r="AM309" s="325"/>
      <c r="AN309" s="325"/>
      <c r="AO309" s="325"/>
      <c r="AP309" s="325"/>
      <c r="AQ309" s="325"/>
      <c r="AR309" s="325"/>
      <c r="AS309" s="325"/>
      <c r="AT309" s="325"/>
      <c r="AU309" s="325"/>
      <c r="AV309" s="325"/>
      <c r="AW309" s="325"/>
      <c r="AX309" s="325"/>
      <c r="AY309" s="325"/>
      <c r="AZ309" s="325"/>
      <c r="BA309" s="325"/>
      <c r="BB309" s="325"/>
      <c r="BC309" s="325"/>
      <c r="BD309" s="325"/>
      <c r="BE309" s="325"/>
      <c r="BF309" s="325"/>
      <c r="BG309" s="325"/>
      <c r="BH309" s="325"/>
      <c r="BI309" s="325"/>
      <c r="BJ309" s="325"/>
      <c r="BK309" s="325"/>
      <c r="BL309" s="325"/>
      <c r="BM309" s="325"/>
      <c r="BN309" s="325"/>
      <c r="BO309" s="325"/>
      <c r="BP309" s="325"/>
      <c r="BQ309" s="325"/>
    </row>
    <row r="310" spans="1:69" ht="14.25" customHeight="1" x14ac:dyDescent="0.2">
      <c r="A310" s="28"/>
      <c r="B310" s="28"/>
      <c r="C310" s="28"/>
      <c r="D310" s="28"/>
      <c r="E310" s="324"/>
      <c r="F310" s="324"/>
      <c r="G310" s="324"/>
      <c r="H310" s="324"/>
      <c r="I310" s="324"/>
      <c r="J310" s="324"/>
      <c r="K310" s="324"/>
      <c r="L310" s="324"/>
      <c r="M310" s="324"/>
      <c r="N310" s="324"/>
      <c r="O310" s="324"/>
      <c r="P310" s="324"/>
      <c r="Q310" s="324"/>
      <c r="R310" s="324"/>
      <c r="S310" s="419"/>
      <c r="T310" s="418">
        <f t="shared" si="52"/>
        <v>284</v>
      </c>
      <c r="U310" s="419"/>
      <c r="V310" s="370">
        <f t="shared" si="51"/>
        <v>8.273779472839258E-4</v>
      </c>
      <c r="W310" s="429"/>
      <c r="X310" s="370">
        <f t="shared" si="43"/>
        <v>1.2181761767710101E-2</v>
      </c>
      <c r="Y310" s="429"/>
      <c r="Z310" s="421">
        <f t="shared" si="44"/>
        <v>4.8784279824411914E-2</v>
      </c>
      <c r="AA310" s="429"/>
      <c r="AB310" s="421">
        <f t="shared" si="45"/>
        <v>5.8792823125682812E-2</v>
      </c>
      <c r="AC310" s="430"/>
      <c r="AD310" s="424">
        <f t="shared" si="46"/>
        <v>4.3174118559303754E-3</v>
      </c>
      <c r="AE310" s="431"/>
      <c r="AF310" s="421">
        <f t="shared" si="47"/>
        <v>0.28272698257998219</v>
      </c>
      <c r="AG310" s="421">
        <f t="shared" si="48"/>
        <v>2.8750025068782903</v>
      </c>
      <c r="AH310" s="426">
        <f t="shared" si="49"/>
        <v>1.8546911930068871E-3</v>
      </c>
      <c r="AI310" s="421">
        <f t="shared" si="50"/>
        <v>0.15496833252529604</v>
      </c>
      <c r="AJ310" s="325"/>
      <c r="AK310" s="325"/>
      <c r="AL310" s="325"/>
      <c r="AM310" s="325"/>
      <c r="AN310" s="325"/>
      <c r="AO310" s="325"/>
      <c r="AP310" s="325"/>
      <c r="AQ310" s="325"/>
      <c r="AR310" s="325"/>
      <c r="AS310" s="325"/>
      <c r="AT310" s="325"/>
      <c r="AU310" s="325"/>
      <c r="AV310" s="325"/>
      <c r="AW310" s="325"/>
      <c r="AX310" s="325"/>
      <c r="AY310" s="325"/>
      <c r="AZ310" s="325"/>
      <c r="BA310" s="325"/>
      <c r="BB310" s="325"/>
      <c r="BC310" s="325"/>
      <c r="BD310" s="325"/>
      <c r="BE310" s="325"/>
      <c r="BF310" s="325"/>
      <c r="BG310" s="325"/>
      <c r="BH310" s="325"/>
      <c r="BI310" s="325"/>
      <c r="BJ310" s="325"/>
      <c r="BK310" s="325"/>
      <c r="BL310" s="325"/>
      <c r="BM310" s="325"/>
      <c r="BN310" s="325"/>
      <c r="BO310" s="325"/>
      <c r="BP310" s="325"/>
      <c r="BQ310" s="325"/>
    </row>
    <row r="311" spans="1:69" ht="14.25" customHeight="1" x14ac:dyDescent="0.2">
      <c r="A311" s="28"/>
      <c r="B311" s="28"/>
      <c r="C311" s="28"/>
      <c r="D311" s="28"/>
      <c r="E311" s="324"/>
      <c r="F311" s="324"/>
      <c r="G311" s="324"/>
      <c r="H311" s="324"/>
      <c r="I311" s="324"/>
      <c r="J311" s="324"/>
      <c r="K311" s="324"/>
      <c r="L311" s="324"/>
      <c r="M311" s="324"/>
      <c r="N311" s="324"/>
      <c r="O311" s="324"/>
      <c r="P311" s="324"/>
      <c r="Q311" s="324"/>
      <c r="R311" s="324"/>
      <c r="S311" s="419"/>
      <c r="T311" s="418">
        <f t="shared" si="52"/>
        <v>285</v>
      </c>
      <c r="U311" s="419"/>
      <c r="V311" s="370">
        <f t="shared" si="51"/>
        <v>8.0695772975573335E-4</v>
      </c>
      <c r="W311" s="429"/>
      <c r="X311" s="370">
        <f t="shared" si="43"/>
        <v>1.203721174892524E-2</v>
      </c>
      <c r="Y311" s="429"/>
      <c r="Z311" s="421">
        <f t="shared" si="44"/>
        <v>4.8552439585957119E-2</v>
      </c>
      <c r="AA311" s="429"/>
      <c r="AB311" s="421">
        <f t="shared" si="45"/>
        <v>5.8585731928322601E-2</v>
      </c>
      <c r="AC311" s="430"/>
      <c r="AD311" s="424">
        <f t="shared" si="46"/>
        <v>4.241716321598421E-3</v>
      </c>
      <c r="AE311" s="431"/>
      <c r="AF311" s="421">
        <f t="shared" si="47"/>
        <v>0.28272683958298617</v>
      </c>
      <c r="AG311" s="421">
        <f t="shared" si="48"/>
        <v>2.8777672398475098</v>
      </c>
      <c r="AH311" s="426">
        <f t="shared" si="49"/>
        <v>1.8455616178358165E-3</v>
      </c>
      <c r="AI311" s="421">
        <f t="shared" si="50"/>
        <v>0.1547288069697606</v>
      </c>
      <c r="AJ311" s="325"/>
      <c r="AK311" s="325"/>
      <c r="AL311" s="325"/>
      <c r="AM311" s="325"/>
      <c r="AN311" s="325"/>
      <c r="AO311" s="325"/>
      <c r="AP311" s="325"/>
      <c r="AQ311" s="325"/>
      <c r="AR311" s="325"/>
      <c r="AS311" s="325"/>
      <c r="AT311" s="325"/>
      <c r="AU311" s="325"/>
      <c r="AV311" s="325"/>
      <c r="AW311" s="325"/>
      <c r="AX311" s="325"/>
      <c r="AY311" s="325"/>
      <c r="AZ311" s="325"/>
      <c r="BA311" s="325"/>
      <c r="BB311" s="325"/>
      <c r="BC311" s="325"/>
      <c r="BD311" s="325"/>
      <c r="BE311" s="325"/>
      <c r="BF311" s="325"/>
      <c r="BG311" s="325"/>
      <c r="BH311" s="325"/>
      <c r="BI311" s="325"/>
      <c r="BJ311" s="325"/>
      <c r="BK311" s="325"/>
      <c r="BL311" s="325"/>
      <c r="BM311" s="325"/>
      <c r="BN311" s="325"/>
      <c r="BO311" s="325"/>
      <c r="BP311" s="325"/>
      <c r="BQ311" s="325"/>
    </row>
    <row r="312" spans="1:69" ht="14.25" customHeight="1" x14ac:dyDescent="0.2">
      <c r="A312" s="28"/>
      <c r="B312" s="28"/>
      <c r="C312" s="28"/>
      <c r="D312" s="28"/>
      <c r="E312" s="324"/>
      <c r="F312" s="324"/>
      <c r="G312" s="324"/>
      <c r="H312" s="324"/>
      <c r="I312" s="324"/>
      <c r="J312" s="324"/>
      <c r="K312" s="324"/>
      <c r="L312" s="324"/>
      <c r="M312" s="324"/>
      <c r="N312" s="324"/>
      <c r="O312" s="324"/>
      <c r="P312" s="324"/>
      <c r="Q312" s="324"/>
      <c r="R312" s="324"/>
      <c r="S312" s="419"/>
      <c r="T312" s="418">
        <f t="shared" si="52"/>
        <v>286</v>
      </c>
      <c r="U312" s="419"/>
      <c r="V312" s="370">
        <f t="shared" si="51"/>
        <v>7.8704149627167408E-4</v>
      </c>
      <c r="W312" s="429"/>
      <c r="X312" s="370">
        <f t="shared" si="43"/>
        <v>1.1894491797637864E-2</v>
      </c>
      <c r="Y312" s="429"/>
      <c r="Z312" s="421">
        <f t="shared" si="44"/>
        <v>4.8322288558891091E-2</v>
      </c>
      <c r="AA312" s="429"/>
      <c r="AB312" s="421">
        <f t="shared" si="45"/>
        <v>5.8380046717845406E-2</v>
      </c>
      <c r="AC312" s="430"/>
      <c r="AD312" s="424">
        <f t="shared" si="46"/>
        <v>4.1673573666848318E-3</v>
      </c>
      <c r="AE312" s="431"/>
      <c r="AF312" s="421">
        <f t="shared" si="47"/>
        <v>0.28272670226291768</v>
      </c>
      <c r="AG312" s="421">
        <f t="shared" si="48"/>
        <v>2.8805222889686299</v>
      </c>
      <c r="AH312" s="426">
        <f t="shared" si="49"/>
        <v>1.8365087242824111E-3</v>
      </c>
      <c r="AI312" s="421">
        <f t="shared" si="50"/>
        <v>0.15449048701515802</v>
      </c>
      <c r="AJ312" s="325"/>
      <c r="AK312" s="325"/>
      <c r="AL312" s="325"/>
      <c r="AM312" s="325"/>
      <c r="AN312" s="325"/>
      <c r="AO312" s="325"/>
      <c r="AP312" s="325"/>
      <c r="AQ312" s="325"/>
      <c r="AR312" s="325"/>
      <c r="AS312" s="325"/>
      <c r="AT312" s="325"/>
      <c r="AU312" s="325"/>
      <c r="AV312" s="325"/>
      <c r="AW312" s="325"/>
      <c r="AX312" s="325"/>
      <c r="AY312" s="325"/>
      <c r="AZ312" s="325"/>
      <c r="BA312" s="325"/>
      <c r="BB312" s="325"/>
      <c r="BC312" s="325"/>
      <c r="BD312" s="325"/>
      <c r="BE312" s="325"/>
      <c r="BF312" s="325"/>
      <c r="BG312" s="325"/>
      <c r="BH312" s="325"/>
      <c r="BI312" s="325"/>
      <c r="BJ312" s="325"/>
      <c r="BK312" s="325"/>
      <c r="BL312" s="325"/>
      <c r="BM312" s="325"/>
      <c r="BN312" s="325"/>
      <c r="BO312" s="325"/>
      <c r="BP312" s="325"/>
      <c r="BQ312" s="325"/>
    </row>
    <row r="313" spans="1:69" ht="14.25" customHeight="1" x14ac:dyDescent="0.2">
      <c r="A313" s="28"/>
      <c r="B313" s="28"/>
      <c r="C313" s="28"/>
      <c r="D313" s="28"/>
      <c r="E313" s="324"/>
      <c r="F313" s="324"/>
      <c r="G313" s="324"/>
      <c r="H313" s="324"/>
      <c r="I313" s="324"/>
      <c r="J313" s="324"/>
      <c r="K313" s="324"/>
      <c r="L313" s="324"/>
      <c r="M313" s="324"/>
      <c r="N313" s="324"/>
      <c r="O313" s="324"/>
      <c r="P313" s="324"/>
      <c r="Q313" s="324"/>
      <c r="R313" s="324"/>
      <c r="S313" s="419"/>
      <c r="T313" s="418">
        <f t="shared" si="52"/>
        <v>287</v>
      </c>
      <c r="U313" s="419"/>
      <c r="V313" s="370">
        <f t="shared" si="51"/>
        <v>7.6761680818282605E-4</v>
      </c>
      <c r="W313" s="429"/>
      <c r="X313" s="370">
        <f t="shared" si="43"/>
        <v>1.175357698838044E-2</v>
      </c>
      <c r="Y313" s="429"/>
      <c r="Z313" s="421">
        <f t="shared" si="44"/>
        <v>4.809380978832678E-2</v>
      </c>
      <c r="AA313" s="429"/>
      <c r="AB313" s="421">
        <f t="shared" si="45"/>
        <v>5.8175753395944878E-2</v>
      </c>
      <c r="AC313" s="430"/>
      <c r="AD313" s="424">
        <f t="shared" si="46"/>
        <v>4.0943111690406875E-3</v>
      </c>
      <c r="AE313" s="431"/>
      <c r="AF313" s="421">
        <f t="shared" si="47"/>
        <v>0.28272657039440213</v>
      </c>
      <c r="AG313" s="421">
        <f t="shared" si="48"/>
        <v>2.8832677218428922</v>
      </c>
      <c r="AH313" s="426">
        <f t="shared" si="49"/>
        <v>1.8275316035261478E-3</v>
      </c>
      <c r="AI313" s="421">
        <f t="shared" si="50"/>
        <v>0.15425336242022628</v>
      </c>
      <c r="AJ313" s="325"/>
      <c r="AK313" s="325"/>
      <c r="AL313" s="325"/>
      <c r="AM313" s="325"/>
      <c r="AN313" s="325"/>
      <c r="AO313" s="325"/>
      <c r="AP313" s="325"/>
      <c r="AQ313" s="325"/>
      <c r="AR313" s="325"/>
      <c r="AS313" s="325"/>
      <c r="AT313" s="325"/>
      <c r="AU313" s="325"/>
      <c r="AV313" s="325"/>
      <c r="AW313" s="325"/>
      <c r="AX313" s="325"/>
      <c r="AY313" s="325"/>
      <c r="AZ313" s="325"/>
      <c r="BA313" s="325"/>
      <c r="BB313" s="325"/>
      <c r="BC313" s="325"/>
      <c r="BD313" s="325"/>
      <c r="BE313" s="325"/>
      <c r="BF313" s="325"/>
      <c r="BG313" s="325"/>
      <c r="BH313" s="325"/>
      <c r="BI313" s="325"/>
      <c r="BJ313" s="325"/>
      <c r="BK313" s="325"/>
      <c r="BL313" s="325"/>
      <c r="BM313" s="325"/>
      <c r="BN313" s="325"/>
      <c r="BO313" s="325"/>
      <c r="BP313" s="325"/>
      <c r="BQ313" s="325"/>
    </row>
    <row r="314" spans="1:69" ht="14.25" customHeight="1" x14ac:dyDescent="0.2">
      <c r="A314" s="28"/>
      <c r="B314" s="28"/>
      <c r="C314" s="28"/>
      <c r="D314" s="28"/>
      <c r="E314" s="324"/>
      <c r="F314" s="324"/>
      <c r="G314" s="324"/>
      <c r="H314" s="324"/>
      <c r="I314" s="324"/>
      <c r="J314" s="324"/>
      <c r="K314" s="324"/>
      <c r="L314" s="324"/>
      <c r="M314" s="324"/>
      <c r="N314" s="324"/>
      <c r="O314" s="324"/>
      <c r="P314" s="324"/>
      <c r="Q314" s="324"/>
      <c r="R314" s="324"/>
      <c r="S314" s="419"/>
      <c r="T314" s="418">
        <f t="shared" si="52"/>
        <v>288</v>
      </c>
      <c r="U314" s="419"/>
      <c r="V314" s="370">
        <f t="shared" si="51"/>
        <v>7.4867153383408763E-4</v>
      </c>
      <c r="W314" s="429"/>
      <c r="X314" s="370">
        <f t="shared" si="43"/>
        <v>1.1614442764148724E-2</v>
      </c>
      <c r="Y314" s="429"/>
      <c r="Z314" s="421">
        <f t="shared" si="44"/>
        <v>4.7866986538373735E-2</v>
      </c>
      <c r="AA314" s="429"/>
      <c r="AB314" s="421">
        <f t="shared" si="45"/>
        <v>5.7972838050962115E-2</v>
      </c>
      <c r="AC314" s="430"/>
      <c r="AD314" s="424">
        <f t="shared" si="46"/>
        <v>4.022554336499562E-3</v>
      </c>
      <c r="AE314" s="431"/>
      <c r="AF314" s="421">
        <f t="shared" si="47"/>
        <v>0.28272644376101269</v>
      </c>
      <c r="AG314" s="421">
        <f t="shared" si="48"/>
        <v>2.8860036053661284</v>
      </c>
      <c r="AH314" s="426">
        <f t="shared" si="49"/>
        <v>1.8186293606337566E-3</v>
      </c>
      <c r="AI314" s="421">
        <f t="shared" si="50"/>
        <v>0.15401742306588911</v>
      </c>
      <c r="AJ314" s="325"/>
      <c r="AK314" s="325"/>
      <c r="AL314" s="325"/>
      <c r="AM314" s="325"/>
      <c r="AN314" s="325"/>
      <c r="AO314" s="325"/>
      <c r="AP314" s="325"/>
      <c r="AQ314" s="325"/>
      <c r="AR314" s="325"/>
      <c r="AS314" s="325"/>
      <c r="AT314" s="325"/>
      <c r="AU314" s="325"/>
      <c r="AV314" s="325"/>
      <c r="AW314" s="325"/>
      <c r="AX314" s="325"/>
      <c r="AY314" s="325"/>
      <c r="AZ314" s="325"/>
      <c r="BA314" s="325"/>
      <c r="BB314" s="325"/>
      <c r="BC314" s="325"/>
      <c r="BD314" s="325"/>
      <c r="BE314" s="325"/>
      <c r="BF314" s="325"/>
      <c r="BG314" s="325"/>
      <c r="BH314" s="325"/>
      <c r="BI314" s="325"/>
      <c r="BJ314" s="325"/>
      <c r="BK314" s="325"/>
      <c r="BL314" s="325"/>
      <c r="BM314" s="325"/>
      <c r="BN314" s="325"/>
      <c r="BO314" s="325"/>
      <c r="BP314" s="325"/>
      <c r="BQ314" s="325"/>
    </row>
    <row r="315" spans="1:69" ht="14.25" customHeight="1" x14ac:dyDescent="0.2">
      <c r="A315" s="28"/>
      <c r="B315" s="28"/>
      <c r="C315" s="28"/>
      <c r="D315" s="28"/>
      <c r="E315" s="324"/>
      <c r="F315" s="324"/>
      <c r="G315" s="324"/>
      <c r="H315" s="324"/>
      <c r="I315" s="324"/>
      <c r="J315" s="324"/>
      <c r="K315" s="324"/>
      <c r="L315" s="324"/>
      <c r="M315" s="324"/>
      <c r="N315" s="324"/>
      <c r="O315" s="324"/>
      <c r="P315" s="324"/>
      <c r="Q315" s="324"/>
      <c r="R315" s="324"/>
      <c r="S315" s="419"/>
      <c r="T315" s="418">
        <f t="shared" si="52"/>
        <v>289</v>
      </c>
      <c r="U315" s="419"/>
      <c r="V315" s="370">
        <f t="shared" si="51"/>
        <v>7.3019384098737313E-4</v>
      </c>
      <c r="W315" s="429"/>
      <c r="X315" s="370">
        <f t="shared" si="43"/>
        <v>1.1477064930437073E-2</v>
      </c>
      <c r="Y315" s="429"/>
      <c r="Z315" s="421">
        <f t="shared" si="44"/>
        <v>4.7641802288661661E-2</v>
      </c>
      <c r="AA315" s="429"/>
      <c r="AB315" s="421">
        <f t="shared" si="45"/>
        <v>5.7771286954820138E-2</v>
      </c>
      <c r="AC315" s="430"/>
      <c r="AD315" s="424">
        <f t="shared" si="46"/>
        <v>3.9520638989796186E-3</v>
      </c>
      <c r="AE315" s="431"/>
      <c r="AF315" s="421">
        <f t="shared" si="47"/>
        <v>0.28272632215491489</v>
      </c>
      <c r="AG315" s="421">
        <f t="shared" si="48"/>
        <v>2.8887300057385463</v>
      </c>
      <c r="AH315" s="426">
        <f t="shared" si="49"/>
        <v>1.8098011142997307E-3</v>
      </c>
      <c r="AI315" s="421">
        <f t="shared" si="50"/>
        <v>0.15378265895338122</v>
      </c>
      <c r="AJ315" s="325"/>
      <c r="AK315" s="325"/>
      <c r="AL315" s="325"/>
      <c r="AM315" s="325"/>
      <c r="AN315" s="325"/>
      <c r="AO315" s="325"/>
      <c r="AP315" s="325"/>
      <c r="AQ315" s="325"/>
      <c r="AR315" s="325"/>
      <c r="AS315" s="325"/>
      <c r="AT315" s="325"/>
      <c r="AU315" s="325"/>
      <c r="AV315" s="325"/>
      <c r="AW315" s="325"/>
      <c r="AX315" s="325"/>
      <c r="AY315" s="325"/>
      <c r="AZ315" s="325"/>
      <c r="BA315" s="325"/>
      <c r="BB315" s="325"/>
      <c r="BC315" s="325"/>
      <c r="BD315" s="325"/>
      <c r="BE315" s="325"/>
      <c r="BF315" s="325"/>
      <c r="BG315" s="325"/>
      <c r="BH315" s="325"/>
      <c r="BI315" s="325"/>
      <c r="BJ315" s="325"/>
      <c r="BK315" s="325"/>
      <c r="BL315" s="325"/>
      <c r="BM315" s="325"/>
      <c r="BN315" s="325"/>
      <c r="BO315" s="325"/>
      <c r="BP315" s="325"/>
      <c r="BQ315" s="325"/>
    </row>
    <row r="316" spans="1:69" ht="14.25" customHeight="1" x14ac:dyDescent="0.2">
      <c r="A316" s="28"/>
      <c r="B316" s="28"/>
      <c r="C316" s="28"/>
      <c r="D316" s="28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419"/>
      <c r="T316" s="418">
        <f t="shared" si="52"/>
        <v>290</v>
      </c>
      <c r="U316" s="419"/>
      <c r="V316" s="370">
        <f t="shared" si="51"/>
        <v>7.1217218943180939E-4</v>
      </c>
      <c r="W316" s="429"/>
      <c r="X316" s="370">
        <f t="shared" si="43"/>
        <v>1.1341419649380529E-2</v>
      </c>
      <c r="Y316" s="429"/>
      <c r="Z316" s="421">
        <f t="shared" si="44"/>
        <v>4.7418240730929706E-2</v>
      </c>
      <c r="AA316" s="429"/>
      <c r="AB316" s="421">
        <f t="shared" si="45"/>
        <v>5.7571086560018012E-2</v>
      </c>
      <c r="AC316" s="430"/>
      <c r="AD316" s="424">
        <f t="shared" si="46"/>
        <v>3.8828173007351419E-3</v>
      </c>
      <c r="AE316" s="431"/>
      <c r="AF316" s="421">
        <f t="shared" si="47"/>
        <v>0.28272620537652515</v>
      </c>
      <c r="AG316" s="421">
        <f t="shared" si="48"/>
        <v>2.8914469884743368</v>
      </c>
      <c r="AH316" s="426">
        <f t="shared" si="49"/>
        <v>1.80104599659256E-3</v>
      </c>
      <c r="AI316" s="421">
        <f t="shared" si="50"/>
        <v>0.15354906020240958</v>
      </c>
      <c r="AJ316" s="325"/>
      <c r="AK316" s="325"/>
      <c r="AL316" s="325"/>
      <c r="AM316" s="325"/>
      <c r="AN316" s="325"/>
      <c r="AO316" s="325"/>
      <c r="AP316" s="325"/>
      <c r="AQ316" s="325"/>
      <c r="AR316" s="325"/>
      <c r="AS316" s="325"/>
      <c r="AT316" s="325"/>
      <c r="AU316" s="325"/>
      <c r="AV316" s="325"/>
      <c r="AW316" s="325"/>
      <c r="AX316" s="325"/>
      <c r="AY316" s="325"/>
      <c r="AZ316" s="325"/>
      <c r="BA316" s="325"/>
      <c r="BB316" s="325"/>
      <c r="BC316" s="325"/>
      <c r="BD316" s="325"/>
      <c r="BE316" s="325"/>
      <c r="BF316" s="325"/>
      <c r="BG316" s="325"/>
      <c r="BH316" s="325"/>
      <c r="BI316" s="325"/>
      <c r="BJ316" s="325"/>
      <c r="BK316" s="325"/>
      <c r="BL316" s="325"/>
      <c r="BM316" s="325"/>
      <c r="BN316" s="325"/>
      <c r="BO316" s="325"/>
      <c r="BP316" s="325"/>
      <c r="BQ316" s="325"/>
    </row>
    <row r="317" spans="1:69" ht="14.25" customHeight="1" x14ac:dyDescent="0.2">
      <c r="A317" s="28"/>
      <c r="B317" s="28"/>
      <c r="C317" s="28"/>
      <c r="D317" s="28"/>
      <c r="E317" s="324"/>
      <c r="F317" s="324"/>
      <c r="G317" s="324"/>
      <c r="H317" s="324"/>
      <c r="I317" s="324"/>
      <c r="J317" s="324"/>
      <c r="K317" s="324"/>
      <c r="L317" s="324"/>
      <c r="M317" s="324"/>
      <c r="N317" s="324"/>
      <c r="O317" s="324"/>
      <c r="P317" s="324"/>
      <c r="Q317" s="324"/>
      <c r="R317" s="324"/>
      <c r="S317" s="419"/>
      <c r="T317" s="418">
        <f t="shared" si="52"/>
        <v>291</v>
      </c>
      <c r="U317" s="419"/>
      <c r="V317" s="370">
        <f t="shared" si="51"/>
        <v>6.9459532377631706E-4</v>
      </c>
      <c r="W317" s="429"/>
      <c r="X317" s="370">
        <f t="shared" si="43"/>
        <v>1.1207483434001263E-2</v>
      </c>
      <c r="Y317" s="429"/>
      <c r="Z317" s="421">
        <f t="shared" si="44"/>
        <v>4.7196285765680357E-2</v>
      </c>
      <c r="AA317" s="429"/>
      <c r="AB317" s="421">
        <f t="shared" si="45"/>
        <v>5.737222349668377E-2</v>
      </c>
      <c r="AC317" s="430"/>
      <c r="AD317" s="424">
        <f t="shared" si="46"/>
        <v>3.8147923927531746E-3</v>
      </c>
      <c r="AE317" s="431"/>
      <c r="AF317" s="421">
        <f t="shared" si="47"/>
        <v>0.28272609323418385</v>
      </c>
      <c r="AG317" s="421">
        <f t="shared" si="48"/>
        <v>2.8941546184111226</v>
      </c>
      <c r="AH317" s="426">
        <f t="shared" si="49"/>
        <v>1.7923631527065526E-3</v>
      </c>
      <c r="AI317" s="421">
        <f t="shared" si="50"/>
        <v>0.15331661704934765</v>
      </c>
      <c r="AJ317" s="325"/>
      <c r="AK317" s="325"/>
      <c r="AL317" s="325"/>
      <c r="AM317" s="325"/>
      <c r="AN317" s="325"/>
      <c r="AO317" s="325"/>
      <c r="AP317" s="325"/>
      <c r="AQ317" s="325"/>
      <c r="AR317" s="325"/>
      <c r="AS317" s="325"/>
      <c r="AT317" s="325"/>
      <c r="AU317" s="325"/>
      <c r="AV317" s="325"/>
      <c r="AW317" s="325"/>
      <c r="AX317" s="325"/>
      <c r="AY317" s="325"/>
      <c r="AZ317" s="325"/>
      <c r="BA317" s="325"/>
      <c r="BB317" s="325"/>
      <c r="BC317" s="325"/>
      <c r="BD317" s="325"/>
      <c r="BE317" s="325"/>
      <c r="BF317" s="325"/>
      <c r="BG317" s="325"/>
      <c r="BH317" s="325"/>
      <c r="BI317" s="325"/>
      <c r="BJ317" s="325"/>
      <c r="BK317" s="325"/>
      <c r="BL317" s="325"/>
      <c r="BM317" s="325"/>
      <c r="BN317" s="325"/>
      <c r="BO317" s="325"/>
      <c r="BP317" s="325"/>
      <c r="BQ317" s="325"/>
    </row>
    <row r="318" spans="1:69" ht="14.25" customHeight="1" x14ac:dyDescent="0.2">
      <c r="A318" s="28"/>
      <c r="B318" s="28"/>
      <c r="C318" s="28"/>
      <c r="D318" s="28"/>
      <c r="E318" s="324"/>
      <c r="F318" s="324"/>
      <c r="G318" s="324"/>
      <c r="H318" s="324"/>
      <c r="I318" s="324"/>
      <c r="J318" s="324"/>
      <c r="K318" s="324"/>
      <c r="L318" s="324"/>
      <c r="M318" s="324"/>
      <c r="N318" s="324"/>
      <c r="O318" s="324"/>
      <c r="P318" s="324"/>
      <c r="Q318" s="324"/>
      <c r="R318" s="324"/>
      <c r="S318" s="419"/>
      <c r="T318" s="418">
        <f t="shared" si="52"/>
        <v>292</v>
      </c>
      <c r="U318" s="419"/>
      <c r="V318" s="370">
        <f t="shared" si="51"/>
        <v>6.7745226642007561E-4</v>
      </c>
      <c r="W318" s="429"/>
      <c r="X318" s="370">
        <f t="shared" si="43"/>
        <v>1.107523314255739E-2</v>
      </c>
      <c r="Y318" s="429"/>
      <c r="Z318" s="421">
        <f t="shared" si="44"/>
        <v>4.6975921498895179E-2</v>
      </c>
      <c r="AA318" s="429"/>
      <c r="AB318" s="421">
        <f t="shared" si="45"/>
        <v>5.7174684569684914E-2</v>
      </c>
      <c r="AC318" s="430"/>
      <c r="AD318" s="424">
        <f t="shared" si="46"/>
        <v>3.7479674252933748E-3</v>
      </c>
      <c r="AE318" s="431"/>
      <c r="AF318" s="421">
        <f t="shared" si="47"/>
        <v>0.28272598554384021</v>
      </c>
      <c r="AG318" s="421">
        <f t="shared" si="48"/>
        <v>2.8968529597192396</v>
      </c>
      <c r="AH318" s="426">
        <f t="shared" si="49"/>
        <v>1.7837517407190934E-3</v>
      </c>
      <c r="AI318" s="421">
        <f t="shared" si="50"/>
        <v>0.15308531984546447</v>
      </c>
      <c r="AJ318" s="325"/>
      <c r="AK318" s="325"/>
      <c r="AL318" s="325"/>
      <c r="AM318" s="325"/>
      <c r="AN318" s="325"/>
      <c r="AO318" s="325"/>
      <c r="AP318" s="325"/>
      <c r="AQ318" s="325"/>
      <c r="AR318" s="325"/>
      <c r="AS318" s="325"/>
      <c r="AT318" s="325"/>
      <c r="AU318" s="325"/>
      <c r="AV318" s="325"/>
      <c r="AW318" s="325"/>
      <c r="AX318" s="325"/>
      <c r="AY318" s="325"/>
      <c r="AZ318" s="325"/>
      <c r="BA318" s="325"/>
      <c r="BB318" s="325"/>
      <c r="BC318" s="325"/>
      <c r="BD318" s="325"/>
      <c r="BE318" s="325"/>
      <c r="BF318" s="325"/>
      <c r="BG318" s="325"/>
      <c r="BH318" s="325"/>
      <c r="BI318" s="325"/>
      <c r="BJ318" s="325"/>
      <c r="BK318" s="325"/>
      <c r="BL318" s="325"/>
      <c r="BM318" s="325"/>
      <c r="BN318" s="325"/>
      <c r="BO318" s="325"/>
      <c r="BP318" s="325"/>
      <c r="BQ318" s="325"/>
    </row>
    <row r="319" spans="1:69" ht="14.25" customHeight="1" x14ac:dyDescent="0.2">
      <c r="A319" s="28"/>
      <c r="B319" s="28"/>
      <c r="C319" s="28"/>
      <c r="D319" s="28"/>
      <c r="E319" s="324"/>
      <c r="F319" s="324"/>
      <c r="G319" s="324"/>
      <c r="H319" s="324"/>
      <c r="I319" s="324"/>
      <c r="J319" s="324"/>
      <c r="K319" s="324"/>
      <c r="L319" s="324"/>
      <c r="M319" s="324"/>
      <c r="N319" s="324"/>
      <c r="O319" s="324"/>
      <c r="P319" s="324"/>
      <c r="Q319" s="324"/>
      <c r="R319" s="324"/>
      <c r="S319" s="419"/>
      <c r="T319" s="418">
        <f t="shared" si="52"/>
        <v>293</v>
      </c>
      <c r="U319" s="419"/>
      <c r="V319" s="370">
        <f t="shared" si="51"/>
        <v>6.6073231069648224E-4</v>
      </c>
      <c r="W319" s="429"/>
      <c r="X319" s="370">
        <f t="shared" si="43"/>
        <v>1.0944645972992276E-2</v>
      </c>
      <c r="Y319" s="429"/>
      <c r="Z319" s="421">
        <f t="shared" si="44"/>
        <v>4.675713223881317E-2</v>
      </c>
      <c r="AA319" s="429"/>
      <c r="AB319" s="421">
        <f t="shared" si="45"/>
        <v>5.6978456755794639E-2</v>
      </c>
      <c r="AC319" s="430"/>
      <c r="AD319" s="424">
        <f t="shared" si="46"/>
        <v>3.6823210405680928E-3</v>
      </c>
      <c r="AE319" s="431"/>
      <c r="AF319" s="421">
        <f t="shared" si="47"/>
        <v>0.28272588212875055</v>
      </c>
      <c r="AG319" s="421">
        <f t="shared" si="48"/>
        <v>2.8995420759108663</v>
      </c>
      <c r="AH319" s="426">
        <f t="shared" si="49"/>
        <v>1.7752109313531885E-3</v>
      </c>
      <c r="AI319" s="421">
        <f t="shared" si="50"/>
        <v>0.15285515905518496</v>
      </c>
      <c r="AJ319" s="325"/>
      <c r="AK319" s="325"/>
      <c r="AL319" s="325"/>
      <c r="AM319" s="325"/>
      <c r="AN319" s="325"/>
      <c r="AO319" s="325"/>
      <c r="AP319" s="325"/>
      <c r="AQ319" s="325"/>
      <c r="AR319" s="325"/>
      <c r="AS319" s="325"/>
      <c r="AT319" s="325"/>
      <c r="AU319" s="325"/>
      <c r="AV319" s="325"/>
      <c r="AW319" s="325"/>
      <c r="AX319" s="325"/>
      <c r="AY319" s="325"/>
      <c r="AZ319" s="325"/>
      <c r="BA319" s="325"/>
      <c r="BB319" s="325"/>
      <c r="BC319" s="325"/>
      <c r="BD319" s="325"/>
      <c r="BE319" s="325"/>
      <c r="BF319" s="325"/>
      <c r="BG319" s="325"/>
      <c r="BH319" s="325"/>
      <c r="BI319" s="325"/>
      <c r="BJ319" s="325"/>
      <c r="BK319" s="325"/>
      <c r="BL319" s="325"/>
      <c r="BM319" s="325"/>
      <c r="BN319" s="325"/>
      <c r="BO319" s="325"/>
      <c r="BP319" s="325"/>
      <c r="BQ319" s="325"/>
    </row>
    <row r="320" spans="1:69" ht="14.25" customHeight="1" x14ac:dyDescent="0.2">
      <c r="A320" s="28"/>
      <c r="B320" s="28"/>
      <c r="C320" s="28"/>
      <c r="D320" s="28"/>
      <c r="E320" s="324"/>
      <c r="F320" s="324"/>
      <c r="G320" s="324"/>
      <c r="H320" s="324"/>
      <c r="I320" s="324"/>
      <c r="J320" s="324"/>
      <c r="K320" s="324"/>
      <c r="L320" s="324"/>
      <c r="M320" s="324"/>
      <c r="N320" s="324"/>
      <c r="O320" s="324"/>
      <c r="P320" s="324"/>
      <c r="Q320" s="324"/>
      <c r="R320" s="324"/>
      <c r="S320" s="419"/>
      <c r="T320" s="418">
        <f t="shared" si="52"/>
        <v>294</v>
      </c>
      <c r="U320" s="419"/>
      <c r="V320" s="370">
        <f t="shared" si="51"/>
        <v>6.4442501418632118E-4</v>
      </c>
      <c r="W320" s="429"/>
      <c r="X320" s="370">
        <f t="shared" si="43"/>
        <v>1.0815699457482172E-2</v>
      </c>
      <c r="Y320" s="429"/>
      <c r="Z320" s="421">
        <f t="shared" si="44"/>
        <v>4.6539902492768515E-2</v>
      </c>
      <c r="AA320" s="429"/>
      <c r="AB320" s="421">
        <f t="shared" si="45"/>
        <v>5.6783527200913002E-2</v>
      </c>
      <c r="AC320" s="430"/>
      <c r="AD320" s="424">
        <f t="shared" si="46"/>
        <v>3.6178322655600059E-3</v>
      </c>
      <c r="AE320" s="431"/>
      <c r="AF320" s="421">
        <f t="shared" si="47"/>
        <v>0.28272578281918775</v>
      </c>
      <c r="AG320" s="421">
        <f t="shared" si="48"/>
        <v>2.9022220298489882</v>
      </c>
      <c r="AH320" s="426">
        <f t="shared" si="49"/>
        <v>1.7667399077452102E-3</v>
      </c>
      <c r="AI320" s="421">
        <f t="shared" si="50"/>
        <v>0.15262612525438435</v>
      </c>
      <c r="AJ320" s="325"/>
      <c r="AK320" s="325"/>
      <c r="AL320" s="325"/>
      <c r="AM320" s="325"/>
      <c r="AN320" s="325"/>
      <c r="AO320" s="325"/>
      <c r="AP320" s="325"/>
      <c r="AQ320" s="325"/>
      <c r="AR320" s="325"/>
      <c r="AS320" s="325"/>
      <c r="AT320" s="325"/>
      <c r="AU320" s="325"/>
      <c r="AV320" s="325"/>
      <c r="AW320" s="325"/>
      <c r="AX320" s="325"/>
      <c r="AY320" s="325"/>
      <c r="AZ320" s="325"/>
      <c r="BA320" s="325"/>
      <c r="BB320" s="325"/>
      <c r="BC320" s="325"/>
      <c r="BD320" s="325"/>
      <c r="BE320" s="325"/>
      <c r="BF320" s="325"/>
      <c r="BG320" s="325"/>
      <c r="BH320" s="325"/>
      <c r="BI320" s="325"/>
      <c r="BJ320" s="325"/>
      <c r="BK320" s="325"/>
      <c r="BL320" s="325"/>
      <c r="BM320" s="325"/>
      <c r="BN320" s="325"/>
      <c r="BO320" s="325"/>
      <c r="BP320" s="325"/>
      <c r="BQ320" s="325"/>
    </row>
    <row r="321" spans="1:69" ht="14.25" customHeight="1" x14ac:dyDescent="0.2">
      <c r="A321" s="28"/>
      <c r="B321" s="28"/>
      <c r="C321" s="28"/>
      <c r="D321" s="28"/>
      <c r="E321" s="324"/>
      <c r="F321" s="324"/>
      <c r="G321" s="324"/>
      <c r="H321" s="324"/>
      <c r="I321" s="324"/>
      <c r="J321" s="324"/>
      <c r="K321" s="324"/>
      <c r="L321" s="324"/>
      <c r="M321" s="324"/>
      <c r="N321" s="324"/>
      <c r="O321" s="324"/>
      <c r="P321" s="324"/>
      <c r="Q321" s="324"/>
      <c r="R321" s="324"/>
      <c r="S321" s="419"/>
      <c r="T321" s="418">
        <f t="shared" si="52"/>
        <v>295</v>
      </c>
      <c r="U321" s="419"/>
      <c r="V321" s="370">
        <f t="shared" si="51"/>
        <v>6.2852019219596978E-4</v>
      </c>
      <c r="W321" s="429"/>
      <c r="X321" s="370">
        <f t="shared" si="43"/>
        <v>1.0688371457080308E-2</v>
      </c>
      <c r="Y321" s="429"/>
      <c r="Z321" s="421">
        <f t="shared" si="44"/>
        <v>4.6324216964086506E-2</v>
      </c>
      <c r="AA321" s="429"/>
      <c r="AB321" s="421">
        <f t="shared" si="45"/>
        <v>5.6589883217341826E-2</v>
      </c>
      <c r="AC321" s="430"/>
      <c r="AD321" s="424">
        <f t="shared" si="46"/>
        <v>3.554480504973867E-3</v>
      </c>
      <c r="AE321" s="431"/>
      <c r="AF321" s="421">
        <f t="shared" si="47"/>
        <v>0.28272568745216325</v>
      </c>
      <c r="AG321" s="421">
        <f t="shared" si="48"/>
        <v>2.9048928837562218</v>
      </c>
      <c r="AH321" s="426">
        <f t="shared" si="49"/>
        <v>1.7583378652176434E-3</v>
      </c>
      <c r="AI321" s="421">
        <f t="shared" si="50"/>
        <v>0.15239820912871255</v>
      </c>
      <c r="AJ321" s="325"/>
      <c r="AK321" s="325"/>
      <c r="AL321" s="325"/>
      <c r="AM321" s="325"/>
      <c r="AN321" s="325"/>
      <c r="AO321" s="325"/>
      <c r="AP321" s="325"/>
      <c r="AQ321" s="325"/>
      <c r="AR321" s="325"/>
      <c r="AS321" s="325"/>
      <c r="AT321" s="325"/>
      <c r="AU321" s="325"/>
      <c r="AV321" s="325"/>
      <c r="AW321" s="325"/>
      <c r="AX321" s="325"/>
      <c r="AY321" s="325"/>
      <c r="AZ321" s="325"/>
      <c r="BA321" s="325"/>
      <c r="BB321" s="325"/>
      <c r="BC321" s="325"/>
      <c r="BD321" s="325"/>
      <c r="BE321" s="325"/>
      <c r="BF321" s="325"/>
      <c r="BG321" s="325"/>
      <c r="BH321" s="325"/>
      <c r="BI321" s="325"/>
      <c r="BJ321" s="325"/>
      <c r="BK321" s="325"/>
      <c r="BL321" s="325"/>
      <c r="BM321" s="325"/>
      <c r="BN321" s="325"/>
      <c r="BO321" s="325"/>
      <c r="BP321" s="325"/>
      <c r="BQ321" s="325"/>
    </row>
    <row r="322" spans="1:69" ht="14.25" customHeight="1" x14ac:dyDescent="0.2">
      <c r="A322" s="28"/>
      <c r="B322" s="28"/>
      <c r="C322" s="28"/>
      <c r="D322" s="28"/>
      <c r="E322" s="324"/>
      <c r="F322" s="324"/>
      <c r="G322" s="324"/>
      <c r="H322" s="324"/>
      <c r="I322" s="324"/>
      <c r="J322" s="324"/>
      <c r="K322" s="324"/>
      <c r="L322" s="324"/>
      <c r="M322" s="324"/>
      <c r="N322" s="324"/>
      <c r="O322" s="324"/>
      <c r="P322" s="324"/>
      <c r="Q322" s="324"/>
      <c r="R322" s="324"/>
      <c r="S322" s="419"/>
      <c r="T322" s="418">
        <f t="shared" si="52"/>
        <v>296</v>
      </c>
      <c r="U322" s="419"/>
      <c r="V322" s="370">
        <f t="shared" si="51"/>
        <v>6.1300791139656547E-4</v>
      </c>
      <c r="W322" s="429"/>
      <c r="X322" s="370">
        <f t="shared" si="43"/>
        <v>1.0562640156455652E-2</v>
      </c>
      <c r="Y322" s="429"/>
      <c r="Z322" s="421">
        <f t="shared" si="44"/>
        <v>4.6110060549038989E-2</v>
      </c>
      <c r="AA322" s="429"/>
      <c r="AB322" s="421">
        <f t="shared" si="45"/>
        <v>5.6397512281111666E-2</v>
      </c>
      <c r="AC322" s="430"/>
      <c r="AD322" s="424">
        <f t="shared" si="46"/>
        <v>3.4922455343208147E-3</v>
      </c>
      <c r="AE322" s="431"/>
      <c r="AF322" s="421">
        <f t="shared" si="47"/>
        <v>0.28272559587115892</v>
      </c>
      <c r="AG322" s="421">
        <f t="shared" si="48"/>
        <v>2.9075546992234758</v>
      </c>
      <c r="AH322" s="426">
        <f t="shared" si="49"/>
        <v>1.7500040110567832E-3</v>
      </c>
      <c r="AI322" s="421">
        <f t="shared" si="50"/>
        <v>0.15217140147194999</v>
      </c>
      <c r="AJ322" s="325"/>
      <c r="AK322" s="325"/>
      <c r="AL322" s="325"/>
      <c r="AM322" s="325"/>
      <c r="AN322" s="325"/>
      <c r="AO322" s="325"/>
      <c r="AP322" s="325"/>
      <c r="AQ322" s="325"/>
      <c r="AR322" s="325"/>
      <c r="AS322" s="325"/>
      <c r="AT322" s="325"/>
      <c r="AU322" s="325"/>
      <c r="AV322" s="325"/>
      <c r="AW322" s="325"/>
      <c r="AX322" s="325"/>
      <c r="AY322" s="325"/>
      <c r="AZ322" s="325"/>
      <c r="BA322" s="325"/>
      <c r="BB322" s="325"/>
      <c r="BC322" s="325"/>
      <c r="BD322" s="325"/>
      <c r="BE322" s="325"/>
      <c r="BF322" s="325"/>
      <c r="BG322" s="325"/>
      <c r="BH322" s="325"/>
      <c r="BI322" s="325"/>
      <c r="BJ322" s="325"/>
      <c r="BK322" s="325"/>
      <c r="BL322" s="325"/>
      <c r="BM322" s="325"/>
      <c r="BN322" s="325"/>
      <c r="BO322" s="325"/>
      <c r="BP322" s="325"/>
      <c r="BQ322" s="325"/>
    </row>
    <row r="323" spans="1:69" ht="14.25" customHeight="1" x14ac:dyDescent="0.2">
      <c r="A323" s="28"/>
      <c r="B323" s="28"/>
      <c r="C323" s="28"/>
      <c r="D323" s="28"/>
      <c r="E323" s="324"/>
      <c r="F323" s="324"/>
      <c r="G323" s="324"/>
      <c r="H323" s="324"/>
      <c r="I323" s="324"/>
      <c r="J323" s="324"/>
      <c r="K323" s="324"/>
      <c r="L323" s="324"/>
      <c r="M323" s="324"/>
      <c r="N323" s="324"/>
      <c r="O323" s="324"/>
      <c r="P323" s="324"/>
      <c r="Q323" s="324"/>
      <c r="R323" s="324"/>
      <c r="S323" s="419"/>
      <c r="T323" s="418">
        <f t="shared" si="52"/>
        <v>297</v>
      </c>
      <c r="U323" s="419"/>
      <c r="V323" s="370">
        <f t="shared" si="51"/>
        <v>5.9787848362016251E-4</v>
      </c>
      <c r="W323" s="429"/>
      <c r="X323" s="370">
        <f t="shared" si="43"/>
        <v>1.0438484058724197E-2</v>
      </c>
      <c r="Y323" s="429"/>
      <c r="Z323" s="421">
        <f t="shared" si="44"/>
        <v>4.5897418333853413E-2</v>
      </c>
      <c r="AA323" s="429"/>
      <c r="AB323" s="421">
        <f t="shared" si="45"/>
        <v>5.6206402029360163E-2</v>
      </c>
      <c r="AC323" s="430"/>
      <c r="AD323" s="424">
        <f t="shared" si="46"/>
        <v>3.4311074931323571E-3</v>
      </c>
      <c r="AE323" s="431"/>
      <c r="AF323" s="421">
        <f t="shared" si="47"/>
        <v>0.28272550792587076</v>
      </c>
      <c r="AG323" s="421">
        <f t="shared" si="48"/>
        <v>2.9102075372184806</v>
      </c>
      <c r="AH323" s="426">
        <f t="shared" si="49"/>
        <v>1.7417375642951795E-3</v>
      </c>
      <c r="AI323" s="421">
        <f t="shared" si="50"/>
        <v>0.15194569318439258</v>
      </c>
      <c r="AJ323" s="325"/>
      <c r="AK323" s="325"/>
      <c r="AL323" s="325"/>
      <c r="AM323" s="325"/>
      <c r="AN323" s="325"/>
      <c r="AO323" s="325"/>
      <c r="AP323" s="325"/>
      <c r="AQ323" s="325"/>
      <c r="AR323" s="325"/>
      <c r="AS323" s="325"/>
      <c r="AT323" s="325"/>
      <c r="AU323" s="325"/>
      <c r="AV323" s="325"/>
      <c r="AW323" s="325"/>
      <c r="AX323" s="325"/>
      <c r="AY323" s="325"/>
      <c r="AZ323" s="325"/>
      <c r="BA323" s="325"/>
      <c r="BB323" s="325"/>
      <c r="BC323" s="325"/>
      <c r="BD323" s="325"/>
      <c r="BE323" s="325"/>
      <c r="BF323" s="325"/>
      <c r="BG323" s="325"/>
      <c r="BH323" s="325"/>
      <c r="BI323" s="325"/>
      <c r="BJ323" s="325"/>
      <c r="BK323" s="325"/>
      <c r="BL323" s="325"/>
      <c r="BM323" s="325"/>
      <c r="BN323" s="325"/>
      <c r="BO323" s="325"/>
      <c r="BP323" s="325"/>
      <c r="BQ323" s="325"/>
    </row>
    <row r="324" spans="1:69" ht="14.25" customHeight="1" x14ac:dyDescent="0.2">
      <c r="A324" s="28"/>
      <c r="B324" s="28"/>
      <c r="C324" s="28"/>
      <c r="D324" s="28"/>
      <c r="E324" s="324"/>
      <c r="F324" s="324"/>
      <c r="G324" s="324"/>
      <c r="H324" s="324"/>
      <c r="I324" s="324"/>
      <c r="J324" s="324"/>
      <c r="K324" s="324"/>
      <c r="L324" s="324"/>
      <c r="M324" s="324"/>
      <c r="N324" s="324"/>
      <c r="O324" s="324"/>
      <c r="P324" s="324"/>
      <c r="Q324" s="324"/>
      <c r="R324" s="324"/>
      <c r="S324" s="419"/>
      <c r="T324" s="418">
        <f t="shared" si="52"/>
        <v>298</v>
      </c>
      <c r="U324" s="419"/>
      <c r="V324" s="370">
        <f t="shared" si="51"/>
        <v>5.8312245980900342E-4</v>
      </c>
      <c r="W324" s="429"/>
      <c r="X324" s="370">
        <f t="shared" si="43"/>
        <v>1.0315881980371365E-2</v>
      </c>
      <c r="Y324" s="429"/>
      <c r="Z324" s="421">
        <f t="shared" si="44"/>
        <v>4.5686275591779513E-2</v>
      </c>
      <c r="AA324" s="429"/>
      <c r="AB324" s="421">
        <f t="shared" si="45"/>
        <v>5.6016540257760566E-2</v>
      </c>
      <c r="AC324" s="430"/>
      <c r="AD324" s="424">
        <f t="shared" si="46"/>
        <v>3.3710468783012537E-3</v>
      </c>
      <c r="AE324" s="431"/>
      <c r="AF324" s="421">
        <f t="shared" si="47"/>
        <v>0.28272542347196167</v>
      </c>
      <c r="AG324" s="421">
        <f t="shared" si="48"/>
        <v>2.9128514580941602</v>
      </c>
      <c r="AH324" s="426">
        <f t="shared" si="49"/>
        <v>1.733537755498804E-3</v>
      </c>
      <c r="AI324" s="421">
        <f t="shared" si="50"/>
        <v>0.15172107527126807</v>
      </c>
      <c r="AJ324" s="325"/>
      <c r="AK324" s="325"/>
      <c r="AL324" s="325"/>
      <c r="AM324" s="325"/>
      <c r="AN324" s="325"/>
      <c r="AO324" s="325"/>
      <c r="AP324" s="325"/>
      <c r="AQ324" s="325"/>
      <c r="AR324" s="325"/>
      <c r="AS324" s="325"/>
      <c r="AT324" s="325"/>
      <c r="AU324" s="325"/>
      <c r="AV324" s="325"/>
      <c r="AW324" s="325"/>
      <c r="AX324" s="325"/>
      <c r="AY324" s="325"/>
      <c r="AZ324" s="325"/>
      <c r="BA324" s="325"/>
      <c r="BB324" s="325"/>
      <c r="BC324" s="325"/>
      <c r="BD324" s="325"/>
      <c r="BE324" s="325"/>
      <c r="BF324" s="325"/>
      <c r="BG324" s="325"/>
      <c r="BH324" s="325"/>
      <c r="BI324" s="325"/>
      <c r="BJ324" s="325"/>
      <c r="BK324" s="325"/>
      <c r="BL324" s="325"/>
      <c r="BM324" s="325"/>
      <c r="BN324" s="325"/>
      <c r="BO324" s="325"/>
      <c r="BP324" s="325"/>
      <c r="BQ324" s="325"/>
    </row>
    <row r="325" spans="1:69" ht="14.25" customHeight="1" x14ac:dyDescent="0.2">
      <c r="A325" s="28"/>
      <c r="B325" s="28"/>
      <c r="C325" s="28"/>
      <c r="D325" s="28"/>
      <c r="E325" s="324"/>
      <c r="F325" s="324"/>
      <c r="G325" s="324"/>
      <c r="H325" s="324"/>
      <c r="I325" s="324"/>
      <c r="J325" s="324"/>
      <c r="K325" s="324"/>
      <c r="L325" s="324"/>
      <c r="M325" s="324"/>
      <c r="N325" s="324"/>
      <c r="O325" s="324"/>
      <c r="P325" s="324"/>
      <c r="Q325" s="324"/>
      <c r="R325" s="324"/>
      <c r="S325" s="419"/>
      <c r="T325" s="418">
        <f t="shared" si="52"/>
        <v>299</v>
      </c>
      <c r="U325" s="419"/>
      <c r="V325" s="370">
        <f t="shared" si="51"/>
        <v>5.6873062411412685E-4</v>
      </c>
      <c r="W325" s="429"/>
      <c r="X325" s="370">
        <f t="shared" si="43"/>
        <v>1.0194813046263492E-2</v>
      </c>
      <c r="Y325" s="429"/>
      <c r="Z325" s="421">
        <f t="shared" si="44"/>
        <v>4.5476617780207618E-2</v>
      </c>
      <c r="AA325" s="429"/>
      <c r="AB325" s="421">
        <f t="shared" si="45"/>
        <v>5.5827914917998829E-2</v>
      </c>
      <c r="AC325" s="430"/>
      <c r="AD325" s="424">
        <f t="shared" si="46"/>
        <v>3.3120445375471874E-3</v>
      </c>
      <c r="AE325" s="431"/>
      <c r="AF325" s="421">
        <f t="shared" si="47"/>
        <v>0.28272534237082486</v>
      </c>
      <c r="AG325" s="421">
        <f t="shared" si="48"/>
        <v>2.9154865215968773</v>
      </c>
      <c r="AH325" s="426">
        <f t="shared" si="49"/>
        <v>1.7254038265587207E-3</v>
      </c>
      <c r="AI325" s="421">
        <f t="shared" si="50"/>
        <v>0.15149753884117836</v>
      </c>
      <c r="AJ325" s="325"/>
      <c r="AK325" s="325"/>
      <c r="AL325" s="325"/>
      <c r="AM325" s="325"/>
      <c r="AN325" s="325"/>
      <c r="AO325" s="325"/>
      <c r="AP325" s="325"/>
      <c r="AQ325" s="325"/>
      <c r="AR325" s="325"/>
      <c r="AS325" s="325"/>
      <c r="AT325" s="325"/>
      <c r="AU325" s="325"/>
      <c r="AV325" s="325"/>
      <c r="AW325" s="325"/>
      <c r="AX325" s="325"/>
      <c r="AY325" s="325"/>
      <c r="AZ325" s="325"/>
      <c r="BA325" s="325"/>
      <c r="BB325" s="325"/>
      <c r="BC325" s="325"/>
      <c r="BD325" s="325"/>
      <c r="BE325" s="325"/>
      <c r="BF325" s="325"/>
      <c r="BG325" s="325"/>
      <c r="BH325" s="325"/>
      <c r="BI325" s="325"/>
      <c r="BJ325" s="325"/>
      <c r="BK325" s="325"/>
      <c r="BL325" s="325"/>
      <c r="BM325" s="325"/>
      <c r="BN325" s="325"/>
      <c r="BO325" s="325"/>
      <c r="BP325" s="325"/>
      <c r="BQ325" s="325"/>
    </row>
    <row r="326" spans="1:69" ht="14.25" customHeight="1" x14ac:dyDescent="0.2">
      <c r="A326" s="28"/>
      <c r="B326" s="28"/>
      <c r="C326" s="28"/>
      <c r="D326" s="28"/>
      <c r="E326" s="324"/>
      <c r="F326" s="324"/>
      <c r="G326" s="324"/>
      <c r="H326" s="324"/>
      <c r="I326" s="324"/>
      <c r="J326" s="324"/>
      <c r="K326" s="324"/>
      <c r="L326" s="324"/>
      <c r="M326" s="324"/>
      <c r="N326" s="324"/>
      <c r="O326" s="324"/>
      <c r="P326" s="324"/>
      <c r="Q326" s="324"/>
      <c r="R326" s="324"/>
      <c r="S326" s="419"/>
      <c r="T326" s="418">
        <f t="shared" si="52"/>
        <v>300</v>
      </c>
      <c r="U326" s="419"/>
      <c r="V326" s="370">
        <f t="shared" si="51"/>
        <v>5.5469398813962501E-4</v>
      </c>
      <c r="W326" s="429"/>
      <c r="X326" s="370">
        <f t="shared" si="43"/>
        <v>1.007525668474654E-2</v>
      </c>
      <c r="Y326" s="429"/>
      <c r="Z326" s="421">
        <f t="shared" si="44"/>
        <v>4.5268430537841908E-2</v>
      </c>
      <c r="AA326" s="429"/>
      <c r="AB326" s="421">
        <f t="shared" si="45"/>
        <v>5.5640514115299085E-2</v>
      </c>
      <c r="AC326" s="430"/>
      <c r="AD326" s="424">
        <f t="shared" si="46"/>
        <v>3.2540816630042269E-3</v>
      </c>
      <c r="AE326" s="431"/>
      <c r="AF326" s="421">
        <f t="shared" si="47"/>
        <v>0.28272526448935636</v>
      </c>
      <c r="AG326" s="421">
        <f t="shared" si="48"/>
        <v>2.9181127868745289</v>
      </c>
      <c r="AH326" s="426">
        <f t="shared" si="49"/>
        <v>1.7173350304872438E-3</v>
      </c>
      <c r="AI326" s="421">
        <f t="shared" si="50"/>
        <v>0.15127507510457314</v>
      </c>
      <c r="AJ326" s="325"/>
      <c r="AK326" s="325"/>
      <c r="AL326" s="325"/>
      <c r="AM326" s="325"/>
      <c r="AN326" s="325"/>
      <c r="AO326" s="325"/>
      <c r="AP326" s="325"/>
      <c r="AQ326" s="325"/>
      <c r="AR326" s="325"/>
      <c r="AS326" s="325"/>
      <c r="AT326" s="325"/>
      <c r="AU326" s="325"/>
      <c r="AV326" s="325"/>
      <c r="AW326" s="325"/>
      <c r="AX326" s="325"/>
      <c r="AY326" s="325"/>
      <c r="AZ326" s="325"/>
      <c r="BA326" s="325"/>
      <c r="BB326" s="325"/>
      <c r="BC326" s="325"/>
      <c r="BD326" s="325"/>
      <c r="BE326" s="325"/>
      <c r="BF326" s="325"/>
      <c r="BG326" s="325"/>
      <c r="BH326" s="325"/>
      <c r="BI326" s="325"/>
      <c r="BJ326" s="325"/>
      <c r="BK326" s="325"/>
      <c r="BL326" s="325"/>
      <c r="BM326" s="325"/>
      <c r="BN326" s="325"/>
      <c r="BO326" s="325"/>
      <c r="BP326" s="325"/>
      <c r="BQ326" s="325"/>
    </row>
    <row r="327" spans="1:69" ht="14.25" customHeight="1" x14ac:dyDescent="0.2">
      <c r="A327" s="28"/>
      <c r="B327" s="28"/>
      <c r="C327" s="28"/>
      <c r="D327" s="28"/>
      <c r="E327" s="324"/>
      <c r="F327" s="324"/>
      <c r="G327" s="324"/>
      <c r="H327" s="324"/>
      <c r="I327" s="324"/>
      <c r="J327" s="324"/>
      <c r="K327" s="324"/>
      <c r="L327" s="324"/>
      <c r="M327" s="324"/>
      <c r="N327" s="324"/>
      <c r="O327" s="324"/>
      <c r="P327" s="324"/>
      <c r="Q327" s="324"/>
      <c r="R327" s="324"/>
      <c r="S327" s="419"/>
      <c r="T327" s="418">
        <f t="shared" si="52"/>
        <v>301</v>
      </c>
      <c r="U327" s="419"/>
      <c r="V327" s="370">
        <f t="shared" si="51"/>
        <v>5.4100378532895624E-4</v>
      </c>
      <c r="W327" s="429"/>
      <c r="X327" s="370">
        <f t="shared" si="43"/>
        <v>9.9571926228308339E-3</v>
      </c>
      <c r="Y327" s="429"/>
      <c r="Z327" s="421">
        <f t="shared" si="44"/>
        <v>4.5061699681923306E-2</v>
      </c>
      <c r="AA327" s="429"/>
      <c r="AB327" s="421">
        <f t="shared" si="45"/>
        <v>5.5454326105995551E-2</v>
      </c>
      <c r="AC327" s="430"/>
      <c r="AD327" s="424">
        <f t="shared" si="46"/>
        <v>3.1971397849284156E-3</v>
      </c>
      <c r="AE327" s="431"/>
      <c r="AF327" s="421">
        <f t="shared" si="47"/>
        <v>0.2827251896997362</v>
      </c>
      <c r="AG327" s="421">
        <f t="shared" si="48"/>
        <v>2.9207303124845163</v>
      </c>
      <c r="AH327" s="426">
        <f t="shared" si="49"/>
        <v>1.7093306312183974E-3</v>
      </c>
      <c r="AI327" s="421">
        <f t="shared" si="50"/>
        <v>0.15105367537224806</v>
      </c>
      <c r="AJ327" s="325"/>
      <c r="AK327" s="325"/>
      <c r="AL327" s="325"/>
      <c r="AM327" s="325"/>
      <c r="AN327" s="325"/>
      <c r="AO327" s="325"/>
      <c r="AP327" s="325"/>
      <c r="AQ327" s="325"/>
      <c r="AR327" s="325"/>
      <c r="AS327" s="325"/>
      <c r="AT327" s="325"/>
      <c r="AU327" s="325"/>
      <c r="AV327" s="325"/>
      <c r="AW327" s="325"/>
      <c r="AX327" s="325"/>
      <c r="AY327" s="325"/>
      <c r="AZ327" s="325"/>
      <c r="BA327" s="325"/>
      <c r="BB327" s="325"/>
      <c r="BC327" s="325"/>
      <c r="BD327" s="325"/>
      <c r="BE327" s="325"/>
      <c r="BF327" s="325"/>
      <c r="BG327" s="325"/>
      <c r="BH327" s="325"/>
      <c r="BI327" s="325"/>
      <c r="BJ327" s="325"/>
      <c r="BK327" s="325"/>
      <c r="BL327" s="325"/>
      <c r="BM327" s="325"/>
      <c r="BN327" s="325"/>
      <c r="BO327" s="325"/>
      <c r="BP327" s="325"/>
      <c r="BQ327" s="325"/>
    </row>
    <row r="328" spans="1:69" ht="14.25" customHeight="1" x14ac:dyDescent="0.2">
      <c r="A328" s="28"/>
      <c r="B328" s="28"/>
      <c r="C328" s="28"/>
      <c r="D328" s="28"/>
      <c r="E328" s="324"/>
      <c r="F328" s="324"/>
      <c r="G328" s="324"/>
      <c r="H328" s="324"/>
      <c r="I328" s="324"/>
      <c r="J328" s="324"/>
      <c r="K328" s="324"/>
      <c r="L328" s="324"/>
      <c r="M328" s="324"/>
      <c r="N328" s="324"/>
      <c r="O328" s="324"/>
      <c r="P328" s="324"/>
      <c r="Q328" s="324"/>
      <c r="R328" s="324"/>
      <c r="S328" s="419"/>
      <c r="T328" s="418">
        <f t="shared" si="52"/>
        <v>302</v>
      </c>
      <c r="U328" s="419"/>
      <c r="V328" s="370">
        <f t="shared" si="51"/>
        <v>5.2765146548980812E-4</v>
      </c>
      <c r="W328" s="429"/>
      <c r="X328" s="370">
        <f t="shared" si="43"/>
        <v>9.8406008814595682E-3</v>
      </c>
      <c r="Y328" s="429"/>
      <c r="Z328" s="421">
        <f t="shared" si="44"/>
        <v>4.4856411205504321E-2</v>
      </c>
      <c r="AA328" s="429"/>
      <c r="AB328" s="421">
        <f t="shared" si="45"/>
        <v>5.5269339295150446E-2</v>
      </c>
      <c r="AC328" s="430"/>
      <c r="AD328" s="424">
        <f t="shared" si="46"/>
        <v>3.1412007655229335E-3</v>
      </c>
      <c r="AE328" s="431"/>
      <c r="AF328" s="421">
        <f t="shared" si="47"/>
        <v>0.28272511787921917</v>
      </c>
      <c r="AG328" s="421">
        <f t="shared" si="48"/>
        <v>2.9233391564015787</v>
      </c>
      <c r="AH328" s="426">
        <f t="shared" si="49"/>
        <v>1.7013899034126231E-3</v>
      </c>
      <c r="AI328" s="421">
        <f t="shared" si="50"/>
        <v>0.15083333105387214</v>
      </c>
      <c r="AJ328" s="325"/>
      <c r="AK328" s="325"/>
      <c r="AL328" s="325"/>
      <c r="AM328" s="325"/>
      <c r="AN328" s="325"/>
      <c r="AO328" s="325"/>
      <c r="AP328" s="325"/>
      <c r="AQ328" s="325"/>
      <c r="AR328" s="325"/>
      <c r="AS328" s="325"/>
      <c r="AT328" s="325"/>
      <c r="AU328" s="325"/>
      <c r="AV328" s="325"/>
      <c r="AW328" s="325"/>
      <c r="AX328" s="325"/>
      <c r="AY328" s="325"/>
      <c r="AZ328" s="325"/>
      <c r="BA328" s="325"/>
      <c r="BB328" s="325"/>
      <c r="BC328" s="325"/>
      <c r="BD328" s="325"/>
      <c r="BE328" s="325"/>
      <c r="BF328" s="325"/>
      <c r="BG328" s="325"/>
      <c r="BH328" s="325"/>
      <c r="BI328" s="325"/>
      <c r="BJ328" s="325"/>
      <c r="BK328" s="325"/>
      <c r="BL328" s="325"/>
      <c r="BM328" s="325"/>
      <c r="BN328" s="325"/>
      <c r="BO328" s="325"/>
      <c r="BP328" s="325"/>
      <c r="BQ328" s="325"/>
    </row>
    <row r="329" spans="1:69" ht="14.25" customHeight="1" x14ac:dyDescent="0.2">
      <c r="A329" s="28"/>
      <c r="B329" s="28"/>
      <c r="C329" s="28"/>
      <c r="D329" s="28"/>
      <c r="E329" s="324"/>
      <c r="F329" s="324"/>
      <c r="G329" s="324"/>
      <c r="H329" s="324"/>
      <c r="I329" s="324"/>
      <c r="J329" s="324"/>
      <c r="K329" s="324"/>
      <c r="L329" s="324"/>
      <c r="M329" s="324"/>
      <c r="N329" s="324"/>
      <c r="O329" s="324"/>
      <c r="P329" s="324"/>
      <c r="Q329" s="324"/>
      <c r="R329" s="324"/>
      <c r="S329" s="419"/>
      <c r="T329" s="418">
        <f t="shared" si="52"/>
        <v>303</v>
      </c>
      <c r="U329" s="419"/>
      <c r="V329" s="370">
        <f t="shared" si="51"/>
        <v>5.1462868945408935E-4</v>
      </c>
      <c r="W329" s="429"/>
      <c r="X329" s="370">
        <f t="shared" si="43"/>
        <v>9.7254617708598511E-3</v>
      </c>
      <c r="Y329" s="429"/>
      <c r="Z329" s="421">
        <f t="shared" si="44"/>
        <v>4.4652551274772634E-2</v>
      </c>
      <c r="AA329" s="429"/>
      <c r="AB329" s="421">
        <f t="shared" si="45"/>
        <v>5.5085542234216481E-2</v>
      </c>
      <c r="AC329" s="430"/>
      <c r="AD329" s="424">
        <f t="shared" si="46"/>
        <v>3.0862467928784998E-3</v>
      </c>
      <c r="AE329" s="431"/>
      <c r="AF329" s="421">
        <f t="shared" si="47"/>
        <v>0.28272504890993289</v>
      </c>
      <c r="AG329" s="421">
        <f t="shared" si="48"/>
        <v>2.9259393760254944</v>
      </c>
      <c r="AH329" s="426">
        <f t="shared" si="49"/>
        <v>1.6935121322656148E-3</v>
      </c>
      <c r="AI329" s="421">
        <f t="shared" si="50"/>
        <v>0.15061403365654116</v>
      </c>
      <c r="AJ329" s="325"/>
      <c r="AK329" s="325"/>
      <c r="AL329" s="325"/>
      <c r="AM329" s="325"/>
      <c r="AN329" s="325"/>
      <c r="AO329" s="325"/>
      <c r="AP329" s="325"/>
      <c r="AQ329" s="325"/>
      <c r="AR329" s="325"/>
      <c r="AS329" s="325"/>
      <c r="AT329" s="325"/>
      <c r="AU329" s="325"/>
      <c r="AV329" s="325"/>
      <c r="AW329" s="325"/>
      <c r="AX329" s="325"/>
      <c r="AY329" s="325"/>
      <c r="AZ329" s="325"/>
      <c r="BA329" s="325"/>
      <c r="BB329" s="325"/>
      <c r="BC329" s="325"/>
      <c r="BD329" s="325"/>
      <c r="BE329" s="325"/>
      <c r="BF329" s="325"/>
      <c r="BG329" s="325"/>
      <c r="BH329" s="325"/>
      <c r="BI329" s="325"/>
      <c r="BJ329" s="325"/>
      <c r="BK329" s="325"/>
      <c r="BL329" s="325"/>
      <c r="BM329" s="325"/>
      <c r="BN329" s="325"/>
      <c r="BO329" s="325"/>
      <c r="BP329" s="325"/>
      <c r="BQ329" s="325"/>
    </row>
    <row r="330" spans="1:69" ht="14.25" customHeight="1" x14ac:dyDescent="0.2">
      <c r="A330" s="28"/>
      <c r="B330" s="28"/>
      <c r="C330" s="28"/>
      <c r="D330" s="28"/>
      <c r="E330" s="324"/>
      <c r="F330" s="324"/>
      <c r="G330" s="324"/>
      <c r="H330" s="324"/>
      <c r="I330" s="324"/>
      <c r="J330" s="324"/>
      <c r="K330" s="324"/>
      <c r="L330" s="324"/>
      <c r="M330" s="324"/>
      <c r="N330" s="324"/>
      <c r="O330" s="324"/>
      <c r="P330" s="324"/>
      <c r="Q330" s="324"/>
      <c r="R330" s="324"/>
      <c r="S330" s="419"/>
      <c r="T330" s="418">
        <f t="shared" si="52"/>
        <v>304</v>
      </c>
      <c r="U330" s="419"/>
      <c r="V330" s="370">
        <f t="shared" si="51"/>
        <v>5.0192732386971652E-4</v>
      </c>
      <c r="W330" s="429"/>
      <c r="X330" s="370">
        <f t="shared" si="43"/>
        <v>9.611755885974663E-3</v>
      </c>
      <c r="Y330" s="429"/>
      <c r="Z330" s="421">
        <f t="shared" si="44"/>
        <v>4.4450106226422981E-2</v>
      </c>
      <c r="AA330" s="429"/>
      <c r="AB330" s="421">
        <f t="shared" si="45"/>
        <v>5.4902923618743486E-2</v>
      </c>
      <c r="AC330" s="430"/>
      <c r="AD330" s="424">
        <f t="shared" si="46"/>
        <v>3.0322603750265742E-3</v>
      </c>
      <c r="AE330" s="431"/>
      <c r="AF330" s="421">
        <f t="shared" si="47"/>
        <v>0.28272498267868468</v>
      </c>
      <c r="AG330" s="421">
        <f t="shared" si="48"/>
        <v>2.9285310281886643</v>
      </c>
      <c r="AH330" s="426">
        <f t="shared" si="49"/>
        <v>1.6856966133211508E-3</v>
      </c>
      <c r="AI330" s="421">
        <f t="shared" si="50"/>
        <v>0.15039577478335528</v>
      </c>
      <c r="AJ330" s="325"/>
      <c r="AK330" s="325"/>
      <c r="AL330" s="325"/>
      <c r="AM330" s="325"/>
      <c r="AN330" s="325"/>
      <c r="AO330" s="325"/>
      <c r="AP330" s="325"/>
      <c r="AQ330" s="325"/>
      <c r="AR330" s="325"/>
      <c r="AS330" s="325"/>
      <c r="AT330" s="325"/>
      <c r="AU330" s="325"/>
      <c r="AV330" s="325"/>
      <c r="AW330" s="325"/>
      <c r="AX330" s="325"/>
      <c r="AY330" s="325"/>
      <c r="AZ330" s="325"/>
      <c r="BA330" s="325"/>
      <c r="BB330" s="325"/>
      <c r="BC330" s="325"/>
      <c r="BD330" s="325"/>
      <c r="BE330" s="325"/>
      <c r="BF330" s="325"/>
      <c r="BG330" s="325"/>
      <c r="BH330" s="325"/>
      <c r="BI330" s="325"/>
      <c r="BJ330" s="325"/>
      <c r="BK330" s="325"/>
      <c r="BL330" s="325"/>
      <c r="BM330" s="325"/>
      <c r="BN330" s="325"/>
      <c r="BO330" s="325"/>
      <c r="BP330" s="325"/>
      <c r="BQ330" s="325"/>
    </row>
    <row r="331" spans="1:69" ht="14.25" customHeight="1" x14ac:dyDescent="0.2">
      <c r="A331" s="28"/>
      <c r="B331" s="28"/>
      <c r="C331" s="28"/>
      <c r="D331" s="28"/>
      <c r="E331" s="324"/>
      <c r="F331" s="324"/>
      <c r="G331" s="324"/>
      <c r="H331" s="324"/>
      <c r="I331" s="324"/>
      <c r="J331" s="324"/>
      <c r="K331" s="324"/>
      <c r="L331" s="324"/>
      <c r="M331" s="324"/>
      <c r="N331" s="324"/>
      <c r="O331" s="324"/>
      <c r="P331" s="324"/>
      <c r="Q331" s="324"/>
      <c r="R331" s="324"/>
      <c r="S331" s="419"/>
      <c r="T331" s="418">
        <f t="shared" si="52"/>
        <v>305</v>
      </c>
      <c r="U331" s="419"/>
      <c r="V331" s="370">
        <f t="shared" si="51"/>
        <v>4.8953943612094404E-4</v>
      </c>
      <c r="W331" s="429"/>
      <c r="X331" s="370">
        <f t="shared" si="43"/>
        <v>9.4994641019738868E-3</v>
      </c>
      <c r="Y331" s="429"/>
      <c r="Z331" s="421">
        <f t="shared" si="44"/>
        <v>4.4249062565077546E-2</v>
      </c>
      <c r="AA331" s="429"/>
      <c r="AB331" s="421">
        <f t="shared" si="45"/>
        <v>5.4721472286127601E-2</v>
      </c>
      <c r="AC331" s="430"/>
      <c r="AD331" s="424">
        <f t="shared" si="46"/>
        <v>2.9792243341042468E-3</v>
      </c>
      <c r="AE331" s="431"/>
      <c r="AF331" s="421">
        <f t="shared" si="47"/>
        <v>0.28272491907677538</v>
      </c>
      <c r="AG331" s="421">
        <f t="shared" si="48"/>
        <v>2.93111416916356</v>
      </c>
      <c r="AH331" s="426">
        <f t="shared" si="49"/>
        <v>1.6779426522878871E-3</v>
      </c>
      <c r="AI331" s="421">
        <f t="shared" si="50"/>
        <v>0.15017854613202444</v>
      </c>
      <c r="AJ331" s="325"/>
      <c r="AK331" s="325"/>
      <c r="AL331" s="325"/>
      <c r="AM331" s="325"/>
      <c r="AN331" s="325"/>
      <c r="AO331" s="325"/>
      <c r="AP331" s="325"/>
      <c r="AQ331" s="325"/>
      <c r="AR331" s="325"/>
      <c r="AS331" s="325"/>
      <c r="AT331" s="325"/>
      <c r="AU331" s="325"/>
      <c r="AV331" s="325"/>
      <c r="AW331" s="325"/>
      <c r="AX331" s="325"/>
      <c r="AY331" s="325"/>
      <c r="AZ331" s="325"/>
      <c r="BA331" s="325"/>
      <c r="BB331" s="325"/>
      <c r="BC331" s="325"/>
      <c r="BD331" s="325"/>
      <c r="BE331" s="325"/>
      <c r="BF331" s="325"/>
      <c r="BG331" s="325"/>
      <c r="BH331" s="325"/>
      <c r="BI331" s="325"/>
      <c r="BJ331" s="325"/>
      <c r="BK331" s="325"/>
      <c r="BL331" s="325"/>
      <c r="BM331" s="325"/>
      <c r="BN331" s="325"/>
      <c r="BO331" s="325"/>
      <c r="BP331" s="325"/>
      <c r="BQ331" s="325"/>
    </row>
    <row r="332" spans="1:69" ht="14.25" customHeight="1" x14ac:dyDescent="0.2">
      <c r="A332" s="28"/>
      <c r="B332" s="28"/>
      <c r="C332" s="28"/>
      <c r="D332" s="28"/>
      <c r="E332" s="324"/>
      <c r="F332" s="324"/>
      <c r="G332" s="324"/>
      <c r="H332" s="324"/>
      <c r="I332" s="324"/>
      <c r="J332" s="324"/>
      <c r="K332" s="324"/>
      <c r="L332" s="324"/>
      <c r="M332" s="324"/>
      <c r="N332" s="324"/>
      <c r="O332" s="324"/>
      <c r="P332" s="324"/>
      <c r="Q332" s="324"/>
      <c r="R332" s="324"/>
      <c r="S332" s="419"/>
      <c r="T332" s="418">
        <f t="shared" si="52"/>
        <v>306</v>
      </c>
      <c r="U332" s="419"/>
      <c r="V332" s="370">
        <f t="shared" si="51"/>
        <v>4.7745728937406207E-4</v>
      </c>
      <c r="W332" s="429"/>
      <c r="X332" s="370">
        <f t="shared" si="43"/>
        <v>9.388567569843324E-3</v>
      </c>
      <c r="Y332" s="429"/>
      <c r="Z332" s="421">
        <f t="shared" si="44"/>
        <v>4.4049406960751436E-2</v>
      </c>
      <c r="AA332" s="429"/>
      <c r="AB332" s="421">
        <f t="shared" si="45"/>
        <v>5.4541177213402466E-2</v>
      </c>
      <c r="AC332" s="430"/>
      <c r="AD332" s="424">
        <f t="shared" si="46"/>
        <v>2.9271218006259314E-3</v>
      </c>
      <c r="AE332" s="431"/>
      <c r="AF332" s="421">
        <f t="shared" si="47"/>
        <v>0.28272485799982139</v>
      </c>
      <c r="AG332" s="421">
        <f t="shared" si="48"/>
        <v>2.9336888546700584</v>
      </c>
      <c r="AH332" s="426">
        <f t="shared" si="49"/>
        <v>1.6702495648599617E-3</v>
      </c>
      <c r="AI332" s="421">
        <f t="shared" si="50"/>
        <v>0.14996233949349688</v>
      </c>
      <c r="AJ332" s="325"/>
      <c r="AK332" s="325"/>
      <c r="AL332" s="325"/>
      <c r="AM332" s="325"/>
      <c r="AN332" s="325"/>
      <c r="AO332" s="325"/>
      <c r="AP332" s="325"/>
      <c r="AQ332" s="325"/>
      <c r="AR332" s="325"/>
      <c r="AS332" s="325"/>
      <c r="AT332" s="325"/>
      <c r="AU332" s="325"/>
      <c r="AV332" s="325"/>
      <c r="AW332" s="325"/>
      <c r="AX332" s="325"/>
      <c r="AY332" s="325"/>
      <c r="AZ332" s="325"/>
      <c r="BA332" s="325"/>
      <c r="BB332" s="325"/>
      <c r="BC332" s="325"/>
      <c r="BD332" s="325"/>
      <c r="BE332" s="325"/>
      <c r="BF332" s="325"/>
      <c r="BG332" s="325"/>
      <c r="BH332" s="325"/>
      <c r="BI332" s="325"/>
      <c r="BJ332" s="325"/>
      <c r="BK332" s="325"/>
      <c r="BL332" s="325"/>
      <c r="BM332" s="325"/>
      <c r="BN332" s="325"/>
      <c r="BO332" s="325"/>
      <c r="BP332" s="325"/>
      <c r="BQ332" s="325"/>
    </row>
    <row r="333" spans="1:69" ht="14.25" customHeight="1" x14ac:dyDescent="0.2">
      <c r="A333" s="28"/>
      <c r="B333" s="28"/>
      <c r="C333" s="28"/>
      <c r="D333" s="28"/>
      <c r="E333" s="324"/>
      <c r="F333" s="324"/>
      <c r="G333" s="324"/>
      <c r="H333" s="324"/>
      <c r="I333" s="324"/>
      <c r="J333" s="324"/>
      <c r="K333" s="324"/>
      <c r="L333" s="324"/>
      <c r="M333" s="324"/>
      <c r="N333" s="324"/>
      <c r="O333" s="324"/>
      <c r="P333" s="324"/>
      <c r="Q333" s="324"/>
      <c r="R333" s="324"/>
      <c r="S333" s="419"/>
      <c r="T333" s="418">
        <f t="shared" si="52"/>
        <v>307</v>
      </c>
      <c r="U333" s="419"/>
      <c r="V333" s="370">
        <f t="shared" si="51"/>
        <v>4.6567333774537106E-4</v>
      </c>
      <c r="W333" s="429"/>
      <c r="X333" s="370">
        <f t="shared" si="43"/>
        <v>9.2790477120498344E-3</v>
      </c>
      <c r="Y333" s="429"/>
      <c r="Z333" s="421">
        <f t="shared" si="44"/>
        <v>4.3851126246363892E-2</v>
      </c>
      <c r="AA333" s="429"/>
      <c r="AB333" s="421">
        <f t="shared" si="45"/>
        <v>5.4362027515071569E-2</v>
      </c>
      <c r="AC333" s="430"/>
      <c r="AD333" s="424">
        <f t="shared" si="46"/>
        <v>2.8759362078645268E-3</v>
      </c>
      <c r="AE333" s="431"/>
      <c r="AF333" s="421">
        <f t="shared" si="47"/>
        <v>0.2827247993475831</v>
      </c>
      <c r="AG333" s="421">
        <f t="shared" si="48"/>
        <v>2.9362551398826517</v>
      </c>
      <c r="AH333" s="426">
        <f t="shared" si="49"/>
        <v>1.6626166765413438E-3</v>
      </c>
      <c r="AI333" s="421">
        <f t="shared" si="50"/>
        <v>0.14974714675061199</v>
      </c>
      <c r="AJ333" s="325"/>
      <c r="AK333" s="325"/>
      <c r="AL333" s="325"/>
      <c r="AM333" s="325"/>
      <c r="AN333" s="325"/>
      <c r="AO333" s="325"/>
      <c r="AP333" s="325"/>
      <c r="AQ333" s="325"/>
      <c r="AR333" s="325"/>
      <c r="AS333" s="325"/>
      <c r="AT333" s="325"/>
      <c r="AU333" s="325"/>
      <c r="AV333" s="325"/>
      <c r="AW333" s="325"/>
      <c r="AX333" s="325"/>
      <c r="AY333" s="325"/>
      <c r="AZ333" s="325"/>
      <c r="BA333" s="325"/>
      <c r="BB333" s="325"/>
      <c r="BC333" s="325"/>
      <c r="BD333" s="325"/>
      <c r="BE333" s="325"/>
      <c r="BF333" s="325"/>
      <c r="BG333" s="325"/>
      <c r="BH333" s="325"/>
      <c r="BI333" s="325"/>
      <c r="BJ333" s="325"/>
      <c r="BK333" s="325"/>
      <c r="BL333" s="325"/>
      <c r="BM333" s="325"/>
      <c r="BN333" s="325"/>
      <c r="BO333" s="325"/>
      <c r="BP333" s="325"/>
      <c r="BQ333" s="325"/>
    </row>
    <row r="334" spans="1:69" ht="14.25" customHeight="1" x14ac:dyDescent="0.2">
      <c r="A334" s="28"/>
      <c r="B334" s="28"/>
      <c r="C334" s="28"/>
      <c r="D334" s="28"/>
      <c r="E334" s="324"/>
      <c r="F334" s="324"/>
      <c r="G334" s="324"/>
      <c r="H334" s="324"/>
      <c r="I334" s="324"/>
      <c r="J334" s="324"/>
      <c r="K334" s="324"/>
      <c r="L334" s="324"/>
      <c r="M334" s="324"/>
      <c r="N334" s="324"/>
      <c r="O334" s="324"/>
      <c r="P334" s="324"/>
      <c r="Q334" s="324"/>
      <c r="R334" s="324"/>
      <c r="S334" s="419"/>
      <c r="T334" s="418">
        <f t="shared" si="52"/>
        <v>308</v>
      </c>
      <c r="U334" s="419"/>
      <c r="V334" s="370">
        <f t="shared" si="51"/>
        <v>4.5418022158841276E-4</v>
      </c>
      <c r="W334" s="429"/>
      <c r="X334" s="370">
        <f t="shared" si="43"/>
        <v>9.1708862182813683E-3</v>
      </c>
      <c r="Y334" s="429"/>
      <c r="Z334" s="421">
        <f t="shared" si="44"/>
        <v>4.3654207415295021E-2</v>
      </c>
      <c r="AA334" s="429"/>
      <c r="AB334" s="421">
        <f t="shared" si="45"/>
        <v>5.4184012440980672E-2</v>
      </c>
      <c r="AC334" s="430"/>
      <c r="AD334" s="424">
        <f t="shared" si="46"/>
        <v>2.8256512863348293E-3</v>
      </c>
      <c r="AE334" s="431"/>
      <c r="AF334" s="421">
        <f t="shared" si="47"/>
        <v>0.28272474302380041</v>
      </c>
      <c r="AG334" s="421">
        <f t="shared" si="48"/>
        <v>2.9388130794375433</v>
      </c>
      <c r="AH334" s="426">
        <f t="shared" si="49"/>
        <v>1.6550433224738299E-3</v>
      </c>
      <c r="AI334" s="421">
        <f t="shared" si="50"/>
        <v>0.14953295987677792</v>
      </c>
      <c r="AJ334" s="325"/>
      <c r="AK334" s="325"/>
      <c r="AL334" s="325"/>
      <c r="AM334" s="325"/>
      <c r="AN334" s="325"/>
      <c r="AO334" s="325"/>
      <c r="AP334" s="325"/>
      <c r="AQ334" s="325"/>
      <c r="AR334" s="325"/>
      <c r="AS334" s="325"/>
      <c r="AT334" s="325"/>
      <c r="AU334" s="325"/>
      <c r="AV334" s="325"/>
      <c r="AW334" s="325"/>
      <c r="AX334" s="325"/>
      <c r="AY334" s="325"/>
      <c r="AZ334" s="325"/>
      <c r="BA334" s="325"/>
      <c r="BB334" s="325"/>
      <c r="BC334" s="325"/>
      <c r="BD334" s="325"/>
      <c r="BE334" s="325"/>
      <c r="BF334" s="325"/>
      <c r="BG334" s="325"/>
      <c r="BH334" s="325"/>
      <c r="BI334" s="325"/>
      <c r="BJ334" s="325"/>
      <c r="BK334" s="325"/>
      <c r="BL334" s="325"/>
      <c r="BM334" s="325"/>
      <c r="BN334" s="325"/>
      <c r="BO334" s="325"/>
      <c r="BP334" s="325"/>
      <c r="BQ334" s="325"/>
    </row>
    <row r="335" spans="1:69" ht="14.25" customHeight="1" x14ac:dyDescent="0.2">
      <c r="A335" s="28"/>
      <c r="B335" s="28"/>
      <c r="C335" s="28"/>
      <c r="D335" s="28"/>
      <c r="E335" s="324"/>
      <c r="F335" s="324"/>
      <c r="G335" s="324"/>
      <c r="H335" s="324"/>
      <c r="I335" s="324"/>
      <c r="J335" s="324"/>
      <c r="K335" s="324"/>
      <c r="L335" s="324"/>
      <c r="M335" s="324"/>
      <c r="N335" s="324"/>
      <c r="O335" s="324"/>
      <c r="P335" s="324"/>
      <c r="Q335" s="324"/>
      <c r="R335" s="324"/>
      <c r="S335" s="419"/>
      <c r="T335" s="418">
        <f t="shared" si="52"/>
        <v>309</v>
      </c>
      <c r="U335" s="419"/>
      <c r="V335" s="370">
        <f t="shared" si="51"/>
        <v>4.4297076289751615E-4</v>
      </c>
      <c r="W335" s="429"/>
      <c r="X335" s="370">
        <f t="shared" si="43"/>
        <v>9.0640650412603056E-3</v>
      </c>
      <c r="Y335" s="429"/>
      <c r="Z335" s="421">
        <f t="shared" si="44"/>
        <v>4.3458637618984719E-2</v>
      </c>
      <c r="AA335" s="429"/>
      <c r="AB335" s="421">
        <f t="shared" si="45"/>
        <v>5.400712137422934E-2</v>
      </c>
      <c r="AC335" s="430"/>
      <c r="AD335" s="424">
        <f t="shared" si="46"/>
        <v>2.776251058380419E-3</v>
      </c>
      <c r="AE335" s="431"/>
      <c r="AF335" s="421">
        <f t="shared" si="47"/>
        <v>0.28272468893603464</v>
      </c>
      <c r="AG335" s="421">
        <f t="shared" si="48"/>
        <v>2.9413627274396266</v>
      </c>
      <c r="AH335" s="426">
        <f t="shared" si="49"/>
        <v>1.6475288472686082E-3</v>
      </c>
      <c r="AI335" s="421">
        <f t="shared" si="50"/>
        <v>0.1493197709346713</v>
      </c>
      <c r="AJ335" s="325"/>
      <c r="AK335" s="325"/>
      <c r="AL335" s="325"/>
      <c r="AM335" s="325"/>
      <c r="AN335" s="325"/>
      <c r="AO335" s="325"/>
      <c r="AP335" s="325"/>
      <c r="AQ335" s="325"/>
      <c r="AR335" s="325"/>
      <c r="AS335" s="325"/>
      <c r="AT335" s="325"/>
      <c r="AU335" s="325"/>
      <c r="AV335" s="325"/>
      <c r="AW335" s="325"/>
      <c r="AX335" s="325"/>
      <c r="AY335" s="325"/>
      <c r="AZ335" s="325"/>
      <c r="BA335" s="325"/>
      <c r="BB335" s="325"/>
      <c r="BC335" s="325"/>
      <c r="BD335" s="325"/>
      <c r="BE335" s="325"/>
      <c r="BF335" s="325"/>
      <c r="BG335" s="325"/>
      <c r="BH335" s="325"/>
      <c r="BI335" s="325"/>
      <c r="BJ335" s="325"/>
      <c r="BK335" s="325"/>
      <c r="BL335" s="325"/>
      <c r="BM335" s="325"/>
      <c r="BN335" s="325"/>
      <c r="BO335" s="325"/>
      <c r="BP335" s="325"/>
      <c r="BQ335" s="325"/>
    </row>
    <row r="336" spans="1:69" ht="14.25" customHeight="1" x14ac:dyDescent="0.2">
      <c r="A336" s="28"/>
      <c r="B336" s="28"/>
      <c r="C336" s="28"/>
      <c r="D336" s="324"/>
      <c r="E336" s="324"/>
      <c r="F336" s="324"/>
      <c r="G336" s="324"/>
      <c r="H336" s="324"/>
      <c r="I336" s="324"/>
      <c r="J336" s="324"/>
      <c r="K336" s="324"/>
      <c r="L336" s="324"/>
      <c r="M336" s="324"/>
      <c r="N336" s="324"/>
      <c r="O336" s="324"/>
      <c r="P336" s="324"/>
      <c r="Q336" s="324"/>
      <c r="R336" s="324"/>
      <c r="S336" s="419"/>
      <c r="T336" s="418">
        <f t="shared" si="52"/>
        <v>310</v>
      </c>
      <c r="U336" s="419"/>
      <c r="V336" s="370">
        <f t="shared" si="51"/>
        <v>4.320379608247864E-4</v>
      </c>
      <c r="W336" s="429"/>
      <c r="X336" s="370">
        <f t="shared" si="43"/>
        <v>8.9585663926288368E-3</v>
      </c>
      <c r="Y336" s="429"/>
      <c r="Z336" s="421">
        <f t="shared" si="44"/>
        <v>4.3264404164575332E-2</v>
      </c>
      <c r="AA336" s="429"/>
      <c r="AB336" s="421">
        <f t="shared" si="45"/>
        <v>5.383134382912115E-2</v>
      </c>
      <c r="AC336" s="430"/>
      <c r="AD336" s="424">
        <f t="shared" si="46"/>
        <v>2.7277198328614638E-3</v>
      </c>
      <c r="AE336" s="431"/>
      <c r="AF336" s="421">
        <f t="shared" si="47"/>
        <v>0.28272463699551703</v>
      </c>
      <c r="AG336" s="421">
        <f t="shared" si="48"/>
        <v>2.9439041374693486</v>
      </c>
      <c r="AH336" s="426">
        <f t="shared" si="49"/>
        <v>1.6400726048413044E-3</v>
      </c>
      <c r="AI336" s="421">
        <f t="shared" si="50"/>
        <v>0.14910757207496089</v>
      </c>
      <c r="AJ336" s="325"/>
      <c r="AK336" s="325"/>
      <c r="AL336" s="325"/>
      <c r="AM336" s="325"/>
      <c r="AN336" s="325"/>
      <c r="AO336" s="325"/>
      <c r="AP336" s="325"/>
      <c r="AQ336" s="325"/>
      <c r="AR336" s="325"/>
      <c r="AS336" s="325"/>
      <c r="AT336" s="325"/>
      <c r="AU336" s="325"/>
      <c r="AV336" s="325"/>
      <c r="AW336" s="325"/>
      <c r="AX336" s="325"/>
      <c r="AY336" s="325"/>
      <c r="AZ336" s="325"/>
      <c r="BA336" s="325"/>
      <c r="BB336" s="325"/>
      <c r="BC336" s="325"/>
      <c r="BD336" s="325"/>
      <c r="BE336" s="325"/>
      <c r="BF336" s="325"/>
      <c r="BG336" s="325"/>
      <c r="BH336" s="325"/>
      <c r="BI336" s="325"/>
      <c r="BJ336" s="325"/>
      <c r="BK336" s="325"/>
      <c r="BL336" s="325"/>
      <c r="BM336" s="325"/>
      <c r="BN336" s="325"/>
      <c r="BO336" s="325"/>
      <c r="BP336" s="325"/>
      <c r="BQ336" s="325"/>
    </row>
    <row r="337" spans="1:69" ht="14.25" customHeight="1" x14ac:dyDescent="0.2">
      <c r="A337" s="28"/>
      <c r="B337" s="28"/>
      <c r="C337" s="28"/>
      <c r="D337" s="324"/>
      <c r="E337" s="324"/>
      <c r="F337" s="324"/>
      <c r="G337" s="324"/>
      <c r="H337" s="324"/>
      <c r="I337" s="324"/>
      <c r="J337" s="324"/>
      <c r="K337" s="324"/>
      <c r="L337" s="324"/>
      <c r="M337" s="324"/>
      <c r="N337" s="324"/>
      <c r="O337" s="324"/>
      <c r="P337" s="324"/>
      <c r="Q337" s="324"/>
      <c r="R337" s="324"/>
      <c r="S337" s="419"/>
      <c r="T337" s="418">
        <f t="shared" si="52"/>
        <v>311</v>
      </c>
      <c r="U337" s="419"/>
      <c r="V337" s="370">
        <f t="shared" si="51"/>
        <v>4.2137498730773743E-4</v>
      </c>
      <c r="W337" s="429"/>
      <c r="X337" s="370">
        <f t="shared" si="43"/>
        <v>8.854372738904992E-3</v>
      </c>
      <c r="Y337" s="429"/>
      <c r="Z337" s="421">
        <f t="shared" si="44"/>
        <v>4.3071494512595287E-2</v>
      </c>
      <c r="AA337" s="429"/>
      <c r="AB337" s="421">
        <f t="shared" si="45"/>
        <v>5.3656669449151533E-2</v>
      </c>
      <c r="AC337" s="430"/>
      <c r="AD337" s="424">
        <f t="shared" si="46"/>
        <v>2.6800421999407797E-3</v>
      </c>
      <c r="AE337" s="431"/>
      <c r="AF337" s="421">
        <f t="shared" si="47"/>
        <v>0.28272458711700288</v>
      </c>
      <c r="AG337" s="421">
        <f t="shared" si="48"/>
        <v>2.9464373625894722</v>
      </c>
      <c r="AH337" s="426">
        <f t="shared" si="49"/>
        <v>1.6326739582503975E-3</v>
      </c>
      <c r="AI337" s="421">
        <f t="shared" si="50"/>
        <v>0.14889635553505223</v>
      </c>
      <c r="AJ337" s="325"/>
      <c r="AK337" s="325"/>
      <c r="AL337" s="325"/>
      <c r="AM337" s="325"/>
      <c r="AN337" s="325"/>
      <c r="AO337" s="325"/>
      <c r="AP337" s="325"/>
      <c r="AQ337" s="325"/>
      <c r="AR337" s="325"/>
      <c r="AS337" s="325"/>
      <c r="AT337" s="325"/>
      <c r="AU337" s="325"/>
      <c r="AV337" s="325"/>
      <c r="AW337" s="325"/>
      <c r="AX337" s="325"/>
      <c r="AY337" s="325"/>
      <c r="AZ337" s="325"/>
      <c r="BA337" s="325"/>
      <c r="BB337" s="325"/>
      <c r="BC337" s="325"/>
      <c r="BD337" s="325"/>
      <c r="BE337" s="325"/>
      <c r="BF337" s="325"/>
      <c r="BG337" s="325"/>
      <c r="BH337" s="325"/>
      <c r="BI337" s="325"/>
      <c r="BJ337" s="325"/>
      <c r="BK337" s="325"/>
      <c r="BL337" s="325"/>
      <c r="BM337" s="325"/>
      <c r="BN337" s="325"/>
      <c r="BO337" s="325"/>
      <c r="BP337" s="325"/>
      <c r="BQ337" s="325"/>
    </row>
    <row r="338" spans="1:69" ht="14.25" customHeight="1" x14ac:dyDescent="0.2">
      <c r="A338" s="28"/>
      <c r="B338" s="28"/>
      <c r="C338" s="28"/>
      <c r="D338" s="324"/>
      <c r="E338" s="324"/>
      <c r="F338" s="324"/>
      <c r="G338" s="324"/>
      <c r="H338" s="324"/>
      <c r="I338" s="324"/>
      <c r="J338" s="324"/>
      <c r="K338" s="324"/>
      <c r="L338" s="324"/>
      <c r="M338" s="324"/>
      <c r="N338" s="324"/>
      <c r="O338" s="324"/>
      <c r="P338" s="324"/>
      <c r="Q338" s="324"/>
      <c r="R338" s="324"/>
      <c r="S338" s="419"/>
      <c r="T338" s="418">
        <f t="shared" si="52"/>
        <v>312</v>
      </c>
      <c r="U338" s="419"/>
      <c r="V338" s="370">
        <f t="shared" si="51"/>
        <v>4.1097518280483773E-4</v>
      </c>
      <c r="W338" s="429"/>
      <c r="X338" s="370">
        <f t="shared" si="43"/>
        <v>8.7514667975079324E-3</v>
      </c>
      <c r="Y338" s="429"/>
      <c r="Z338" s="421">
        <f t="shared" si="44"/>
        <v>4.2879896274684248E-2</v>
      </c>
      <c r="AA338" s="429"/>
      <c r="AB338" s="421">
        <f t="shared" si="45"/>
        <v>5.348308800503198E-2</v>
      </c>
      <c r="AC338" s="430"/>
      <c r="AD338" s="424">
        <f t="shared" si="46"/>
        <v>2.6332030259667016E-3</v>
      </c>
      <c r="AE338" s="431"/>
      <c r="AF338" s="421">
        <f t="shared" si="47"/>
        <v>0.28272453921863172</v>
      </c>
      <c r="AG338" s="421">
        <f t="shared" si="48"/>
        <v>2.9489624553517206</v>
      </c>
      <c r="AH338" s="426">
        <f t="shared" si="49"/>
        <v>1.6253322795389792E-3</v>
      </c>
      <c r="AI338" s="421">
        <f t="shared" si="50"/>
        <v>0.14868611363785458</v>
      </c>
      <c r="AJ338" s="325"/>
      <c r="AK338" s="325"/>
      <c r="AL338" s="325"/>
      <c r="AM338" s="325"/>
      <c r="AN338" s="325"/>
      <c r="AO338" s="325"/>
      <c r="AP338" s="325"/>
      <c r="AQ338" s="325"/>
      <c r="AR338" s="325"/>
      <c r="AS338" s="325"/>
      <c r="AT338" s="325"/>
      <c r="AU338" s="325"/>
      <c r="AV338" s="325"/>
      <c r="AW338" s="325"/>
      <c r="AX338" s="325"/>
      <c r="AY338" s="325"/>
      <c r="AZ338" s="325"/>
      <c r="BA338" s="325"/>
      <c r="BB338" s="325"/>
      <c r="BC338" s="325"/>
      <c r="BD338" s="325"/>
      <c r="BE338" s="325"/>
      <c r="BF338" s="325"/>
      <c r="BG338" s="325"/>
      <c r="BH338" s="325"/>
      <c r="BI338" s="325"/>
      <c r="BJ338" s="325"/>
      <c r="BK338" s="325"/>
      <c r="BL338" s="325"/>
      <c r="BM338" s="325"/>
      <c r="BN338" s="325"/>
      <c r="BO338" s="325"/>
      <c r="BP338" s="325"/>
      <c r="BQ338" s="325"/>
    </row>
    <row r="339" spans="1:69" ht="14.25" customHeight="1" x14ac:dyDescent="0.2">
      <c r="A339" s="28"/>
      <c r="B339" s="28"/>
      <c r="C339" s="28"/>
      <c r="D339" s="324"/>
      <c r="E339" s="324"/>
      <c r="F339" s="324"/>
      <c r="G339" s="324"/>
      <c r="H339" s="324"/>
      <c r="I339" s="324"/>
      <c r="J339" s="324"/>
      <c r="K339" s="324"/>
      <c r="L339" s="324"/>
      <c r="M339" s="324"/>
      <c r="N339" s="324"/>
      <c r="O339" s="324"/>
      <c r="P339" s="324"/>
      <c r="Q339" s="324"/>
      <c r="R339" s="324"/>
      <c r="S339" s="419"/>
      <c r="T339" s="418">
        <f t="shared" si="52"/>
        <v>313</v>
      </c>
      <c r="U339" s="419"/>
      <c r="V339" s="370">
        <f t="shared" si="51"/>
        <v>4.0083205213630477E-4</v>
      </c>
      <c r="W339" s="429"/>
      <c r="X339" s="370">
        <f t="shared" si="43"/>
        <v>8.6498315328511193E-3</v>
      </c>
      <c r="Y339" s="429"/>
      <c r="Z339" s="421">
        <f t="shared" si="44"/>
        <v>4.2689597211358121E-2</v>
      </c>
      <c r="AA339" s="429"/>
      <c r="AB339" s="421">
        <f t="shared" si="45"/>
        <v>5.3310589392750983E-2</v>
      </c>
      <c r="AC339" s="430"/>
      <c r="AD339" s="424">
        <f t="shared" si="46"/>
        <v>2.5871874484515445E-3</v>
      </c>
      <c r="AE339" s="431"/>
      <c r="AF339" s="421">
        <f t="shared" si="47"/>
        <v>0.28272449322179288</v>
      </c>
      <c r="AG339" s="421">
        <f t="shared" si="48"/>
        <v>2.9514794678033169</v>
      </c>
      <c r="AH339" s="426">
        <f t="shared" si="49"/>
        <v>1.6180469495797353E-3</v>
      </c>
      <c r="AI339" s="421">
        <f t="shared" si="50"/>
        <v>0.14847683879057089</v>
      </c>
      <c r="AJ339" s="325"/>
      <c r="AK339" s="325"/>
      <c r="AL339" s="325"/>
      <c r="AM339" s="325"/>
      <c r="AN339" s="325"/>
      <c r="AO339" s="325"/>
      <c r="AP339" s="325"/>
      <c r="AQ339" s="325"/>
      <c r="AR339" s="325"/>
      <c r="AS339" s="325"/>
      <c r="AT339" s="325"/>
      <c r="AU339" s="325"/>
      <c r="AV339" s="325"/>
      <c r="AW339" s="325"/>
      <c r="AX339" s="325"/>
      <c r="AY339" s="325"/>
      <c r="AZ339" s="325"/>
      <c r="BA339" s="325"/>
      <c r="BB339" s="325"/>
      <c r="BC339" s="325"/>
      <c r="BD339" s="325"/>
      <c r="BE339" s="325"/>
      <c r="BF339" s="325"/>
      <c r="BG339" s="325"/>
      <c r="BH339" s="325"/>
      <c r="BI339" s="325"/>
      <c r="BJ339" s="325"/>
      <c r="BK339" s="325"/>
      <c r="BL339" s="325"/>
      <c r="BM339" s="325"/>
      <c r="BN339" s="325"/>
      <c r="BO339" s="325"/>
      <c r="BP339" s="325"/>
      <c r="BQ339" s="325"/>
    </row>
    <row r="340" spans="1:69" ht="14.25" customHeight="1" x14ac:dyDescent="0.2">
      <c r="A340" s="28"/>
      <c r="B340" s="28"/>
      <c r="C340" s="28"/>
      <c r="D340" s="324"/>
      <c r="E340" s="324"/>
      <c r="F340" s="324"/>
      <c r="G340" s="324"/>
      <c r="H340" s="324"/>
      <c r="I340" s="324"/>
      <c r="J340" s="324"/>
      <c r="K340" s="324"/>
      <c r="L340" s="324"/>
      <c r="M340" s="324"/>
      <c r="N340" s="324"/>
      <c r="O340" s="324"/>
      <c r="P340" s="324"/>
      <c r="Q340" s="324"/>
      <c r="R340" s="324"/>
      <c r="S340" s="419"/>
      <c r="T340" s="418">
        <f t="shared" si="52"/>
        <v>314</v>
      </c>
      <c r="U340" s="419"/>
      <c r="V340" s="370">
        <f t="shared" si="51"/>
        <v>3.9093926042755228E-4</v>
      </c>
      <c r="W340" s="429"/>
      <c r="X340" s="370">
        <f t="shared" si="43"/>
        <v>8.5494501525023633E-3</v>
      </c>
      <c r="Y340" s="429"/>
      <c r="Z340" s="421">
        <f t="shared" si="44"/>
        <v>4.2500585229813703E-2</v>
      </c>
      <c r="AA340" s="429"/>
      <c r="AB340" s="421">
        <f t="shared" si="45"/>
        <v>5.3139163631669657E-2</v>
      </c>
      <c r="AC340" s="430"/>
      <c r="AD340" s="424">
        <f t="shared" si="46"/>
        <v>2.5419808711419911E-3</v>
      </c>
      <c r="AE340" s="431"/>
      <c r="AF340" s="421">
        <f t="shared" si="47"/>
        <v>0.28272444905099664</v>
      </c>
      <c r="AG340" s="421">
        <f t="shared" si="48"/>
        <v>2.9539884514934247</v>
      </c>
      <c r="AH340" s="426">
        <f t="shared" si="49"/>
        <v>1.6108173579230823E-3</v>
      </c>
      <c r="AI340" s="421">
        <f t="shared" si="50"/>
        <v>0.1482685234835055</v>
      </c>
      <c r="AJ340" s="325"/>
      <c r="AK340" s="325"/>
      <c r="AL340" s="325"/>
      <c r="AM340" s="325"/>
      <c r="AN340" s="325"/>
      <c r="AO340" s="325"/>
      <c r="AP340" s="325"/>
      <c r="AQ340" s="325"/>
      <c r="AR340" s="325"/>
      <c r="AS340" s="325"/>
      <c r="AT340" s="325"/>
      <c r="AU340" s="325"/>
      <c r="AV340" s="325"/>
      <c r="AW340" s="325"/>
      <c r="AX340" s="325"/>
      <c r="AY340" s="325"/>
      <c r="AZ340" s="325"/>
      <c r="BA340" s="325"/>
      <c r="BB340" s="325"/>
      <c r="BC340" s="325"/>
      <c r="BD340" s="325"/>
      <c r="BE340" s="325"/>
      <c r="BF340" s="325"/>
      <c r="BG340" s="325"/>
      <c r="BH340" s="325"/>
      <c r="BI340" s="325"/>
      <c r="BJ340" s="325"/>
      <c r="BK340" s="325"/>
      <c r="BL340" s="325"/>
      <c r="BM340" s="325"/>
      <c r="BN340" s="325"/>
      <c r="BO340" s="325"/>
      <c r="BP340" s="325"/>
      <c r="BQ340" s="325"/>
    </row>
    <row r="341" spans="1:69" ht="14.25" customHeight="1" x14ac:dyDescent="0.2">
      <c r="A341" s="28"/>
      <c r="B341" s="28"/>
      <c r="C341" s="28"/>
      <c r="D341" s="324"/>
      <c r="E341" s="324"/>
      <c r="F341" s="324"/>
      <c r="G341" s="324"/>
      <c r="H341" s="324"/>
      <c r="I341" s="324"/>
      <c r="J341" s="324"/>
      <c r="K341" s="324"/>
      <c r="L341" s="324"/>
      <c r="M341" s="324"/>
      <c r="N341" s="324"/>
      <c r="O341" s="324"/>
      <c r="P341" s="324"/>
      <c r="Q341" s="324"/>
      <c r="R341" s="324"/>
      <c r="S341" s="419"/>
      <c r="T341" s="418">
        <f t="shared" si="52"/>
        <v>315</v>
      </c>
      <c r="U341" s="419"/>
      <c r="V341" s="370">
        <f t="shared" si="51"/>
        <v>3.8129062915275496E-4</v>
      </c>
      <c r="W341" s="429"/>
      <c r="X341" s="370">
        <f t="shared" si="43"/>
        <v>8.4503061034091487E-3</v>
      </c>
      <c r="Y341" s="429"/>
      <c r="Z341" s="421">
        <f t="shared" si="44"/>
        <v>4.231284838177074E-2</v>
      </c>
      <c r="AA341" s="429"/>
      <c r="AB341" s="421">
        <f t="shared" si="45"/>
        <v>5.2968800862652161E-2</v>
      </c>
      <c r="AC341" s="430"/>
      <c r="AD341" s="424">
        <f t="shared" si="46"/>
        <v>2.4975689591828498E-3</v>
      </c>
      <c r="AE341" s="431"/>
      <c r="AF341" s="421">
        <f t="shared" si="47"/>
        <v>0.28272440663374998</v>
      </c>
      <c r="AG341" s="421">
        <f t="shared" si="48"/>
        <v>2.9564894574794796</v>
      </c>
      <c r="AH341" s="426">
        <f t="shared" si="49"/>
        <v>1.6036429026484048E-3</v>
      </c>
      <c r="AI341" s="421">
        <f t="shared" si="50"/>
        <v>0.1480611602888961</v>
      </c>
      <c r="AJ341" s="325"/>
      <c r="AK341" s="325"/>
      <c r="AL341" s="325"/>
      <c r="AM341" s="325"/>
      <c r="AN341" s="325"/>
      <c r="AO341" s="325"/>
      <c r="AP341" s="325"/>
      <c r="AQ341" s="325"/>
      <c r="AR341" s="325"/>
      <c r="AS341" s="325"/>
      <c r="AT341" s="325"/>
      <c r="AU341" s="325"/>
      <c r="AV341" s="325"/>
      <c r="AW341" s="325"/>
      <c r="AX341" s="325"/>
      <c r="AY341" s="325"/>
      <c r="AZ341" s="325"/>
      <c r="BA341" s="325"/>
      <c r="BB341" s="325"/>
      <c r="BC341" s="325"/>
      <c r="BD341" s="325"/>
      <c r="BE341" s="325"/>
      <c r="BF341" s="325"/>
      <c r="BG341" s="325"/>
      <c r="BH341" s="325"/>
      <c r="BI341" s="325"/>
      <c r="BJ341" s="325"/>
      <c r="BK341" s="325"/>
      <c r="BL341" s="325"/>
      <c r="BM341" s="325"/>
      <c r="BN341" s="325"/>
      <c r="BO341" s="325"/>
      <c r="BP341" s="325"/>
      <c r="BQ341" s="325"/>
    </row>
    <row r="342" spans="1:69" ht="14.25" customHeight="1" x14ac:dyDescent="0.2">
      <c r="A342" s="28"/>
      <c r="B342" s="28"/>
      <c r="C342" s="28"/>
      <c r="D342" s="324"/>
      <c r="E342" s="324"/>
      <c r="F342" s="324"/>
      <c r="G342" s="324"/>
      <c r="H342" s="324"/>
      <c r="I342" s="324"/>
      <c r="J342" s="324"/>
      <c r="K342" s="324"/>
      <c r="L342" s="324"/>
      <c r="M342" s="324"/>
      <c r="N342" s="324"/>
      <c r="O342" s="324"/>
      <c r="P342" s="324"/>
      <c r="Q342" s="324"/>
      <c r="R342" s="324"/>
      <c r="S342" s="419"/>
      <c r="T342" s="418">
        <f t="shared" si="52"/>
        <v>316</v>
      </c>
      <c r="U342" s="419"/>
      <c r="V342" s="370">
        <f t="shared" si="51"/>
        <v>3.7188013227606136E-4</v>
      </c>
      <c r="W342" s="429"/>
      <c r="X342" s="370">
        <f t="shared" si="43"/>
        <v>8.3523830681882273E-3</v>
      </c>
      <c r="Y342" s="429"/>
      <c r="Z342" s="421">
        <f t="shared" si="44"/>
        <v>4.2126374861353511E-2</v>
      </c>
      <c r="AA342" s="429"/>
      <c r="AB342" s="421">
        <f t="shared" si="45"/>
        <v>5.2799491346229868E-2</v>
      </c>
      <c r="AC342" s="430"/>
      <c r="AD342" s="424">
        <f t="shared" si="46"/>
        <v>2.4539376343675201E-3</v>
      </c>
      <c r="AE342" s="431"/>
      <c r="AF342" s="421">
        <f t="shared" si="47"/>
        <v>0.28272436590043809</v>
      </c>
      <c r="AG342" s="421">
        <f t="shared" si="48"/>
        <v>2.9589825363334259</v>
      </c>
      <c r="AH342" s="426">
        <f t="shared" si="49"/>
        <v>1.596522990218286E-3</v>
      </c>
      <c r="AI342" s="421">
        <f t="shared" si="50"/>
        <v>0.1478547418597615</v>
      </c>
      <c r="AJ342" s="325"/>
      <c r="AK342" s="325"/>
      <c r="AL342" s="325"/>
      <c r="AM342" s="325"/>
      <c r="AN342" s="325"/>
      <c r="AO342" s="325"/>
      <c r="AP342" s="325"/>
      <c r="AQ342" s="325"/>
      <c r="AR342" s="325"/>
      <c r="AS342" s="325"/>
      <c r="AT342" s="325"/>
      <c r="AU342" s="325"/>
      <c r="AV342" s="325"/>
      <c r="AW342" s="325"/>
      <c r="AX342" s="325"/>
      <c r="AY342" s="325"/>
      <c r="AZ342" s="325"/>
      <c r="BA342" s="325"/>
      <c r="BB342" s="325"/>
      <c r="BC342" s="325"/>
      <c r="BD342" s="325"/>
      <c r="BE342" s="325"/>
      <c r="BF342" s="325"/>
      <c r="BG342" s="325"/>
      <c r="BH342" s="325"/>
      <c r="BI342" s="325"/>
      <c r="BJ342" s="325"/>
      <c r="BK342" s="325"/>
      <c r="BL342" s="325"/>
      <c r="BM342" s="325"/>
      <c r="BN342" s="325"/>
      <c r="BO342" s="325"/>
      <c r="BP342" s="325"/>
      <c r="BQ342" s="325"/>
    </row>
    <row r="343" spans="1:69" ht="14.25" customHeight="1" x14ac:dyDescent="0.2">
      <c r="A343" s="28"/>
      <c r="B343" s="28"/>
      <c r="C343" s="28"/>
      <c r="D343" s="324"/>
      <c r="E343" s="324"/>
      <c r="F343" s="324"/>
      <c r="G343" s="324"/>
      <c r="H343" s="324"/>
      <c r="I343" s="324"/>
      <c r="J343" s="324"/>
      <c r="K343" s="324"/>
      <c r="L343" s="324"/>
      <c r="M343" s="324"/>
      <c r="N343" s="324"/>
      <c r="O343" s="324"/>
      <c r="P343" s="324"/>
      <c r="Q343" s="324"/>
      <c r="R343" s="324"/>
      <c r="S343" s="419"/>
      <c r="T343" s="418">
        <f t="shared" si="52"/>
        <v>317</v>
      </c>
      <c r="U343" s="419"/>
      <c r="V343" s="370">
        <f t="shared" si="51"/>
        <v>3.6270189248804315E-4</v>
      </c>
      <c r="W343" s="429"/>
      <c r="X343" s="370">
        <f t="shared" si="43"/>
        <v>8.2556649614782089E-3</v>
      </c>
      <c r="Y343" s="429"/>
      <c r="Z343" s="421">
        <f t="shared" si="44"/>
        <v>4.194115300300727E-2</v>
      </c>
      <c r="AA343" s="429"/>
      <c r="AB343" s="421">
        <f t="shared" si="45"/>
        <v>5.263122546079866E-2</v>
      </c>
      <c r="AC343" s="430"/>
      <c r="AD343" s="424">
        <f t="shared" si="46"/>
        <v>2.411073070480052E-3</v>
      </c>
      <c r="AE343" s="431"/>
      <c r="AF343" s="421">
        <f t="shared" si="47"/>
        <v>0.28272432678420956</v>
      </c>
      <c r="AG343" s="421">
        <f t="shared" si="48"/>
        <v>2.9614677381478502</v>
      </c>
      <c r="AH343" s="426">
        <f t="shared" si="49"/>
        <v>1.5894570353356975E-3</v>
      </c>
      <c r="AI343" s="421">
        <f t="shared" si="50"/>
        <v>0.14764926092877403</v>
      </c>
      <c r="AJ343" s="325"/>
      <c r="AK343" s="325"/>
      <c r="AL343" s="325"/>
      <c r="AM343" s="325"/>
      <c r="AN343" s="325"/>
      <c r="AO343" s="325"/>
      <c r="AP343" s="325"/>
      <c r="AQ343" s="325"/>
      <c r="AR343" s="325"/>
      <c r="AS343" s="325"/>
      <c r="AT343" s="325"/>
      <c r="AU343" s="325"/>
      <c r="AV343" s="325"/>
      <c r="AW343" s="325"/>
      <c r="AX343" s="325"/>
      <c r="AY343" s="325"/>
      <c r="AZ343" s="325"/>
      <c r="BA343" s="325"/>
      <c r="BB343" s="325"/>
      <c r="BC343" s="325"/>
      <c r="BD343" s="325"/>
      <c r="BE343" s="325"/>
      <c r="BF343" s="325"/>
      <c r="BG343" s="325"/>
      <c r="BH343" s="325"/>
      <c r="BI343" s="325"/>
      <c r="BJ343" s="325"/>
      <c r="BK343" s="325"/>
      <c r="BL343" s="325"/>
      <c r="BM343" s="325"/>
      <c r="BN343" s="325"/>
      <c r="BO343" s="325"/>
      <c r="BP343" s="325"/>
      <c r="BQ343" s="325"/>
    </row>
    <row r="344" spans="1:69" ht="14.25" customHeight="1" x14ac:dyDescent="0.2">
      <c r="A344" s="28"/>
      <c r="B344" s="28"/>
      <c r="C344" s="28"/>
      <c r="D344" s="324"/>
      <c r="E344" s="324"/>
      <c r="F344" s="324"/>
      <c r="G344" s="324"/>
      <c r="H344" s="324"/>
      <c r="I344" s="324"/>
      <c r="J344" s="324"/>
      <c r="K344" s="324"/>
      <c r="L344" s="324"/>
      <c r="M344" s="324"/>
      <c r="N344" s="324"/>
      <c r="O344" s="324"/>
      <c r="P344" s="324"/>
      <c r="Q344" s="324"/>
      <c r="R344" s="324"/>
      <c r="S344" s="419"/>
      <c r="T344" s="418">
        <f t="shared" si="52"/>
        <v>318</v>
      </c>
      <c r="U344" s="419"/>
      <c r="V344" s="370">
        <f t="shared" si="51"/>
        <v>3.5375017753503236E-4</v>
      </c>
      <c r="W344" s="429"/>
      <c r="X344" s="370">
        <f t="shared" si="43"/>
        <v>8.1601359263540132E-3</v>
      </c>
      <c r="Y344" s="429"/>
      <c r="Z344" s="421">
        <f t="shared" si="44"/>
        <v>4.1757171279452221E-2</v>
      </c>
      <c r="AA344" s="429"/>
      <c r="AB344" s="421">
        <f t="shared" si="45"/>
        <v>5.2463993700848477E-2</v>
      </c>
      <c r="AC344" s="430"/>
      <c r="AD344" s="424">
        <f t="shared" si="46"/>
        <v>2.3689616887199172E-3</v>
      </c>
      <c r="AE344" s="431"/>
      <c r="AF344" s="421">
        <f t="shared" si="47"/>
        <v>0.28272428922086729</v>
      </c>
      <c r="AG344" s="421">
        <f t="shared" si="48"/>
        <v>2.963945112542024</v>
      </c>
      <c r="AH344" s="426">
        <f t="shared" si="49"/>
        <v>1.5824444608040487E-3</v>
      </c>
      <c r="AI344" s="421">
        <f t="shared" si="50"/>
        <v>0.14744471030714687</v>
      </c>
      <c r="AJ344" s="325"/>
      <c r="AK344" s="325"/>
      <c r="AL344" s="325"/>
      <c r="AM344" s="325"/>
      <c r="AN344" s="325"/>
      <c r="AO344" s="325"/>
      <c r="AP344" s="325"/>
      <c r="AQ344" s="325"/>
      <c r="AR344" s="325"/>
      <c r="AS344" s="325"/>
      <c r="AT344" s="325"/>
      <c r="AU344" s="325"/>
      <c r="AV344" s="325"/>
      <c r="AW344" s="325"/>
      <c r="AX344" s="325"/>
      <c r="AY344" s="325"/>
      <c r="AZ344" s="325"/>
      <c r="BA344" s="325"/>
      <c r="BB344" s="325"/>
      <c r="BC344" s="325"/>
      <c r="BD344" s="325"/>
      <c r="BE344" s="325"/>
      <c r="BF344" s="325"/>
      <c r="BG344" s="325"/>
      <c r="BH344" s="325"/>
      <c r="BI344" s="325"/>
      <c r="BJ344" s="325"/>
      <c r="BK344" s="325"/>
      <c r="BL344" s="325"/>
      <c r="BM344" s="325"/>
      <c r="BN344" s="325"/>
      <c r="BO344" s="325"/>
      <c r="BP344" s="325"/>
      <c r="BQ344" s="325"/>
    </row>
    <row r="345" spans="1:69" ht="14.25" customHeight="1" x14ac:dyDescent="0.2">
      <c r="A345" s="28"/>
      <c r="B345" s="28"/>
      <c r="C345" s="28"/>
      <c r="D345" s="324"/>
      <c r="E345" s="324"/>
      <c r="F345" s="324"/>
      <c r="G345" s="324"/>
      <c r="H345" s="324"/>
      <c r="I345" s="324"/>
      <c r="J345" s="324"/>
      <c r="K345" s="324"/>
      <c r="L345" s="324"/>
      <c r="M345" s="324"/>
      <c r="N345" s="324"/>
      <c r="O345" s="324"/>
      <c r="P345" s="324"/>
      <c r="Q345" s="324"/>
      <c r="R345" s="324"/>
      <c r="S345" s="419"/>
      <c r="T345" s="418">
        <f t="shared" si="52"/>
        <v>319</v>
      </c>
      <c r="U345" s="419"/>
      <c r="V345" s="370">
        <f t="shared" si="51"/>
        <v>3.4501939663905191E-4</v>
      </c>
      <c r="W345" s="429"/>
      <c r="X345" s="370">
        <f t="shared" si="43"/>
        <v>8.0657803308018996E-3</v>
      </c>
      <c r="Y345" s="429"/>
      <c r="Z345" s="421">
        <f t="shared" si="44"/>
        <v>4.1574418299672899E-2</v>
      </c>
      <c r="AA345" s="429"/>
      <c r="AB345" s="421">
        <f t="shared" si="45"/>
        <v>5.2297786675224896E-2</v>
      </c>
      <c r="AC345" s="430"/>
      <c r="AD345" s="424">
        <f t="shared" si="46"/>
        <v>2.327590153213821E-3</v>
      </c>
      <c r="AE345" s="431"/>
      <c r="AF345" s="421">
        <f t="shared" si="47"/>
        <v>0.28272425314876248</v>
      </c>
      <c r="AG345" s="421">
        <f t="shared" si="48"/>
        <v>2.966414708667843</v>
      </c>
      <c r="AH345" s="426">
        <f t="shared" si="49"/>
        <v>1.5754846973900652E-3</v>
      </c>
      <c r="AI345" s="421">
        <f t="shared" si="50"/>
        <v>0.14724108288354315</v>
      </c>
      <c r="AJ345" s="325"/>
      <c r="AK345" s="325"/>
      <c r="AL345" s="325"/>
      <c r="AM345" s="325"/>
      <c r="AN345" s="325"/>
      <c r="AO345" s="325"/>
      <c r="AP345" s="325"/>
      <c r="AQ345" s="325"/>
      <c r="AR345" s="325"/>
      <c r="AS345" s="325"/>
      <c r="AT345" s="325"/>
      <c r="AU345" s="325"/>
      <c r="AV345" s="325"/>
      <c r="AW345" s="325"/>
      <c r="AX345" s="325"/>
      <c r="AY345" s="325"/>
      <c r="AZ345" s="325"/>
      <c r="BA345" s="325"/>
      <c r="BB345" s="325"/>
      <c r="BC345" s="325"/>
      <c r="BD345" s="325"/>
      <c r="BE345" s="325"/>
      <c r="BF345" s="325"/>
      <c r="BG345" s="325"/>
      <c r="BH345" s="325"/>
      <c r="BI345" s="325"/>
      <c r="BJ345" s="325"/>
      <c r="BK345" s="325"/>
      <c r="BL345" s="325"/>
      <c r="BM345" s="325"/>
      <c r="BN345" s="325"/>
      <c r="BO345" s="325"/>
      <c r="BP345" s="325"/>
      <c r="BQ345" s="325"/>
    </row>
    <row r="346" spans="1:69" ht="14.25" customHeight="1" x14ac:dyDescent="0.2">
      <c r="A346" s="28"/>
      <c r="B346" s="28"/>
      <c r="C346" s="28"/>
      <c r="D346" s="324"/>
      <c r="E346" s="324"/>
      <c r="F346" s="324"/>
      <c r="G346" s="324"/>
      <c r="H346" s="324"/>
      <c r="I346" s="324"/>
      <c r="J346" s="324"/>
      <c r="K346" s="324"/>
      <c r="L346" s="324"/>
      <c r="M346" s="324"/>
      <c r="N346" s="324"/>
      <c r="O346" s="324"/>
      <c r="P346" s="324"/>
      <c r="Q346" s="324"/>
      <c r="R346" s="324"/>
      <c r="S346" s="419"/>
      <c r="T346" s="418">
        <f t="shared" si="52"/>
        <v>320</v>
      </c>
      <c r="U346" s="419"/>
      <c r="V346" s="370">
        <f t="shared" si="51"/>
        <v>3.3650409700610503E-4</v>
      </c>
      <c r="W346" s="429"/>
      <c r="X346" s="370">
        <f t="shared" si="43"/>
        <v>7.972582764254119E-3</v>
      </c>
      <c r="Y346" s="429"/>
      <c r="Z346" s="421">
        <f t="shared" si="44"/>
        <v>4.1392882806941533E-2</v>
      </c>
      <c r="AA346" s="429"/>
      <c r="AB346" s="421">
        <f t="shared" si="45"/>
        <v>5.2132595105421224E-2</v>
      </c>
      <c r="AC346" s="430"/>
      <c r="AD346" s="424">
        <f t="shared" si="46"/>
        <v>2.2869453666094497E-3</v>
      </c>
      <c r="AE346" s="431"/>
      <c r="AF346" s="421">
        <f t="shared" si="47"/>
        <v>0.282724218508694</v>
      </c>
      <c r="AG346" s="421">
        <f t="shared" si="48"/>
        <v>2.9688765752156834</v>
      </c>
      <c r="AH346" s="426">
        <f t="shared" si="49"/>
        <v>1.5685771836893808E-3</v>
      </c>
      <c r="AI346" s="421">
        <f t="shared" si="50"/>
        <v>0.14703837162300204</v>
      </c>
      <c r="AJ346" s="325"/>
      <c r="AK346" s="325"/>
      <c r="AL346" s="325"/>
      <c r="AM346" s="325"/>
      <c r="AN346" s="325"/>
      <c r="AO346" s="325"/>
      <c r="AP346" s="325"/>
      <c r="AQ346" s="325"/>
      <c r="AR346" s="325"/>
      <c r="AS346" s="325"/>
      <c r="AT346" s="325"/>
      <c r="AU346" s="325"/>
      <c r="AV346" s="325"/>
      <c r="AW346" s="325"/>
      <c r="AX346" s="325"/>
      <c r="AY346" s="325"/>
      <c r="AZ346" s="325"/>
      <c r="BA346" s="325"/>
      <c r="BB346" s="325"/>
      <c r="BC346" s="325"/>
      <c r="BD346" s="325"/>
      <c r="BE346" s="325"/>
      <c r="BF346" s="325"/>
      <c r="BG346" s="325"/>
      <c r="BH346" s="325"/>
      <c r="BI346" s="325"/>
      <c r="BJ346" s="325"/>
      <c r="BK346" s="325"/>
      <c r="BL346" s="325"/>
      <c r="BM346" s="325"/>
      <c r="BN346" s="325"/>
      <c r="BO346" s="325"/>
      <c r="BP346" s="325"/>
      <c r="BQ346" s="325"/>
    </row>
    <row r="347" spans="1:69" ht="14.25" customHeight="1" x14ac:dyDescent="0.2">
      <c r="A347" s="28"/>
      <c r="B347" s="28"/>
      <c r="C347" s="28"/>
      <c r="D347" s="324"/>
      <c r="E347" s="324"/>
      <c r="F347" s="324"/>
      <c r="G347" s="324"/>
      <c r="H347" s="324"/>
      <c r="I347" s="324"/>
      <c r="J347" s="324"/>
      <c r="K347" s="324"/>
      <c r="L347" s="324"/>
      <c r="M347" s="324"/>
      <c r="N347" s="324"/>
      <c r="O347" s="324"/>
      <c r="P347" s="324"/>
      <c r="Q347" s="324"/>
      <c r="R347" s="324"/>
      <c r="S347" s="419"/>
      <c r="T347" s="418">
        <f t="shared" si="52"/>
        <v>321</v>
      </c>
      <c r="U347" s="419"/>
      <c r="V347" s="370">
        <f t="shared" si="51"/>
        <v>3.2819896042064224E-4</v>
      </c>
      <c r="W347" s="429"/>
      <c r="X347" s="370">
        <f t="shared" si="43"/>
        <v>7.880528034181945E-3</v>
      </c>
      <c r="Y347" s="429"/>
      <c r="Z347" s="421">
        <f t="shared" si="44"/>
        <v>4.1212553676876151E-2</v>
      </c>
      <c r="AA347" s="429"/>
      <c r="AB347" s="421">
        <f t="shared" si="45"/>
        <v>5.1968409823901766E-2</v>
      </c>
      <c r="AC347" s="430"/>
      <c r="AD347" s="424">
        <f t="shared" si="46"/>
        <v>2.2470144657511515E-3</v>
      </c>
      <c r="AE347" s="431"/>
      <c r="AF347" s="421">
        <f t="shared" si="47"/>
        <v>0.28272418524381082</v>
      </c>
      <c r="AG347" s="421">
        <f t="shared" si="48"/>
        <v>2.9713307604201584</v>
      </c>
      <c r="AH347" s="426">
        <f t="shared" si="49"/>
        <v>1.5617213659948391E-3</v>
      </c>
      <c r="AI347" s="421">
        <f t="shared" si="50"/>
        <v>0.14683656956588384</v>
      </c>
      <c r="AJ347" s="325"/>
      <c r="AK347" s="325"/>
      <c r="AL347" s="325"/>
      <c r="AM347" s="325"/>
      <c r="AN347" s="325"/>
      <c r="AO347" s="325"/>
      <c r="AP347" s="325"/>
      <c r="AQ347" s="325"/>
      <c r="AR347" s="325"/>
      <c r="AS347" s="325"/>
      <c r="AT347" s="325"/>
      <c r="AU347" s="325"/>
      <c r="AV347" s="325"/>
      <c r="AW347" s="325"/>
      <c r="AX347" s="325"/>
      <c r="AY347" s="325"/>
      <c r="AZ347" s="325"/>
      <c r="BA347" s="325"/>
      <c r="BB347" s="325"/>
      <c r="BC347" s="325"/>
      <c r="BD347" s="325"/>
      <c r="BE347" s="325"/>
      <c r="BF347" s="325"/>
      <c r="BG347" s="325"/>
      <c r="BH347" s="325"/>
      <c r="BI347" s="325"/>
      <c r="BJ347" s="325"/>
      <c r="BK347" s="325"/>
      <c r="BL347" s="325"/>
      <c r="BM347" s="325"/>
      <c r="BN347" s="325"/>
      <c r="BO347" s="325"/>
      <c r="BP347" s="325"/>
      <c r="BQ347" s="325"/>
    </row>
    <row r="348" spans="1:69" ht="14.25" customHeight="1" x14ac:dyDescent="0.2">
      <c r="A348" s="28"/>
      <c r="B348" s="28"/>
      <c r="C348" s="28"/>
      <c r="D348" s="324"/>
      <c r="E348" s="324"/>
      <c r="F348" s="324"/>
      <c r="G348" s="324"/>
      <c r="H348" s="324"/>
      <c r="I348" s="324"/>
      <c r="J348" s="324"/>
      <c r="K348" s="324"/>
      <c r="L348" s="324"/>
      <c r="M348" s="324"/>
      <c r="N348" s="324"/>
      <c r="O348" s="324"/>
      <c r="P348" s="324"/>
      <c r="Q348" s="324"/>
      <c r="R348" s="324"/>
      <c r="S348" s="419"/>
      <c r="T348" s="418">
        <f t="shared" si="52"/>
        <v>322</v>
      </c>
      <c r="U348" s="419"/>
      <c r="V348" s="370">
        <f t="shared" si="51"/>
        <v>3.2009879992408015E-4</v>
      </c>
      <c r="W348" s="429"/>
      <c r="X348" s="370">
        <f t="shared" ref="X348:X370" si="53">EXP(-1*(T348/$X$21)^$X$22)</f>
        <v>7.7896011627460529E-3</v>
      </c>
      <c r="Y348" s="429"/>
      <c r="Z348" s="421">
        <f t="shared" ref="Z348:Z370" si="54">1-_xlfn.NORM.DIST(LN(T348),$Z$21,$Z$22,TRUE)</f>
        <v>4.1033419915531777E-2</v>
      </c>
      <c r="AA348" s="429"/>
      <c r="AB348" s="421">
        <f t="shared" ref="AB348:AB370" si="55">(1+(T348/$AB$21)^$AB$22)^-1</f>
        <v>5.1805221772454169E-2</v>
      </c>
      <c r="AC348" s="430"/>
      <c r="AD348" s="424">
        <f t="shared" ref="AD348:AD370" si="56">1-_xlfn.GAMMA.DIST(T348,$AD$21,1/$AD$22,TRUE)</f>
        <v>2.207784817434888E-3</v>
      </c>
      <c r="AE348" s="431"/>
      <c r="AF348" s="421">
        <f t="shared" ref="AF348:AF370" si="57">EXP((-$AF$22/$AF$21)*(EXP($AF$21*T348)-1))</f>
        <v>0.28272415329951905</v>
      </c>
      <c r="AG348" s="421">
        <f t="shared" ref="AG348:AG370" si="58">(LN(T348)-$AH$21)/$AH$22</f>
        <v>2.9737773120657911</v>
      </c>
      <c r="AH348" s="426">
        <f t="shared" ref="AH348:AH370" si="59">$AH$24*EXP(ABS($AH$23)*-AG348)</f>
        <v>1.554916698167385E-3</v>
      </c>
      <c r="AI348" s="421">
        <f t="shared" ref="AI348:AI370" si="60">_xlfn.GAMMA.DIST(AH348,$AH$24,1,TRUE)</f>
        <v>0.14663566982683235</v>
      </c>
      <c r="AJ348" s="325"/>
      <c r="AK348" s="325"/>
      <c r="AL348" s="325"/>
      <c r="AM348" s="325"/>
      <c r="AN348" s="325"/>
      <c r="AO348" s="325"/>
      <c r="AP348" s="325"/>
      <c r="AQ348" s="325"/>
      <c r="AR348" s="325"/>
      <c r="AS348" s="325"/>
      <c r="AT348" s="325"/>
      <c r="AU348" s="325"/>
      <c r="AV348" s="325"/>
      <c r="AW348" s="325"/>
      <c r="AX348" s="325"/>
      <c r="AY348" s="325"/>
      <c r="AZ348" s="325"/>
      <c r="BA348" s="325"/>
      <c r="BB348" s="325"/>
      <c r="BC348" s="325"/>
      <c r="BD348" s="325"/>
      <c r="BE348" s="325"/>
      <c r="BF348" s="325"/>
      <c r="BG348" s="325"/>
      <c r="BH348" s="325"/>
      <c r="BI348" s="325"/>
      <c r="BJ348" s="325"/>
      <c r="BK348" s="325"/>
      <c r="BL348" s="325"/>
      <c r="BM348" s="325"/>
      <c r="BN348" s="325"/>
      <c r="BO348" s="325"/>
      <c r="BP348" s="325"/>
      <c r="BQ348" s="325"/>
    </row>
    <row r="349" spans="1:69" ht="14.25" customHeight="1" x14ac:dyDescent="0.2">
      <c r="A349" s="28"/>
      <c r="B349" s="28"/>
      <c r="C349" s="28"/>
      <c r="D349" s="324"/>
      <c r="E349" s="324"/>
      <c r="F349" s="324"/>
      <c r="G349" s="324"/>
      <c r="H349" s="324"/>
      <c r="I349" s="324"/>
      <c r="J349" s="324"/>
      <c r="K349" s="324"/>
      <c r="L349" s="324"/>
      <c r="M349" s="324"/>
      <c r="N349" s="324"/>
      <c r="O349" s="324"/>
      <c r="P349" s="324"/>
      <c r="Q349" s="324"/>
      <c r="R349" s="324"/>
      <c r="S349" s="419"/>
      <c r="T349" s="418">
        <f t="shared" si="52"/>
        <v>323</v>
      </c>
      <c r="U349" s="419"/>
      <c r="V349" s="370">
        <f t="shared" ref="V349:V370" si="61">EXP(-1*$V$21*T349)</f>
        <v>3.1219855657529266E-4</v>
      </c>
      <c r="W349" s="429"/>
      <c r="X349" s="370">
        <f t="shared" si="53"/>
        <v>7.6997873835032852E-3</v>
      </c>
      <c r="Y349" s="429"/>
      <c r="Z349" s="421">
        <f t="shared" si="54"/>
        <v>4.0855470657524262E-2</v>
      </c>
      <c r="AA349" s="429"/>
      <c r="AB349" s="421">
        <f t="shared" si="55"/>
        <v>5.1643022000571324E-2</v>
      </c>
      <c r="AC349" s="430"/>
      <c r="AD349" s="424">
        <f t="shared" si="56"/>
        <v>2.1692440142421221E-3</v>
      </c>
      <c r="AE349" s="431"/>
      <c r="AF349" s="421">
        <f t="shared" si="57"/>
        <v>0.28272412262339186</v>
      </c>
      <c r="AG349" s="421">
        <f t="shared" si="58"/>
        <v>2.9762162774925942</v>
      </c>
      <c r="AH349" s="426">
        <f t="shared" si="59"/>
        <v>1.5481626415095393E-3</v>
      </c>
      <c r="AI349" s="421">
        <f t="shared" si="60"/>
        <v>0.1464356655937552</v>
      </c>
      <c r="AJ349" s="325"/>
      <c r="AK349" s="325"/>
      <c r="AL349" s="325"/>
      <c r="AM349" s="325"/>
      <c r="AN349" s="325"/>
      <c r="AO349" s="325"/>
      <c r="AP349" s="325"/>
      <c r="AQ349" s="325"/>
      <c r="AR349" s="325"/>
      <c r="AS349" s="325"/>
      <c r="AT349" s="325"/>
      <c r="AU349" s="325"/>
      <c r="AV349" s="325"/>
      <c r="AW349" s="325"/>
      <c r="AX349" s="325"/>
      <c r="AY349" s="325"/>
      <c r="AZ349" s="325"/>
      <c r="BA349" s="325"/>
      <c r="BB349" s="325"/>
      <c r="BC349" s="325"/>
      <c r="BD349" s="325"/>
      <c r="BE349" s="325"/>
      <c r="BF349" s="325"/>
      <c r="BG349" s="325"/>
      <c r="BH349" s="325"/>
      <c r="BI349" s="325"/>
      <c r="BJ349" s="325"/>
      <c r="BK349" s="325"/>
      <c r="BL349" s="325"/>
      <c r="BM349" s="325"/>
      <c r="BN349" s="325"/>
      <c r="BO349" s="325"/>
      <c r="BP349" s="325"/>
      <c r="BQ349" s="325"/>
    </row>
    <row r="350" spans="1:69" ht="14.25" customHeight="1" x14ac:dyDescent="0.2">
      <c r="A350" s="28"/>
      <c r="B350" s="28"/>
      <c r="C350" s="28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419"/>
      <c r="T350" s="418">
        <f t="shared" si="52"/>
        <v>324</v>
      </c>
      <c r="U350" s="419"/>
      <c r="V350" s="370">
        <f t="shared" si="61"/>
        <v>3.0449329629106224E-4</v>
      </c>
      <c r="W350" s="429"/>
      <c r="X350" s="370">
        <f t="shared" si="53"/>
        <v>7.6110721381684263E-3</v>
      </c>
      <c r="Y350" s="429"/>
      <c r="Z350" s="421">
        <f t="shared" si="54"/>
        <v>4.0678695164186429E-2</v>
      </c>
      <c r="AA350" s="429"/>
      <c r="AB350" s="421">
        <f t="shared" si="55"/>
        <v>5.14818016638618E-2</v>
      </c>
      <c r="AC350" s="430"/>
      <c r="AD350" s="424">
        <f t="shared" si="56"/>
        <v>2.1313798704504228E-3</v>
      </c>
      <c r="AE350" s="431"/>
      <c r="AF350" s="421">
        <f t="shared" si="57"/>
        <v>0.28272409316508407</v>
      </c>
      <c r="AG350" s="421">
        <f t="shared" si="58"/>
        <v>2.9786477036015704</v>
      </c>
      <c r="AH350" s="426">
        <f t="shared" si="59"/>
        <v>1.541458664641351E-3</v>
      </c>
      <c r="AI350" s="421">
        <f t="shared" si="60"/>
        <v>0.14623655012682102</v>
      </c>
      <c r="AJ350" s="325"/>
      <c r="AK350" s="325"/>
      <c r="AL350" s="325"/>
      <c r="AM350" s="325"/>
      <c r="AN350" s="325"/>
      <c r="AO350" s="325"/>
      <c r="AP350" s="325"/>
      <c r="AQ350" s="325"/>
      <c r="AR350" s="325"/>
      <c r="AS350" s="325"/>
      <c r="AT350" s="325"/>
      <c r="AU350" s="325"/>
      <c r="AV350" s="325"/>
      <c r="AW350" s="325"/>
      <c r="AX350" s="325"/>
      <c r="AY350" s="325"/>
      <c r="AZ350" s="325"/>
      <c r="BA350" s="325"/>
      <c r="BB350" s="325"/>
      <c r="BC350" s="325"/>
      <c r="BD350" s="325"/>
      <c r="BE350" s="325"/>
      <c r="BF350" s="325"/>
      <c r="BG350" s="325"/>
      <c r="BH350" s="325"/>
      <c r="BI350" s="325"/>
      <c r="BJ350" s="325"/>
      <c r="BK350" s="325"/>
      <c r="BL350" s="325"/>
      <c r="BM350" s="325"/>
      <c r="BN350" s="325"/>
      <c r="BO350" s="325"/>
      <c r="BP350" s="325"/>
      <c r="BQ350" s="325"/>
    </row>
    <row r="351" spans="1:69" ht="14.25" customHeight="1" x14ac:dyDescent="0.2">
      <c r="A351" s="28"/>
      <c r="B351" s="28"/>
      <c r="C351" s="28"/>
      <c r="D351" s="324"/>
      <c r="E351" s="324"/>
      <c r="F351" s="324"/>
      <c r="G351" s="324"/>
      <c r="H351" s="324"/>
      <c r="I351" s="324"/>
      <c r="J351" s="324"/>
      <c r="K351" s="324"/>
      <c r="L351" s="324"/>
      <c r="M351" s="324"/>
      <c r="N351" s="324"/>
      <c r="O351" s="324"/>
      <c r="P351" s="324"/>
      <c r="Q351" s="324"/>
      <c r="R351" s="324"/>
      <c r="S351" s="419"/>
      <c r="T351" s="418">
        <f t="shared" si="52"/>
        <v>325</v>
      </c>
      <c r="U351" s="419"/>
      <c r="V351" s="370">
        <f t="shared" si="61"/>
        <v>2.9697820676450237E-4</v>
      </c>
      <c r="W351" s="429"/>
      <c r="X351" s="370">
        <f t="shared" si="53"/>
        <v>7.5234410734304705E-3</v>
      </c>
      <c r="Y351" s="429"/>
      <c r="Z351" s="421">
        <f t="shared" si="54"/>
        <v>4.0503082821755299E-2</v>
      </c>
      <c r="AA351" s="429"/>
      <c r="AB351" s="421">
        <f t="shared" si="55"/>
        <v>5.1321552022488212E-2</v>
      </c>
      <c r="AC351" s="429"/>
      <c r="AD351" s="424">
        <f t="shared" si="56"/>
        <v>2.0941804180195644E-3</v>
      </c>
      <c r="AE351" s="429"/>
      <c r="AF351" s="421">
        <f t="shared" si="57"/>
        <v>0.28272406487624896</v>
      </c>
      <c r="AG351" s="421">
        <f t="shared" si="58"/>
        <v>2.9810716368601211</v>
      </c>
      <c r="AH351" s="426">
        <f t="shared" si="59"/>
        <v>1.5348042433788059E-3</v>
      </c>
      <c r="AI351" s="421">
        <f t="shared" si="60"/>
        <v>0.14603831675747259</v>
      </c>
      <c r="AJ351" s="324"/>
      <c r="AK351" s="324"/>
      <c r="AL351" s="324"/>
      <c r="AM351" s="324"/>
      <c r="AN351" s="324"/>
      <c r="AO351" s="324"/>
      <c r="AP351" s="324"/>
      <c r="AQ351" s="324"/>
      <c r="AR351" s="324"/>
      <c r="AS351" s="325"/>
      <c r="AT351" s="325"/>
      <c r="AU351" s="325"/>
      <c r="AV351" s="325"/>
      <c r="AW351" s="325"/>
      <c r="AX351" s="325"/>
      <c r="AY351" s="325"/>
      <c r="AZ351" s="325"/>
      <c r="BA351" s="325"/>
      <c r="BB351" s="325"/>
      <c r="BC351" s="325"/>
      <c r="BD351" s="325"/>
      <c r="BE351" s="325"/>
      <c r="BF351" s="325"/>
      <c r="BG351" s="325"/>
      <c r="BH351" s="325"/>
      <c r="BI351" s="325"/>
      <c r="BJ351" s="325"/>
      <c r="BK351" s="325"/>
      <c r="BL351" s="325"/>
      <c r="BM351" s="325"/>
      <c r="BN351" s="325"/>
      <c r="BO351" s="325"/>
      <c r="BP351" s="325"/>
      <c r="BQ351" s="325"/>
    </row>
    <row r="352" spans="1:69" ht="14.25" customHeight="1" x14ac:dyDescent="0.2">
      <c r="A352" s="28"/>
      <c r="B352" s="28"/>
      <c r="C352" s="28"/>
      <c r="D352" s="324"/>
      <c r="E352" s="324"/>
      <c r="F352" s="324"/>
      <c r="G352" s="324"/>
      <c r="H352" s="324"/>
      <c r="I352" s="324"/>
      <c r="J352" s="324"/>
      <c r="K352" s="324"/>
      <c r="L352" s="324"/>
      <c r="M352" s="324"/>
      <c r="N352" s="324"/>
      <c r="O352" s="324"/>
      <c r="P352" s="324"/>
      <c r="Q352" s="324"/>
      <c r="R352" s="324"/>
      <c r="S352" s="419"/>
      <c r="T352" s="418">
        <f t="shared" si="52"/>
        <v>326</v>
      </c>
      <c r="U352" s="419"/>
      <c r="V352" s="370">
        <f t="shared" si="61"/>
        <v>2.8964859445954402E-4</v>
      </c>
      <c r="W352" s="429"/>
      <c r="X352" s="370">
        <f t="shared" si="53"/>
        <v>7.436880037821946E-3</v>
      </c>
      <c r="Y352" s="429"/>
      <c r="Z352" s="421">
        <f t="shared" si="54"/>
        <v>4.0328623139590514E-2</v>
      </c>
      <c r="AA352" s="429"/>
      <c r="AB352" s="421">
        <f t="shared" si="55"/>
        <v>5.116226443963303E-2</v>
      </c>
      <c r="AC352" s="429"/>
      <c r="AD352" s="424">
        <f t="shared" si="56"/>
        <v>2.0576339026512347E-3</v>
      </c>
      <c r="AE352" s="429"/>
      <c r="AF352" s="421">
        <f t="shared" si="57"/>
        <v>0.28272403771045934</v>
      </c>
      <c r="AG352" s="421">
        <f t="shared" si="58"/>
        <v>2.9834881233073736</v>
      </c>
      <c r="AH352" s="426">
        <f t="shared" si="59"/>
        <v>1.5281988606146209E-3</v>
      </c>
      <c r="AI352" s="421">
        <f t="shared" si="60"/>
        <v>0.14584095888745818</v>
      </c>
      <c r="AJ352" s="324"/>
      <c r="AK352" s="324"/>
      <c r="AL352" s="324"/>
      <c r="AM352" s="324"/>
      <c r="AN352" s="324"/>
      <c r="AO352" s="324"/>
      <c r="AP352" s="324"/>
      <c r="AQ352" s="324"/>
      <c r="AR352" s="324"/>
      <c r="AS352" s="325"/>
      <c r="AT352" s="325"/>
      <c r="AU352" s="325"/>
      <c r="AV352" s="325"/>
      <c r="AW352" s="325"/>
      <c r="AX352" s="325"/>
      <c r="AY352" s="325"/>
      <c r="AZ352" s="325"/>
      <c r="BA352" s="325"/>
      <c r="BB352" s="325"/>
      <c r="BC352" s="325"/>
      <c r="BD352" s="325"/>
      <c r="BE352" s="325"/>
      <c r="BF352" s="325"/>
      <c r="BG352" s="325"/>
      <c r="BH352" s="325"/>
      <c r="BI352" s="325"/>
      <c r="BJ352" s="325"/>
      <c r="BK352" s="325"/>
      <c r="BL352" s="325"/>
      <c r="BM352" s="325"/>
      <c r="BN352" s="325"/>
      <c r="BO352" s="325"/>
      <c r="BP352" s="325"/>
      <c r="BQ352" s="325"/>
    </row>
    <row r="353" spans="1:69" ht="14.25" customHeight="1" x14ac:dyDescent="0.2">
      <c r="A353" s="28"/>
      <c r="B353" s="28"/>
      <c r="C353" s="28"/>
      <c r="D353" s="324"/>
      <c r="E353" s="324"/>
      <c r="F353" s="324"/>
      <c r="G353" s="324"/>
      <c r="H353" s="324"/>
      <c r="I353" s="324"/>
      <c r="J353" s="324"/>
      <c r="K353" s="324"/>
      <c r="L353" s="324"/>
      <c r="M353" s="324"/>
      <c r="N353" s="324"/>
      <c r="O353" s="324"/>
      <c r="P353" s="324"/>
      <c r="Q353" s="324"/>
      <c r="R353" s="324"/>
      <c r="S353" s="419"/>
      <c r="T353" s="418">
        <f t="shared" si="52"/>
        <v>327</v>
      </c>
      <c r="U353" s="419"/>
      <c r="V353" s="370">
        <f t="shared" si="61"/>
        <v>2.8249988167959177E-4</v>
      </c>
      <c r="W353" s="429"/>
      <c r="X353" s="370">
        <f t="shared" si="53"/>
        <v>7.3513750786404963E-3</v>
      </c>
      <c r="Y353" s="429"/>
      <c r="Z353" s="421">
        <f t="shared" si="54"/>
        <v>4.0155305748422521E-2</v>
      </c>
      <c r="AA353" s="429"/>
      <c r="AB353" s="421">
        <f t="shared" si="55"/>
        <v>5.1003930379991132E-2</v>
      </c>
      <c r="AC353" s="429"/>
      <c r="AD353" s="424">
        <f t="shared" si="56"/>
        <v>2.0217287799220163E-3</v>
      </c>
      <c r="AE353" s="429"/>
      <c r="AF353" s="421">
        <f t="shared" si="57"/>
        <v>0.28272401162313093</v>
      </c>
      <c r="AG353" s="421">
        <f t="shared" si="58"/>
        <v>2.9858972085594311</v>
      </c>
      <c r="AH353" s="426">
        <f t="shared" si="59"/>
        <v>1.5216420062013679E-3</v>
      </c>
      <c r="AI353" s="421">
        <f t="shared" si="60"/>
        <v>0.14564446998787756</v>
      </c>
      <c r="AJ353" s="324"/>
      <c r="AK353" s="324"/>
      <c r="AL353" s="324"/>
      <c r="AM353" s="324"/>
      <c r="AN353" s="324"/>
      <c r="AO353" s="324"/>
      <c r="AP353" s="324"/>
      <c r="AQ353" s="324"/>
      <c r="AR353" s="324"/>
      <c r="AS353" s="325"/>
      <c r="AT353" s="325"/>
      <c r="AU353" s="325"/>
      <c r="AV353" s="325"/>
      <c r="AW353" s="325"/>
      <c r="AX353" s="325"/>
      <c r="AY353" s="325"/>
      <c r="AZ353" s="325"/>
      <c r="BA353" s="325"/>
      <c r="BB353" s="325"/>
      <c r="BC353" s="325"/>
      <c r="BD353" s="325"/>
      <c r="BE353" s="325"/>
      <c r="BF353" s="325"/>
      <c r="BG353" s="325"/>
      <c r="BH353" s="325"/>
      <c r="BI353" s="325"/>
      <c r="BJ353" s="325"/>
      <c r="BK353" s="325"/>
      <c r="BL353" s="325"/>
      <c r="BM353" s="325"/>
      <c r="BN353" s="325"/>
      <c r="BO353" s="325"/>
      <c r="BP353" s="325"/>
      <c r="BQ353" s="325"/>
    </row>
    <row r="354" spans="1:69" ht="14.25" customHeight="1" x14ac:dyDescent="0.2">
      <c r="A354" s="28"/>
      <c r="B354" s="28"/>
      <c r="C354" s="28"/>
      <c r="D354" s="324"/>
      <c r="E354" s="324"/>
      <c r="F354" s="324"/>
      <c r="G354" s="324"/>
      <c r="H354" s="324"/>
      <c r="I354" s="324"/>
      <c r="J354" s="324"/>
      <c r="K354" s="324"/>
      <c r="L354" s="324"/>
      <c r="M354" s="324"/>
      <c r="N354" s="324"/>
      <c r="O354" s="324"/>
      <c r="P354" s="324"/>
      <c r="Q354" s="324"/>
      <c r="R354" s="324"/>
      <c r="S354" s="419"/>
      <c r="T354" s="418">
        <f t="shared" si="52"/>
        <v>328</v>
      </c>
      <c r="U354" s="419"/>
      <c r="V354" s="370">
        <f t="shared" si="61"/>
        <v>2.7552760370853528E-4</v>
      </c>
      <c r="W354" s="429"/>
      <c r="X354" s="370">
        <f t="shared" si="53"/>
        <v>7.2669124389218307E-3</v>
      </c>
      <c r="Y354" s="429"/>
      <c r="Z354" s="421">
        <f t="shared" si="54"/>
        <v>3.9983120398630501E-2</v>
      </c>
      <c r="AA354" s="429"/>
      <c r="AB354" s="421">
        <f t="shared" si="55"/>
        <v>5.0846541408288988E-2</v>
      </c>
      <c r="AC354" s="429"/>
      <c r="AD354" s="424">
        <f t="shared" si="56"/>
        <v>1.9864537114870906E-3</v>
      </c>
      <c r="AE354" s="429"/>
      <c r="AF354" s="421">
        <f t="shared" si="57"/>
        <v>0.28272398657144965</v>
      </c>
      <c r="AG354" s="421">
        <f t="shared" si="58"/>
        <v>2.9882989378145384</v>
      </c>
      <c r="AH354" s="426">
        <f t="shared" si="59"/>
        <v>1.515133176836874E-3</v>
      </c>
      <c r="AI354" s="421">
        <f t="shared" si="60"/>
        <v>0.14544884359824428</v>
      </c>
      <c r="AJ354" s="324"/>
      <c r="AK354" s="324"/>
      <c r="AL354" s="324"/>
      <c r="AM354" s="324"/>
      <c r="AN354" s="324"/>
      <c r="AO354" s="324"/>
      <c r="AP354" s="324"/>
      <c r="AQ354" s="324"/>
      <c r="AR354" s="324"/>
      <c r="AS354" s="325"/>
      <c r="AT354" s="325"/>
      <c r="AU354" s="325"/>
      <c r="AV354" s="325"/>
      <c r="AW354" s="325"/>
      <c r="AX354" s="325"/>
      <c r="AY354" s="325"/>
      <c r="AZ354" s="325"/>
      <c r="BA354" s="325"/>
      <c r="BB354" s="325"/>
      <c r="BC354" s="325"/>
      <c r="BD354" s="325"/>
      <c r="BE354" s="325"/>
      <c r="BF354" s="325"/>
      <c r="BG354" s="325"/>
      <c r="BH354" s="325"/>
      <c r="BI354" s="325"/>
      <c r="BJ354" s="325"/>
      <c r="BK354" s="325"/>
      <c r="BL354" s="325"/>
      <c r="BM354" s="325"/>
      <c r="BN354" s="325"/>
      <c r="BO354" s="325"/>
      <c r="BP354" s="325"/>
      <c r="BQ354" s="325"/>
    </row>
    <row r="355" spans="1:69" ht="14.25" customHeight="1" x14ac:dyDescent="0.2">
      <c r="A355" s="28"/>
      <c r="B355" s="28"/>
      <c r="C355" s="28"/>
      <c r="D355" s="324"/>
      <c r="E355" s="324"/>
      <c r="F355" s="324"/>
      <c r="G355" s="324"/>
      <c r="H355" s="324"/>
      <c r="I355" s="324"/>
      <c r="J355" s="324"/>
      <c r="K355" s="324"/>
      <c r="L355" s="324"/>
      <c r="M355" s="324"/>
      <c r="N355" s="324"/>
      <c r="O355" s="324"/>
      <c r="P355" s="324"/>
      <c r="Q355" s="324"/>
      <c r="R355" s="324"/>
      <c r="S355" s="419"/>
      <c r="T355" s="418">
        <f t="shared" si="52"/>
        <v>329</v>
      </c>
      <c r="U355" s="419"/>
      <c r="V355" s="370">
        <f t="shared" si="61"/>
        <v>2.6872740602231469E-4</v>
      </c>
      <c r="W355" s="429"/>
      <c r="X355" s="370">
        <f t="shared" si="53"/>
        <v>7.1834785544629244E-3</v>
      </c>
      <c r="Y355" s="429"/>
      <c r="Z355" s="421">
        <f t="shared" si="54"/>
        <v>3.9812056958549613E-2</v>
      </c>
      <c r="AA355" s="429"/>
      <c r="AB355" s="421">
        <f t="shared" si="55"/>
        <v>5.0690089187829163E-2</v>
      </c>
      <c r="AC355" s="429"/>
      <c r="AD355" s="424">
        <f t="shared" si="56"/>
        <v>1.9517975613538852E-3</v>
      </c>
      <c r="AE355" s="429"/>
      <c r="AF355" s="421">
        <f t="shared" si="57"/>
        <v>0.28272396251430093</v>
      </c>
      <c r="AG355" s="421">
        <f t="shared" si="58"/>
        <v>2.9906933558581681</v>
      </c>
      <c r="AH355" s="426">
        <f t="shared" si="59"/>
        <v>1.5086718759518632E-3</v>
      </c>
      <c r="AI355" s="421">
        <f t="shared" si="60"/>
        <v>0.14525407332556348</v>
      </c>
      <c r="AJ355" s="324"/>
      <c r="AK355" s="324"/>
      <c r="AL355" s="324"/>
      <c r="AM355" s="324"/>
      <c r="AN355" s="324"/>
      <c r="AO355" s="324"/>
      <c r="AP355" s="324"/>
      <c r="AQ355" s="324"/>
      <c r="AR355" s="324"/>
      <c r="AS355" s="325"/>
      <c r="AT355" s="325"/>
      <c r="AU355" s="325"/>
      <c r="AV355" s="325"/>
      <c r="AW355" s="325"/>
      <c r="AX355" s="325"/>
      <c r="AY355" s="325"/>
      <c r="AZ355" s="325"/>
      <c r="BA355" s="325"/>
      <c r="BB355" s="325"/>
      <c r="BC355" s="325"/>
      <c r="BD355" s="325"/>
      <c r="BE355" s="325"/>
      <c r="BF355" s="325"/>
      <c r="BG355" s="325"/>
      <c r="BH355" s="325"/>
      <c r="BI355" s="325"/>
      <c r="BJ355" s="325"/>
      <c r="BK355" s="325"/>
      <c r="BL355" s="325"/>
      <c r="BM355" s="325"/>
      <c r="BN355" s="325"/>
      <c r="BO355" s="325"/>
      <c r="BP355" s="325"/>
      <c r="BQ355" s="325"/>
    </row>
    <row r="356" spans="1:69" ht="14.25" customHeight="1" x14ac:dyDescent="0.2">
      <c r="A356" s="28"/>
      <c r="B356" s="28"/>
      <c r="C356" s="28"/>
      <c r="D356" s="324"/>
      <c r="E356" s="324"/>
      <c r="F356" s="324"/>
      <c r="G356" s="324"/>
      <c r="H356" s="324"/>
      <c r="I356" s="324"/>
      <c r="J356" s="324"/>
      <c r="K356" s="324"/>
      <c r="L356" s="324"/>
      <c r="M356" s="324"/>
      <c r="N356" s="324"/>
      <c r="O356" s="324"/>
      <c r="P356" s="324"/>
      <c r="Q356" s="324"/>
      <c r="R356" s="324"/>
      <c r="S356" s="419"/>
      <c r="T356" s="418">
        <f t="shared" si="52"/>
        <v>330</v>
      </c>
      <c r="U356" s="419"/>
      <c r="V356" s="370">
        <f t="shared" si="61"/>
        <v>2.6209504156931429E-4</v>
      </c>
      <c r="W356" s="429"/>
      <c r="X356" s="370">
        <f t="shared" si="53"/>
        <v>7.101060050894727E-3</v>
      </c>
      <c r="Y356" s="429"/>
      <c r="Z356" s="421">
        <f t="shared" si="54"/>
        <v>3.9642105412806217E-2</v>
      </c>
      <c r="AA356" s="429"/>
      <c r="AB356" s="421">
        <f t="shared" si="55"/>
        <v>5.0534565479060552E-2</v>
      </c>
      <c r="AC356" s="429"/>
      <c r="AD356" s="424">
        <f t="shared" si="56"/>
        <v>1.9177493922246658E-3</v>
      </c>
      <c r="AE356" s="429"/>
      <c r="AF356" s="421">
        <f t="shared" si="57"/>
        <v>0.28272393941220253</v>
      </c>
      <c r="AG356" s="421">
        <f t="shared" si="58"/>
        <v>2.9930805070680351</v>
      </c>
      <c r="AH356" s="426">
        <f t="shared" si="59"/>
        <v>1.5022576135997659E-3</v>
      </c>
      <c r="AI356" s="421">
        <f t="shared" si="60"/>
        <v>0.14506015284342463</v>
      </c>
      <c r="AJ356" s="324"/>
      <c r="AK356" s="324"/>
      <c r="AL356" s="324"/>
      <c r="AM356" s="324"/>
      <c r="AN356" s="324"/>
      <c r="AO356" s="324"/>
      <c r="AP356" s="324"/>
      <c r="AQ356" s="324"/>
      <c r="AR356" s="324"/>
      <c r="AS356" s="325"/>
      <c r="AT356" s="325"/>
      <c r="AU356" s="325"/>
      <c r="AV356" s="325"/>
      <c r="AW356" s="325"/>
      <c r="AX356" s="325"/>
      <c r="AY356" s="325"/>
      <c r="AZ356" s="325"/>
      <c r="BA356" s="325"/>
      <c r="BB356" s="325"/>
      <c r="BC356" s="325"/>
      <c r="BD356" s="325"/>
      <c r="BE356" s="325"/>
      <c r="BF356" s="325"/>
      <c r="BG356" s="325"/>
      <c r="BH356" s="325"/>
      <c r="BI356" s="325"/>
      <c r="BJ356" s="325"/>
      <c r="BK356" s="325"/>
      <c r="BL356" s="325"/>
      <c r="BM356" s="325"/>
      <c r="BN356" s="325"/>
      <c r="BO356" s="325"/>
      <c r="BP356" s="325"/>
      <c r="BQ356" s="325"/>
    </row>
    <row r="357" spans="1:69" ht="14.25" customHeight="1" x14ac:dyDescent="0.2">
      <c r="A357" s="28"/>
      <c r="B357" s="28"/>
      <c r="C357" s="28"/>
      <c r="D357" s="324"/>
      <c r="E357" s="324"/>
      <c r="F357" s="324"/>
      <c r="G357" s="324"/>
      <c r="H357" s="324"/>
      <c r="I357" s="324"/>
      <c r="J357" s="324"/>
      <c r="K357" s="324"/>
      <c r="L357" s="324"/>
      <c r="M357" s="324"/>
      <c r="N357" s="324"/>
      <c r="O357" s="324"/>
      <c r="P357" s="324"/>
      <c r="Q357" s="324"/>
      <c r="R357" s="324"/>
      <c r="S357" s="419"/>
      <c r="T357" s="418">
        <f t="shared" si="52"/>
        <v>331</v>
      </c>
      <c r="U357" s="419"/>
      <c r="V357" s="370">
        <f t="shared" si="61"/>
        <v>2.5562636811786975E-4</v>
      </c>
      <c r="W357" s="429"/>
      <c r="X357" s="370">
        <f t="shared" si="53"/>
        <v>7.0196437408033647E-3</v>
      </c>
      <c r="Y357" s="429"/>
      <c r="Z357" s="421">
        <f t="shared" si="54"/>
        <v>3.9473255860681178E-2</v>
      </c>
      <c r="AA357" s="429"/>
      <c r="AB357" s="421">
        <f t="shared" si="55"/>
        <v>5.0379962138173008E-2</v>
      </c>
      <c r="AC357" s="429"/>
      <c r="AD357" s="424">
        <f t="shared" si="56"/>
        <v>1.8842984619056313E-3</v>
      </c>
      <c r="AE357" s="429"/>
      <c r="AF357" s="421">
        <f t="shared" si="57"/>
        <v>0.28272391722723961</v>
      </c>
      <c r="AG357" s="421">
        <f t="shared" si="58"/>
        <v>2.9954604354190284</v>
      </c>
      <c r="AH357" s="426">
        <f t="shared" si="59"/>
        <v>1.4958899063486635E-3</v>
      </c>
      <c r="AI357" s="421">
        <f t="shared" si="60"/>
        <v>0.14486707589110925</v>
      </c>
      <c r="AJ357" s="324"/>
      <c r="AK357" s="324"/>
      <c r="AL357" s="324"/>
      <c r="AM357" s="324"/>
      <c r="AN357" s="324"/>
      <c r="AO357" s="324"/>
      <c r="AP357" s="324"/>
      <c r="AQ357" s="324"/>
      <c r="AR357" s="324"/>
      <c r="AS357" s="325"/>
      <c r="AT357" s="325"/>
      <c r="AU357" s="325"/>
      <c r="AV357" s="325"/>
      <c r="AW357" s="325"/>
      <c r="AX357" s="325"/>
      <c r="AY357" s="325"/>
      <c r="AZ357" s="325"/>
      <c r="BA357" s="325"/>
      <c r="BB357" s="325"/>
      <c r="BC357" s="325"/>
      <c r="BD357" s="325"/>
      <c r="BE357" s="325"/>
      <c r="BF357" s="325"/>
      <c r="BG357" s="325"/>
      <c r="BH357" s="325"/>
      <c r="BI357" s="325"/>
      <c r="BJ357" s="325"/>
      <c r="BK357" s="325"/>
      <c r="BL357" s="325"/>
      <c r="BM357" s="325"/>
      <c r="BN357" s="325"/>
      <c r="BO357" s="325"/>
      <c r="BP357" s="325"/>
      <c r="BQ357" s="325"/>
    </row>
    <row r="358" spans="1:69" ht="14.25" customHeight="1" x14ac:dyDescent="0.2">
      <c r="A358" s="28"/>
      <c r="B358" s="28"/>
      <c r="C358" s="28"/>
      <c r="D358" s="324"/>
      <c r="E358" s="324"/>
      <c r="F358" s="324"/>
      <c r="G358" s="324"/>
      <c r="H358" s="324"/>
      <c r="I358" s="324"/>
      <c r="J358" s="324"/>
      <c r="K358" s="324"/>
      <c r="L358" s="324"/>
      <c r="M358" s="324"/>
      <c r="N358" s="324"/>
      <c r="O358" s="324"/>
      <c r="P358" s="324"/>
      <c r="Q358" s="324"/>
      <c r="R358" s="324"/>
      <c r="S358" s="419"/>
      <c r="T358" s="418">
        <f t="shared" ref="T358:T370" si="62">T357+1</f>
        <v>332</v>
      </c>
      <c r="U358" s="419"/>
      <c r="V358" s="370">
        <f t="shared" si="61"/>
        <v>2.4931734566924842E-4</v>
      </c>
      <c r="W358" s="429"/>
      <c r="X358" s="370">
        <f t="shared" si="53"/>
        <v>6.9392166208989588E-3</v>
      </c>
      <c r="Y358" s="429"/>
      <c r="Z358" s="421">
        <f t="shared" si="54"/>
        <v>3.9305498514500936E-2</v>
      </c>
      <c r="AA358" s="429"/>
      <c r="AB358" s="421">
        <f t="shared" si="55"/>
        <v>5.0226271115716377E-2</v>
      </c>
      <c r="AC358" s="429"/>
      <c r="AD358" s="424">
        <f t="shared" si="56"/>
        <v>1.8514342197832878E-3</v>
      </c>
      <c r="AE358" s="429"/>
      <c r="AF358" s="421">
        <f t="shared" si="57"/>
        <v>0.28272389592300251</v>
      </c>
      <c r="AG358" s="421">
        <f t="shared" si="58"/>
        <v>2.9978331844880732</v>
      </c>
      <c r="AH358" s="426">
        <f t="shared" si="59"/>
        <v>1.4895682771753158E-3</v>
      </c>
      <c r="AI358" s="421">
        <f t="shared" si="60"/>
        <v>0.14467483627271396</v>
      </c>
      <c r="AJ358" s="324"/>
      <c r="AK358" s="324"/>
      <c r="AL358" s="324"/>
      <c r="AM358" s="324"/>
      <c r="AN358" s="324"/>
      <c r="AO358" s="324"/>
      <c r="AP358" s="324"/>
      <c r="AQ358" s="324"/>
      <c r="AR358" s="324"/>
      <c r="AS358" s="325"/>
      <c r="AT358" s="325"/>
      <c r="AU358" s="325"/>
      <c r="AV358" s="325"/>
      <c r="AW358" s="325"/>
      <c r="AX358" s="325"/>
      <c r="AY358" s="325"/>
      <c r="AZ358" s="325"/>
      <c r="BA358" s="325"/>
      <c r="BB358" s="325"/>
      <c r="BC358" s="325"/>
      <c r="BD358" s="325"/>
      <c r="BE358" s="325"/>
      <c r="BF358" s="325"/>
      <c r="BG358" s="325"/>
      <c r="BH358" s="325"/>
      <c r="BI358" s="325"/>
      <c r="BJ358" s="325"/>
      <c r="BK358" s="325"/>
      <c r="BL358" s="325"/>
      <c r="BM358" s="325"/>
      <c r="BN358" s="325"/>
      <c r="BO358" s="325"/>
      <c r="BP358" s="325"/>
      <c r="BQ358" s="325"/>
    </row>
    <row r="359" spans="1:69" ht="14.25" customHeight="1" x14ac:dyDescent="0.2">
      <c r="A359" s="28"/>
      <c r="B359" s="28"/>
      <c r="C359" s="28"/>
      <c r="D359" s="324"/>
      <c r="E359" s="324"/>
      <c r="F359" s="324"/>
      <c r="G359" s="324"/>
      <c r="H359" s="324"/>
      <c r="I359" s="324"/>
      <c r="J359" s="324"/>
      <c r="K359" s="324"/>
      <c r="L359" s="324"/>
      <c r="M359" s="324"/>
      <c r="N359" s="324"/>
      <c r="O359" s="324"/>
      <c r="P359" s="324"/>
      <c r="Q359" s="324"/>
      <c r="R359" s="324"/>
      <c r="S359" s="419"/>
      <c r="T359" s="418">
        <f t="shared" si="62"/>
        <v>333</v>
      </c>
      <c r="U359" s="419"/>
      <c r="V359" s="370">
        <f t="shared" si="61"/>
        <v>2.4316403393447158E-4</v>
      </c>
      <c r="W359" s="429"/>
      <c r="X359" s="370">
        <f t="shared" si="53"/>
        <v>6.859765869231268E-3</v>
      </c>
      <c r="Y359" s="429"/>
      <c r="Z359" s="421">
        <f t="shared" si="54"/>
        <v>3.9138823698054437E-2</v>
      </c>
      <c r="AA359" s="429"/>
      <c r="AB359" s="421">
        <f t="shared" si="55"/>
        <v>5.0073484455243358E-2</v>
      </c>
      <c r="AC359" s="429"/>
      <c r="AD359" s="424">
        <f t="shared" si="56"/>
        <v>1.8191463033643274E-3</v>
      </c>
      <c r="AE359" s="429"/>
      <c r="AF359" s="421">
        <f t="shared" si="57"/>
        <v>0.2827238754645271</v>
      </c>
      <c r="AG359" s="421">
        <f t="shared" si="58"/>
        <v>3.0001987974589186</v>
      </c>
      <c r="AH359" s="426">
        <f t="shared" si="59"/>
        <v>1.4832922553612278E-3</v>
      </c>
      <c r="AI359" s="421">
        <f t="shared" si="60"/>
        <v>0.14448342785628662</v>
      </c>
      <c r="AJ359" s="324"/>
      <c r="AK359" s="324"/>
      <c r="AL359" s="324"/>
      <c r="AM359" s="324"/>
      <c r="AN359" s="324"/>
      <c r="AO359" s="324"/>
      <c r="AP359" s="324"/>
      <c r="AQ359" s="324"/>
      <c r="AR359" s="324"/>
      <c r="AS359" s="325"/>
      <c r="AT359" s="325"/>
      <c r="AU359" s="325"/>
      <c r="AV359" s="325"/>
      <c r="AW359" s="325"/>
      <c r="AX359" s="325"/>
      <c r="AY359" s="325"/>
      <c r="AZ359" s="325"/>
      <c r="BA359" s="325"/>
      <c r="BB359" s="325"/>
      <c r="BC359" s="325"/>
      <c r="BD359" s="325"/>
      <c r="BE359" s="325"/>
      <c r="BF359" s="325"/>
      <c r="BG359" s="325"/>
      <c r="BH359" s="325"/>
      <c r="BI359" s="325"/>
      <c r="BJ359" s="325"/>
      <c r="BK359" s="325"/>
      <c r="BL359" s="325"/>
      <c r="BM359" s="325"/>
      <c r="BN359" s="325"/>
      <c r="BO359" s="325"/>
      <c r="BP359" s="325"/>
      <c r="BQ359" s="325"/>
    </row>
    <row r="360" spans="1:69" ht="14.25" customHeight="1" x14ac:dyDescent="0.2">
      <c r="A360" s="28"/>
      <c r="B360" s="28"/>
      <c r="C360" s="28"/>
      <c r="D360" s="324"/>
      <c r="E360" s="324"/>
      <c r="F360" s="324"/>
      <c r="G360" s="324"/>
      <c r="H360" s="324"/>
      <c r="I360" s="324"/>
      <c r="J360" s="324"/>
      <c r="K360" s="324"/>
      <c r="L360" s="324"/>
      <c r="M360" s="324"/>
      <c r="N360" s="324"/>
      <c r="O360" s="324"/>
      <c r="P360" s="324"/>
      <c r="Q360" s="324"/>
      <c r="R360" s="324"/>
      <c r="S360" s="419"/>
      <c r="T360" s="418">
        <f t="shared" si="62"/>
        <v>334</v>
      </c>
      <c r="U360" s="419"/>
      <c r="V360" s="370">
        <f t="shared" si="61"/>
        <v>2.3716258987341719E-4</v>
      </c>
      <c r="W360" s="429"/>
      <c r="X360" s="370">
        <f t="shared" si="53"/>
        <v>6.7812788424512493E-3</v>
      </c>
      <c r="Y360" s="429"/>
      <c r="Z360" s="421">
        <f t="shared" si="54"/>
        <v>3.8973221845037487E-2</v>
      </c>
      <c r="AA360" s="429"/>
      <c r="AB360" s="421">
        <f t="shared" si="55"/>
        <v>4.9921594291975402E-2</v>
      </c>
      <c r="AC360" s="429"/>
      <c r="AD360" s="424">
        <f t="shared" si="56"/>
        <v>1.7874245348793449E-3</v>
      </c>
      <c r="AE360" s="429"/>
      <c r="AF360" s="421">
        <f t="shared" si="57"/>
        <v>0.28272385581823722</v>
      </c>
      <c r="AG360" s="421">
        <f t="shared" si="58"/>
        <v>3.0025573171268518</v>
      </c>
      <c r="AH360" s="426">
        <f t="shared" si="59"/>
        <v>1.4770613763907012E-3</v>
      </c>
      <c r="AI360" s="421">
        <f t="shared" si="60"/>
        <v>0.14429284457297706</v>
      </c>
      <c r="AJ360" s="324"/>
      <c r="AK360" s="324"/>
      <c r="AL360" s="324"/>
      <c r="AM360" s="324"/>
      <c r="AN360" s="324"/>
      <c r="AO360" s="324"/>
      <c r="AP360" s="324"/>
      <c r="AQ360" s="324"/>
      <c r="AR360" s="324"/>
      <c r="AS360" s="325"/>
      <c r="AT360" s="325"/>
      <c r="AU360" s="325"/>
      <c r="AV360" s="325"/>
      <c r="AW360" s="325"/>
      <c r="AX360" s="325"/>
      <c r="AY360" s="325"/>
      <c r="AZ360" s="325"/>
      <c r="BA360" s="325"/>
      <c r="BB360" s="325"/>
      <c r="BC360" s="325"/>
      <c r="BD360" s="325"/>
      <c r="BE360" s="325"/>
      <c r="BF360" s="325"/>
      <c r="BG360" s="325"/>
      <c r="BH360" s="325"/>
      <c r="BI360" s="325"/>
      <c r="BJ360" s="325"/>
      <c r="BK360" s="325"/>
      <c r="BL360" s="325"/>
      <c r="BM360" s="325"/>
      <c r="BN360" s="325"/>
      <c r="BO360" s="325"/>
      <c r="BP360" s="325"/>
      <c r="BQ360" s="325"/>
    </row>
    <row r="361" spans="1:69" ht="14.25" customHeight="1" x14ac:dyDescent="0.2">
      <c r="A361" s="28"/>
      <c r="B361" s="28"/>
      <c r="C361" s="28"/>
      <c r="D361" s="324"/>
      <c r="E361" s="324"/>
      <c r="F361" s="324"/>
      <c r="G361" s="324"/>
      <c r="H361" s="324"/>
      <c r="I361" s="324"/>
      <c r="J361" s="324"/>
      <c r="K361" s="324"/>
      <c r="L361" s="324"/>
      <c r="M361" s="324"/>
      <c r="N361" s="324"/>
      <c r="O361" s="324"/>
      <c r="P361" s="324"/>
      <c r="Q361" s="324"/>
      <c r="R361" s="324"/>
      <c r="S361" s="419"/>
      <c r="T361" s="418">
        <f t="shared" si="62"/>
        <v>335</v>
      </c>
      <c r="U361" s="419"/>
      <c r="V361" s="370">
        <f t="shared" si="61"/>
        <v>2.3130926529465256E-4</v>
      </c>
      <c r="W361" s="429"/>
      <c r="X361" s="370">
        <f t="shared" si="53"/>
        <v>6.7037430731176715E-3</v>
      </c>
      <c r="Y361" s="429"/>
      <c r="Z361" s="421">
        <f t="shared" si="54"/>
        <v>3.880868349752209E-2</v>
      </c>
      <c r="AA361" s="429"/>
      <c r="AB361" s="421">
        <f t="shared" si="55"/>
        <v>4.9770592851491817E-2</v>
      </c>
      <c r="AC361" s="429"/>
      <c r="AD361" s="424">
        <f t="shared" si="56"/>
        <v>1.7562589179497268E-3</v>
      </c>
      <c r="AE361" s="429"/>
      <c r="AF361" s="421">
        <f t="shared" si="57"/>
        <v>0.28272383695188963</v>
      </c>
      <c r="AG361" s="421">
        <f t="shared" si="58"/>
        <v>3.0049087859033454</v>
      </c>
      <c r="AH361" s="426">
        <f t="shared" si="59"/>
        <v>1.4708751818508414E-3</v>
      </c>
      <c r="AI361" s="421">
        <f t="shared" si="60"/>
        <v>0.14410308041620207</v>
      </c>
      <c r="AJ361" s="324"/>
      <c r="AK361" s="324"/>
      <c r="AL361" s="324"/>
      <c r="AM361" s="324"/>
      <c r="AN361" s="324"/>
      <c r="AO361" s="324"/>
      <c r="AP361" s="324"/>
      <c r="AQ361" s="324"/>
      <c r="AR361" s="324"/>
      <c r="AS361" s="325"/>
      <c r="AT361" s="325"/>
      <c r="AU361" s="325"/>
      <c r="AV361" s="325"/>
      <c r="AW361" s="325"/>
      <c r="AX361" s="325"/>
      <c r="AY361" s="325"/>
      <c r="AZ361" s="325"/>
      <c r="BA361" s="325"/>
      <c r="BB361" s="325"/>
      <c r="BC361" s="325"/>
      <c r="BD361" s="325"/>
      <c r="BE361" s="325"/>
      <c r="BF361" s="325"/>
      <c r="BG361" s="325"/>
      <c r="BH361" s="325"/>
      <c r="BI361" s="325"/>
      <c r="BJ361" s="325"/>
      <c r="BK361" s="325"/>
      <c r="BL361" s="325"/>
      <c r="BM361" s="325"/>
      <c r="BN361" s="325"/>
      <c r="BO361" s="325"/>
      <c r="BP361" s="325"/>
      <c r="BQ361" s="325"/>
    </row>
    <row r="362" spans="1:69" ht="14.25" customHeight="1" x14ac:dyDescent="0.2">
      <c r="A362" s="28"/>
      <c r="B362" s="28"/>
      <c r="C362" s="28"/>
      <c r="D362" s="324"/>
      <c r="E362" s="324"/>
      <c r="F362" s="324"/>
      <c r="G362" s="324"/>
      <c r="H362" s="324"/>
      <c r="I362" s="324"/>
      <c r="J362" s="324"/>
      <c r="K362" s="324"/>
      <c r="L362" s="324"/>
      <c r="M362" s="324"/>
      <c r="N362" s="324"/>
      <c r="O362" s="324"/>
      <c r="P362" s="324"/>
      <c r="Q362" s="324"/>
      <c r="R362" s="324"/>
      <c r="S362" s="419"/>
      <c r="T362" s="418">
        <f t="shared" si="62"/>
        <v>336</v>
      </c>
      <c r="U362" s="419"/>
      <c r="V362" s="370">
        <f t="shared" si="61"/>
        <v>2.2560040451451128E-4</v>
      </c>
      <c r="W362" s="429"/>
      <c r="X362" s="370">
        <f t="shared" si="53"/>
        <v>6.6271462670481054E-3</v>
      </c>
      <c r="Y362" s="429"/>
      <c r="Z362" s="421">
        <f t="shared" si="54"/>
        <v>3.8645199304451427E-2</v>
      </c>
      <c r="AA362" s="429"/>
      <c r="AB362" s="421">
        <f t="shared" si="55"/>
        <v>4.9620472448440915E-2</v>
      </c>
      <c r="AC362" s="429"/>
      <c r="AD362" s="424">
        <f t="shared" si="56"/>
        <v>1.7256396343144909E-3</v>
      </c>
      <c r="AE362" s="429"/>
      <c r="AF362" s="421">
        <f t="shared" si="57"/>
        <v>0.28272381883452125</v>
      </c>
      <c r="AG362" s="421">
        <f t="shared" si="58"/>
        <v>3.0072532458206345</v>
      </c>
      <c r="AH362" s="426">
        <f t="shared" si="59"/>
        <v>1.4647332193334554E-3</v>
      </c>
      <c r="AI362" s="421">
        <f t="shared" si="60"/>
        <v>0.14391412944082294</v>
      </c>
      <c r="AJ362" s="324"/>
      <c r="AK362" s="324"/>
      <c r="AL362" s="324"/>
      <c r="AM362" s="324"/>
      <c r="AN362" s="324"/>
      <c r="AO362" s="324"/>
      <c r="AP362" s="324"/>
      <c r="AQ362" s="324"/>
      <c r="AR362" s="324"/>
      <c r="AS362" s="325"/>
      <c r="AT362" s="325"/>
      <c r="AU362" s="325"/>
      <c r="AV362" s="325"/>
      <c r="AW362" s="325"/>
      <c r="AX362" s="325"/>
      <c r="AY362" s="325"/>
      <c r="AZ362" s="325"/>
      <c r="BA362" s="325"/>
      <c r="BB362" s="325"/>
      <c r="BC362" s="325"/>
      <c r="BD362" s="325"/>
      <c r="BE362" s="325"/>
      <c r="BF362" s="325"/>
      <c r="BG362" s="325"/>
      <c r="BH362" s="325"/>
      <c r="BI362" s="325"/>
      <c r="BJ362" s="325"/>
      <c r="BK362" s="325"/>
      <c r="BL362" s="325"/>
      <c r="BM362" s="325"/>
      <c r="BN362" s="325"/>
      <c r="BO362" s="325"/>
      <c r="BP362" s="325"/>
      <c r="BQ362" s="325"/>
    </row>
    <row r="363" spans="1:69" ht="14.25" customHeight="1" x14ac:dyDescent="0.2">
      <c r="A363" s="28"/>
      <c r="B363" s="28"/>
      <c r="C363" s="28"/>
      <c r="D363" s="324"/>
      <c r="E363" s="324"/>
      <c r="F363" s="324"/>
      <c r="G363" s="324"/>
      <c r="H363" s="324"/>
      <c r="I363" s="324"/>
      <c r="J363" s="324"/>
      <c r="K363" s="324"/>
      <c r="L363" s="324"/>
      <c r="M363" s="324"/>
      <c r="N363" s="324"/>
      <c r="O363" s="324"/>
      <c r="P363" s="324"/>
      <c r="Q363" s="324"/>
      <c r="R363" s="324"/>
      <c r="S363" s="419"/>
      <c r="T363" s="418">
        <f t="shared" si="62"/>
        <v>337</v>
      </c>
      <c r="U363" s="419"/>
      <c r="V363" s="370">
        <f t="shared" si="61"/>
        <v>2.2003244207393903E-4</v>
      </c>
      <c r="W363" s="429"/>
      <c r="X363" s="370">
        <f t="shared" si="53"/>
        <v>6.5514763007132855E-3</v>
      </c>
      <c r="Y363" s="429"/>
      <c r="Z363" s="421">
        <f t="shared" si="54"/>
        <v>3.8482760020159268E-2</v>
      </c>
      <c r="AA363" s="429"/>
      <c r="AB363" s="421">
        <f t="shared" si="55"/>
        <v>4.9471225485273204E-2</v>
      </c>
      <c r="AC363" s="429"/>
      <c r="AD363" s="424">
        <f t="shared" si="56"/>
        <v>1.6955570406183007E-3</v>
      </c>
      <c r="AE363" s="429"/>
      <c r="AF363" s="421">
        <f t="shared" si="57"/>
        <v>0.28272380143639808</v>
      </c>
      <c r="AG363" s="421">
        <f t="shared" si="58"/>
        <v>3.0095907385362191</v>
      </c>
      <c r="AH363" s="426">
        <f t="shared" si="59"/>
        <v>1.4586350423388408E-3</v>
      </c>
      <c r="AI363" s="421">
        <f t="shared" si="60"/>
        <v>0.14372598576233742</v>
      </c>
      <c r="AJ363" s="324"/>
      <c r="AK363" s="324"/>
      <c r="AL363" s="324"/>
      <c r="AM363" s="324"/>
      <c r="AN363" s="324"/>
      <c r="AO363" s="324"/>
      <c r="AP363" s="324"/>
      <c r="AQ363" s="324"/>
      <c r="AR363" s="324"/>
      <c r="AS363" s="325"/>
      <c r="AT363" s="325"/>
      <c r="AU363" s="325"/>
      <c r="AV363" s="325"/>
      <c r="AW363" s="325"/>
      <c r="AX363" s="325"/>
      <c r="AY363" s="325"/>
      <c r="AZ363" s="325"/>
      <c r="BA363" s="325"/>
      <c r="BB363" s="325"/>
      <c r="BC363" s="325"/>
      <c r="BD363" s="325"/>
      <c r="BE363" s="325"/>
      <c r="BF363" s="325"/>
      <c r="BG363" s="325"/>
      <c r="BH363" s="325"/>
      <c r="BI363" s="325"/>
      <c r="BJ363" s="325"/>
      <c r="BK363" s="325"/>
      <c r="BL363" s="325"/>
      <c r="BM363" s="325"/>
      <c r="BN363" s="325"/>
      <c r="BO363" s="325"/>
      <c r="BP363" s="325"/>
      <c r="BQ363" s="325"/>
    </row>
    <row r="364" spans="1:69" ht="14.25" customHeight="1" x14ac:dyDescent="0.2">
      <c r="A364" s="28"/>
      <c r="B364" s="28"/>
      <c r="C364" s="28"/>
      <c r="D364" s="324"/>
      <c r="E364" s="324"/>
      <c r="F364" s="324"/>
      <c r="G364" s="324"/>
      <c r="H364" s="324"/>
      <c r="I364" s="324"/>
      <c r="J364" s="324"/>
      <c r="K364" s="324"/>
      <c r="L364" s="324"/>
      <c r="M364" s="324"/>
      <c r="N364" s="324"/>
      <c r="O364" s="324"/>
      <c r="P364" s="324"/>
      <c r="Q364" s="324"/>
      <c r="R364" s="324"/>
      <c r="S364" s="419"/>
      <c r="T364" s="418">
        <f t="shared" si="62"/>
        <v>338</v>
      </c>
      <c r="U364" s="419"/>
      <c r="V364" s="370">
        <f t="shared" si="61"/>
        <v>2.1460190051169554E-4</v>
      </c>
      <c r="W364" s="429"/>
      <c r="X364" s="370">
        <f t="shared" si="53"/>
        <v>6.4767212186742406E-3</v>
      </c>
      <c r="Y364" s="429"/>
      <c r="Z364" s="421">
        <f t="shared" si="54"/>
        <v>3.8321356502914905E-2</v>
      </c>
      <c r="AA364" s="429"/>
      <c r="AB364" s="421">
        <f t="shared" si="55"/>
        <v>4.9322844450996245E-2</v>
      </c>
      <c r="AC364" s="429"/>
      <c r="AD364" s="424">
        <f t="shared" si="56"/>
        <v>1.6660016652574328E-3</v>
      </c>
      <c r="AE364" s="429"/>
      <c r="AF364" s="421">
        <f t="shared" si="57"/>
        <v>0.28272378472896664</v>
      </c>
      <c r="AG364" s="421">
        <f t="shared" si="58"/>
        <v>3.0119213053373128</v>
      </c>
      <c r="AH364" s="426">
        <f t="shared" si="59"/>
        <v>1.4525802101813601E-3</v>
      </c>
      <c r="AI364" s="421">
        <f t="shared" si="60"/>
        <v>0.14353864355608326</v>
      </c>
      <c r="AJ364" s="324"/>
      <c r="AK364" s="324"/>
      <c r="AL364" s="324"/>
      <c r="AM364" s="324"/>
      <c r="AN364" s="324"/>
      <c r="AO364" s="324"/>
      <c r="AP364" s="324"/>
      <c r="AQ364" s="324"/>
      <c r="AR364" s="324"/>
      <c r="AS364" s="325"/>
      <c r="AT364" s="325"/>
      <c r="AU364" s="325"/>
      <c r="AV364" s="325"/>
      <c r="AW364" s="325"/>
      <c r="AX364" s="325"/>
      <c r="AY364" s="325"/>
      <c r="AZ364" s="325"/>
      <c r="BA364" s="325"/>
      <c r="BB364" s="325"/>
      <c r="BC364" s="325"/>
      <c r="BD364" s="325"/>
      <c r="BE364" s="325"/>
      <c r="BF364" s="325"/>
      <c r="BG364" s="325"/>
      <c r="BH364" s="325"/>
      <c r="BI364" s="325"/>
      <c r="BJ364" s="325"/>
      <c r="BK364" s="325"/>
      <c r="BL364" s="325"/>
      <c r="BM364" s="325"/>
      <c r="BN364" s="325"/>
      <c r="BO364" s="325"/>
      <c r="BP364" s="325"/>
      <c r="BQ364" s="325"/>
    </row>
    <row r="365" spans="1:69" ht="14.25" customHeight="1" x14ac:dyDescent="0.2">
      <c r="A365" s="28"/>
      <c r="B365" s="28"/>
      <c r="C365" s="28"/>
      <c r="D365" s="324"/>
      <c r="E365" s="324"/>
      <c r="F365" s="324"/>
      <c r="G365" s="324"/>
      <c r="H365" s="324"/>
      <c r="I365" s="324"/>
      <c r="J365" s="324"/>
      <c r="K365" s="324"/>
      <c r="L365" s="324"/>
      <c r="M365" s="324"/>
      <c r="N365" s="324"/>
      <c r="O365" s="324"/>
      <c r="P365" s="324"/>
      <c r="Q365" s="324"/>
      <c r="R365" s="324"/>
      <c r="S365" s="419"/>
      <c r="T365" s="418">
        <f t="shared" si="62"/>
        <v>339</v>
      </c>
      <c r="U365" s="419"/>
      <c r="V365" s="370">
        <f t="shared" si="61"/>
        <v>2.0930538819250911E-4</v>
      </c>
      <c r="W365" s="429"/>
      <c r="X365" s="370">
        <f t="shared" si="53"/>
        <v>6.4028692310613856E-3</v>
      </c>
      <c r="Y365" s="429"/>
      <c r="Z365" s="421">
        <f t="shared" si="54"/>
        <v>3.8160979713489973E-2</v>
      </c>
      <c r="AA365" s="429"/>
      <c r="AB365" s="421">
        <f t="shared" si="55"/>
        <v>4.9175321919950221E-2</v>
      </c>
      <c r="AC365" s="429"/>
      <c r="AD365" s="424">
        <f t="shared" si="56"/>
        <v>1.6369642052844746E-3</v>
      </c>
      <c r="AE365" s="429"/>
      <c r="AF365" s="421">
        <f t="shared" si="57"/>
        <v>0.28272376868480703</v>
      </c>
      <c r="AG365" s="421">
        <f t="shared" si="58"/>
        <v>3.0142449871452124</v>
      </c>
      <c r="AH365" s="426">
        <f t="shared" si="59"/>
        <v>1.4465682878968278E-3</v>
      </c>
      <c r="AI365" s="421">
        <f t="shared" si="60"/>
        <v>0.14335209705645574</v>
      </c>
      <c r="AJ365" s="324"/>
      <c r="AK365" s="324"/>
      <c r="AL365" s="324"/>
      <c r="AM365" s="324"/>
      <c r="AN365" s="324"/>
      <c r="AO365" s="324"/>
      <c r="AP365" s="324"/>
      <c r="AQ365" s="324"/>
      <c r="AR365" s="324"/>
      <c r="AS365" s="325"/>
      <c r="AT365" s="325"/>
      <c r="AU365" s="325"/>
      <c r="AV365" s="325"/>
      <c r="AW365" s="325"/>
      <c r="AX365" s="325"/>
      <c r="AY365" s="325"/>
      <c r="AZ365" s="325"/>
      <c r="BA365" s="325"/>
      <c r="BB365" s="325"/>
      <c r="BC365" s="325"/>
      <c r="BD365" s="325"/>
      <c r="BE365" s="325"/>
      <c r="BF365" s="325"/>
      <c r="BG365" s="325"/>
      <c r="BH365" s="325"/>
      <c r="BI365" s="325"/>
      <c r="BJ365" s="325"/>
      <c r="BK365" s="325"/>
      <c r="BL365" s="325"/>
      <c r="BM365" s="325"/>
      <c r="BN365" s="325"/>
      <c r="BO365" s="325"/>
      <c r="BP365" s="325"/>
      <c r="BQ365" s="325"/>
    </row>
    <row r="366" spans="1:69" ht="14.25" customHeight="1" x14ac:dyDescent="0.2">
      <c r="A366" s="28"/>
      <c r="B366" s="28"/>
      <c r="C366" s="28"/>
      <c r="D366" s="324"/>
      <c r="E366" s="324"/>
      <c r="F366" s="324"/>
      <c r="G366" s="324"/>
      <c r="H366" s="324"/>
      <c r="I366" s="324"/>
      <c r="J366" s="324"/>
      <c r="K366" s="324"/>
      <c r="L366" s="324"/>
      <c r="M366" s="324"/>
      <c r="N366" s="324"/>
      <c r="O366" s="324"/>
      <c r="P366" s="324"/>
      <c r="Q366" s="324"/>
      <c r="R366" s="324"/>
      <c r="S366" s="419"/>
      <c r="T366" s="418">
        <f t="shared" si="62"/>
        <v>340</v>
      </c>
      <c r="U366" s="419"/>
      <c r="V366" s="370">
        <f t="shared" si="61"/>
        <v>2.0413959718883987E-4</v>
      </c>
      <c r="W366" s="429"/>
      <c r="X366" s="370">
        <f t="shared" si="53"/>
        <v>6.3299087110947226E-3</v>
      </c>
      <c r="Y366" s="429"/>
      <c r="Z366" s="421">
        <f t="shared" si="54"/>
        <v>3.8001620713750905E-2</v>
      </c>
      <c r="AA366" s="429"/>
      <c r="AB366" s="421">
        <f t="shared" si="55"/>
        <v>4.9028650550604555E-2</v>
      </c>
      <c r="AC366" s="429"/>
      <c r="AD366" s="424">
        <f t="shared" si="56"/>
        <v>1.6084355233683123E-3</v>
      </c>
      <c r="AE366" s="429"/>
      <c r="AF366" s="421">
        <f t="shared" si="57"/>
        <v>0.28272375327758781</v>
      </c>
      <c r="AG366" s="421">
        <f t="shared" si="58"/>
        <v>3.0165618245196137</v>
      </c>
      <c r="AH366" s="426">
        <f t="shared" si="59"/>
        <v>1.4405988461516214E-3</v>
      </c>
      <c r="AI366" s="421">
        <f t="shared" si="60"/>
        <v>0.14316634055613731</v>
      </c>
      <c r="AJ366" s="324"/>
      <c r="AK366" s="324"/>
      <c r="AL366" s="324"/>
      <c r="AM366" s="324"/>
      <c r="AN366" s="324"/>
      <c r="AO366" s="324"/>
      <c r="AP366" s="324"/>
      <c r="AQ366" s="324"/>
      <c r="AR366" s="324"/>
      <c r="AS366" s="325"/>
      <c r="AT366" s="325"/>
      <c r="AU366" s="325"/>
      <c r="AV366" s="325"/>
      <c r="AW366" s="325"/>
      <c r="AX366" s="325"/>
      <c r="AY366" s="325"/>
      <c r="AZ366" s="325"/>
      <c r="BA366" s="325"/>
      <c r="BB366" s="325"/>
      <c r="BC366" s="325"/>
      <c r="BD366" s="325"/>
      <c r="BE366" s="325"/>
      <c r="BF366" s="325"/>
      <c r="BG366" s="325"/>
      <c r="BH366" s="325"/>
      <c r="BI366" s="325"/>
      <c r="BJ366" s="325"/>
      <c r="BK366" s="325"/>
      <c r="BL366" s="325"/>
      <c r="BM366" s="325"/>
      <c r="BN366" s="325"/>
      <c r="BO366" s="325"/>
      <c r="BP366" s="325"/>
      <c r="BQ366" s="325"/>
    </row>
    <row r="367" spans="1:69" ht="14.25" customHeight="1" x14ac:dyDescent="0.2">
      <c r="A367" s="28"/>
      <c r="B367" s="28"/>
      <c r="C367" s="28"/>
      <c r="D367" s="324"/>
      <c r="E367" s="324"/>
      <c r="F367" s="324"/>
      <c r="G367" s="324"/>
      <c r="H367" s="324"/>
      <c r="I367" s="324"/>
      <c r="J367" s="324"/>
      <c r="K367" s="324"/>
      <c r="L367" s="324"/>
      <c r="M367" s="324"/>
      <c r="N367" s="324"/>
      <c r="O367" s="324"/>
      <c r="P367" s="324"/>
      <c r="Q367" s="324"/>
      <c r="R367" s="324"/>
      <c r="S367" s="419"/>
      <c r="T367" s="418">
        <f t="shared" si="62"/>
        <v>341</v>
      </c>
      <c r="U367" s="419"/>
      <c r="V367" s="370">
        <f t="shared" si="61"/>
        <v>1.9910130121491621E-4</v>
      </c>
      <c r="W367" s="429"/>
      <c r="X367" s="370">
        <f t="shared" si="53"/>
        <v>6.2578281926445115E-3</v>
      </c>
      <c r="Y367" s="429"/>
      <c r="Z367" s="421">
        <f t="shared" si="54"/>
        <v>3.7843270665272266E-2</v>
      </c>
      <c r="AA367" s="429"/>
      <c r="AB367" s="421">
        <f t="shared" si="55"/>
        <v>4.8882823084374472E-2</v>
      </c>
      <c r="AC367" s="429"/>
      <c r="AD367" s="424">
        <f t="shared" si="56"/>
        <v>1.5804066448120713E-3</v>
      </c>
      <c r="AE367" s="429"/>
      <c r="AF367" s="421">
        <f t="shared" si="57"/>
        <v>0.28272373848202287</v>
      </c>
      <c r="AG367" s="421">
        <f t="shared" si="58"/>
        <v>3.0188718576628548</v>
      </c>
      <c r="AH367" s="426">
        <f t="shared" si="59"/>
        <v>1.4346714611535147E-3</v>
      </c>
      <c r="AI367" s="421">
        <f t="shared" si="60"/>
        <v>0.14298136840533909</v>
      </c>
      <c r="AJ367" s="324"/>
      <c r="AK367" s="324"/>
      <c r="AL367" s="324"/>
      <c r="AM367" s="324"/>
      <c r="AN367" s="324"/>
      <c r="AO367" s="324"/>
      <c r="AP367" s="324"/>
      <c r="AQ367" s="324"/>
      <c r="AR367" s="324"/>
      <c r="AS367" s="325"/>
      <c r="AT367" s="325"/>
      <c r="AU367" s="325"/>
      <c r="AV367" s="325"/>
      <c r="AW367" s="325"/>
      <c r="AX367" s="325"/>
      <c r="AY367" s="325"/>
      <c r="AZ367" s="325"/>
      <c r="BA367" s="325"/>
      <c r="BB367" s="325"/>
      <c r="BC367" s="325"/>
      <c r="BD367" s="325"/>
      <c r="BE367" s="325"/>
      <c r="BF367" s="325"/>
      <c r="BG367" s="325"/>
      <c r="BH367" s="325"/>
      <c r="BI367" s="325"/>
      <c r="BJ367" s="325"/>
      <c r="BK367" s="325"/>
      <c r="BL367" s="325"/>
      <c r="BM367" s="325"/>
      <c r="BN367" s="325"/>
      <c r="BO367" s="325"/>
      <c r="BP367" s="325"/>
      <c r="BQ367" s="325"/>
    </row>
    <row r="368" spans="1:69" ht="14.25" customHeight="1" x14ac:dyDescent="0.2">
      <c r="A368" s="28"/>
      <c r="B368" s="28"/>
      <c r="C368" s="28"/>
      <c r="D368" s="324"/>
      <c r="E368" s="324"/>
      <c r="F368" s="324"/>
      <c r="G368" s="324"/>
      <c r="H368" s="324"/>
      <c r="I368" s="324"/>
      <c r="J368" s="324"/>
      <c r="K368" s="324"/>
      <c r="L368" s="324"/>
      <c r="M368" s="324"/>
      <c r="N368" s="324"/>
      <c r="O368" s="324"/>
      <c r="P368" s="324"/>
      <c r="Q368" s="324"/>
      <c r="R368" s="324"/>
      <c r="S368" s="419"/>
      <c r="T368" s="418">
        <f t="shared" si="62"/>
        <v>342</v>
      </c>
      <c r="U368" s="419"/>
      <c r="V368" s="370">
        <f t="shared" si="61"/>
        <v>1.941873536117667E-4</v>
      </c>
      <c r="W368" s="429"/>
      <c r="X368" s="370">
        <f t="shared" si="53"/>
        <v>6.1866163678317102E-3</v>
      </c>
      <c r="Y368" s="429"/>
      <c r="Z368" s="421">
        <f t="shared" si="54"/>
        <v>3.7685920827974728E-2</v>
      </c>
      <c r="AA368" s="429"/>
      <c r="AB368" s="421">
        <f t="shared" si="55"/>
        <v>4.8737832344457659E-2</v>
      </c>
      <c r="AC368" s="429"/>
      <c r="AD368" s="424">
        <f t="shared" si="56"/>
        <v>1.5528687546229047E-3</v>
      </c>
      <c r="AE368" s="429"/>
      <c r="AF368" s="421">
        <f t="shared" si="57"/>
        <v>0.28272372427383013</v>
      </c>
      <c r="AG368" s="421">
        <f t="shared" si="58"/>
        <v>3.0211751264241062</v>
      </c>
      <c r="AH368" s="426">
        <f t="shared" si="59"/>
        <v>1.4287857145641632E-3</v>
      </c>
      <c r="AI368" s="421">
        <f t="shared" si="60"/>
        <v>0.14279717501105521</v>
      </c>
      <c r="AJ368" s="324"/>
      <c r="AK368" s="324"/>
      <c r="AL368" s="324"/>
      <c r="AM368" s="324"/>
      <c r="AN368" s="324"/>
      <c r="AO368" s="324"/>
      <c r="AP368" s="324"/>
      <c r="AQ368" s="324"/>
      <c r="AR368" s="324"/>
      <c r="AS368" s="325"/>
      <c r="AT368" s="325"/>
      <c r="AU368" s="325"/>
      <c r="AV368" s="325"/>
      <c r="AW368" s="325"/>
      <c r="AX368" s="325"/>
      <c r="AY368" s="325"/>
      <c r="AZ368" s="325"/>
      <c r="BA368" s="325"/>
      <c r="BB368" s="325"/>
      <c r="BC368" s="325"/>
      <c r="BD368" s="325"/>
      <c r="BE368" s="325"/>
      <c r="BF368" s="325"/>
      <c r="BG368" s="325"/>
      <c r="BH368" s="325"/>
      <c r="BI368" s="325"/>
      <c r="BJ368" s="325"/>
      <c r="BK368" s="325"/>
      <c r="BL368" s="325"/>
      <c r="BM368" s="325"/>
      <c r="BN368" s="325"/>
      <c r="BO368" s="325"/>
      <c r="BP368" s="325"/>
      <c r="BQ368" s="325"/>
    </row>
    <row r="369" spans="1:69" ht="14.25" customHeight="1" x14ac:dyDescent="0.2">
      <c r="A369" s="28"/>
      <c r="B369" s="28"/>
      <c r="C369" s="28"/>
      <c r="D369" s="324"/>
      <c r="E369" s="324"/>
      <c r="F369" s="324"/>
      <c r="G369" s="324"/>
      <c r="H369" s="324"/>
      <c r="I369" s="324"/>
      <c r="J369" s="324"/>
      <c r="K369" s="324"/>
      <c r="L369" s="324"/>
      <c r="M369" s="324"/>
      <c r="N369" s="324"/>
      <c r="O369" s="324"/>
      <c r="P369" s="324"/>
      <c r="Q369" s="324"/>
      <c r="R369" s="324"/>
      <c r="S369" s="419"/>
      <c r="T369" s="418">
        <f t="shared" si="62"/>
        <v>343</v>
      </c>
      <c r="U369" s="419"/>
      <c r="V369" s="370">
        <f t="shared" si="61"/>
        <v>1.8939468538197682E-4</v>
      </c>
      <c r="W369" s="429"/>
      <c r="X369" s="370">
        <f t="shared" si="53"/>
        <v>6.1162620846673598E-3</v>
      </c>
      <c r="Y369" s="429"/>
      <c r="Z369" s="421">
        <f t="shared" si="54"/>
        <v>3.7529562558783036E-2</v>
      </c>
      <c r="AA369" s="429"/>
      <c r="AB369" s="421">
        <f t="shared" si="55"/>
        <v>4.8593671234690231E-2</v>
      </c>
      <c r="AC369" s="429"/>
      <c r="AD369" s="424">
        <f t="shared" si="56"/>
        <v>1.5258131946376263E-3</v>
      </c>
      <c r="AE369" s="429"/>
      <c r="AF369" s="421">
        <f t="shared" si="57"/>
        <v>0.28272371062969115</v>
      </c>
      <c r="AG369" s="421">
        <f t="shared" si="58"/>
        <v>3.0234716703034938</v>
      </c>
      <c r="AH369" s="426">
        <f t="shared" si="59"/>
        <v>1.4229411934132286E-3</v>
      </c>
      <c r="AI369" s="421">
        <f t="shared" si="60"/>
        <v>0.14261375483632796</v>
      </c>
      <c r="AJ369" s="324"/>
      <c r="AK369" s="324"/>
      <c r="AL369" s="324"/>
      <c r="AM369" s="324"/>
      <c r="AN369" s="324"/>
      <c r="AO369" s="324"/>
      <c r="AP369" s="324"/>
      <c r="AQ369" s="324"/>
      <c r="AR369" s="324"/>
      <c r="AS369" s="325"/>
      <c r="AT369" s="325"/>
      <c r="AU369" s="325"/>
      <c r="AV369" s="325"/>
      <c r="AW369" s="325"/>
      <c r="AX369" s="325"/>
      <c r="AY369" s="325"/>
      <c r="AZ369" s="325"/>
      <c r="BA369" s="325"/>
      <c r="BB369" s="325"/>
      <c r="BC369" s="325"/>
      <c r="BD369" s="325"/>
      <c r="BE369" s="325"/>
      <c r="BF369" s="325"/>
      <c r="BG369" s="325"/>
      <c r="BH369" s="325"/>
      <c r="BI369" s="325"/>
      <c r="BJ369" s="325"/>
      <c r="BK369" s="325"/>
      <c r="BL369" s="325"/>
      <c r="BM369" s="325"/>
      <c r="BN369" s="325"/>
      <c r="BO369" s="325"/>
      <c r="BP369" s="325"/>
      <c r="BQ369" s="325"/>
    </row>
    <row r="370" spans="1:69" ht="14.25" customHeight="1" x14ac:dyDescent="0.2">
      <c r="A370" s="28"/>
      <c r="B370" s="28"/>
      <c r="C370" s="28"/>
      <c r="D370" s="324"/>
      <c r="E370" s="324"/>
      <c r="F370" s="324"/>
      <c r="G370" s="324"/>
      <c r="H370" s="324"/>
      <c r="I370" s="324"/>
      <c r="J370" s="324"/>
      <c r="K370" s="324"/>
      <c r="L370" s="324"/>
      <c r="M370" s="324"/>
      <c r="N370" s="324"/>
      <c r="O370" s="324"/>
      <c r="P370" s="324"/>
      <c r="Q370" s="324"/>
      <c r="R370" s="324"/>
      <c r="S370" s="432"/>
      <c r="T370" s="418">
        <f t="shared" si="62"/>
        <v>344</v>
      </c>
      <c r="U370" s="432"/>
      <c r="V370" s="370">
        <f t="shared" si="61"/>
        <v>1.8472030327295477E-4</v>
      </c>
      <c r="W370" s="433"/>
      <c r="X370" s="370">
        <f t="shared" si="53"/>
        <v>6.0467543447303542E-3</v>
      </c>
      <c r="Y370" s="433"/>
      <c r="Z370" s="421">
        <f t="shared" si="54"/>
        <v>3.7374187310307394E-2</v>
      </c>
      <c r="AA370" s="433"/>
      <c r="AB370" s="421">
        <f t="shared" si="55"/>
        <v>4.8450332738421815E-2</v>
      </c>
      <c r="AC370" s="433"/>
      <c r="AD370" s="424">
        <f t="shared" si="56"/>
        <v>1.4992314606996349E-3</v>
      </c>
      <c r="AE370" s="433"/>
      <c r="AF370" s="421">
        <f t="shared" si="57"/>
        <v>0.2827236975272136</v>
      </c>
      <c r="AG370" s="421">
        <f t="shared" si="58"/>
        <v>3.0257615284561625</v>
      </c>
      <c r="AH370" s="426">
        <f t="shared" si="59"/>
        <v>1.4171374900141117E-3</v>
      </c>
      <c r="AI370" s="421">
        <f t="shared" si="60"/>
        <v>0.14243110239952536</v>
      </c>
      <c r="AJ370" s="324"/>
      <c r="AK370" s="324"/>
      <c r="AL370" s="324"/>
      <c r="AM370" s="324"/>
      <c r="AN370" s="324"/>
      <c r="AO370" s="324"/>
      <c r="AP370" s="324"/>
      <c r="AQ370" s="324"/>
      <c r="AR370" s="324"/>
      <c r="AS370" s="325"/>
      <c r="AT370" s="325"/>
      <c r="AU370" s="325"/>
      <c r="AV370" s="325"/>
      <c r="AW370" s="325"/>
      <c r="AX370" s="325"/>
      <c r="AY370" s="325"/>
      <c r="AZ370" s="325"/>
      <c r="BA370" s="325"/>
      <c r="BB370" s="325"/>
      <c r="BC370" s="325"/>
      <c r="BD370" s="325"/>
      <c r="BE370" s="325"/>
      <c r="BF370" s="325"/>
      <c r="BG370" s="325"/>
      <c r="BH370" s="325"/>
      <c r="BI370" s="325"/>
      <c r="BJ370" s="325"/>
      <c r="BK370" s="325"/>
      <c r="BL370" s="325"/>
      <c r="BM370" s="325"/>
      <c r="BN370" s="325"/>
      <c r="BO370" s="325"/>
      <c r="BP370" s="325"/>
      <c r="BQ370" s="325"/>
    </row>
    <row r="371" spans="1:69" ht="14.25" customHeight="1" x14ac:dyDescent="0.2">
      <c r="A371" s="28"/>
      <c r="B371" s="28"/>
      <c r="C371" s="28"/>
      <c r="D371" s="324"/>
      <c r="E371" s="324"/>
      <c r="F371" s="324"/>
      <c r="G371" s="324"/>
      <c r="H371" s="324"/>
      <c r="I371" s="324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  <c r="AF371" s="324"/>
      <c r="AG371" s="324"/>
      <c r="AH371" s="324"/>
      <c r="AI371" s="417"/>
      <c r="AJ371" s="324"/>
      <c r="AK371" s="324"/>
      <c r="AL371" s="324"/>
      <c r="AM371" s="324"/>
      <c r="AN371" s="324"/>
      <c r="AO371" s="324"/>
      <c r="AP371" s="324"/>
      <c r="AQ371" s="324"/>
      <c r="AR371" s="324"/>
      <c r="AS371" s="325"/>
      <c r="AT371" s="325"/>
      <c r="AU371" s="325"/>
      <c r="AV371" s="325"/>
      <c r="AW371" s="325"/>
      <c r="AX371" s="325"/>
      <c r="AY371" s="325"/>
      <c r="AZ371" s="325"/>
      <c r="BA371" s="325"/>
      <c r="BB371" s="325"/>
      <c r="BC371" s="325"/>
      <c r="BD371" s="325"/>
      <c r="BE371" s="325"/>
      <c r="BF371" s="325"/>
      <c r="BG371" s="325"/>
      <c r="BH371" s="325"/>
      <c r="BI371" s="325"/>
      <c r="BJ371" s="325"/>
      <c r="BK371" s="325"/>
      <c r="BL371" s="325"/>
      <c r="BM371" s="325"/>
      <c r="BN371" s="325"/>
      <c r="BO371" s="325"/>
      <c r="BP371" s="325"/>
      <c r="BQ371" s="325"/>
    </row>
    <row r="372" spans="1:69" ht="14.25" customHeight="1" x14ac:dyDescent="0.2">
      <c r="A372" s="28"/>
      <c r="B372" s="28"/>
      <c r="C372" s="28"/>
      <c r="D372" s="324"/>
      <c r="E372" s="324"/>
      <c r="F372" s="324"/>
      <c r="G372" s="324"/>
      <c r="H372" s="324"/>
      <c r="I372" s="324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  <c r="AF372" s="324"/>
      <c r="AG372" s="324"/>
      <c r="AH372" s="324"/>
      <c r="AI372" s="417"/>
      <c r="AJ372" s="324"/>
      <c r="AK372" s="324"/>
      <c r="AL372" s="324"/>
      <c r="AM372" s="324"/>
      <c r="AN372" s="324"/>
      <c r="AO372" s="324"/>
      <c r="AP372" s="324"/>
      <c r="AQ372" s="324"/>
      <c r="AR372" s="324"/>
      <c r="AS372" s="325"/>
      <c r="AT372" s="325"/>
      <c r="AU372" s="325"/>
      <c r="AV372" s="325"/>
      <c r="AW372" s="325"/>
      <c r="AX372" s="325"/>
      <c r="AY372" s="325"/>
      <c r="AZ372" s="325"/>
      <c r="BA372" s="325"/>
      <c r="BB372" s="325"/>
      <c r="BC372" s="325"/>
      <c r="BD372" s="325"/>
      <c r="BE372" s="325"/>
      <c r="BF372" s="325"/>
      <c r="BG372" s="325"/>
      <c r="BH372" s="325"/>
      <c r="BI372" s="325"/>
      <c r="BJ372" s="325"/>
      <c r="BK372" s="325"/>
      <c r="BL372" s="325"/>
      <c r="BM372" s="325"/>
      <c r="BN372" s="325"/>
      <c r="BO372" s="325"/>
      <c r="BP372" s="325"/>
      <c r="BQ372" s="325"/>
    </row>
    <row r="373" spans="1:69" ht="14.25" customHeight="1" x14ac:dyDescent="0.2">
      <c r="A373" s="28"/>
      <c r="B373" s="28"/>
      <c r="C373" s="28"/>
      <c r="D373" s="324"/>
      <c r="E373" s="324"/>
      <c r="F373" s="324"/>
      <c r="G373" s="324"/>
      <c r="H373" s="324"/>
      <c r="I373" s="324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  <c r="AF373" s="324"/>
      <c r="AG373" s="324"/>
      <c r="AH373" s="324"/>
      <c r="AI373" s="417"/>
      <c r="AJ373" s="324"/>
      <c r="AK373" s="324"/>
      <c r="AL373" s="324"/>
      <c r="AM373" s="324"/>
      <c r="AN373" s="324"/>
      <c r="AO373" s="324"/>
      <c r="AP373" s="324"/>
      <c r="AQ373" s="324"/>
      <c r="AR373" s="324"/>
      <c r="AS373" s="325"/>
      <c r="AT373" s="325"/>
      <c r="AU373" s="325"/>
      <c r="AV373" s="325"/>
      <c r="AW373" s="325"/>
      <c r="AX373" s="325"/>
      <c r="AY373" s="325"/>
      <c r="AZ373" s="325"/>
      <c r="BA373" s="325"/>
      <c r="BB373" s="325"/>
      <c r="BC373" s="325"/>
      <c r="BD373" s="325"/>
      <c r="BE373" s="325"/>
      <c r="BF373" s="325"/>
      <c r="BG373" s="325"/>
      <c r="BH373" s="325"/>
      <c r="BI373" s="325"/>
      <c r="BJ373" s="325"/>
      <c r="BK373" s="325"/>
      <c r="BL373" s="325"/>
      <c r="BM373" s="325"/>
      <c r="BN373" s="325"/>
      <c r="BO373" s="325"/>
      <c r="BP373" s="325"/>
      <c r="BQ373" s="325"/>
    </row>
    <row r="374" spans="1:69" ht="14.25" customHeight="1" x14ac:dyDescent="0.2">
      <c r="A374" s="28"/>
      <c r="B374" s="28"/>
      <c r="C374" s="28"/>
      <c r="D374" s="324"/>
      <c r="E374" s="324"/>
      <c r="F374" s="324"/>
      <c r="G374" s="324"/>
      <c r="H374" s="324"/>
      <c r="I374" s="324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  <c r="AF374" s="324"/>
      <c r="AG374" s="324"/>
      <c r="AH374" s="324"/>
      <c r="AI374" s="417"/>
      <c r="AJ374" s="324"/>
      <c r="AK374" s="324"/>
      <c r="AL374" s="324"/>
      <c r="AM374" s="324"/>
      <c r="AN374" s="324"/>
      <c r="AO374" s="324"/>
      <c r="AP374" s="324"/>
      <c r="AQ374" s="324"/>
      <c r="AR374" s="324"/>
      <c r="AS374" s="325"/>
      <c r="AT374" s="325"/>
      <c r="AU374" s="325"/>
      <c r="AV374" s="325"/>
      <c r="AW374" s="325"/>
      <c r="AX374" s="325"/>
      <c r="AY374" s="325"/>
      <c r="AZ374" s="325"/>
      <c r="BA374" s="325"/>
      <c r="BB374" s="325"/>
      <c r="BC374" s="325"/>
      <c r="BD374" s="325"/>
      <c r="BE374" s="325"/>
      <c r="BF374" s="325"/>
      <c r="BG374" s="325"/>
      <c r="BH374" s="325"/>
      <c r="BI374" s="325"/>
      <c r="BJ374" s="325"/>
      <c r="BK374" s="325"/>
      <c r="BL374" s="325"/>
      <c r="BM374" s="325"/>
      <c r="BN374" s="325"/>
      <c r="BO374" s="325"/>
      <c r="BP374" s="325"/>
      <c r="BQ374" s="325"/>
    </row>
    <row r="375" spans="1:69" ht="14.25" customHeight="1" x14ac:dyDescent="0.2">
      <c r="A375" s="28"/>
      <c r="B375" s="28"/>
      <c r="C375" s="28"/>
      <c r="D375" s="324"/>
      <c r="E375" s="324"/>
      <c r="F375" s="324"/>
      <c r="G375" s="324"/>
      <c r="H375" s="324"/>
      <c r="I375" s="324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  <c r="AF375" s="324"/>
      <c r="AG375" s="324"/>
      <c r="AH375" s="324"/>
      <c r="AI375" s="417"/>
      <c r="AJ375" s="324"/>
      <c r="AK375" s="324"/>
      <c r="AL375" s="324"/>
      <c r="AM375" s="324"/>
      <c r="AN375" s="324"/>
      <c r="AO375" s="324"/>
      <c r="AP375" s="324"/>
      <c r="AQ375" s="324"/>
      <c r="AR375" s="324"/>
      <c r="AS375" s="325"/>
      <c r="AT375" s="325"/>
      <c r="AU375" s="325"/>
      <c r="AV375" s="325"/>
      <c r="AW375" s="325"/>
      <c r="AX375" s="325"/>
      <c r="AY375" s="325"/>
      <c r="AZ375" s="325"/>
      <c r="BA375" s="325"/>
      <c r="BB375" s="325"/>
      <c r="BC375" s="325"/>
      <c r="BD375" s="325"/>
      <c r="BE375" s="325"/>
      <c r="BF375" s="325"/>
      <c r="BG375" s="325"/>
      <c r="BH375" s="325"/>
      <c r="BI375" s="325"/>
      <c r="BJ375" s="325"/>
      <c r="BK375" s="325"/>
      <c r="BL375" s="325"/>
      <c r="BM375" s="325"/>
      <c r="BN375" s="325"/>
      <c r="BO375" s="325"/>
      <c r="BP375" s="325"/>
      <c r="BQ375" s="325"/>
    </row>
    <row r="376" spans="1:69" ht="14.25" customHeight="1" x14ac:dyDescent="0.2">
      <c r="A376" s="28"/>
      <c r="B376" s="28"/>
      <c r="C376" s="28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  <c r="AF376" s="324"/>
      <c r="AG376" s="324"/>
      <c r="AH376" s="324"/>
      <c r="AI376" s="417"/>
      <c r="AJ376" s="324"/>
      <c r="AK376" s="324"/>
      <c r="AL376" s="324"/>
      <c r="AM376" s="324"/>
      <c r="AN376" s="324"/>
      <c r="AO376" s="324"/>
      <c r="AP376" s="324"/>
      <c r="AQ376" s="324"/>
      <c r="AR376" s="324"/>
      <c r="AS376" s="325"/>
      <c r="AT376" s="325"/>
      <c r="AU376" s="325"/>
      <c r="AV376" s="325"/>
      <c r="AW376" s="325"/>
      <c r="AX376" s="325"/>
      <c r="AY376" s="325"/>
      <c r="AZ376" s="325"/>
      <c r="BA376" s="325"/>
      <c r="BB376" s="325"/>
      <c r="BC376" s="325"/>
      <c r="BD376" s="325"/>
      <c r="BE376" s="325"/>
      <c r="BF376" s="325"/>
      <c r="BG376" s="325"/>
      <c r="BH376" s="325"/>
      <c r="BI376" s="325"/>
      <c r="BJ376" s="325"/>
      <c r="BK376" s="325"/>
      <c r="BL376" s="325"/>
      <c r="BM376" s="325"/>
      <c r="BN376" s="325"/>
      <c r="BO376" s="325"/>
      <c r="BP376" s="325"/>
      <c r="BQ376" s="325"/>
    </row>
    <row r="377" spans="1:69" ht="14.25" customHeight="1" x14ac:dyDescent="0.2">
      <c r="A377" s="28"/>
      <c r="B377" s="28"/>
      <c r="C377" s="28"/>
      <c r="D377" s="324"/>
      <c r="E377" s="324"/>
      <c r="F377" s="324"/>
      <c r="G377" s="324"/>
      <c r="H377" s="324"/>
      <c r="I377" s="324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  <c r="AF377" s="324"/>
      <c r="AG377" s="324"/>
      <c r="AH377" s="324"/>
      <c r="AI377" s="417"/>
      <c r="AJ377" s="324"/>
      <c r="AK377" s="324"/>
      <c r="AL377" s="324"/>
      <c r="AM377" s="324"/>
      <c r="AN377" s="324"/>
      <c r="AO377" s="324"/>
      <c r="AP377" s="324"/>
      <c r="AQ377" s="324"/>
      <c r="AR377" s="324"/>
      <c r="AS377" s="325"/>
      <c r="AT377" s="325"/>
      <c r="AU377" s="325"/>
      <c r="AV377" s="325"/>
      <c r="AW377" s="325"/>
      <c r="AX377" s="325"/>
      <c r="AY377" s="325"/>
      <c r="AZ377" s="325"/>
      <c r="BA377" s="325"/>
      <c r="BB377" s="325"/>
      <c r="BC377" s="325"/>
      <c r="BD377" s="325"/>
      <c r="BE377" s="325"/>
      <c r="BF377" s="325"/>
      <c r="BG377" s="325"/>
      <c r="BH377" s="325"/>
      <c r="BI377" s="325"/>
      <c r="BJ377" s="325"/>
      <c r="BK377" s="325"/>
      <c r="BL377" s="325"/>
      <c r="BM377" s="325"/>
      <c r="BN377" s="325"/>
      <c r="BO377" s="325"/>
      <c r="BP377" s="325"/>
      <c r="BQ377" s="325"/>
    </row>
    <row r="378" spans="1:69" ht="14.25" customHeight="1" x14ac:dyDescent="0.2">
      <c r="A378" s="28"/>
      <c r="B378" s="28"/>
      <c r="C378" s="28"/>
      <c r="D378" s="324"/>
      <c r="E378" s="324"/>
      <c r="F378" s="324"/>
      <c r="G378" s="324"/>
      <c r="H378" s="324"/>
      <c r="I378" s="324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  <c r="AF378" s="324"/>
      <c r="AG378" s="324"/>
      <c r="AH378" s="324"/>
      <c r="AI378" s="417"/>
      <c r="AJ378" s="324"/>
      <c r="AK378" s="324"/>
      <c r="AL378" s="324"/>
      <c r="AM378" s="324"/>
      <c r="AN378" s="324"/>
      <c r="AO378" s="324"/>
      <c r="AP378" s="324"/>
      <c r="AQ378" s="324"/>
      <c r="AR378" s="324"/>
      <c r="AS378" s="325"/>
      <c r="AT378" s="325"/>
      <c r="AU378" s="325"/>
      <c r="AV378" s="325"/>
      <c r="AW378" s="325"/>
      <c r="AX378" s="325"/>
      <c r="AY378" s="325"/>
      <c r="AZ378" s="325"/>
      <c r="BA378" s="325"/>
      <c r="BB378" s="325"/>
      <c r="BC378" s="325"/>
      <c r="BD378" s="325"/>
      <c r="BE378" s="325"/>
      <c r="BF378" s="325"/>
      <c r="BG378" s="325"/>
      <c r="BH378" s="325"/>
      <c r="BI378" s="325"/>
      <c r="BJ378" s="325"/>
      <c r="BK378" s="325"/>
      <c r="BL378" s="325"/>
      <c r="BM378" s="325"/>
      <c r="BN378" s="325"/>
      <c r="BO378" s="325"/>
      <c r="BP378" s="325"/>
      <c r="BQ378" s="325"/>
    </row>
    <row r="379" spans="1:69" ht="14.25" customHeight="1" x14ac:dyDescent="0.2">
      <c r="A379" s="28"/>
      <c r="B379" s="28"/>
      <c r="C379" s="28"/>
      <c r="D379" s="324"/>
      <c r="E379" s="324"/>
      <c r="F379" s="324"/>
      <c r="G379" s="324"/>
      <c r="H379" s="324"/>
      <c r="I379" s="324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  <c r="AF379" s="324"/>
      <c r="AG379" s="324"/>
      <c r="AH379" s="324"/>
      <c r="AI379" s="417"/>
      <c r="AJ379" s="324"/>
      <c r="AK379" s="324"/>
      <c r="AL379" s="324"/>
      <c r="AM379" s="324"/>
      <c r="AN379" s="324"/>
      <c r="AO379" s="324"/>
      <c r="AP379" s="324"/>
      <c r="AQ379" s="324"/>
      <c r="AR379" s="324"/>
      <c r="AS379" s="325"/>
      <c r="AT379" s="325"/>
      <c r="AU379" s="325"/>
      <c r="AV379" s="325"/>
      <c r="AW379" s="325"/>
      <c r="AX379" s="325"/>
      <c r="AY379" s="325"/>
      <c r="AZ379" s="325"/>
      <c r="BA379" s="325"/>
      <c r="BB379" s="325"/>
      <c r="BC379" s="325"/>
      <c r="BD379" s="325"/>
      <c r="BE379" s="325"/>
      <c r="BF379" s="325"/>
      <c r="BG379" s="325"/>
      <c r="BH379" s="325"/>
      <c r="BI379" s="325"/>
      <c r="BJ379" s="325"/>
      <c r="BK379" s="325"/>
      <c r="BL379" s="325"/>
      <c r="BM379" s="325"/>
      <c r="BN379" s="325"/>
      <c r="BO379" s="325"/>
      <c r="BP379" s="325"/>
      <c r="BQ379" s="325"/>
    </row>
    <row r="380" spans="1:69" ht="14.25" customHeight="1" x14ac:dyDescent="0.2">
      <c r="A380" s="28"/>
      <c r="B380" s="28"/>
      <c r="C380" s="28"/>
      <c r="D380" s="324"/>
      <c r="E380" s="324"/>
      <c r="F380" s="324"/>
      <c r="G380" s="324"/>
      <c r="H380" s="324"/>
      <c r="I380" s="324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  <c r="AF380" s="324"/>
      <c r="AG380" s="324"/>
      <c r="AH380" s="324"/>
      <c r="AI380" s="417"/>
      <c r="AJ380" s="324"/>
      <c r="AK380" s="324"/>
      <c r="AL380" s="324"/>
      <c r="AM380" s="324"/>
      <c r="AN380" s="324"/>
      <c r="AO380" s="324"/>
      <c r="AP380" s="324"/>
      <c r="AQ380" s="324"/>
      <c r="AR380" s="324"/>
      <c r="AS380" s="325"/>
      <c r="AT380" s="325"/>
      <c r="AU380" s="325"/>
      <c r="AV380" s="325"/>
      <c r="AW380" s="325"/>
      <c r="AX380" s="325"/>
      <c r="AY380" s="325"/>
      <c r="AZ380" s="325"/>
      <c r="BA380" s="325"/>
      <c r="BB380" s="325"/>
      <c r="BC380" s="325"/>
      <c r="BD380" s="325"/>
      <c r="BE380" s="325"/>
      <c r="BF380" s="325"/>
      <c r="BG380" s="325"/>
      <c r="BH380" s="325"/>
      <c r="BI380" s="325"/>
      <c r="BJ380" s="325"/>
      <c r="BK380" s="325"/>
      <c r="BL380" s="325"/>
      <c r="BM380" s="325"/>
      <c r="BN380" s="325"/>
      <c r="BO380" s="325"/>
      <c r="BP380" s="325"/>
      <c r="BQ380" s="325"/>
    </row>
    <row r="381" spans="1:69" ht="14.25" customHeight="1" x14ac:dyDescent="0.2">
      <c r="A381" s="28"/>
      <c r="B381" s="28"/>
      <c r="C381" s="28"/>
      <c r="D381" s="324"/>
      <c r="E381" s="324"/>
      <c r="F381" s="324"/>
      <c r="G381" s="324"/>
      <c r="H381" s="324"/>
      <c r="I381" s="324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  <c r="AF381" s="324"/>
      <c r="AG381" s="324"/>
      <c r="AH381" s="324"/>
      <c r="AI381" s="417"/>
      <c r="AJ381" s="324"/>
      <c r="AK381" s="324"/>
      <c r="AL381" s="324"/>
      <c r="AM381" s="324"/>
      <c r="AN381" s="324"/>
      <c r="AO381" s="324"/>
      <c r="AP381" s="324"/>
      <c r="AQ381" s="324"/>
      <c r="AR381" s="324"/>
      <c r="AS381" s="325"/>
      <c r="AT381" s="325"/>
      <c r="AU381" s="325"/>
      <c r="AV381" s="325"/>
      <c r="AW381" s="325"/>
      <c r="AX381" s="325"/>
      <c r="AY381" s="325"/>
      <c r="AZ381" s="325"/>
      <c r="BA381" s="325"/>
      <c r="BB381" s="325"/>
      <c r="BC381" s="325"/>
      <c r="BD381" s="325"/>
      <c r="BE381" s="325"/>
      <c r="BF381" s="325"/>
      <c r="BG381" s="325"/>
      <c r="BH381" s="325"/>
      <c r="BI381" s="325"/>
      <c r="BJ381" s="325"/>
      <c r="BK381" s="325"/>
      <c r="BL381" s="325"/>
      <c r="BM381" s="325"/>
      <c r="BN381" s="325"/>
      <c r="BO381" s="325"/>
      <c r="BP381" s="325"/>
      <c r="BQ381" s="325"/>
    </row>
    <row r="382" spans="1:69" ht="14.25" customHeight="1" x14ac:dyDescent="0.2">
      <c r="A382" s="28"/>
      <c r="B382" s="28"/>
      <c r="C382" s="28"/>
      <c r="D382" s="324"/>
      <c r="E382" s="324"/>
      <c r="F382" s="324"/>
      <c r="G382" s="324"/>
      <c r="H382" s="324"/>
      <c r="I382" s="324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  <c r="AF382" s="324"/>
      <c r="AG382" s="324"/>
      <c r="AH382" s="324"/>
      <c r="AI382" s="417"/>
      <c r="AJ382" s="324"/>
      <c r="AK382" s="324"/>
      <c r="AL382" s="324"/>
      <c r="AM382" s="324"/>
      <c r="AN382" s="324"/>
      <c r="AO382" s="324"/>
      <c r="AP382" s="324"/>
      <c r="AQ382" s="324"/>
      <c r="AR382" s="324"/>
      <c r="AS382" s="325"/>
      <c r="AT382" s="325"/>
      <c r="AU382" s="325"/>
      <c r="AV382" s="325"/>
      <c r="AW382" s="325"/>
      <c r="AX382" s="325"/>
      <c r="AY382" s="325"/>
      <c r="AZ382" s="325"/>
      <c r="BA382" s="325"/>
      <c r="BB382" s="325"/>
      <c r="BC382" s="325"/>
      <c r="BD382" s="325"/>
      <c r="BE382" s="325"/>
      <c r="BF382" s="325"/>
      <c r="BG382" s="325"/>
      <c r="BH382" s="325"/>
      <c r="BI382" s="325"/>
      <c r="BJ382" s="325"/>
      <c r="BK382" s="325"/>
      <c r="BL382" s="325"/>
      <c r="BM382" s="325"/>
      <c r="BN382" s="325"/>
      <c r="BO382" s="325"/>
      <c r="BP382" s="325"/>
      <c r="BQ382" s="325"/>
    </row>
    <row r="383" spans="1:69" ht="14.25" customHeight="1" x14ac:dyDescent="0.2">
      <c r="A383" s="28"/>
      <c r="B383" s="28"/>
      <c r="C383" s="28"/>
      <c r="D383" s="324"/>
      <c r="E383" s="324"/>
      <c r="F383" s="324"/>
      <c r="G383" s="324"/>
      <c r="H383" s="324"/>
      <c r="I383" s="324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  <c r="AF383" s="324"/>
      <c r="AG383" s="324"/>
      <c r="AH383" s="324"/>
      <c r="AI383" s="417"/>
      <c r="AJ383" s="324"/>
      <c r="AK383" s="324"/>
      <c r="AL383" s="324"/>
      <c r="AM383" s="324"/>
      <c r="AN383" s="324"/>
      <c r="AO383" s="324"/>
      <c r="AP383" s="324"/>
      <c r="AQ383" s="324"/>
      <c r="AR383" s="324"/>
      <c r="AS383" s="325"/>
      <c r="AT383" s="325"/>
      <c r="AU383" s="325"/>
      <c r="AV383" s="325"/>
      <c r="AW383" s="325"/>
      <c r="AX383" s="325"/>
      <c r="AY383" s="325"/>
      <c r="AZ383" s="325"/>
      <c r="BA383" s="325"/>
      <c r="BB383" s="325"/>
      <c r="BC383" s="325"/>
      <c r="BD383" s="325"/>
      <c r="BE383" s="325"/>
      <c r="BF383" s="325"/>
      <c r="BG383" s="325"/>
      <c r="BH383" s="325"/>
      <c r="BI383" s="325"/>
      <c r="BJ383" s="325"/>
      <c r="BK383" s="325"/>
      <c r="BL383" s="325"/>
      <c r="BM383" s="325"/>
      <c r="BN383" s="325"/>
      <c r="BO383" s="325"/>
      <c r="BP383" s="325"/>
      <c r="BQ383" s="325"/>
    </row>
    <row r="384" spans="1:69" ht="14.25" customHeight="1" x14ac:dyDescent="0.2">
      <c r="A384" s="28"/>
      <c r="B384" s="28"/>
      <c r="C384" s="28"/>
      <c r="D384" s="324"/>
      <c r="E384" s="324"/>
      <c r="F384" s="324"/>
      <c r="G384" s="324"/>
      <c r="H384" s="324"/>
      <c r="I384" s="324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  <c r="AF384" s="324"/>
      <c r="AG384" s="324"/>
      <c r="AH384" s="324"/>
      <c r="AI384" s="417"/>
      <c r="AJ384" s="324"/>
      <c r="AK384" s="324"/>
      <c r="AL384" s="324"/>
      <c r="AM384" s="324"/>
      <c r="AN384" s="324"/>
      <c r="AO384" s="324"/>
      <c r="AP384" s="324"/>
      <c r="AQ384" s="324"/>
      <c r="AR384" s="324"/>
      <c r="AS384" s="325"/>
      <c r="AT384" s="325"/>
      <c r="AU384" s="325"/>
      <c r="AV384" s="325"/>
      <c r="AW384" s="325"/>
      <c r="AX384" s="325"/>
      <c r="AY384" s="325"/>
      <c r="AZ384" s="325"/>
      <c r="BA384" s="325"/>
      <c r="BB384" s="325"/>
      <c r="BC384" s="325"/>
      <c r="BD384" s="325"/>
      <c r="BE384" s="325"/>
      <c r="BF384" s="325"/>
      <c r="BG384" s="325"/>
      <c r="BH384" s="325"/>
      <c r="BI384" s="325"/>
      <c r="BJ384" s="325"/>
      <c r="BK384" s="325"/>
      <c r="BL384" s="325"/>
      <c r="BM384" s="325"/>
      <c r="BN384" s="325"/>
      <c r="BO384" s="325"/>
      <c r="BP384" s="325"/>
      <c r="BQ384" s="325"/>
    </row>
    <row r="385" spans="1:69" ht="14.25" customHeight="1" x14ac:dyDescent="0.2">
      <c r="A385" s="28"/>
      <c r="B385" s="28"/>
      <c r="C385" s="28"/>
      <c r="D385" s="324"/>
      <c r="E385" s="324"/>
      <c r="F385" s="324"/>
      <c r="G385" s="324"/>
      <c r="H385" s="324"/>
      <c r="I385" s="324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  <c r="AF385" s="324"/>
      <c r="AG385" s="324"/>
      <c r="AH385" s="324"/>
      <c r="AI385" s="417"/>
      <c r="AJ385" s="324"/>
      <c r="AK385" s="324"/>
      <c r="AL385" s="324"/>
      <c r="AM385" s="324"/>
      <c r="AN385" s="324"/>
      <c r="AO385" s="324"/>
      <c r="AP385" s="324"/>
      <c r="AQ385" s="324"/>
      <c r="AR385" s="324"/>
      <c r="AS385" s="325"/>
      <c r="AT385" s="325"/>
      <c r="AU385" s="325"/>
      <c r="AV385" s="325"/>
      <c r="AW385" s="325"/>
      <c r="AX385" s="325"/>
      <c r="AY385" s="325"/>
      <c r="AZ385" s="325"/>
      <c r="BA385" s="325"/>
      <c r="BB385" s="325"/>
      <c r="BC385" s="325"/>
      <c r="BD385" s="325"/>
      <c r="BE385" s="325"/>
      <c r="BF385" s="325"/>
      <c r="BG385" s="325"/>
      <c r="BH385" s="325"/>
      <c r="BI385" s="325"/>
      <c r="BJ385" s="325"/>
      <c r="BK385" s="325"/>
      <c r="BL385" s="325"/>
      <c r="BM385" s="325"/>
      <c r="BN385" s="325"/>
      <c r="BO385" s="325"/>
      <c r="BP385" s="325"/>
      <c r="BQ385" s="325"/>
    </row>
    <row r="386" spans="1:69" ht="14.25" customHeight="1" x14ac:dyDescent="0.2">
      <c r="A386" s="28"/>
      <c r="B386" s="28"/>
      <c r="C386" s="28"/>
      <c r="D386" s="324"/>
      <c r="E386" s="324"/>
      <c r="F386" s="324"/>
      <c r="G386" s="324"/>
      <c r="H386" s="324"/>
      <c r="I386" s="324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  <c r="AF386" s="324"/>
      <c r="AG386" s="324"/>
      <c r="AH386" s="324"/>
      <c r="AI386" s="417"/>
      <c r="AJ386" s="324"/>
      <c r="AK386" s="324"/>
      <c r="AL386" s="324"/>
      <c r="AM386" s="324"/>
      <c r="AN386" s="324"/>
      <c r="AO386" s="324"/>
      <c r="AP386" s="324"/>
      <c r="AQ386" s="324"/>
      <c r="AR386" s="324"/>
      <c r="AS386" s="325"/>
      <c r="AT386" s="325"/>
      <c r="AU386" s="325"/>
      <c r="AV386" s="325"/>
      <c r="AW386" s="325"/>
      <c r="AX386" s="325"/>
      <c r="AY386" s="325"/>
      <c r="AZ386" s="325"/>
      <c r="BA386" s="325"/>
      <c r="BB386" s="325"/>
      <c r="BC386" s="325"/>
      <c r="BD386" s="325"/>
      <c r="BE386" s="325"/>
      <c r="BF386" s="325"/>
      <c r="BG386" s="325"/>
      <c r="BH386" s="325"/>
      <c r="BI386" s="325"/>
      <c r="BJ386" s="325"/>
      <c r="BK386" s="325"/>
      <c r="BL386" s="325"/>
      <c r="BM386" s="325"/>
      <c r="BN386" s="325"/>
      <c r="BO386" s="325"/>
      <c r="BP386" s="325"/>
      <c r="BQ386" s="325"/>
    </row>
    <row r="387" spans="1:69" ht="14.25" customHeight="1" x14ac:dyDescent="0.2">
      <c r="A387" s="28"/>
      <c r="B387" s="28"/>
      <c r="C387" s="28"/>
      <c r="D387" s="324"/>
      <c r="E387" s="324"/>
      <c r="F387" s="324"/>
      <c r="G387" s="324"/>
      <c r="H387" s="324"/>
      <c r="I387" s="324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  <c r="AF387" s="324"/>
      <c r="AG387" s="324"/>
      <c r="AH387" s="324"/>
      <c r="AI387" s="417"/>
      <c r="AJ387" s="324"/>
      <c r="AK387" s="324"/>
      <c r="AL387" s="324"/>
      <c r="AM387" s="324"/>
      <c r="AN387" s="324"/>
      <c r="AO387" s="324"/>
      <c r="AP387" s="324"/>
      <c r="AQ387" s="324"/>
      <c r="AR387" s="324"/>
      <c r="AS387" s="325"/>
      <c r="AT387" s="325"/>
      <c r="AU387" s="325"/>
      <c r="AV387" s="325"/>
      <c r="AW387" s="325"/>
      <c r="AX387" s="325"/>
      <c r="AY387" s="325"/>
      <c r="AZ387" s="325"/>
      <c r="BA387" s="325"/>
      <c r="BB387" s="325"/>
      <c r="BC387" s="325"/>
      <c r="BD387" s="325"/>
      <c r="BE387" s="325"/>
      <c r="BF387" s="325"/>
      <c r="BG387" s="325"/>
      <c r="BH387" s="325"/>
      <c r="BI387" s="325"/>
      <c r="BJ387" s="325"/>
      <c r="BK387" s="325"/>
      <c r="BL387" s="325"/>
      <c r="BM387" s="325"/>
      <c r="BN387" s="325"/>
      <c r="BO387" s="325"/>
      <c r="BP387" s="325"/>
      <c r="BQ387" s="325"/>
    </row>
    <row r="388" spans="1:69" ht="14.25" customHeight="1" x14ac:dyDescent="0.2">
      <c r="A388" s="28"/>
      <c r="B388" s="28"/>
      <c r="C388" s="28"/>
      <c r="D388" s="324"/>
      <c r="E388" s="324"/>
      <c r="F388" s="324"/>
      <c r="G388" s="324"/>
      <c r="H388" s="324"/>
      <c r="I388" s="324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  <c r="AF388" s="324"/>
      <c r="AG388" s="324"/>
      <c r="AH388" s="324"/>
      <c r="AI388" s="417"/>
      <c r="AJ388" s="324"/>
      <c r="AK388" s="324"/>
      <c r="AL388" s="324"/>
      <c r="AM388" s="324"/>
      <c r="AN388" s="324"/>
      <c r="AO388" s="324"/>
      <c r="AP388" s="324"/>
      <c r="AQ388" s="324"/>
      <c r="AR388" s="324"/>
      <c r="AS388" s="325"/>
      <c r="AT388" s="325"/>
      <c r="AU388" s="325"/>
      <c r="AV388" s="325"/>
      <c r="AW388" s="325"/>
      <c r="AX388" s="325"/>
      <c r="AY388" s="325"/>
      <c r="AZ388" s="325"/>
      <c r="BA388" s="325"/>
      <c r="BB388" s="325"/>
      <c r="BC388" s="325"/>
      <c r="BD388" s="325"/>
      <c r="BE388" s="325"/>
      <c r="BF388" s="325"/>
      <c r="BG388" s="325"/>
      <c r="BH388" s="325"/>
      <c r="BI388" s="325"/>
      <c r="BJ388" s="325"/>
      <c r="BK388" s="325"/>
      <c r="BL388" s="325"/>
      <c r="BM388" s="325"/>
      <c r="BN388" s="325"/>
      <c r="BO388" s="325"/>
      <c r="BP388" s="325"/>
      <c r="BQ388" s="325"/>
    </row>
    <row r="389" spans="1:69" ht="14.25" customHeight="1" x14ac:dyDescent="0.2">
      <c r="A389" s="28"/>
      <c r="B389" s="28"/>
      <c r="C389" s="28"/>
      <c r="D389" s="324"/>
      <c r="E389" s="324"/>
      <c r="F389" s="324"/>
      <c r="G389" s="324"/>
      <c r="H389" s="324"/>
      <c r="I389" s="324"/>
      <c r="J389" s="324"/>
      <c r="K389" s="324"/>
      <c r="L389" s="324"/>
      <c r="M389" s="324"/>
      <c r="N389" s="324"/>
      <c r="O389" s="324"/>
      <c r="P389" s="324"/>
      <c r="Q389" s="324"/>
      <c r="R389" s="324"/>
      <c r="S389" s="324"/>
      <c r="T389" s="3"/>
      <c r="U389" s="324"/>
      <c r="V389" s="324"/>
      <c r="W389" s="324"/>
      <c r="X389" s="324"/>
      <c r="Y389" s="324"/>
      <c r="Z389" s="324"/>
      <c r="AA389" s="324"/>
      <c r="AB389" s="324"/>
      <c r="AC389" s="324"/>
      <c r="AD389" s="324"/>
      <c r="AE389" s="324"/>
      <c r="AF389" s="324"/>
      <c r="AG389" s="324"/>
      <c r="AH389" s="324"/>
      <c r="AI389" s="417"/>
      <c r="AJ389" s="324"/>
      <c r="AK389" s="324"/>
      <c r="AL389" s="324"/>
      <c r="AM389" s="324"/>
      <c r="AN389" s="324"/>
      <c r="AO389" s="324"/>
      <c r="AP389" s="324"/>
      <c r="AQ389" s="324"/>
      <c r="AR389" s="324"/>
      <c r="AS389" s="325"/>
      <c r="AT389" s="325"/>
      <c r="AU389" s="325"/>
      <c r="AV389" s="325"/>
      <c r="AW389" s="325"/>
      <c r="AX389" s="325"/>
      <c r="AY389" s="325"/>
      <c r="AZ389" s="325"/>
      <c r="BA389" s="325"/>
      <c r="BB389" s="325"/>
      <c r="BC389" s="325"/>
      <c r="BD389" s="325"/>
      <c r="BE389" s="325"/>
      <c r="BF389" s="325"/>
      <c r="BG389" s="325"/>
      <c r="BH389" s="325"/>
      <c r="BI389" s="325"/>
      <c r="BJ389" s="325"/>
      <c r="BK389" s="325"/>
      <c r="BL389" s="325"/>
      <c r="BM389" s="325"/>
      <c r="BN389" s="325"/>
      <c r="BO389" s="325"/>
      <c r="BP389" s="325"/>
      <c r="BQ389" s="325"/>
    </row>
    <row r="390" spans="1:69" ht="14.25" customHeight="1" x14ac:dyDescent="0.2">
      <c r="A390" s="28"/>
      <c r="B390" s="28"/>
      <c r="C390" s="28"/>
      <c r="D390" s="324"/>
      <c r="E390" s="324"/>
      <c r="F390" s="324"/>
      <c r="G390" s="324"/>
      <c r="H390" s="324"/>
      <c r="I390" s="324"/>
      <c r="J390" s="324"/>
      <c r="K390" s="324"/>
      <c r="L390" s="324"/>
      <c r="M390" s="324"/>
      <c r="N390" s="324"/>
      <c r="O390" s="324"/>
      <c r="P390" s="324"/>
      <c r="Q390" s="324"/>
      <c r="R390" s="324"/>
      <c r="S390" s="324"/>
      <c r="T390" s="3"/>
      <c r="U390" s="324"/>
      <c r="V390" s="324"/>
      <c r="W390" s="324"/>
      <c r="X390" s="324"/>
      <c r="Y390" s="324"/>
      <c r="Z390" s="324"/>
      <c r="AA390" s="324"/>
      <c r="AB390" s="324"/>
      <c r="AC390" s="324"/>
      <c r="AD390" s="324"/>
      <c r="AE390" s="324"/>
      <c r="AF390" s="324"/>
      <c r="AG390" s="324"/>
      <c r="AH390" s="324"/>
      <c r="AI390" s="417"/>
      <c r="AJ390" s="324"/>
      <c r="AK390" s="324"/>
      <c r="AL390" s="324"/>
      <c r="AM390" s="324"/>
      <c r="AN390" s="324"/>
      <c r="AO390" s="324"/>
      <c r="AP390" s="324"/>
      <c r="AQ390" s="324"/>
      <c r="AR390" s="324"/>
      <c r="AS390" s="325"/>
      <c r="AT390" s="325"/>
      <c r="AU390" s="325"/>
      <c r="AV390" s="325"/>
      <c r="AW390" s="325"/>
      <c r="AX390" s="325"/>
      <c r="AY390" s="325"/>
      <c r="AZ390" s="325"/>
      <c r="BA390" s="325"/>
      <c r="BB390" s="325"/>
      <c r="BC390" s="325"/>
      <c r="BD390" s="325"/>
      <c r="BE390" s="325"/>
      <c r="BF390" s="325"/>
      <c r="BG390" s="325"/>
      <c r="BH390" s="325"/>
      <c r="BI390" s="325"/>
      <c r="BJ390" s="325"/>
      <c r="BK390" s="325"/>
      <c r="BL390" s="325"/>
      <c r="BM390" s="325"/>
      <c r="BN390" s="325"/>
      <c r="BO390" s="325"/>
      <c r="BP390" s="325"/>
      <c r="BQ390" s="325"/>
    </row>
    <row r="391" spans="1:69" ht="14.25" customHeight="1" x14ac:dyDescent="0.2">
      <c r="A391" s="28"/>
      <c r="B391" s="28"/>
      <c r="C391" s="28"/>
      <c r="D391" s="324"/>
      <c r="E391" s="324"/>
      <c r="F391" s="324"/>
      <c r="G391" s="324"/>
      <c r="H391" s="324"/>
      <c r="I391" s="324"/>
      <c r="J391" s="324"/>
      <c r="K391" s="324"/>
      <c r="L391" s="324"/>
      <c r="M391" s="324"/>
      <c r="N391" s="324"/>
      <c r="O391" s="324"/>
      <c r="P391" s="324"/>
      <c r="Q391" s="324"/>
      <c r="R391" s="324"/>
      <c r="S391" s="324"/>
      <c r="T391" s="3"/>
      <c r="U391" s="324"/>
      <c r="V391" s="324"/>
      <c r="W391" s="324"/>
      <c r="X391" s="324"/>
      <c r="Y391" s="324"/>
      <c r="Z391" s="324"/>
      <c r="AA391" s="324"/>
      <c r="AB391" s="324"/>
      <c r="AC391" s="324"/>
      <c r="AD391" s="324"/>
      <c r="AE391" s="324"/>
      <c r="AF391" s="324"/>
      <c r="AG391" s="324"/>
      <c r="AH391" s="324"/>
      <c r="AI391" s="417"/>
      <c r="AJ391" s="324"/>
      <c r="AK391" s="324"/>
      <c r="AL391" s="324"/>
      <c r="AM391" s="324"/>
      <c r="AN391" s="324"/>
      <c r="AO391" s="324"/>
      <c r="AP391" s="324"/>
      <c r="AQ391" s="324"/>
      <c r="AR391" s="324"/>
      <c r="AS391" s="325"/>
      <c r="AT391" s="325"/>
      <c r="AU391" s="325"/>
      <c r="AV391" s="325"/>
      <c r="AW391" s="325"/>
      <c r="AX391" s="325"/>
      <c r="AY391" s="325"/>
      <c r="AZ391" s="325"/>
      <c r="BA391" s="325"/>
      <c r="BB391" s="325"/>
      <c r="BC391" s="325"/>
      <c r="BD391" s="325"/>
      <c r="BE391" s="325"/>
      <c r="BF391" s="325"/>
      <c r="BG391" s="325"/>
      <c r="BH391" s="325"/>
      <c r="BI391" s="325"/>
      <c r="BJ391" s="325"/>
      <c r="BK391" s="325"/>
      <c r="BL391" s="325"/>
      <c r="BM391" s="325"/>
      <c r="BN391" s="325"/>
      <c r="BO391" s="325"/>
      <c r="BP391" s="325"/>
      <c r="BQ391" s="325"/>
    </row>
    <row r="392" spans="1:69" ht="14.25" customHeight="1" x14ac:dyDescent="0.2">
      <c r="A392" s="28"/>
      <c r="B392" s="28"/>
      <c r="C392" s="28"/>
      <c r="D392" s="324"/>
      <c r="E392" s="324"/>
      <c r="F392" s="324"/>
      <c r="G392" s="324"/>
      <c r="H392" s="324"/>
      <c r="I392" s="324"/>
      <c r="J392" s="324"/>
      <c r="K392" s="324"/>
      <c r="L392" s="324"/>
      <c r="M392" s="324"/>
      <c r="N392" s="324"/>
      <c r="O392" s="324"/>
      <c r="P392" s="324"/>
      <c r="Q392" s="324"/>
      <c r="R392" s="324"/>
      <c r="S392" s="324"/>
      <c r="T392" s="3"/>
      <c r="U392" s="324"/>
      <c r="V392" s="324"/>
      <c r="W392" s="324"/>
      <c r="X392" s="324"/>
      <c r="Y392" s="324"/>
      <c r="Z392" s="324"/>
      <c r="AA392" s="324"/>
      <c r="AB392" s="324"/>
      <c r="AC392" s="324"/>
      <c r="AD392" s="324"/>
      <c r="AE392" s="324"/>
      <c r="AF392" s="324"/>
      <c r="AG392" s="324"/>
      <c r="AH392" s="324"/>
      <c r="AI392" s="417"/>
      <c r="AJ392" s="324"/>
      <c r="AK392" s="324"/>
      <c r="AL392" s="324"/>
      <c r="AM392" s="324"/>
      <c r="AN392" s="324"/>
      <c r="AO392" s="324"/>
      <c r="AP392" s="324"/>
      <c r="AQ392" s="324"/>
      <c r="AR392" s="324"/>
      <c r="AS392" s="325"/>
      <c r="AT392" s="325"/>
      <c r="AU392" s="325"/>
      <c r="AV392" s="325"/>
      <c r="AW392" s="325"/>
      <c r="AX392" s="325"/>
      <c r="AY392" s="325"/>
      <c r="AZ392" s="325"/>
      <c r="BA392" s="325"/>
      <c r="BB392" s="325"/>
      <c r="BC392" s="325"/>
      <c r="BD392" s="325"/>
      <c r="BE392" s="325"/>
      <c r="BF392" s="325"/>
      <c r="BG392" s="325"/>
      <c r="BH392" s="325"/>
      <c r="BI392" s="325"/>
      <c r="BJ392" s="325"/>
      <c r="BK392" s="325"/>
      <c r="BL392" s="325"/>
      <c r="BM392" s="325"/>
      <c r="BN392" s="325"/>
      <c r="BO392" s="325"/>
      <c r="BP392" s="325"/>
      <c r="BQ392" s="325"/>
    </row>
    <row r="393" spans="1:69" ht="14.25" customHeight="1" x14ac:dyDescent="0.2">
      <c r="A393" s="28"/>
      <c r="B393" s="28"/>
      <c r="C393" s="28"/>
      <c r="D393" s="324"/>
      <c r="E393" s="324"/>
      <c r="F393" s="324"/>
      <c r="G393" s="324"/>
      <c r="H393" s="324"/>
      <c r="I393" s="324"/>
      <c r="J393" s="324"/>
      <c r="K393" s="324"/>
      <c r="L393" s="324"/>
      <c r="M393" s="324"/>
      <c r="N393" s="324"/>
      <c r="O393" s="324"/>
      <c r="P393" s="324"/>
      <c r="Q393" s="324"/>
      <c r="R393" s="324"/>
      <c r="S393" s="324"/>
      <c r="T393" s="3"/>
      <c r="U393" s="324"/>
      <c r="V393" s="324"/>
      <c r="W393" s="324"/>
      <c r="X393" s="324"/>
      <c r="Y393" s="324"/>
      <c r="Z393" s="324"/>
      <c r="AA393" s="324"/>
      <c r="AB393" s="324"/>
      <c r="AC393" s="324"/>
      <c r="AD393" s="324"/>
      <c r="AE393" s="324"/>
      <c r="AF393" s="324"/>
      <c r="AG393" s="324"/>
      <c r="AH393" s="324"/>
      <c r="AI393" s="417"/>
      <c r="AJ393" s="324"/>
      <c r="AK393" s="324"/>
      <c r="AL393" s="324"/>
      <c r="AM393" s="324"/>
      <c r="AN393" s="324"/>
      <c r="AO393" s="324"/>
      <c r="AP393" s="324"/>
      <c r="AQ393" s="324"/>
      <c r="AR393" s="324"/>
      <c r="AS393" s="325"/>
      <c r="AT393" s="325"/>
      <c r="AU393" s="325"/>
      <c r="AV393" s="325"/>
      <c r="AW393" s="325"/>
      <c r="AX393" s="325"/>
      <c r="AY393" s="325"/>
      <c r="AZ393" s="325"/>
      <c r="BA393" s="325"/>
      <c r="BB393" s="325"/>
      <c r="BC393" s="325"/>
      <c r="BD393" s="325"/>
      <c r="BE393" s="325"/>
      <c r="BF393" s="325"/>
      <c r="BG393" s="325"/>
      <c r="BH393" s="325"/>
      <c r="BI393" s="325"/>
      <c r="BJ393" s="325"/>
      <c r="BK393" s="325"/>
      <c r="BL393" s="325"/>
      <c r="BM393" s="325"/>
      <c r="BN393" s="325"/>
      <c r="BO393" s="325"/>
      <c r="BP393" s="325"/>
      <c r="BQ393" s="325"/>
    </row>
    <row r="394" spans="1:69" ht="14.25" customHeight="1" x14ac:dyDescent="0.2">
      <c r="A394" s="28"/>
      <c r="B394" s="28"/>
      <c r="C394" s="28"/>
      <c r="D394" s="324"/>
      <c r="E394" s="324"/>
      <c r="F394" s="324"/>
      <c r="G394" s="324"/>
      <c r="H394" s="324"/>
      <c r="I394" s="324"/>
      <c r="J394" s="324"/>
      <c r="K394" s="324"/>
      <c r="L394" s="324"/>
      <c r="M394" s="324"/>
      <c r="N394" s="324"/>
      <c r="O394" s="324"/>
      <c r="P394" s="324"/>
      <c r="Q394" s="324"/>
      <c r="R394" s="324"/>
      <c r="S394" s="324"/>
      <c r="T394" s="3"/>
      <c r="U394" s="324"/>
      <c r="V394" s="324"/>
      <c r="W394" s="324"/>
      <c r="X394" s="324"/>
      <c r="Y394" s="324"/>
      <c r="Z394" s="324"/>
      <c r="AA394" s="324"/>
      <c r="AB394" s="324"/>
      <c r="AC394" s="324"/>
      <c r="AD394" s="324"/>
      <c r="AE394" s="324"/>
      <c r="AF394" s="324"/>
      <c r="AG394" s="324"/>
      <c r="AH394" s="324"/>
      <c r="AI394" s="417"/>
      <c r="AJ394" s="324"/>
      <c r="AK394" s="324"/>
      <c r="AL394" s="324"/>
      <c r="AM394" s="324"/>
      <c r="AN394" s="324"/>
      <c r="AO394" s="324"/>
      <c r="AP394" s="324"/>
      <c r="AQ394" s="324"/>
      <c r="AR394" s="324"/>
      <c r="AS394" s="325"/>
      <c r="AT394" s="325"/>
      <c r="AU394" s="325"/>
      <c r="AV394" s="325"/>
      <c r="AW394" s="325"/>
      <c r="AX394" s="325"/>
      <c r="AY394" s="325"/>
      <c r="AZ394" s="325"/>
      <c r="BA394" s="325"/>
      <c r="BB394" s="325"/>
      <c r="BC394" s="325"/>
      <c r="BD394" s="325"/>
      <c r="BE394" s="325"/>
      <c r="BF394" s="325"/>
      <c r="BG394" s="325"/>
      <c r="BH394" s="325"/>
      <c r="BI394" s="325"/>
      <c r="BJ394" s="325"/>
      <c r="BK394" s="325"/>
      <c r="BL394" s="325"/>
      <c r="BM394" s="325"/>
      <c r="BN394" s="325"/>
      <c r="BO394" s="325"/>
      <c r="BP394" s="325"/>
      <c r="BQ394" s="325"/>
    </row>
    <row r="395" spans="1:69" ht="14.25" customHeight="1" x14ac:dyDescent="0.2">
      <c r="A395" s="28"/>
      <c r="B395" s="28"/>
      <c r="C395" s="28"/>
      <c r="D395" s="324"/>
      <c r="E395" s="324"/>
      <c r="F395" s="324"/>
      <c r="G395" s="324"/>
      <c r="H395" s="324"/>
      <c r="I395" s="324"/>
      <c r="J395" s="324"/>
      <c r="K395" s="324"/>
      <c r="L395" s="324"/>
      <c r="M395" s="324"/>
      <c r="N395" s="324"/>
      <c r="O395" s="324"/>
      <c r="P395" s="324"/>
      <c r="Q395" s="324"/>
      <c r="R395" s="324"/>
      <c r="S395" s="324"/>
      <c r="T395" s="3"/>
      <c r="U395" s="324"/>
      <c r="V395" s="324"/>
      <c r="W395" s="324"/>
      <c r="X395" s="324"/>
      <c r="Y395" s="324"/>
      <c r="Z395" s="324"/>
      <c r="AA395" s="324"/>
      <c r="AB395" s="324"/>
      <c r="AC395" s="324"/>
      <c r="AD395" s="324"/>
      <c r="AE395" s="324"/>
      <c r="AF395" s="324"/>
      <c r="AG395" s="324"/>
      <c r="AH395" s="324"/>
      <c r="AI395" s="417"/>
      <c r="AJ395" s="324"/>
      <c r="AK395" s="324"/>
      <c r="AL395" s="324"/>
      <c r="AM395" s="324"/>
      <c r="AN395" s="324"/>
      <c r="AO395" s="324"/>
      <c r="AP395" s="324"/>
      <c r="AQ395" s="324"/>
      <c r="AR395" s="324"/>
      <c r="AS395" s="325"/>
      <c r="AT395" s="325"/>
      <c r="AU395" s="325"/>
      <c r="AV395" s="325"/>
      <c r="AW395" s="325"/>
      <c r="AX395" s="325"/>
      <c r="AY395" s="325"/>
      <c r="AZ395" s="325"/>
      <c r="BA395" s="325"/>
      <c r="BB395" s="325"/>
      <c r="BC395" s="325"/>
      <c r="BD395" s="325"/>
      <c r="BE395" s="325"/>
      <c r="BF395" s="325"/>
      <c r="BG395" s="325"/>
      <c r="BH395" s="325"/>
      <c r="BI395" s="325"/>
      <c r="BJ395" s="325"/>
      <c r="BK395" s="325"/>
      <c r="BL395" s="325"/>
      <c r="BM395" s="325"/>
      <c r="BN395" s="325"/>
      <c r="BO395" s="325"/>
      <c r="BP395" s="325"/>
      <c r="BQ395" s="325"/>
    </row>
    <row r="396" spans="1:69" ht="14.25" customHeight="1" x14ac:dyDescent="0.2">
      <c r="A396" s="28"/>
      <c r="B396" s="28"/>
      <c r="C396" s="28"/>
      <c r="D396" s="324"/>
      <c r="E396" s="324"/>
      <c r="F396" s="324"/>
      <c r="G396" s="324"/>
      <c r="H396" s="324"/>
      <c r="I396" s="324"/>
      <c r="J396" s="324"/>
      <c r="K396" s="324"/>
      <c r="L396" s="324"/>
      <c r="M396" s="324"/>
      <c r="N396" s="324"/>
      <c r="O396" s="324"/>
      <c r="P396" s="324"/>
      <c r="Q396" s="324"/>
      <c r="R396" s="324"/>
      <c r="S396" s="324"/>
      <c r="T396" s="3"/>
      <c r="U396" s="324"/>
      <c r="V396" s="324"/>
      <c r="W396" s="324"/>
      <c r="X396" s="324"/>
      <c r="Y396" s="324"/>
      <c r="Z396" s="324"/>
      <c r="AA396" s="324"/>
      <c r="AB396" s="324"/>
      <c r="AC396" s="324"/>
      <c r="AD396" s="324"/>
      <c r="AE396" s="324"/>
      <c r="AF396" s="324"/>
      <c r="AG396" s="324"/>
      <c r="AH396" s="324"/>
      <c r="AI396" s="417"/>
      <c r="AJ396" s="324"/>
      <c r="AK396" s="324"/>
      <c r="AL396" s="324"/>
      <c r="AM396" s="324"/>
      <c r="AN396" s="324"/>
      <c r="AO396" s="324"/>
      <c r="AP396" s="324"/>
      <c r="AQ396" s="324"/>
      <c r="AR396" s="324"/>
      <c r="AS396" s="325"/>
      <c r="AT396" s="325"/>
      <c r="AU396" s="325"/>
      <c r="AV396" s="325"/>
      <c r="AW396" s="325"/>
      <c r="AX396" s="325"/>
      <c r="AY396" s="325"/>
      <c r="AZ396" s="325"/>
      <c r="BA396" s="325"/>
      <c r="BB396" s="325"/>
      <c r="BC396" s="325"/>
      <c r="BD396" s="325"/>
      <c r="BE396" s="325"/>
      <c r="BF396" s="325"/>
      <c r="BG396" s="325"/>
      <c r="BH396" s="325"/>
      <c r="BI396" s="325"/>
      <c r="BJ396" s="325"/>
      <c r="BK396" s="325"/>
      <c r="BL396" s="325"/>
      <c r="BM396" s="325"/>
      <c r="BN396" s="325"/>
      <c r="BO396" s="325"/>
      <c r="BP396" s="325"/>
      <c r="BQ396" s="325"/>
    </row>
    <row r="397" spans="1:69" ht="14.25" customHeight="1" x14ac:dyDescent="0.2">
      <c r="A397" s="28"/>
      <c r="B397" s="28"/>
      <c r="C397" s="28"/>
      <c r="D397" s="324"/>
      <c r="E397" s="324"/>
      <c r="F397" s="324"/>
      <c r="G397" s="324"/>
      <c r="H397" s="324"/>
      <c r="I397" s="324"/>
      <c r="J397" s="324"/>
      <c r="K397" s="324"/>
      <c r="L397" s="324"/>
      <c r="M397" s="324"/>
      <c r="N397" s="324"/>
      <c r="O397" s="324"/>
      <c r="P397" s="324"/>
      <c r="Q397" s="324"/>
      <c r="R397" s="324"/>
      <c r="S397" s="324"/>
      <c r="T397" s="3"/>
      <c r="U397" s="324"/>
      <c r="V397" s="324"/>
      <c r="W397" s="324"/>
      <c r="X397" s="324"/>
      <c r="Y397" s="324"/>
      <c r="Z397" s="324"/>
      <c r="AA397" s="324"/>
      <c r="AB397" s="324"/>
      <c r="AC397" s="324"/>
      <c r="AD397" s="324"/>
      <c r="AE397" s="324"/>
      <c r="AF397" s="324"/>
      <c r="AG397" s="324"/>
      <c r="AH397" s="324"/>
      <c r="AI397" s="417"/>
      <c r="AJ397" s="324"/>
      <c r="AK397" s="324"/>
      <c r="AL397" s="324"/>
      <c r="AM397" s="324"/>
      <c r="AN397" s="324"/>
      <c r="AO397" s="324"/>
      <c r="AP397" s="324"/>
      <c r="AQ397" s="324"/>
      <c r="AR397" s="324"/>
      <c r="AS397" s="325"/>
      <c r="AT397" s="325"/>
      <c r="AU397" s="325"/>
      <c r="AV397" s="325"/>
      <c r="AW397" s="325"/>
      <c r="AX397" s="325"/>
      <c r="AY397" s="325"/>
      <c r="AZ397" s="325"/>
      <c r="BA397" s="325"/>
      <c r="BB397" s="325"/>
      <c r="BC397" s="325"/>
      <c r="BD397" s="325"/>
      <c r="BE397" s="325"/>
      <c r="BF397" s="325"/>
      <c r="BG397" s="325"/>
      <c r="BH397" s="325"/>
      <c r="BI397" s="325"/>
      <c r="BJ397" s="325"/>
      <c r="BK397" s="325"/>
      <c r="BL397" s="325"/>
      <c r="BM397" s="325"/>
      <c r="BN397" s="325"/>
      <c r="BO397" s="325"/>
      <c r="BP397" s="325"/>
      <c r="BQ397" s="325"/>
    </row>
    <row r="398" spans="1:69" ht="14.25" customHeight="1" x14ac:dyDescent="0.2">
      <c r="A398" s="28"/>
      <c r="B398" s="28"/>
      <c r="C398" s="28"/>
      <c r="D398" s="324"/>
      <c r="E398" s="324"/>
      <c r="F398" s="324"/>
      <c r="G398" s="324"/>
      <c r="H398" s="324"/>
      <c r="I398" s="324"/>
      <c r="J398" s="324"/>
      <c r="K398" s="324"/>
      <c r="L398" s="324"/>
      <c r="M398" s="324"/>
      <c r="N398" s="324"/>
      <c r="O398" s="324"/>
      <c r="P398" s="324"/>
      <c r="Q398" s="324"/>
      <c r="R398" s="324"/>
      <c r="S398" s="324"/>
      <c r="T398" s="3"/>
      <c r="U398" s="324"/>
      <c r="V398" s="324"/>
      <c r="W398" s="324"/>
      <c r="X398" s="324"/>
      <c r="Y398" s="324"/>
      <c r="Z398" s="324"/>
      <c r="AA398" s="324"/>
      <c r="AB398" s="324"/>
      <c r="AC398" s="324"/>
      <c r="AD398" s="324"/>
      <c r="AE398" s="324"/>
      <c r="AF398" s="324"/>
      <c r="AG398" s="324"/>
      <c r="AH398" s="324"/>
      <c r="AI398" s="417"/>
      <c r="AJ398" s="324"/>
      <c r="AK398" s="324"/>
      <c r="AL398" s="324"/>
      <c r="AM398" s="324"/>
      <c r="AN398" s="324"/>
      <c r="AO398" s="324"/>
      <c r="AP398" s="324"/>
      <c r="AQ398" s="324"/>
      <c r="AR398" s="324"/>
      <c r="AS398" s="325"/>
      <c r="AT398" s="325"/>
      <c r="AU398" s="325"/>
      <c r="AV398" s="325"/>
      <c r="AW398" s="325"/>
      <c r="AX398" s="325"/>
      <c r="AY398" s="325"/>
      <c r="AZ398" s="325"/>
      <c r="BA398" s="325"/>
      <c r="BB398" s="325"/>
      <c r="BC398" s="325"/>
      <c r="BD398" s="325"/>
      <c r="BE398" s="325"/>
      <c r="BF398" s="325"/>
      <c r="BG398" s="325"/>
      <c r="BH398" s="325"/>
      <c r="BI398" s="325"/>
      <c r="BJ398" s="325"/>
      <c r="BK398" s="325"/>
      <c r="BL398" s="325"/>
      <c r="BM398" s="325"/>
      <c r="BN398" s="325"/>
      <c r="BO398" s="325"/>
      <c r="BP398" s="325"/>
      <c r="BQ398" s="325"/>
    </row>
    <row r="399" spans="1:69" ht="14.25" customHeight="1" x14ac:dyDescent="0.2">
      <c r="A399" s="28"/>
      <c r="B399" s="28"/>
      <c r="C399" s="28"/>
      <c r="D399" s="324"/>
      <c r="E399" s="324"/>
      <c r="F399" s="324"/>
      <c r="G399" s="324"/>
      <c r="H399" s="324"/>
      <c r="I399" s="324"/>
      <c r="J399" s="324"/>
      <c r="K399" s="324"/>
      <c r="L399" s="324"/>
      <c r="M399" s="324"/>
      <c r="N399" s="324"/>
      <c r="O399" s="324"/>
      <c r="P399" s="324"/>
      <c r="Q399" s="324"/>
      <c r="R399" s="324"/>
      <c r="S399" s="324"/>
      <c r="T399" s="3"/>
      <c r="U399" s="324"/>
      <c r="V399" s="324"/>
      <c r="W399" s="324"/>
      <c r="X399" s="324"/>
      <c r="Y399" s="324"/>
      <c r="Z399" s="324"/>
      <c r="AA399" s="324"/>
      <c r="AB399" s="324"/>
      <c r="AC399" s="324"/>
      <c r="AD399" s="324"/>
      <c r="AE399" s="324"/>
      <c r="AF399" s="324"/>
      <c r="AG399" s="324"/>
      <c r="AH399" s="324"/>
      <c r="AI399" s="417"/>
      <c r="AJ399" s="324"/>
      <c r="AK399" s="324"/>
      <c r="AL399" s="324"/>
      <c r="AM399" s="324"/>
      <c r="AN399" s="324"/>
      <c r="AO399" s="324"/>
      <c r="AP399" s="324"/>
      <c r="AQ399" s="324"/>
      <c r="AR399" s="324"/>
      <c r="AS399" s="325"/>
      <c r="AT399" s="325"/>
      <c r="AU399" s="325"/>
      <c r="AV399" s="325"/>
      <c r="AW399" s="325"/>
      <c r="AX399" s="325"/>
      <c r="AY399" s="325"/>
      <c r="AZ399" s="325"/>
      <c r="BA399" s="325"/>
      <c r="BB399" s="325"/>
      <c r="BC399" s="325"/>
      <c r="BD399" s="325"/>
      <c r="BE399" s="325"/>
      <c r="BF399" s="325"/>
      <c r="BG399" s="325"/>
      <c r="BH399" s="325"/>
      <c r="BI399" s="325"/>
      <c r="BJ399" s="325"/>
      <c r="BK399" s="325"/>
      <c r="BL399" s="325"/>
      <c r="BM399" s="325"/>
      <c r="BN399" s="325"/>
      <c r="BO399" s="325"/>
      <c r="BP399" s="325"/>
      <c r="BQ399" s="325"/>
    </row>
    <row r="400" spans="1:69" ht="14.25" customHeight="1" x14ac:dyDescent="0.2">
      <c r="A400" s="28"/>
      <c r="B400" s="28"/>
      <c r="C400" s="28"/>
      <c r="D400" s="324"/>
      <c r="E400" s="324"/>
      <c r="F400" s="324"/>
      <c r="G400" s="324"/>
      <c r="H400" s="324"/>
      <c r="I400" s="324"/>
      <c r="J400" s="324"/>
      <c r="K400" s="324"/>
      <c r="L400" s="324"/>
      <c r="M400" s="324"/>
      <c r="N400" s="324"/>
      <c r="O400" s="324"/>
      <c r="P400" s="324"/>
      <c r="Q400" s="324"/>
      <c r="R400" s="324"/>
      <c r="S400" s="324"/>
      <c r="T400" s="3"/>
      <c r="U400" s="324"/>
      <c r="V400" s="324"/>
      <c r="W400" s="324"/>
      <c r="X400" s="324"/>
      <c r="Y400" s="324"/>
      <c r="Z400" s="324"/>
      <c r="AA400" s="324"/>
      <c r="AB400" s="324"/>
      <c r="AC400" s="324"/>
      <c r="AD400" s="324"/>
      <c r="AE400" s="324"/>
      <c r="AF400" s="324"/>
      <c r="AG400" s="324"/>
      <c r="AH400" s="324"/>
      <c r="AI400" s="417"/>
      <c r="AJ400" s="324"/>
      <c r="AK400" s="324"/>
      <c r="AL400" s="324"/>
      <c r="AM400" s="324"/>
      <c r="AN400" s="324"/>
      <c r="AO400" s="324"/>
      <c r="AP400" s="324"/>
      <c r="AQ400" s="324"/>
      <c r="AR400" s="324"/>
      <c r="AS400" s="325"/>
      <c r="AT400" s="325"/>
      <c r="AU400" s="325"/>
      <c r="AV400" s="325"/>
      <c r="AW400" s="325"/>
      <c r="AX400" s="325"/>
      <c r="AY400" s="325"/>
      <c r="AZ400" s="325"/>
      <c r="BA400" s="325"/>
      <c r="BB400" s="325"/>
      <c r="BC400" s="325"/>
      <c r="BD400" s="325"/>
      <c r="BE400" s="325"/>
      <c r="BF400" s="325"/>
      <c r="BG400" s="325"/>
      <c r="BH400" s="325"/>
      <c r="BI400" s="325"/>
      <c r="BJ400" s="325"/>
      <c r="BK400" s="325"/>
      <c r="BL400" s="325"/>
      <c r="BM400" s="325"/>
      <c r="BN400" s="325"/>
      <c r="BO400" s="325"/>
      <c r="BP400" s="325"/>
      <c r="BQ400" s="325"/>
    </row>
    <row r="401" spans="1:69" ht="14.25" customHeight="1" x14ac:dyDescent="0.2">
      <c r="A401" s="28"/>
      <c r="B401" s="28"/>
      <c r="C401" s="28"/>
      <c r="D401" s="324"/>
      <c r="E401" s="324"/>
      <c r="F401" s="324"/>
      <c r="G401" s="324"/>
      <c r="H401" s="324"/>
      <c r="I401" s="324"/>
      <c r="J401" s="324"/>
      <c r="K401" s="324"/>
      <c r="L401" s="324"/>
      <c r="M401" s="324"/>
      <c r="N401" s="324"/>
      <c r="O401" s="324"/>
      <c r="P401" s="324"/>
      <c r="Q401" s="324"/>
      <c r="R401" s="324"/>
      <c r="S401" s="324"/>
      <c r="T401" s="3"/>
      <c r="U401" s="324"/>
      <c r="V401" s="324"/>
      <c r="W401" s="324"/>
      <c r="X401" s="324"/>
      <c r="Y401" s="324"/>
      <c r="Z401" s="324"/>
      <c r="AA401" s="324"/>
      <c r="AB401" s="324"/>
      <c r="AC401" s="324"/>
      <c r="AD401" s="324"/>
      <c r="AE401" s="324"/>
      <c r="AF401" s="324"/>
      <c r="AG401" s="324"/>
      <c r="AH401" s="324"/>
      <c r="AI401" s="417"/>
      <c r="AJ401" s="324"/>
      <c r="AK401" s="324"/>
      <c r="AL401" s="324"/>
      <c r="AM401" s="324"/>
      <c r="AN401" s="324"/>
      <c r="AO401" s="324"/>
      <c r="AP401" s="324"/>
      <c r="AQ401" s="324"/>
      <c r="AR401" s="324"/>
      <c r="AS401" s="325"/>
      <c r="AT401" s="325"/>
      <c r="AU401" s="325"/>
      <c r="AV401" s="325"/>
      <c r="AW401" s="325"/>
      <c r="AX401" s="325"/>
      <c r="AY401" s="325"/>
      <c r="AZ401" s="325"/>
      <c r="BA401" s="325"/>
      <c r="BB401" s="325"/>
      <c r="BC401" s="325"/>
      <c r="BD401" s="325"/>
      <c r="BE401" s="325"/>
      <c r="BF401" s="325"/>
      <c r="BG401" s="325"/>
      <c r="BH401" s="325"/>
      <c r="BI401" s="325"/>
      <c r="BJ401" s="325"/>
      <c r="BK401" s="325"/>
      <c r="BL401" s="325"/>
      <c r="BM401" s="325"/>
      <c r="BN401" s="325"/>
      <c r="BO401" s="325"/>
      <c r="BP401" s="325"/>
      <c r="BQ401" s="325"/>
    </row>
    <row r="402" spans="1:69" ht="14.25" customHeight="1" x14ac:dyDescent="0.2">
      <c r="A402" s="28"/>
      <c r="B402" s="28"/>
      <c r="C402" s="28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"/>
      <c r="U402" s="324"/>
      <c r="V402" s="324"/>
      <c r="W402" s="324"/>
      <c r="X402" s="324"/>
      <c r="Y402" s="324"/>
      <c r="Z402" s="324"/>
      <c r="AA402" s="324"/>
      <c r="AB402" s="324"/>
      <c r="AC402" s="324"/>
      <c r="AD402" s="324"/>
      <c r="AE402" s="324"/>
      <c r="AF402" s="324"/>
      <c r="AG402" s="324"/>
      <c r="AH402" s="324"/>
      <c r="AI402" s="417"/>
      <c r="AJ402" s="324"/>
      <c r="AK402" s="324"/>
      <c r="AL402" s="324"/>
      <c r="AM402" s="324"/>
      <c r="AN402" s="324"/>
      <c r="AO402" s="324"/>
      <c r="AP402" s="324"/>
      <c r="AQ402" s="324"/>
      <c r="AR402" s="324"/>
      <c r="AS402" s="325"/>
      <c r="AT402" s="325"/>
      <c r="AU402" s="325"/>
      <c r="AV402" s="325"/>
      <c r="AW402" s="325"/>
      <c r="AX402" s="325"/>
      <c r="AY402" s="325"/>
      <c r="AZ402" s="325"/>
      <c r="BA402" s="325"/>
      <c r="BB402" s="325"/>
      <c r="BC402" s="325"/>
      <c r="BD402" s="325"/>
      <c r="BE402" s="325"/>
      <c r="BF402" s="325"/>
      <c r="BG402" s="325"/>
      <c r="BH402" s="325"/>
      <c r="BI402" s="325"/>
      <c r="BJ402" s="325"/>
      <c r="BK402" s="325"/>
      <c r="BL402" s="325"/>
      <c r="BM402" s="325"/>
      <c r="BN402" s="325"/>
      <c r="BO402" s="325"/>
      <c r="BP402" s="325"/>
      <c r="BQ402" s="325"/>
    </row>
    <row r="403" spans="1:69" ht="14.25" customHeight="1" x14ac:dyDescent="0.2">
      <c r="A403" s="28"/>
      <c r="B403" s="28"/>
      <c r="C403" s="28"/>
      <c r="D403" s="324"/>
      <c r="E403" s="324"/>
      <c r="F403" s="324"/>
      <c r="G403" s="324"/>
      <c r="H403" s="324"/>
      <c r="I403" s="324"/>
      <c r="J403" s="324"/>
      <c r="K403" s="324"/>
      <c r="L403" s="324"/>
      <c r="M403" s="324"/>
      <c r="N403" s="324"/>
      <c r="O403" s="324"/>
      <c r="P403" s="324"/>
      <c r="Q403" s="324"/>
      <c r="R403" s="324"/>
      <c r="S403" s="324"/>
      <c r="T403" s="3"/>
      <c r="U403" s="324"/>
      <c r="V403" s="324"/>
      <c r="W403" s="324"/>
      <c r="X403" s="324"/>
      <c r="Y403" s="324"/>
      <c r="Z403" s="324"/>
      <c r="AA403" s="324"/>
      <c r="AB403" s="324"/>
      <c r="AC403" s="324"/>
      <c r="AD403" s="324"/>
      <c r="AE403" s="324"/>
      <c r="AF403" s="324"/>
      <c r="AG403" s="324"/>
      <c r="AH403" s="324"/>
      <c r="AI403" s="417"/>
      <c r="AJ403" s="324"/>
      <c r="AK403" s="324"/>
      <c r="AL403" s="324"/>
      <c r="AM403" s="324"/>
      <c r="AN403" s="324"/>
      <c r="AO403" s="324"/>
      <c r="AP403" s="324"/>
      <c r="AQ403" s="324"/>
      <c r="AR403" s="324"/>
      <c r="AS403" s="325"/>
      <c r="AT403" s="325"/>
      <c r="AU403" s="325"/>
      <c r="AV403" s="325"/>
      <c r="AW403" s="325"/>
      <c r="AX403" s="325"/>
      <c r="AY403" s="325"/>
      <c r="AZ403" s="325"/>
      <c r="BA403" s="325"/>
      <c r="BB403" s="325"/>
      <c r="BC403" s="325"/>
      <c r="BD403" s="325"/>
      <c r="BE403" s="325"/>
      <c r="BF403" s="325"/>
      <c r="BG403" s="325"/>
      <c r="BH403" s="325"/>
      <c r="BI403" s="325"/>
      <c r="BJ403" s="325"/>
      <c r="BK403" s="325"/>
      <c r="BL403" s="325"/>
      <c r="BM403" s="325"/>
      <c r="BN403" s="325"/>
      <c r="BO403" s="325"/>
      <c r="BP403" s="325"/>
      <c r="BQ403" s="325"/>
    </row>
    <row r="404" spans="1:69" ht="14.25" customHeight="1" x14ac:dyDescent="0.2">
      <c r="A404" s="28"/>
      <c r="B404" s="28"/>
      <c r="C404" s="28"/>
      <c r="D404" s="324"/>
      <c r="E404" s="324"/>
      <c r="F404" s="324"/>
      <c r="G404" s="324"/>
      <c r="H404" s="324"/>
      <c r="I404" s="324"/>
      <c r="J404" s="324"/>
      <c r="K404" s="324"/>
      <c r="L404" s="324"/>
      <c r="M404" s="324"/>
      <c r="N404" s="324"/>
      <c r="O404" s="324"/>
      <c r="P404" s="324"/>
      <c r="Q404" s="324"/>
      <c r="R404" s="324"/>
      <c r="S404" s="324"/>
      <c r="T404" s="3"/>
      <c r="U404" s="324"/>
      <c r="V404" s="324"/>
      <c r="W404" s="324"/>
      <c r="X404" s="324"/>
      <c r="Y404" s="324"/>
      <c r="Z404" s="324"/>
      <c r="AA404" s="324"/>
      <c r="AB404" s="324"/>
      <c r="AC404" s="324"/>
      <c r="AD404" s="324"/>
      <c r="AE404" s="324"/>
      <c r="AF404" s="324"/>
      <c r="AG404" s="324"/>
      <c r="AH404" s="324"/>
      <c r="AI404" s="417"/>
      <c r="AJ404" s="324"/>
      <c r="AK404" s="324"/>
      <c r="AL404" s="324"/>
      <c r="AM404" s="324"/>
      <c r="AN404" s="324"/>
      <c r="AO404" s="324"/>
      <c r="AP404" s="324"/>
      <c r="AQ404" s="324"/>
      <c r="AR404" s="324"/>
      <c r="AS404" s="325"/>
      <c r="AT404" s="325"/>
      <c r="AU404" s="325"/>
      <c r="AV404" s="325"/>
      <c r="AW404" s="325"/>
      <c r="AX404" s="325"/>
      <c r="AY404" s="325"/>
      <c r="AZ404" s="325"/>
      <c r="BA404" s="325"/>
      <c r="BB404" s="325"/>
      <c r="BC404" s="325"/>
      <c r="BD404" s="325"/>
      <c r="BE404" s="325"/>
      <c r="BF404" s="325"/>
      <c r="BG404" s="325"/>
      <c r="BH404" s="325"/>
      <c r="BI404" s="325"/>
      <c r="BJ404" s="325"/>
      <c r="BK404" s="325"/>
      <c r="BL404" s="325"/>
      <c r="BM404" s="325"/>
      <c r="BN404" s="325"/>
      <c r="BO404" s="325"/>
      <c r="BP404" s="325"/>
      <c r="BQ404" s="325"/>
    </row>
    <row r="405" spans="1:69" ht="14.25" customHeight="1" x14ac:dyDescent="0.2">
      <c r="A405" s="28"/>
      <c r="B405" s="28"/>
      <c r="C405" s="28"/>
      <c r="D405" s="324"/>
      <c r="E405" s="324"/>
      <c r="F405" s="324"/>
      <c r="G405" s="324"/>
      <c r="H405" s="324"/>
      <c r="I405" s="324"/>
      <c r="J405" s="324"/>
      <c r="K405" s="324"/>
      <c r="L405" s="324"/>
      <c r="M405" s="324"/>
      <c r="N405" s="324"/>
      <c r="O405" s="324"/>
      <c r="P405" s="324"/>
      <c r="Q405" s="324"/>
      <c r="R405" s="324"/>
      <c r="S405" s="324"/>
      <c r="T405" s="3"/>
      <c r="U405" s="324"/>
      <c r="V405" s="324"/>
      <c r="W405" s="324"/>
      <c r="X405" s="324"/>
      <c r="Y405" s="324"/>
      <c r="Z405" s="324"/>
      <c r="AA405" s="324"/>
      <c r="AB405" s="324"/>
      <c r="AC405" s="324"/>
      <c r="AD405" s="324"/>
      <c r="AE405" s="324"/>
      <c r="AF405" s="324"/>
      <c r="AG405" s="324"/>
      <c r="AH405" s="324"/>
      <c r="AI405" s="417"/>
      <c r="AJ405" s="324"/>
      <c r="AK405" s="324"/>
      <c r="AL405" s="324"/>
      <c r="AM405" s="324"/>
      <c r="AN405" s="324"/>
      <c r="AO405" s="324"/>
      <c r="AP405" s="324"/>
      <c r="AQ405" s="324"/>
      <c r="AR405" s="324"/>
      <c r="AS405" s="325"/>
      <c r="AT405" s="325"/>
      <c r="AU405" s="325"/>
      <c r="AV405" s="325"/>
      <c r="AW405" s="325"/>
      <c r="AX405" s="325"/>
      <c r="AY405" s="325"/>
      <c r="AZ405" s="325"/>
      <c r="BA405" s="325"/>
      <c r="BB405" s="325"/>
      <c r="BC405" s="325"/>
      <c r="BD405" s="325"/>
      <c r="BE405" s="325"/>
      <c r="BF405" s="325"/>
      <c r="BG405" s="325"/>
      <c r="BH405" s="325"/>
      <c r="BI405" s="325"/>
      <c r="BJ405" s="325"/>
      <c r="BK405" s="325"/>
      <c r="BL405" s="325"/>
      <c r="BM405" s="325"/>
      <c r="BN405" s="325"/>
      <c r="BO405" s="325"/>
      <c r="BP405" s="325"/>
      <c r="BQ405" s="325"/>
    </row>
    <row r="406" spans="1:69" ht="14.25" customHeight="1" x14ac:dyDescent="0.2">
      <c r="A406" s="28"/>
      <c r="B406" s="28"/>
      <c r="C406" s="28"/>
      <c r="D406" s="324"/>
      <c r="E406" s="324"/>
      <c r="F406" s="324"/>
      <c r="G406" s="324"/>
      <c r="H406" s="324"/>
      <c r="I406" s="324"/>
      <c r="J406" s="324"/>
      <c r="K406" s="324"/>
      <c r="L406" s="324"/>
      <c r="M406" s="324"/>
      <c r="N406" s="324"/>
      <c r="O406" s="324"/>
      <c r="P406" s="324"/>
      <c r="Q406" s="324"/>
      <c r="R406" s="324"/>
      <c r="S406" s="324"/>
      <c r="T406" s="3"/>
      <c r="U406" s="324"/>
      <c r="V406" s="324"/>
      <c r="W406" s="324"/>
      <c r="X406" s="324"/>
      <c r="Y406" s="324"/>
      <c r="Z406" s="324"/>
      <c r="AA406" s="324"/>
      <c r="AB406" s="324"/>
      <c r="AC406" s="324"/>
      <c r="AD406" s="324"/>
      <c r="AE406" s="324"/>
      <c r="AF406" s="324"/>
      <c r="AG406" s="324"/>
      <c r="AH406" s="324"/>
      <c r="AI406" s="417"/>
      <c r="AJ406" s="324"/>
      <c r="AK406" s="324"/>
      <c r="AL406" s="324"/>
      <c r="AM406" s="324"/>
      <c r="AN406" s="324"/>
      <c r="AO406" s="324"/>
      <c r="AP406" s="324"/>
      <c r="AQ406" s="324"/>
      <c r="AR406" s="324"/>
      <c r="AS406" s="325"/>
      <c r="AT406" s="325"/>
      <c r="AU406" s="325"/>
      <c r="AV406" s="325"/>
      <c r="AW406" s="325"/>
      <c r="AX406" s="325"/>
      <c r="AY406" s="325"/>
      <c r="AZ406" s="325"/>
      <c r="BA406" s="325"/>
      <c r="BB406" s="325"/>
      <c r="BC406" s="325"/>
      <c r="BD406" s="325"/>
      <c r="BE406" s="325"/>
      <c r="BF406" s="325"/>
      <c r="BG406" s="325"/>
      <c r="BH406" s="325"/>
      <c r="BI406" s="325"/>
      <c r="BJ406" s="325"/>
      <c r="BK406" s="325"/>
      <c r="BL406" s="325"/>
      <c r="BM406" s="325"/>
      <c r="BN406" s="325"/>
      <c r="BO406" s="325"/>
      <c r="BP406" s="325"/>
      <c r="BQ406" s="325"/>
    </row>
    <row r="407" spans="1:69" ht="14.25" customHeight="1" x14ac:dyDescent="0.2">
      <c r="A407" s="28"/>
      <c r="B407" s="28"/>
      <c r="C407" s="28"/>
      <c r="D407" s="324"/>
      <c r="E407" s="324"/>
      <c r="F407" s="324"/>
      <c r="G407" s="324"/>
      <c r="H407" s="324"/>
      <c r="I407" s="324"/>
      <c r="J407" s="324"/>
      <c r="K407" s="324"/>
      <c r="L407" s="324"/>
      <c r="M407" s="324"/>
      <c r="N407" s="324"/>
      <c r="O407" s="324"/>
      <c r="P407" s="324"/>
      <c r="Q407" s="324"/>
      <c r="R407" s="324"/>
      <c r="S407" s="324"/>
      <c r="T407" s="3"/>
      <c r="U407" s="324"/>
      <c r="V407" s="324"/>
      <c r="W407" s="324"/>
      <c r="X407" s="324"/>
      <c r="Y407" s="324"/>
      <c r="Z407" s="324"/>
      <c r="AA407" s="324"/>
      <c r="AB407" s="324"/>
      <c r="AC407" s="324"/>
      <c r="AD407" s="324"/>
      <c r="AE407" s="324"/>
      <c r="AF407" s="324"/>
      <c r="AG407" s="324"/>
      <c r="AH407" s="324"/>
      <c r="AI407" s="417"/>
      <c r="AJ407" s="324"/>
      <c r="AK407" s="324"/>
      <c r="AL407" s="324"/>
      <c r="AM407" s="324"/>
      <c r="AN407" s="324"/>
      <c r="AO407" s="324"/>
      <c r="AP407" s="324"/>
      <c r="AQ407" s="324"/>
      <c r="AR407" s="324"/>
      <c r="AS407" s="325"/>
      <c r="AT407" s="325"/>
      <c r="AU407" s="325"/>
      <c r="AV407" s="325"/>
      <c r="AW407" s="325"/>
      <c r="AX407" s="325"/>
      <c r="AY407" s="325"/>
      <c r="AZ407" s="325"/>
      <c r="BA407" s="325"/>
      <c r="BB407" s="325"/>
      <c r="BC407" s="325"/>
      <c r="BD407" s="325"/>
      <c r="BE407" s="325"/>
      <c r="BF407" s="325"/>
      <c r="BG407" s="325"/>
      <c r="BH407" s="325"/>
      <c r="BI407" s="325"/>
      <c r="BJ407" s="325"/>
      <c r="BK407" s="325"/>
      <c r="BL407" s="325"/>
      <c r="BM407" s="325"/>
      <c r="BN407" s="325"/>
      <c r="BO407" s="325"/>
      <c r="BP407" s="325"/>
      <c r="BQ407" s="325"/>
    </row>
    <row r="408" spans="1:69" ht="14.25" customHeight="1" x14ac:dyDescent="0.2">
      <c r="A408" s="28"/>
      <c r="B408" s="28"/>
      <c r="C408" s="28"/>
      <c r="D408" s="324"/>
      <c r="E408" s="324"/>
      <c r="F408" s="324"/>
      <c r="G408" s="324"/>
      <c r="H408" s="324"/>
      <c r="I408" s="324"/>
      <c r="J408" s="324"/>
      <c r="K408" s="324"/>
      <c r="L408" s="324"/>
      <c r="M408" s="324"/>
      <c r="N408" s="324"/>
      <c r="O408" s="324"/>
      <c r="P408" s="324"/>
      <c r="Q408" s="324"/>
      <c r="R408" s="324"/>
      <c r="S408" s="324"/>
      <c r="T408" s="3"/>
      <c r="U408" s="324"/>
      <c r="V408" s="324"/>
      <c r="W408" s="324"/>
      <c r="X408" s="324"/>
      <c r="Y408" s="324"/>
      <c r="Z408" s="324"/>
      <c r="AA408" s="324"/>
      <c r="AB408" s="324"/>
      <c r="AC408" s="324"/>
      <c r="AD408" s="324"/>
      <c r="AE408" s="324"/>
      <c r="AF408" s="324"/>
      <c r="AG408" s="324"/>
      <c r="AH408" s="324"/>
      <c r="AI408" s="417"/>
      <c r="AJ408" s="324"/>
      <c r="AK408" s="324"/>
      <c r="AL408" s="324"/>
      <c r="AM408" s="324"/>
      <c r="AN408" s="324"/>
      <c r="AO408" s="324"/>
      <c r="AP408" s="324"/>
      <c r="AQ408" s="324"/>
      <c r="AR408" s="324"/>
      <c r="AS408" s="325"/>
      <c r="AT408" s="325"/>
      <c r="AU408" s="325"/>
      <c r="AV408" s="325"/>
      <c r="AW408" s="325"/>
      <c r="AX408" s="325"/>
      <c r="AY408" s="325"/>
      <c r="AZ408" s="325"/>
      <c r="BA408" s="325"/>
      <c r="BB408" s="325"/>
      <c r="BC408" s="325"/>
      <c r="BD408" s="325"/>
      <c r="BE408" s="325"/>
      <c r="BF408" s="325"/>
      <c r="BG408" s="325"/>
      <c r="BH408" s="325"/>
      <c r="BI408" s="325"/>
      <c r="BJ408" s="325"/>
      <c r="BK408" s="325"/>
      <c r="BL408" s="325"/>
      <c r="BM408" s="325"/>
      <c r="BN408" s="325"/>
      <c r="BO408" s="325"/>
      <c r="BP408" s="325"/>
      <c r="BQ408" s="325"/>
    </row>
    <row r="409" spans="1:69" ht="14.25" customHeight="1" x14ac:dyDescent="0.2">
      <c r="A409" s="28"/>
      <c r="B409" s="28"/>
      <c r="C409" s="28"/>
      <c r="D409" s="324"/>
      <c r="E409" s="324"/>
      <c r="F409" s="324"/>
      <c r="G409" s="324"/>
      <c r="H409" s="324"/>
      <c r="I409" s="324"/>
      <c r="J409" s="324"/>
      <c r="K409" s="324"/>
      <c r="L409" s="324"/>
      <c r="M409" s="324"/>
      <c r="N409" s="324"/>
      <c r="O409" s="324"/>
      <c r="P409" s="324"/>
      <c r="Q409" s="324"/>
      <c r="R409" s="324"/>
      <c r="S409" s="324"/>
      <c r="T409" s="3"/>
      <c r="U409" s="324"/>
      <c r="V409" s="324"/>
      <c r="W409" s="324"/>
      <c r="X409" s="324"/>
      <c r="Y409" s="324"/>
      <c r="Z409" s="324"/>
      <c r="AA409" s="324"/>
      <c r="AB409" s="324"/>
      <c r="AC409" s="324"/>
      <c r="AD409" s="324"/>
      <c r="AE409" s="324"/>
      <c r="AF409" s="324"/>
      <c r="AG409" s="324"/>
      <c r="AH409" s="324"/>
      <c r="AI409" s="417"/>
      <c r="AJ409" s="324"/>
      <c r="AK409" s="324"/>
      <c r="AL409" s="324"/>
      <c r="AM409" s="324"/>
      <c r="AN409" s="324"/>
      <c r="AO409" s="324"/>
      <c r="AP409" s="324"/>
      <c r="AQ409" s="324"/>
      <c r="AR409" s="324"/>
      <c r="AS409" s="325"/>
      <c r="AT409" s="325"/>
      <c r="AU409" s="325"/>
      <c r="AV409" s="325"/>
      <c r="AW409" s="325"/>
      <c r="AX409" s="325"/>
      <c r="AY409" s="325"/>
      <c r="AZ409" s="325"/>
      <c r="BA409" s="325"/>
      <c r="BB409" s="325"/>
      <c r="BC409" s="325"/>
      <c r="BD409" s="325"/>
      <c r="BE409" s="325"/>
      <c r="BF409" s="325"/>
      <c r="BG409" s="325"/>
      <c r="BH409" s="325"/>
      <c r="BI409" s="325"/>
      <c r="BJ409" s="325"/>
      <c r="BK409" s="325"/>
      <c r="BL409" s="325"/>
      <c r="BM409" s="325"/>
      <c r="BN409" s="325"/>
      <c r="BO409" s="325"/>
      <c r="BP409" s="325"/>
      <c r="BQ409" s="325"/>
    </row>
    <row r="410" spans="1:69" ht="14.25" customHeight="1" x14ac:dyDescent="0.2">
      <c r="A410" s="28"/>
      <c r="B410" s="28"/>
      <c r="C410" s="28"/>
      <c r="D410" s="324"/>
      <c r="E410" s="324"/>
      <c r="F410" s="324"/>
      <c r="G410" s="324"/>
      <c r="H410" s="324"/>
      <c r="I410" s="324"/>
      <c r="J410" s="324"/>
      <c r="K410" s="324"/>
      <c r="L410" s="324"/>
      <c r="M410" s="324"/>
      <c r="N410" s="324"/>
      <c r="O410" s="324"/>
      <c r="P410" s="324"/>
      <c r="Q410" s="324"/>
      <c r="R410" s="324"/>
      <c r="S410" s="324"/>
      <c r="T410" s="3"/>
      <c r="U410" s="324"/>
      <c r="V410" s="324"/>
      <c r="W410" s="324"/>
      <c r="X410" s="324"/>
      <c r="Y410" s="324"/>
      <c r="Z410" s="324"/>
      <c r="AA410" s="324"/>
      <c r="AB410" s="324"/>
      <c r="AC410" s="324"/>
      <c r="AD410" s="324"/>
      <c r="AE410" s="324"/>
      <c r="AF410" s="324"/>
      <c r="AG410" s="324"/>
      <c r="AH410" s="324"/>
      <c r="AI410" s="417"/>
      <c r="AJ410" s="324"/>
      <c r="AK410" s="324"/>
      <c r="AL410" s="324"/>
      <c r="AM410" s="324"/>
      <c r="AN410" s="324"/>
      <c r="AO410" s="324"/>
      <c r="AP410" s="324"/>
      <c r="AQ410" s="324"/>
      <c r="AR410" s="324"/>
      <c r="AS410" s="325"/>
      <c r="AT410" s="325"/>
      <c r="AU410" s="325"/>
      <c r="AV410" s="325"/>
      <c r="AW410" s="325"/>
      <c r="AX410" s="325"/>
      <c r="AY410" s="325"/>
      <c r="AZ410" s="325"/>
      <c r="BA410" s="325"/>
      <c r="BB410" s="325"/>
      <c r="BC410" s="325"/>
      <c r="BD410" s="325"/>
      <c r="BE410" s="325"/>
      <c r="BF410" s="325"/>
      <c r="BG410" s="325"/>
      <c r="BH410" s="325"/>
      <c r="BI410" s="325"/>
      <c r="BJ410" s="325"/>
      <c r="BK410" s="325"/>
      <c r="BL410" s="325"/>
      <c r="BM410" s="325"/>
      <c r="BN410" s="325"/>
      <c r="BO410" s="325"/>
      <c r="BP410" s="325"/>
      <c r="BQ410" s="325"/>
    </row>
    <row r="411" spans="1:69" ht="14.25" customHeight="1" x14ac:dyDescent="0.2">
      <c r="A411" s="28"/>
      <c r="B411" s="28"/>
      <c r="C411" s="28"/>
      <c r="D411" s="324"/>
      <c r="E411" s="324"/>
      <c r="F411" s="324"/>
      <c r="G411" s="324"/>
      <c r="H411" s="324"/>
      <c r="I411" s="324"/>
      <c r="J411" s="324"/>
      <c r="K411" s="324"/>
      <c r="L411" s="324"/>
      <c r="M411" s="324"/>
      <c r="N411" s="324"/>
      <c r="O411" s="324"/>
      <c r="P411" s="324"/>
      <c r="Q411" s="324"/>
      <c r="R411" s="324"/>
      <c r="S411" s="324"/>
      <c r="T411" s="3"/>
      <c r="U411" s="324"/>
      <c r="V411" s="324"/>
      <c r="W411" s="324"/>
      <c r="X411" s="324"/>
      <c r="Y411" s="324"/>
      <c r="Z411" s="324"/>
      <c r="AA411" s="324"/>
      <c r="AB411" s="324"/>
      <c r="AC411" s="324"/>
      <c r="AD411" s="324"/>
      <c r="AE411" s="324"/>
      <c r="AF411" s="324"/>
      <c r="AG411" s="324"/>
      <c r="AH411" s="324"/>
      <c r="AI411" s="417"/>
      <c r="AJ411" s="324"/>
      <c r="AK411" s="324"/>
      <c r="AL411" s="324"/>
      <c r="AM411" s="324"/>
      <c r="AN411" s="324"/>
      <c r="AO411" s="324"/>
      <c r="AP411" s="324"/>
      <c r="AQ411" s="324"/>
      <c r="AR411" s="324"/>
      <c r="AS411" s="325"/>
      <c r="AT411" s="325"/>
      <c r="AU411" s="325"/>
      <c r="AV411" s="325"/>
      <c r="AW411" s="325"/>
      <c r="AX411" s="325"/>
      <c r="AY411" s="325"/>
      <c r="AZ411" s="325"/>
      <c r="BA411" s="325"/>
      <c r="BB411" s="325"/>
      <c r="BC411" s="325"/>
      <c r="BD411" s="325"/>
      <c r="BE411" s="325"/>
      <c r="BF411" s="325"/>
      <c r="BG411" s="325"/>
      <c r="BH411" s="325"/>
      <c r="BI411" s="325"/>
      <c r="BJ411" s="325"/>
      <c r="BK411" s="325"/>
      <c r="BL411" s="325"/>
      <c r="BM411" s="325"/>
      <c r="BN411" s="325"/>
      <c r="BO411" s="325"/>
      <c r="BP411" s="325"/>
      <c r="BQ411" s="325"/>
    </row>
    <row r="412" spans="1:69" ht="14.25" customHeight="1" x14ac:dyDescent="0.2">
      <c r="A412" s="28"/>
      <c r="B412" s="28"/>
      <c r="C412" s="28"/>
      <c r="D412" s="324"/>
      <c r="E412" s="324"/>
      <c r="F412" s="324"/>
      <c r="G412" s="324"/>
      <c r="H412" s="324"/>
      <c r="I412" s="324"/>
      <c r="J412" s="324"/>
      <c r="K412" s="324"/>
      <c r="L412" s="324"/>
      <c r="M412" s="324"/>
      <c r="N412" s="324"/>
      <c r="O412" s="324"/>
      <c r="P412" s="324"/>
      <c r="Q412" s="324"/>
      <c r="R412" s="324"/>
      <c r="S412" s="324"/>
      <c r="T412" s="3"/>
      <c r="U412" s="324"/>
      <c r="V412" s="324"/>
      <c r="W412" s="324"/>
      <c r="X412" s="324"/>
      <c r="Y412" s="324"/>
      <c r="Z412" s="324"/>
      <c r="AA412" s="324"/>
      <c r="AB412" s="324"/>
      <c r="AC412" s="324"/>
      <c r="AD412" s="324"/>
      <c r="AE412" s="324"/>
      <c r="AF412" s="324"/>
      <c r="AG412" s="324"/>
      <c r="AH412" s="324"/>
      <c r="AI412" s="417"/>
      <c r="AJ412" s="324"/>
      <c r="AK412" s="324"/>
      <c r="AL412" s="324"/>
      <c r="AM412" s="324"/>
      <c r="AN412" s="324"/>
      <c r="AO412" s="324"/>
      <c r="AP412" s="324"/>
      <c r="AQ412" s="324"/>
      <c r="AR412" s="324"/>
      <c r="AS412" s="325"/>
      <c r="AT412" s="325"/>
      <c r="AU412" s="325"/>
      <c r="AV412" s="325"/>
      <c r="AW412" s="325"/>
      <c r="AX412" s="325"/>
      <c r="AY412" s="325"/>
      <c r="AZ412" s="325"/>
      <c r="BA412" s="325"/>
      <c r="BB412" s="325"/>
      <c r="BC412" s="325"/>
      <c r="BD412" s="325"/>
      <c r="BE412" s="325"/>
      <c r="BF412" s="325"/>
      <c r="BG412" s="325"/>
      <c r="BH412" s="325"/>
      <c r="BI412" s="325"/>
      <c r="BJ412" s="325"/>
      <c r="BK412" s="325"/>
      <c r="BL412" s="325"/>
      <c r="BM412" s="325"/>
      <c r="BN412" s="325"/>
      <c r="BO412" s="325"/>
      <c r="BP412" s="325"/>
      <c r="BQ412" s="325"/>
    </row>
    <row r="413" spans="1:69" ht="14.25" customHeight="1" x14ac:dyDescent="0.2">
      <c r="A413" s="28"/>
      <c r="B413" s="28"/>
      <c r="C413" s="28"/>
      <c r="D413" s="324"/>
      <c r="E413" s="324"/>
      <c r="F413" s="324"/>
      <c r="G413" s="324"/>
      <c r="H413" s="324"/>
      <c r="I413" s="324"/>
      <c r="J413" s="324"/>
      <c r="K413" s="324"/>
      <c r="L413" s="324"/>
      <c r="M413" s="324"/>
      <c r="N413" s="324"/>
      <c r="O413" s="324"/>
      <c r="P413" s="324"/>
      <c r="Q413" s="324"/>
      <c r="R413" s="324"/>
      <c r="S413" s="324"/>
      <c r="T413" s="3"/>
      <c r="U413" s="324"/>
      <c r="V413" s="324"/>
      <c r="W413" s="324"/>
      <c r="X413" s="324"/>
      <c r="Y413" s="324"/>
      <c r="Z413" s="324"/>
      <c r="AA413" s="324"/>
      <c r="AB413" s="324"/>
      <c r="AC413" s="324"/>
      <c r="AD413" s="324"/>
      <c r="AE413" s="324"/>
      <c r="AF413" s="324"/>
      <c r="AG413" s="324"/>
      <c r="AH413" s="324"/>
      <c r="AI413" s="417"/>
      <c r="AJ413" s="324"/>
      <c r="AK413" s="324"/>
      <c r="AL413" s="324"/>
      <c r="AM413" s="324"/>
      <c r="AN413" s="324"/>
      <c r="AO413" s="324"/>
      <c r="AP413" s="324"/>
      <c r="AQ413" s="324"/>
      <c r="AR413" s="324"/>
      <c r="AS413" s="325"/>
      <c r="AT413" s="325"/>
      <c r="AU413" s="325"/>
      <c r="AV413" s="325"/>
      <c r="AW413" s="325"/>
      <c r="AX413" s="325"/>
      <c r="AY413" s="325"/>
      <c r="AZ413" s="325"/>
      <c r="BA413" s="325"/>
      <c r="BB413" s="325"/>
      <c r="BC413" s="325"/>
      <c r="BD413" s="325"/>
      <c r="BE413" s="325"/>
      <c r="BF413" s="325"/>
      <c r="BG413" s="325"/>
      <c r="BH413" s="325"/>
      <c r="BI413" s="325"/>
      <c r="BJ413" s="325"/>
      <c r="BK413" s="325"/>
      <c r="BL413" s="325"/>
      <c r="BM413" s="325"/>
      <c r="BN413" s="325"/>
      <c r="BO413" s="325"/>
      <c r="BP413" s="325"/>
      <c r="BQ413" s="325"/>
    </row>
    <row r="414" spans="1:69" ht="14.25" customHeight="1" x14ac:dyDescent="0.2">
      <c r="A414" s="28"/>
      <c r="B414" s="28"/>
      <c r="C414" s="28"/>
      <c r="D414" s="324"/>
      <c r="E414" s="324"/>
      <c r="F414" s="324"/>
      <c r="G414" s="324"/>
      <c r="H414" s="324"/>
      <c r="I414" s="324"/>
      <c r="J414" s="324"/>
      <c r="K414" s="324"/>
      <c r="L414" s="324"/>
      <c r="M414" s="324"/>
      <c r="N414" s="324"/>
      <c r="O414" s="324"/>
      <c r="P414" s="324"/>
      <c r="Q414" s="324"/>
      <c r="R414" s="324"/>
      <c r="S414" s="324"/>
      <c r="T414" s="324"/>
      <c r="U414" s="324"/>
      <c r="V414" s="324"/>
      <c r="W414" s="324"/>
      <c r="X414" s="324"/>
      <c r="Y414" s="324"/>
      <c r="Z414" s="324"/>
      <c r="AA414" s="324"/>
      <c r="AB414" s="324"/>
      <c r="AC414" s="324"/>
      <c r="AD414" s="324"/>
      <c r="AE414" s="324"/>
      <c r="AF414" s="324"/>
      <c r="AG414" s="324"/>
      <c r="AH414" s="324"/>
      <c r="AI414" s="417"/>
      <c r="AJ414" s="324"/>
      <c r="AK414" s="324"/>
      <c r="AL414" s="324"/>
      <c r="AM414" s="324"/>
      <c r="AN414" s="324"/>
      <c r="AO414" s="324"/>
      <c r="AP414" s="324"/>
      <c r="AQ414" s="324"/>
      <c r="AR414" s="324"/>
      <c r="AS414" s="325"/>
      <c r="AT414" s="325"/>
      <c r="AU414" s="325"/>
      <c r="AV414" s="325"/>
      <c r="AW414" s="325"/>
      <c r="AX414" s="325"/>
      <c r="AY414" s="325"/>
      <c r="AZ414" s="325"/>
      <c r="BA414" s="325"/>
      <c r="BB414" s="325"/>
      <c r="BC414" s="325"/>
      <c r="BD414" s="325"/>
      <c r="BE414" s="325"/>
      <c r="BF414" s="325"/>
      <c r="BG414" s="325"/>
      <c r="BH414" s="325"/>
      <c r="BI414" s="325"/>
      <c r="BJ414" s="325"/>
      <c r="BK414" s="325"/>
      <c r="BL414" s="325"/>
      <c r="BM414" s="325"/>
      <c r="BN414" s="325"/>
      <c r="BO414" s="325"/>
      <c r="BP414" s="325"/>
      <c r="BQ414" s="325"/>
    </row>
    <row r="415" spans="1:69" ht="14.25" customHeight="1" x14ac:dyDescent="0.2">
      <c r="A415" s="28"/>
      <c r="B415" s="28"/>
      <c r="C415" s="28"/>
      <c r="D415" s="324"/>
      <c r="E415" s="324"/>
      <c r="F415" s="324"/>
      <c r="G415" s="324"/>
      <c r="H415" s="324"/>
      <c r="I415" s="324"/>
      <c r="J415" s="324"/>
      <c r="K415" s="324"/>
      <c r="L415" s="324"/>
      <c r="M415" s="324"/>
      <c r="N415" s="324"/>
      <c r="O415" s="324"/>
      <c r="P415" s="324"/>
      <c r="Q415" s="324"/>
      <c r="R415" s="324"/>
      <c r="S415" s="324"/>
      <c r="T415" s="324"/>
      <c r="U415" s="324"/>
      <c r="V415" s="324"/>
      <c r="W415" s="324"/>
      <c r="X415" s="324"/>
      <c r="Y415" s="324"/>
      <c r="Z415" s="324"/>
      <c r="AA415" s="324"/>
      <c r="AB415" s="324"/>
      <c r="AC415" s="324"/>
      <c r="AD415" s="324"/>
      <c r="AE415" s="324"/>
      <c r="AF415" s="324"/>
      <c r="AG415" s="324"/>
      <c r="AH415" s="324"/>
      <c r="AI415" s="417"/>
      <c r="AJ415" s="324"/>
      <c r="AK415" s="324"/>
      <c r="AL415" s="324"/>
      <c r="AM415" s="324"/>
      <c r="AN415" s="324"/>
      <c r="AO415" s="324"/>
      <c r="AP415" s="324"/>
      <c r="AQ415" s="324"/>
      <c r="AR415" s="324"/>
      <c r="AS415" s="325"/>
      <c r="AT415" s="325"/>
      <c r="AU415" s="325"/>
      <c r="AV415" s="325"/>
      <c r="AW415" s="325"/>
      <c r="AX415" s="325"/>
      <c r="AY415" s="325"/>
      <c r="AZ415" s="325"/>
      <c r="BA415" s="325"/>
      <c r="BB415" s="325"/>
      <c r="BC415" s="325"/>
      <c r="BD415" s="325"/>
      <c r="BE415" s="325"/>
      <c r="BF415" s="325"/>
      <c r="BG415" s="325"/>
      <c r="BH415" s="325"/>
      <c r="BI415" s="325"/>
      <c r="BJ415" s="325"/>
      <c r="BK415" s="325"/>
      <c r="BL415" s="325"/>
      <c r="BM415" s="325"/>
      <c r="BN415" s="325"/>
      <c r="BO415" s="325"/>
      <c r="BP415" s="325"/>
      <c r="BQ415" s="325"/>
    </row>
    <row r="416" spans="1:69" ht="14.25" customHeight="1" x14ac:dyDescent="0.2">
      <c r="A416" s="28"/>
      <c r="B416" s="28"/>
      <c r="C416" s="28"/>
      <c r="D416" s="324"/>
      <c r="E416" s="324"/>
      <c r="F416" s="324"/>
      <c r="G416" s="324"/>
      <c r="H416" s="324"/>
      <c r="I416" s="324"/>
      <c r="J416" s="324"/>
      <c r="K416" s="324"/>
      <c r="L416" s="324"/>
      <c r="M416" s="324"/>
      <c r="N416" s="324"/>
      <c r="O416" s="324"/>
      <c r="P416" s="324"/>
      <c r="Q416" s="324"/>
      <c r="R416" s="324"/>
      <c r="S416" s="324"/>
      <c r="T416" s="324"/>
      <c r="U416" s="324"/>
      <c r="V416" s="324"/>
      <c r="W416" s="324"/>
      <c r="X416" s="324"/>
      <c r="Y416" s="324"/>
      <c r="Z416" s="324"/>
      <c r="AA416" s="324"/>
      <c r="AB416" s="324"/>
      <c r="AC416" s="324"/>
      <c r="AD416" s="324"/>
      <c r="AE416" s="324"/>
      <c r="AF416" s="324"/>
      <c r="AG416" s="324"/>
      <c r="AH416" s="324"/>
      <c r="AI416" s="417"/>
      <c r="AJ416" s="324"/>
      <c r="AK416" s="324"/>
      <c r="AL416" s="324"/>
      <c r="AM416" s="324"/>
      <c r="AN416" s="324"/>
      <c r="AO416" s="324"/>
      <c r="AP416" s="324"/>
      <c r="AQ416" s="324"/>
      <c r="AR416" s="324"/>
      <c r="AS416" s="325"/>
      <c r="AT416" s="325"/>
      <c r="AU416" s="325"/>
      <c r="AV416" s="325"/>
      <c r="AW416" s="325"/>
      <c r="AX416" s="325"/>
      <c r="AY416" s="325"/>
      <c r="AZ416" s="325"/>
      <c r="BA416" s="325"/>
      <c r="BB416" s="325"/>
      <c r="BC416" s="325"/>
      <c r="BD416" s="325"/>
      <c r="BE416" s="325"/>
      <c r="BF416" s="325"/>
      <c r="BG416" s="325"/>
      <c r="BH416" s="325"/>
      <c r="BI416" s="325"/>
      <c r="BJ416" s="325"/>
      <c r="BK416" s="325"/>
      <c r="BL416" s="325"/>
      <c r="BM416" s="325"/>
      <c r="BN416" s="325"/>
      <c r="BO416" s="325"/>
      <c r="BP416" s="325"/>
      <c r="BQ416" s="325"/>
    </row>
    <row r="417" spans="1:69" ht="14.25" customHeight="1" x14ac:dyDescent="0.2">
      <c r="A417" s="28"/>
      <c r="B417" s="28"/>
      <c r="C417" s="28"/>
      <c r="D417" s="324"/>
      <c r="E417" s="324"/>
      <c r="F417" s="324"/>
      <c r="G417" s="324"/>
      <c r="H417" s="324"/>
      <c r="I417" s="324"/>
      <c r="J417" s="324"/>
      <c r="K417" s="324"/>
      <c r="L417" s="324"/>
      <c r="M417" s="324"/>
      <c r="N417" s="324"/>
      <c r="O417" s="324"/>
      <c r="P417" s="324"/>
      <c r="Q417" s="324"/>
      <c r="R417" s="324"/>
      <c r="S417" s="324"/>
      <c r="T417" s="324"/>
      <c r="U417" s="324"/>
      <c r="V417" s="324"/>
      <c r="W417" s="324"/>
      <c r="X417" s="324"/>
      <c r="Y417" s="324"/>
      <c r="Z417" s="324"/>
      <c r="AA417" s="324"/>
      <c r="AB417" s="324"/>
      <c r="AC417" s="324"/>
      <c r="AD417" s="324"/>
      <c r="AE417" s="324"/>
      <c r="AF417" s="324"/>
      <c r="AG417" s="324"/>
      <c r="AH417" s="324"/>
      <c r="AI417" s="417"/>
      <c r="AJ417" s="324"/>
      <c r="AK417" s="324"/>
      <c r="AL417" s="324"/>
      <c r="AM417" s="324"/>
      <c r="AN417" s="324"/>
      <c r="AO417" s="324"/>
      <c r="AP417" s="324"/>
      <c r="AQ417" s="324"/>
      <c r="AR417" s="324"/>
      <c r="AS417" s="325"/>
      <c r="AT417" s="325"/>
      <c r="AU417" s="325"/>
      <c r="AV417" s="325"/>
      <c r="AW417" s="325"/>
      <c r="AX417" s="325"/>
      <c r="AY417" s="325"/>
      <c r="AZ417" s="325"/>
      <c r="BA417" s="325"/>
      <c r="BB417" s="325"/>
      <c r="BC417" s="325"/>
      <c r="BD417" s="325"/>
      <c r="BE417" s="325"/>
      <c r="BF417" s="325"/>
      <c r="BG417" s="325"/>
      <c r="BH417" s="325"/>
      <c r="BI417" s="325"/>
      <c r="BJ417" s="325"/>
      <c r="BK417" s="325"/>
      <c r="BL417" s="325"/>
      <c r="BM417" s="325"/>
      <c r="BN417" s="325"/>
      <c r="BO417" s="325"/>
      <c r="BP417" s="325"/>
      <c r="BQ417" s="325"/>
    </row>
    <row r="418" spans="1:69" ht="14.25" customHeight="1" x14ac:dyDescent="0.2">
      <c r="A418" s="28"/>
      <c r="B418" s="28"/>
      <c r="C418" s="28"/>
      <c r="D418" s="324"/>
      <c r="E418" s="324"/>
      <c r="F418" s="324"/>
      <c r="G418" s="324"/>
      <c r="H418" s="324"/>
      <c r="I418" s="324"/>
      <c r="J418" s="324"/>
      <c r="K418" s="324"/>
      <c r="L418" s="324"/>
      <c r="M418" s="324"/>
      <c r="N418" s="324"/>
      <c r="O418" s="324"/>
      <c r="P418" s="324"/>
      <c r="Q418" s="324"/>
      <c r="R418" s="324"/>
      <c r="S418" s="324"/>
      <c r="T418" s="324"/>
      <c r="U418" s="324"/>
      <c r="V418" s="324"/>
      <c r="W418" s="324"/>
      <c r="X418" s="324"/>
      <c r="Y418" s="324"/>
      <c r="Z418" s="324"/>
      <c r="AA418" s="324"/>
      <c r="AB418" s="324"/>
      <c r="AC418" s="324"/>
      <c r="AD418" s="324"/>
      <c r="AE418" s="324"/>
      <c r="AF418" s="324"/>
      <c r="AG418" s="324"/>
      <c r="AH418" s="324"/>
      <c r="AI418" s="417"/>
      <c r="AJ418" s="324"/>
      <c r="AK418" s="324"/>
      <c r="AL418" s="324"/>
      <c r="AM418" s="324"/>
      <c r="AN418" s="324"/>
      <c r="AO418" s="324"/>
      <c r="AP418" s="324"/>
      <c r="AQ418" s="324"/>
      <c r="AR418" s="324"/>
      <c r="AS418" s="325"/>
      <c r="AT418" s="325"/>
      <c r="AU418" s="325"/>
      <c r="AV418" s="325"/>
      <c r="AW418" s="325"/>
      <c r="AX418" s="325"/>
      <c r="AY418" s="325"/>
      <c r="AZ418" s="325"/>
      <c r="BA418" s="325"/>
      <c r="BB418" s="325"/>
      <c r="BC418" s="325"/>
      <c r="BD418" s="325"/>
      <c r="BE418" s="325"/>
      <c r="BF418" s="325"/>
      <c r="BG418" s="325"/>
      <c r="BH418" s="325"/>
      <c r="BI418" s="325"/>
      <c r="BJ418" s="325"/>
      <c r="BK418" s="325"/>
      <c r="BL418" s="325"/>
      <c r="BM418" s="325"/>
      <c r="BN418" s="325"/>
      <c r="BO418" s="325"/>
      <c r="BP418" s="325"/>
      <c r="BQ418" s="325"/>
    </row>
    <row r="419" spans="1:69" ht="14.25" customHeight="1" x14ac:dyDescent="0.2">
      <c r="A419" s="28"/>
      <c r="B419" s="28"/>
      <c r="C419" s="28"/>
      <c r="D419" s="324"/>
      <c r="E419" s="324"/>
      <c r="F419" s="324"/>
      <c r="G419" s="324"/>
      <c r="H419" s="324"/>
      <c r="I419" s="324"/>
      <c r="J419" s="324"/>
      <c r="K419" s="324"/>
      <c r="L419" s="324"/>
      <c r="M419" s="324"/>
      <c r="N419" s="324"/>
      <c r="O419" s="324"/>
      <c r="P419" s="324"/>
      <c r="Q419" s="324"/>
      <c r="R419" s="324"/>
      <c r="S419" s="324"/>
      <c r="T419" s="324"/>
      <c r="U419" s="324"/>
      <c r="V419" s="324"/>
      <c r="W419" s="324"/>
      <c r="X419" s="324"/>
      <c r="Y419" s="324"/>
      <c r="Z419" s="324"/>
      <c r="AA419" s="324"/>
      <c r="AB419" s="324"/>
      <c r="AC419" s="324"/>
      <c r="AD419" s="324"/>
      <c r="AE419" s="324"/>
      <c r="AF419" s="324"/>
      <c r="AG419" s="324"/>
      <c r="AH419" s="324"/>
      <c r="AI419" s="417"/>
      <c r="AJ419" s="324"/>
      <c r="AK419" s="324"/>
      <c r="AL419" s="324"/>
      <c r="AM419" s="324"/>
      <c r="AN419" s="324"/>
      <c r="AO419" s="324"/>
      <c r="AP419" s="324"/>
      <c r="AQ419" s="324"/>
      <c r="AR419" s="324"/>
      <c r="AS419" s="325"/>
      <c r="AT419" s="325"/>
      <c r="AU419" s="325"/>
      <c r="AV419" s="325"/>
      <c r="AW419" s="325"/>
      <c r="AX419" s="325"/>
      <c r="AY419" s="325"/>
      <c r="AZ419" s="325"/>
      <c r="BA419" s="325"/>
      <c r="BB419" s="325"/>
      <c r="BC419" s="325"/>
      <c r="BD419" s="325"/>
      <c r="BE419" s="325"/>
      <c r="BF419" s="325"/>
      <c r="BG419" s="325"/>
      <c r="BH419" s="325"/>
      <c r="BI419" s="325"/>
      <c r="BJ419" s="325"/>
      <c r="BK419" s="325"/>
      <c r="BL419" s="325"/>
      <c r="BM419" s="325"/>
      <c r="BN419" s="325"/>
      <c r="BO419" s="325"/>
      <c r="BP419" s="325"/>
      <c r="BQ419" s="325"/>
    </row>
    <row r="420" spans="1:69" ht="14.25" customHeight="1" x14ac:dyDescent="0.2">
      <c r="A420" s="28"/>
      <c r="B420" s="28"/>
      <c r="C420" s="28"/>
      <c r="D420" s="324"/>
      <c r="E420" s="324"/>
      <c r="F420" s="324"/>
      <c r="G420" s="324"/>
      <c r="H420" s="324"/>
      <c r="I420" s="324"/>
      <c r="J420" s="324"/>
      <c r="K420" s="324"/>
      <c r="L420" s="324"/>
      <c r="M420" s="324"/>
      <c r="N420" s="324"/>
      <c r="O420" s="324"/>
      <c r="P420" s="324"/>
      <c r="Q420" s="324"/>
      <c r="R420" s="324"/>
      <c r="S420" s="324"/>
      <c r="T420" s="324"/>
      <c r="U420" s="324"/>
      <c r="V420" s="324"/>
      <c r="W420" s="324"/>
      <c r="X420" s="324"/>
      <c r="Y420" s="324"/>
      <c r="Z420" s="324"/>
      <c r="AA420" s="324"/>
      <c r="AB420" s="324"/>
      <c r="AC420" s="324"/>
      <c r="AD420" s="324"/>
      <c r="AE420" s="324"/>
      <c r="AF420" s="324"/>
      <c r="AG420" s="324"/>
      <c r="AH420" s="324"/>
      <c r="AI420" s="417"/>
      <c r="AJ420" s="324"/>
      <c r="AK420" s="324"/>
      <c r="AL420" s="324"/>
      <c r="AM420" s="324"/>
      <c r="AN420" s="324"/>
      <c r="AO420" s="324"/>
      <c r="AP420" s="324"/>
      <c r="AQ420" s="324"/>
      <c r="AR420" s="324"/>
      <c r="AS420" s="325"/>
      <c r="AT420" s="325"/>
      <c r="AU420" s="325"/>
      <c r="AV420" s="325"/>
      <c r="AW420" s="325"/>
      <c r="AX420" s="325"/>
      <c r="AY420" s="325"/>
      <c r="AZ420" s="325"/>
      <c r="BA420" s="325"/>
      <c r="BB420" s="325"/>
      <c r="BC420" s="325"/>
      <c r="BD420" s="325"/>
      <c r="BE420" s="325"/>
      <c r="BF420" s="325"/>
      <c r="BG420" s="325"/>
      <c r="BH420" s="325"/>
      <c r="BI420" s="325"/>
      <c r="BJ420" s="325"/>
      <c r="BK420" s="325"/>
      <c r="BL420" s="325"/>
      <c r="BM420" s="325"/>
      <c r="BN420" s="325"/>
      <c r="BO420" s="325"/>
      <c r="BP420" s="325"/>
      <c r="BQ420" s="325"/>
    </row>
    <row r="421" spans="1:69" ht="14.25" customHeight="1" x14ac:dyDescent="0.2">
      <c r="A421" s="28"/>
      <c r="B421" s="28"/>
      <c r="C421" s="28"/>
      <c r="D421" s="324"/>
      <c r="E421" s="324"/>
      <c r="F421" s="324"/>
      <c r="G421" s="324"/>
      <c r="H421" s="324"/>
      <c r="I421" s="324"/>
      <c r="J421" s="324"/>
      <c r="K421" s="324"/>
      <c r="L421" s="324"/>
      <c r="M421" s="324"/>
      <c r="N421" s="324"/>
      <c r="O421" s="324"/>
      <c r="P421" s="324"/>
      <c r="Q421" s="324"/>
      <c r="R421" s="324"/>
      <c r="S421" s="324"/>
      <c r="T421" s="324"/>
      <c r="U421" s="324"/>
      <c r="V421" s="324"/>
      <c r="W421" s="324"/>
      <c r="X421" s="324"/>
      <c r="Y421" s="324"/>
      <c r="Z421" s="324"/>
      <c r="AA421" s="324"/>
      <c r="AB421" s="324"/>
      <c r="AC421" s="324"/>
      <c r="AD421" s="324"/>
      <c r="AE421" s="324"/>
      <c r="AF421" s="324"/>
      <c r="AG421" s="324"/>
      <c r="AH421" s="324"/>
      <c r="AI421" s="417"/>
      <c r="AJ421" s="324"/>
      <c r="AK421" s="324"/>
      <c r="AL421" s="324"/>
      <c r="AM421" s="324"/>
      <c r="AN421" s="324"/>
      <c r="AO421" s="324"/>
      <c r="AP421" s="324"/>
      <c r="AQ421" s="324"/>
      <c r="AR421" s="324"/>
      <c r="AS421" s="325"/>
      <c r="AT421" s="325"/>
      <c r="AU421" s="325"/>
      <c r="AV421" s="325"/>
      <c r="AW421" s="325"/>
      <c r="AX421" s="325"/>
      <c r="AY421" s="325"/>
      <c r="AZ421" s="325"/>
      <c r="BA421" s="325"/>
      <c r="BB421" s="325"/>
      <c r="BC421" s="325"/>
      <c r="BD421" s="325"/>
      <c r="BE421" s="325"/>
      <c r="BF421" s="325"/>
      <c r="BG421" s="325"/>
      <c r="BH421" s="325"/>
      <c r="BI421" s="325"/>
      <c r="BJ421" s="325"/>
      <c r="BK421" s="325"/>
      <c r="BL421" s="325"/>
      <c r="BM421" s="325"/>
      <c r="BN421" s="325"/>
      <c r="BO421" s="325"/>
      <c r="BP421" s="325"/>
      <c r="BQ421" s="325"/>
    </row>
    <row r="422" spans="1:69" ht="14.25" customHeight="1" x14ac:dyDescent="0.2">
      <c r="A422" s="28"/>
      <c r="B422" s="28"/>
      <c r="C422" s="28"/>
      <c r="D422" s="324"/>
      <c r="E422" s="324"/>
      <c r="F422" s="324"/>
      <c r="G422" s="324"/>
      <c r="H422" s="324"/>
      <c r="I422" s="324"/>
      <c r="J422" s="324"/>
      <c r="K422" s="324"/>
      <c r="L422" s="324"/>
      <c r="M422" s="324"/>
      <c r="N422" s="324"/>
      <c r="O422" s="324"/>
      <c r="P422" s="324"/>
      <c r="Q422" s="324"/>
      <c r="R422" s="324"/>
      <c r="S422" s="324"/>
      <c r="T422" s="324"/>
      <c r="U422" s="324"/>
      <c r="V422" s="324"/>
      <c r="W422" s="324"/>
      <c r="X422" s="324"/>
      <c r="Y422" s="324"/>
      <c r="Z422" s="324"/>
      <c r="AA422" s="324"/>
      <c r="AB422" s="324"/>
      <c r="AC422" s="324"/>
      <c r="AD422" s="324"/>
      <c r="AE422" s="324"/>
      <c r="AF422" s="324"/>
      <c r="AG422" s="324"/>
      <c r="AH422" s="324"/>
      <c r="AI422" s="417"/>
      <c r="AJ422" s="324"/>
      <c r="AK422" s="324"/>
      <c r="AL422" s="324"/>
      <c r="AM422" s="324"/>
      <c r="AN422" s="324"/>
      <c r="AO422" s="324"/>
      <c r="AP422" s="324"/>
      <c r="AQ422" s="324"/>
      <c r="AR422" s="324"/>
      <c r="AS422" s="325"/>
      <c r="AT422" s="325"/>
      <c r="AU422" s="325"/>
      <c r="AV422" s="325"/>
      <c r="AW422" s="325"/>
      <c r="AX422" s="325"/>
      <c r="AY422" s="325"/>
      <c r="AZ422" s="325"/>
      <c r="BA422" s="325"/>
      <c r="BB422" s="325"/>
      <c r="BC422" s="325"/>
      <c r="BD422" s="325"/>
      <c r="BE422" s="325"/>
      <c r="BF422" s="325"/>
      <c r="BG422" s="325"/>
      <c r="BH422" s="325"/>
      <c r="BI422" s="325"/>
      <c r="BJ422" s="325"/>
      <c r="BK422" s="325"/>
      <c r="BL422" s="325"/>
      <c r="BM422" s="325"/>
      <c r="BN422" s="325"/>
      <c r="BO422" s="325"/>
      <c r="BP422" s="325"/>
      <c r="BQ422" s="325"/>
    </row>
    <row r="423" spans="1:69" ht="14.25" customHeight="1" x14ac:dyDescent="0.2">
      <c r="A423" s="28"/>
      <c r="B423" s="28"/>
      <c r="C423" s="28"/>
      <c r="D423" s="324"/>
      <c r="E423" s="324"/>
      <c r="F423" s="324"/>
      <c r="G423" s="324"/>
      <c r="H423" s="324"/>
      <c r="I423" s="324"/>
      <c r="J423" s="324"/>
      <c r="K423" s="324"/>
      <c r="L423" s="324"/>
      <c r="M423" s="324"/>
      <c r="N423" s="324"/>
      <c r="O423" s="324"/>
      <c r="P423" s="324"/>
      <c r="Q423" s="324"/>
      <c r="R423" s="324"/>
      <c r="S423" s="324"/>
      <c r="T423" s="324"/>
      <c r="U423" s="324"/>
      <c r="V423" s="324"/>
      <c r="W423" s="324"/>
      <c r="X423" s="324"/>
      <c r="Y423" s="324"/>
      <c r="Z423" s="324"/>
      <c r="AA423" s="324"/>
      <c r="AB423" s="324"/>
      <c r="AC423" s="324"/>
      <c r="AD423" s="324"/>
      <c r="AE423" s="324"/>
      <c r="AF423" s="324"/>
      <c r="AG423" s="324"/>
      <c r="AH423" s="324"/>
      <c r="AI423" s="417"/>
      <c r="AJ423" s="324"/>
      <c r="AK423" s="324"/>
      <c r="AL423" s="324"/>
      <c r="AM423" s="324"/>
      <c r="AN423" s="324"/>
      <c r="AO423" s="324"/>
      <c r="AP423" s="324"/>
      <c r="AQ423" s="324"/>
      <c r="AR423" s="324"/>
      <c r="AS423" s="325"/>
      <c r="AT423" s="325"/>
      <c r="AU423" s="325"/>
      <c r="AV423" s="325"/>
      <c r="AW423" s="325"/>
      <c r="AX423" s="325"/>
      <c r="AY423" s="325"/>
      <c r="AZ423" s="325"/>
      <c r="BA423" s="325"/>
      <c r="BB423" s="325"/>
      <c r="BC423" s="325"/>
      <c r="BD423" s="325"/>
      <c r="BE423" s="325"/>
      <c r="BF423" s="325"/>
      <c r="BG423" s="325"/>
      <c r="BH423" s="325"/>
      <c r="BI423" s="325"/>
      <c r="BJ423" s="325"/>
      <c r="BK423" s="325"/>
      <c r="BL423" s="325"/>
      <c r="BM423" s="325"/>
      <c r="BN423" s="325"/>
      <c r="BO423" s="325"/>
      <c r="BP423" s="325"/>
      <c r="BQ423" s="325"/>
    </row>
    <row r="424" spans="1:69" ht="14.25" customHeight="1" x14ac:dyDescent="0.2">
      <c r="A424" s="28"/>
      <c r="B424" s="28"/>
      <c r="C424" s="28"/>
      <c r="D424" s="324"/>
      <c r="E424" s="324"/>
      <c r="F424" s="324"/>
      <c r="G424" s="324"/>
      <c r="H424" s="324"/>
      <c r="I424" s="324"/>
      <c r="J424" s="324"/>
      <c r="K424" s="324"/>
      <c r="L424" s="324"/>
      <c r="M424" s="324"/>
      <c r="N424" s="324"/>
      <c r="O424" s="324"/>
      <c r="P424" s="324"/>
      <c r="Q424" s="324"/>
      <c r="R424" s="324"/>
      <c r="S424" s="324"/>
      <c r="T424" s="324"/>
      <c r="U424" s="324"/>
      <c r="V424" s="324"/>
      <c r="W424" s="324"/>
      <c r="X424" s="324"/>
      <c r="Y424" s="324"/>
      <c r="Z424" s="324"/>
      <c r="AA424" s="324"/>
      <c r="AB424" s="324"/>
      <c r="AC424" s="324"/>
      <c r="AD424" s="324"/>
      <c r="AE424" s="324"/>
      <c r="AF424" s="324"/>
      <c r="AG424" s="324"/>
      <c r="AH424" s="324"/>
      <c r="AI424" s="417"/>
      <c r="AJ424" s="324"/>
      <c r="AK424" s="324"/>
      <c r="AL424" s="324"/>
      <c r="AM424" s="324"/>
      <c r="AN424" s="324"/>
      <c r="AO424" s="324"/>
      <c r="AP424" s="324"/>
      <c r="AQ424" s="324"/>
      <c r="AR424" s="324"/>
      <c r="AS424" s="325"/>
      <c r="AT424" s="325"/>
      <c r="AU424" s="325"/>
      <c r="AV424" s="325"/>
      <c r="AW424" s="325"/>
      <c r="AX424" s="325"/>
      <c r="AY424" s="325"/>
      <c r="AZ424" s="325"/>
      <c r="BA424" s="325"/>
      <c r="BB424" s="325"/>
      <c r="BC424" s="325"/>
      <c r="BD424" s="325"/>
      <c r="BE424" s="325"/>
      <c r="BF424" s="325"/>
      <c r="BG424" s="325"/>
      <c r="BH424" s="325"/>
      <c r="BI424" s="325"/>
      <c r="BJ424" s="325"/>
      <c r="BK424" s="325"/>
      <c r="BL424" s="325"/>
      <c r="BM424" s="325"/>
      <c r="BN424" s="325"/>
      <c r="BO424" s="325"/>
      <c r="BP424" s="325"/>
      <c r="BQ424" s="325"/>
    </row>
    <row r="425" spans="1:69" ht="14.25" customHeight="1" x14ac:dyDescent="0.2">
      <c r="A425" s="28"/>
      <c r="B425" s="28"/>
      <c r="C425" s="28"/>
      <c r="D425" s="324"/>
      <c r="E425" s="324"/>
      <c r="F425" s="324"/>
      <c r="G425" s="324"/>
      <c r="H425" s="324"/>
      <c r="I425" s="324"/>
      <c r="J425" s="324"/>
      <c r="K425" s="324"/>
      <c r="L425" s="324"/>
      <c r="M425" s="324"/>
      <c r="N425" s="324"/>
      <c r="O425" s="324"/>
      <c r="P425" s="324"/>
      <c r="Q425" s="324"/>
      <c r="R425" s="324"/>
      <c r="S425" s="324"/>
      <c r="T425" s="324"/>
      <c r="U425" s="324"/>
      <c r="V425" s="324"/>
      <c r="W425" s="324"/>
      <c r="X425" s="324"/>
      <c r="Y425" s="324"/>
      <c r="Z425" s="324"/>
      <c r="AA425" s="324"/>
      <c r="AB425" s="324"/>
      <c r="AC425" s="324"/>
      <c r="AD425" s="324"/>
      <c r="AE425" s="324"/>
      <c r="AF425" s="324"/>
      <c r="AG425" s="324"/>
      <c r="AH425" s="324"/>
      <c r="AI425" s="417"/>
      <c r="AJ425" s="324"/>
      <c r="AK425" s="324"/>
      <c r="AL425" s="324"/>
      <c r="AM425" s="324"/>
      <c r="AN425" s="324"/>
      <c r="AO425" s="324"/>
      <c r="AP425" s="324"/>
      <c r="AQ425" s="324"/>
      <c r="AR425" s="324"/>
      <c r="AS425" s="325"/>
      <c r="AT425" s="325"/>
      <c r="AU425" s="325"/>
      <c r="AV425" s="325"/>
      <c r="AW425" s="325"/>
      <c r="AX425" s="325"/>
      <c r="AY425" s="325"/>
      <c r="AZ425" s="325"/>
      <c r="BA425" s="325"/>
      <c r="BB425" s="325"/>
      <c r="BC425" s="325"/>
      <c r="BD425" s="325"/>
      <c r="BE425" s="325"/>
      <c r="BF425" s="325"/>
      <c r="BG425" s="325"/>
      <c r="BH425" s="325"/>
      <c r="BI425" s="325"/>
      <c r="BJ425" s="325"/>
      <c r="BK425" s="325"/>
      <c r="BL425" s="325"/>
      <c r="BM425" s="325"/>
      <c r="BN425" s="325"/>
      <c r="BO425" s="325"/>
      <c r="BP425" s="325"/>
      <c r="BQ425" s="325"/>
    </row>
    <row r="426" spans="1:69" ht="14.25" customHeight="1" x14ac:dyDescent="0.2">
      <c r="A426" s="28"/>
      <c r="B426" s="28"/>
      <c r="C426" s="28"/>
      <c r="D426" s="324"/>
      <c r="E426" s="324"/>
      <c r="F426" s="324"/>
      <c r="G426" s="324"/>
      <c r="H426" s="324"/>
      <c r="I426" s="324"/>
      <c r="J426" s="324"/>
      <c r="K426" s="324"/>
      <c r="L426" s="324"/>
      <c r="M426" s="324"/>
      <c r="N426" s="324"/>
      <c r="O426" s="324"/>
      <c r="P426" s="324"/>
      <c r="Q426" s="324"/>
      <c r="R426" s="324"/>
      <c r="S426" s="324"/>
      <c r="T426" s="324"/>
      <c r="U426" s="324"/>
      <c r="V426" s="324"/>
      <c r="W426" s="324"/>
      <c r="X426" s="324"/>
      <c r="Y426" s="324"/>
      <c r="Z426" s="324"/>
      <c r="AA426" s="324"/>
      <c r="AB426" s="324"/>
      <c r="AC426" s="324"/>
      <c r="AD426" s="324"/>
      <c r="AE426" s="324"/>
      <c r="AF426" s="324"/>
      <c r="AG426" s="324"/>
      <c r="AH426" s="324"/>
      <c r="AI426" s="417"/>
      <c r="AJ426" s="324"/>
      <c r="AK426" s="324"/>
      <c r="AL426" s="324"/>
      <c r="AM426" s="324"/>
      <c r="AN426" s="324"/>
      <c r="AO426" s="324"/>
      <c r="AP426" s="324"/>
      <c r="AQ426" s="324"/>
      <c r="AR426" s="324"/>
      <c r="AS426" s="325"/>
      <c r="AT426" s="325"/>
      <c r="AU426" s="325"/>
      <c r="AV426" s="325"/>
      <c r="AW426" s="325"/>
      <c r="AX426" s="325"/>
      <c r="AY426" s="325"/>
      <c r="AZ426" s="325"/>
      <c r="BA426" s="325"/>
      <c r="BB426" s="325"/>
      <c r="BC426" s="325"/>
      <c r="BD426" s="325"/>
      <c r="BE426" s="325"/>
      <c r="BF426" s="325"/>
      <c r="BG426" s="325"/>
      <c r="BH426" s="325"/>
      <c r="BI426" s="325"/>
      <c r="BJ426" s="325"/>
      <c r="BK426" s="325"/>
      <c r="BL426" s="325"/>
      <c r="BM426" s="325"/>
      <c r="BN426" s="325"/>
      <c r="BO426" s="325"/>
      <c r="BP426" s="325"/>
      <c r="BQ426" s="325"/>
    </row>
    <row r="427" spans="1:69" ht="14.25" customHeight="1" x14ac:dyDescent="0.2">
      <c r="A427" s="28"/>
      <c r="B427" s="28"/>
      <c r="C427" s="28"/>
      <c r="D427" s="324"/>
      <c r="E427" s="324"/>
      <c r="F427" s="324"/>
      <c r="G427" s="324"/>
      <c r="H427" s="324"/>
      <c r="I427" s="324"/>
      <c r="J427" s="324"/>
      <c r="K427" s="324"/>
      <c r="L427" s="324"/>
      <c r="M427" s="324"/>
      <c r="N427" s="324"/>
      <c r="O427" s="324"/>
      <c r="P427" s="324"/>
      <c r="Q427" s="324"/>
      <c r="R427" s="324"/>
      <c r="S427" s="324"/>
      <c r="T427" s="324"/>
      <c r="U427" s="324"/>
      <c r="V427" s="324"/>
      <c r="W427" s="324"/>
      <c r="X427" s="324"/>
      <c r="Y427" s="324"/>
      <c r="Z427" s="324"/>
      <c r="AA427" s="324"/>
      <c r="AB427" s="324"/>
      <c r="AC427" s="324"/>
      <c r="AD427" s="324"/>
      <c r="AE427" s="324"/>
      <c r="AF427" s="324"/>
      <c r="AG427" s="324"/>
      <c r="AH427" s="324"/>
      <c r="AI427" s="417"/>
      <c r="AJ427" s="324"/>
      <c r="AK427" s="324"/>
      <c r="AL427" s="324"/>
      <c r="AM427" s="324"/>
      <c r="AN427" s="324"/>
      <c r="AO427" s="324"/>
      <c r="AP427" s="324"/>
      <c r="AQ427" s="324"/>
      <c r="AR427" s="324"/>
      <c r="AS427" s="325"/>
      <c r="AT427" s="325"/>
      <c r="AU427" s="325"/>
      <c r="AV427" s="325"/>
      <c r="AW427" s="325"/>
      <c r="AX427" s="325"/>
      <c r="AY427" s="325"/>
      <c r="AZ427" s="325"/>
      <c r="BA427" s="325"/>
      <c r="BB427" s="325"/>
      <c r="BC427" s="325"/>
      <c r="BD427" s="325"/>
      <c r="BE427" s="325"/>
      <c r="BF427" s="325"/>
      <c r="BG427" s="325"/>
      <c r="BH427" s="325"/>
      <c r="BI427" s="325"/>
      <c r="BJ427" s="325"/>
      <c r="BK427" s="325"/>
      <c r="BL427" s="325"/>
      <c r="BM427" s="325"/>
      <c r="BN427" s="325"/>
      <c r="BO427" s="325"/>
      <c r="BP427" s="325"/>
      <c r="BQ427" s="325"/>
    </row>
    <row r="428" spans="1:69" ht="14.25" customHeight="1" x14ac:dyDescent="0.2">
      <c r="A428" s="28"/>
      <c r="B428" s="28"/>
      <c r="C428" s="28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4"/>
      <c r="Y428" s="324"/>
      <c r="Z428" s="324"/>
      <c r="AA428" s="324"/>
      <c r="AB428" s="324"/>
      <c r="AC428" s="324"/>
      <c r="AD428" s="324"/>
      <c r="AE428" s="324"/>
      <c r="AF428" s="324"/>
      <c r="AG428" s="324"/>
      <c r="AH428" s="324"/>
      <c r="AI428" s="417"/>
      <c r="AJ428" s="324"/>
      <c r="AK428" s="324"/>
      <c r="AL428" s="324"/>
      <c r="AM428" s="324"/>
      <c r="AN428" s="324"/>
      <c r="AO428" s="324"/>
      <c r="AP428" s="324"/>
      <c r="AQ428" s="324"/>
      <c r="AR428" s="324"/>
      <c r="AS428" s="325"/>
      <c r="AT428" s="325"/>
      <c r="AU428" s="325"/>
      <c r="AV428" s="325"/>
      <c r="AW428" s="325"/>
      <c r="AX428" s="325"/>
      <c r="AY428" s="325"/>
      <c r="AZ428" s="325"/>
      <c r="BA428" s="325"/>
      <c r="BB428" s="325"/>
      <c r="BC428" s="325"/>
      <c r="BD428" s="325"/>
      <c r="BE428" s="325"/>
      <c r="BF428" s="325"/>
      <c r="BG428" s="325"/>
      <c r="BH428" s="325"/>
      <c r="BI428" s="325"/>
      <c r="BJ428" s="325"/>
      <c r="BK428" s="325"/>
      <c r="BL428" s="325"/>
      <c r="BM428" s="325"/>
      <c r="BN428" s="325"/>
      <c r="BO428" s="325"/>
      <c r="BP428" s="325"/>
      <c r="BQ428" s="325"/>
    </row>
    <row r="429" spans="1:69" ht="14.25" customHeight="1" x14ac:dyDescent="0.2">
      <c r="A429" s="28"/>
      <c r="B429" s="28"/>
      <c r="C429" s="28"/>
      <c r="D429" s="324"/>
      <c r="E429" s="324"/>
      <c r="F429" s="324"/>
      <c r="G429" s="324"/>
      <c r="H429" s="324"/>
      <c r="I429" s="324"/>
      <c r="J429" s="324"/>
      <c r="K429" s="324"/>
      <c r="L429" s="324"/>
      <c r="M429" s="324"/>
      <c r="N429" s="324"/>
      <c r="O429" s="324"/>
      <c r="P429" s="324"/>
      <c r="Q429" s="324"/>
      <c r="R429" s="324"/>
      <c r="S429" s="324"/>
      <c r="T429" s="324"/>
      <c r="U429" s="324"/>
      <c r="V429" s="324"/>
      <c r="W429" s="324"/>
      <c r="X429" s="324"/>
      <c r="Y429" s="324"/>
      <c r="Z429" s="324"/>
      <c r="AA429" s="324"/>
      <c r="AB429" s="324"/>
      <c r="AC429" s="324"/>
      <c r="AD429" s="324"/>
      <c r="AE429" s="324"/>
      <c r="AF429" s="324"/>
      <c r="AG429" s="324"/>
      <c r="AH429" s="324"/>
      <c r="AI429" s="417"/>
      <c r="AJ429" s="324"/>
      <c r="AK429" s="324"/>
      <c r="AL429" s="324"/>
      <c r="AM429" s="324"/>
      <c r="AN429" s="324"/>
      <c r="AO429" s="324"/>
      <c r="AP429" s="324"/>
      <c r="AQ429" s="324"/>
      <c r="AR429" s="324"/>
      <c r="AS429" s="325"/>
      <c r="AT429" s="325"/>
      <c r="AU429" s="325"/>
      <c r="AV429" s="325"/>
      <c r="AW429" s="325"/>
      <c r="AX429" s="325"/>
      <c r="AY429" s="325"/>
      <c r="AZ429" s="325"/>
      <c r="BA429" s="325"/>
      <c r="BB429" s="325"/>
      <c r="BC429" s="325"/>
      <c r="BD429" s="325"/>
      <c r="BE429" s="325"/>
      <c r="BF429" s="325"/>
      <c r="BG429" s="325"/>
      <c r="BH429" s="325"/>
      <c r="BI429" s="325"/>
      <c r="BJ429" s="325"/>
      <c r="BK429" s="325"/>
      <c r="BL429" s="325"/>
      <c r="BM429" s="325"/>
      <c r="BN429" s="325"/>
      <c r="BO429" s="325"/>
      <c r="BP429" s="325"/>
      <c r="BQ429" s="325"/>
    </row>
    <row r="430" spans="1:69" ht="14.25" customHeight="1" x14ac:dyDescent="0.2">
      <c r="A430" s="28"/>
      <c r="B430" s="28"/>
      <c r="C430" s="28"/>
      <c r="D430" s="324"/>
      <c r="E430" s="324"/>
      <c r="F430" s="324"/>
      <c r="G430" s="324"/>
      <c r="H430" s="324"/>
      <c r="I430" s="324"/>
      <c r="J430" s="324"/>
      <c r="K430" s="324"/>
      <c r="L430" s="324"/>
      <c r="M430" s="324"/>
      <c r="N430" s="324"/>
      <c r="O430" s="324"/>
      <c r="P430" s="324"/>
      <c r="Q430" s="324"/>
      <c r="R430" s="324"/>
      <c r="S430" s="324"/>
      <c r="T430" s="324"/>
      <c r="U430" s="324"/>
      <c r="V430" s="324"/>
      <c r="W430" s="324"/>
      <c r="X430" s="324"/>
      <c r="Y430" s="324"/>
      <c r="Z430" s="324"/>
      <c r="AA430" s="324"/>
      <c r="AB430" s="324"/>
      <c r="AC430" s="324"/>
      <c r="AD430" s="324"/>
      <c r="AE430" s="324"/>
      <c r="AF430" s="324"/>
      <c r="AG430" s="324"/>
      <c r="AH430" s="324"/>
      <c r="AI430" s="417"/>
      <c r="AJ430" s="324"/>
      <c r="AK430" s="324"/>
      <c r="AL430" s="324"/>
      <c r="AM430" s="324"/>
      <c r="AN430" s="324"/>
      <c r="AO430" s="324"/>
      <c r="AP430" s="324"/>
      <c r="AQ430" s="324"/>
      <c r="AR430" s="324"/>
      <c r="AS430" s="325"/>
      <c r="AT430" s="325"/>
      <c r="AU430" s="325"/>
      <c r="AV430" s="325"/>
      <c r="AW430" s="325"/>
      <c r="AX430" s="325"/>
      <c r="AY430" s="325"/>
      <c r="AZ430" s="325"/>
      <c r="BA430" s="325"/>
      <c r="BB430" s="325"/>
      <c r="BC430" s="325"/>
      <c r="BD430" s="325"/>
      <c r="BE430" s="325"/>
      <c r="BF430" s="325"/>
      <c r="BG430" s="325"/>
      <c r="BH430" s="325"/>
      <c r="BI430" s="325"/>
      <c r="BJ430" s="325"/>
      <c r="BK430" s="325"/>
      <c r="BL430" s="325"/>
      <c r="BM430" s="325"/>
      <c r="BN430" s="325"/>
      <c r="BO430" s="325"/>
      <c r="BP430" s="325"/>
      <c r="BQ430" s="325"/>
    </row>
    <row r="431" spans="1:69" ht="14.25" customHeight="1" x14ac:dyDescent="0.2">
      <c r="A431" s="28"/>
      <c r="B431" s="28"/>
      <c r="C431" s="28"/>
      <c r="D431" s="324"/>
      <c r="E431" s="324"/>
      <c r="F431" s="324"/>
      <c r="G431" s="324"/>
      <c r="H431" s="324"/>
      <c r="I431" s="324"/>
      <c r="J431" s="324"/>
      <c r="K431" s="324"/>
      <c r="L431" s="324"/>
      <c r="M431" s="324"/>
      <c r="N431" s="324"/>
      <c r="O431" s="324"/>
      <c r="P431" s="324"/>
      <c r="Q431" s="324"/>
      <c r="R431" s="324"/>
      <c r="S431" s="324"/>
      <c r="T431" s="324"/>
      <c r="U431" s="324"/>
      <c r="V431" s="324"/>
      <c r="W431" s="324"/>
      <c r="X431" s="324"/>
      <c r="Y431" s="324"/>
      <c r="Z431" s="324"/>
      <c r="AA431" s="324"/>
      <c r="AB431" s="324"/>
      <c r="AC431" s="324"/>
      <c r="AD431" s="324"/>
      <c r="AE431" s="324"/>
      <c r="AF431" s="324"/>
      <c r="AG431" s="324"/>
      <c r="AH431" s="324"/>
      <c r="AI431" s="417"/>
      <c r="AJ431" s="324"/>
      <c r="AK431" s="324"/>
      <c r="AL431" s="324"/>
      <c r="AM431" s="324"/>
      <c r="AN431" s="324"/>
      <c r="AO431" s="324"/>
      <c r="AP431" s="324"/>
      <c r="AQ431" s="324"/>
      <c r="AR431" s="324"/>
      <c r="AS431" s="325"/>
      <c r="AT431" s="325"/>
      <c r="AU431" s="325"/>
      <c r="AV431" s="325"/>
      <c r="AW431" s="325"/>
      <c r="AX431" s="325"/>
      <c r="AY431" s="325"/>
      <c r="AZ431" s="325"/>
      <c r="BA431" s="325"/>
      <c r="BB431" s="325"/>
      <c r="BC431" s="325"/>
      <c r="BD431" s="325"/>
      <c r="BE431" s="325"/>
      <c r="BF431" s="325"/>
      <c r="BG431" s="325"/>
      <c r="BH431" s="325"/>
      <c r="BI431" s="325"/>
      <c r="BJ431" s="325"/>
      <c r="BK431" s="325"/>
      <c r="BL431" s="325"/>
      <c r="BM431" s="325"/>
      <c r="BN431" s="325"/>
      <c r="BO431" s="325"/>
      <c r="BP431" s="325"/>
      <c r="BQ431" s="325"/>
    </row>
    <row r="432" spans="1:69" ht="14.25" customHeight="1" x14ac:dyDescent="0.2">
      <c r="A432" s="28"/>
      <c r="B432" s="28"/>
      <c r="C432" s="28"/>
      <c r="D432" s="324"/>
      <c r="E432" s="324"/>
      <c r="F432" s="324"/>
      <c r="G432" s="324"/>
      <c r="H432" s="324"/>
      <c r="I432" s="324"/>
      <c r="J432" s="324"/>
      <c r="K432" s="324"/>
      <c r="L432" s="324"/>
      <c r="M432" s="324"/>
      <c r="N432" s="324"/>
      <c r="O432" s="324"/>
      <c r="P432" s="324"/>
      <c r="Q432" s="324"/>
      <c r="R432" s="324"/>
      <c r="S432" s="324"/>
      <c r="T432" s="324"/>
      <c r="U432" s="324"/>
      <c r="V432" s="324"/>
      <c r="W432" s="324"/>
      <c r="X432" s="324"/>
      <c r="Y432" s="324"/>
      <c r="Z432" s="324"/>
      <c r="AA432" s="324"/>
      <c r="AB432" s="324"/>
      <c r="AC432" s="324"/>
      <c r="AD432" s="324"/>
      <c r="AE432" s="324"/>
      <c r="AF432" s="324"/>
      <c r="AG432" s="324"/>
      <c r="AH432" s="324"/>
      <c r="AI432" s="417"/>
      <c r="AJ432" s="324"/>
      <c r="AK432" s="324"/>
      <c r="AL432" s="324"/>
      <c r="AM432" s="324"/>
      <c r="AN432" s="324"/>
      <c r="AO432" s="324"/>
      <c r="AP432" s="324"/>
      <c r="AQ432" s="324"/>
      <c r="AR432" s="324"/>
      <c r="AS432" s="325"/>
      <c r="AT432" s="325"/>
      <c r="AU432" s="325"/>
      <c r="AV432" s="325"/>
      <c r="AW432" s="325"/>
      <c r="AX432" s="325"/>
      <c r="AY432" s="325"/>
      <c r="AZ432" s="325"/>
      <c r="BA432" s="325"/>
      <c r="BB432" s="325"/>
      <c r="BC432" s="325"/>
      <c r="BD432" s="325"/>
      <c r="BE432" s="325"/>
      <c r="BF432" s="325"/>
      <c r="BG432" s="325"/>
      <c r="BH432" s="325"/>
      <c r="BI432" s="325"/>
      <c r="BJ432" s="325"/>
      <c r="BK432" s="325"/>
      <c r="BL432" s="325"/>
      <c r="BM432" s="325"/>
      <c r="BN432" s="325"/>
      <c r="BO432" s="325"/>
      <c r="BP432" s="325"/>
      <c r="BQ432" s="325"/>
    </row>
    <row r="433" spans="1:69" ht="14.25" customHeight="1" x14ac:dyDescent="0.2">
      <c r="A433" s="28"/>
      <c r="B433" s="28"/>
      <c r="C433" s="28"/>
      <c r="D433" s="324"/>
      <c r="E433" s="324"/>
      <c r="F433" s="324"/>
      <c r="G433" s="324"/>
      <c r="H433" s="324"/>
      <c r="I433" s="324"/>
      <c r="J433" s="324"/>
      <c r="K433" s="324"/>
      <c r="L433" s="324"/>
      <c r="M433" s="324"/>
      <c r="N433" s="324"/>
      <c r="O433" s="324"/>
      <c r="P433" s="324"/>
      <c r="Q433" s="324"/>
      <c r="R433" s="324"/>
      <c r="S433" s="324"/>
      <c r="T433" s="324"/>
      <c r="U433" s="324"/>
      <c r="V433" s="324"/>
      <c r="W433" s="324"/>
      <c r="X433" s="324"/>
      <c r="Y433" s="324"/>
      <c r="Z433" s="324"/>
      <c r="AA433" s="324"/>
      <c r="AB433" s="324"/>
      <c r="AC433" s="324"/>
      <c r="AD433" s="324"/>
      <c r="AE433" s="324"/>
      <c r="AF433" s="324"/>
      <c r="AG433" s="324"/>
      <c r="AH433" s="324"/>
      <c r="AI433" s="417"/>
      <c r="AJ433" s="324"/>
      <c r="AK433" s="324"/>
      <c r="AL433" s="324"/>
      <c r="AM433" s="324"/>
      <c r="AN433" s="324"/>
      <c r="AO433" s="324"/>
      <c r="AP433" s="324"/>
      <c r="AQ433" s="324"/>
      <c r="AR433" s="324"/>
      <c r="AS433" s="325"/>
      <c r="AT433" s="325"/>
      <c r="AU433" s="325"/>
      <c r="AV433" s="325"/>
      <c r="AW433" s="325"/>
      <c r="AX433" s="325"/>
      <c r="AY433" s="325"/>
      <c r="AZ433" s="325"/>
      <c r="BA433" s="325"/>
      <c r="BB433" s="325"/>
      <c r="BC433" s="325"/>
      <c r="BD433" s="325"/>
      <c r="BE433" s="325"/>
      <c r="BF433" s="325"/>
      <c r="BG433" s="325"/>
      <c r="BH433" s="325"/>
      <c r="BI433" s="325"/>
      <c r="BJ433" s="325"/>
      <c r="BK433" s="325"/>
      <c r="BL433" s="325"/>
      <c r="BM433" s="325"/>
      <c r="BN433" s="325"/>
      <c r="BO433" s="325"/>
      <c r="BP433" s="325"/>
      <c r="BQ433" s="325"/>
    </row>
    <row r="434" spans="1:69" ht="14.25" customHeight="1" x14ac:dyDescent="0.2">
      <c r="A434" s="28"/>
      <c r="B434" s="28"/>
      <c r="C434" s="28"/>
      <c r="D434" s="324"/>
      <c r="E434" s="324"/>
      <c r="F434" s="324"/>
      <c r="G434" s="324"/>
      <c r="H434" s="324"/>
      <c r="I434" s="324"/>
      <c r="J434" s="324"/>
      <c r="K434" s="324"/>
      <c r="L434" s="324"/>
      <c r="M434" s="324"/>
      <c r="N434" s="324"/>
      <c r="O434" s="324"/>
      <c r="P434" s="324"/>
      <c r="Q434" s="324"/>
      <c r="R434" s="324"/>
      <c r="S434" s="324"/>
      <c r="T434" s="324"/>
      <c r="U434" s="324"/>
      <c r="V434" s="324"/>
      <c r="W434" s="324"/>
      <c r="X434" s="324"/>
      <c r="Y434" s="324"/>
      <c r="Z434" s="324"/>
      <c r="AA434" s="324"/>
      <c r="AB434" s="324"/>
      <c r="AC434" s="324"/>
      <c r="AD434" s="324"/>
      <c r="AE434" s="324"/>
      <c r="AF434" s="324"/>
      <c r="AG434" s="324"/>
      <c r="AH434" s="324"/>
      <c r="AI434" s="417"/>
      <c r="AJ434" s="324"/>
      <c r="AK434" s="324"/>
      <c r="AL434" s="324"/>
      <c r="AM434" s="324"/>
      <c r="AN434" s="324"/>
      <c r="AO434" s="324"/>
      <c r="AP434" s="324"/>
      <c r="AQ434" s="324"/>
      <c r="AR434" s="324"/>
      <c r="AS434" s="325"/>
      <c r="AT434" s="325"/>
      <c r="AU434" s="325"/>
      <c r="AV434" s="325"/>
      <c r="AW434" s="325"/>
      <c r="AX434" s="325"/>
      <c r="AY434" s="325"/>
      <c r="AZ434" s="325"/>
      <c r="BA434" s="325"/>
      <c r="BB434" s="325"/>
      <c r="BC434" s="325"/>
      <c r="BD434" s="325"/>
      <c r="BE434" s="325"/>
      <c r="BF434" s="325"/>
      <c r="BG434" s="325"/>
      <c r="BH434" s="325"/>
      <c r="BI434" s="325"/>
      <c r="BJ434" s="325"/>
      <c r="BK434" s="325"/>
      <c r="BL434" s="325"/>
      <c r="BM434" s="325"/>
      <c r="BN434" s="325"/>
      <c r="BO434" s="325"/>
      <c r="BP434" s="325"/>
      <c r="BQ434" s="325"/>
    </row>
    <row r="435" spans="1:69" ht="14.25" customHeight="1" x14ac:dyDescent="0.2">
      <c r="A435" s="28"/>
      <c r="B435" s="28"/>
      <c r="C435" s="28"/>
      <c r="D435" s="324"/>
      <c r="E435" s="324"/>
      <c r="F435" s="324"/>
      <c r="G435" s="324"/>
      <c r="H435" s="324"/>
      <c r="I435" s="324"/>
      <c r="J435" s="324"/>
      <c r="K435" s="324"/>
      <c r="L435" s="324"/>
      <c r="M435" s="324"/>
      <c r="N435" s="324"/>
      <c r="O435" s="324"/>
      <c r="P435" s="324"/>
      <c r="Q435" s="324"/>
      <c r="R435" s="324"/>
      <c r="S435" s="324"/>
      <c r="T435" s="324"/>
      <c r="U435" s="324"/>
      <c r="V435" s="324"/>
      <c r="W435" s="324"/>
      <c r="X435" s="324"/>
      <c r="Y435" s="324"/>
      <c r="Z435" s="324"/>
      <c r="AA435" s="324"/>
      <c r="AB435" s="324"/>
      <c r="AC435" s="324"/>
      <c r="AD435" s="324"/>
      <c r="AE435" s="324"/>
      <c r="AF435" s="324"/>
      <c r="AG435" s="324"/>
      <c r="AH435" s="324"/>
      <c r="AI435" s="417"/>
      <c r="AJ435" s="324"/>
      <c r="AK435" s="324"/>
      <c r="AL435" s="324"/>
      <c r="AM435" s="324"/>
      <c r="AN435" s="324"/>
      <c r="AO435" s="324"/>
      <c r="AP435" s="324"/>
      <c r="AQ435" s="324"/>
      <c r="AR435" s="324"/>
      <c r="AS435" s="325"/>
      <c r="AT435" s="325"/>
      <c r="AU435" s="325"/>
      <c r="AV435" s="325"/>
      <c r="AW435" s="325"/>
      <c r="AX435" s="325"/>
      <c r="AY435" s="325"/>
      <c r="AZ435" s="325"/>
      <c r="BA435" s="325"/>
      <c r="BB435" s="325"/>
      <c r="BC435" s="325"/>
      <c r="BD435" s="325"/>
      <c r="BE435" s="325"/>
      <c r="BF435" s="325"/>
      <c r="BG435" s="325"/>
      <c r="BH435" s="325"/>
      <c r="BI435" s="325"/>
      <c r="BJ435" s="325"/>
      <c r="BK435" s="325"/>
      <c r="BL435" s="325"/>
      <c r="BM435" s="325"/>
      <c r="BN435" s="325"/>
      <c r="BO435" s="325"/>
      <c r="BP435" s="325"/>
      <c r="BQ435" s="325"/>
    </row>
    <row r="436" spans="1:69" ht="14.25" customHeight="1" x14ac:dyDescent="0.2">
      <c r="A436" s="28"/>
      <c r="B436" s="28"/>
      <c r="C436" s="28"/>
      <c r="D436" s="324"/>
      <c r="E436" s="324"/>
      <c r="F436" s="324"/>
      <c r="G436" s="324"/>
      <c r="H436" s="324"/>
      <c r="I436" s="324"/>
      <c r="J436" s="324"/>
      <c r="K436" s="324"/>
      <c r="L436" s="324"/>
      <c r="M436" s="324"/>
      <c r="N436" s="324"/>
      <c r="O436" s="324"/>
      <c r="P436" s="324"/>
      <c r="Q436" s="324"/>
      <c r="R436" s="324"/>
      <c r="S436" s="324"/>
      <c r="T436" s="324"/>
      <c r="U436" s="324"/>
      <c r="V436" s="324"/>
      <c r="W436" s="324"/>
      <c r="X436" s="324"/>
      <c r="Y436" s="324"/>
      <c r="Z436" s="324"/>
      <c r="AA436" s="324"/>
      <c r="AB436" s="324"/>
      <c r="AC436" s="324"/>
      <c r="AD436" s="324"/>
      <c r="AE436" s="324"/>
      <c r="AF436" s="324"/>
      <c r="AG436" s="324"/>
      <c r="AH436" s="324"/>
      <c r="AI436" s="417"/>
      <c r="AJ436" s="324"/>
      <c r="AK436" s="324"/>
      <c r="AL436" s="324"/>
      <c r="AM436" s="324"/>
      <c r="AN436" s="324"/>
      <c r="AO436" s="324"/>
      <c r="AP436" s="324"/>
      <c r="AQ436" s="324"/>
      <c r="AR436" s="324"/>
      <c r="AS436" s="325"/>
      <c r="AT436" s="325"/>
      <c r="AU436" s="325"/>
      <c r="AV436" s="325"/>
      <c r="AW436" s="325"/>
      <c r="AX436" s="325"/>
      <c r="AY436" s="325"/>
      <c r="AZ436" s="325"/>
      <c r="BA436" s="325"/>
      <c r="BB436" s="325"/>
      <c r="BC436" s="325"/>
      <c r="BD436" s="325"/>
      <c r="BE436" s="325"/>
      <c r="BF436" s="325"/>
      <c r="BG436" s="325"/>
      <c r="BH436" s="325"/>
      <c r="BI436" s="325"/>
      <c r="BJ436" s="325"/>
      <c r="BK436" s="325"/>
      <c r="BL436" s="325"/>
      <c r="BM436" s="325"/>
      <c r="BN436" s="325"/>
      <c r="BO436" s="325"/>
      <c r="BP436" s="325"/>
      <c r="BQ436" s="325"/>
    </row>
    <row r="437" spans="1:69" ht="14.25" customHeight="1" x14ac:dyDescent="0.2">
      <c r="A437" s="28"/>
      <c r="B437" s="28"/>
      <c r="C437" s="28"/>
      <c r="D437" s="324"/>
      <c r="E437" s="324"/>
      <c r="F437" s="324"/>
      <c r="G437" s="324"/>
      <c r="H437" s="324"/>
      <c r="I437" s="324"/>
      <c r="J437" s="324"/>
      <c r="K437" s="324"/>
      <c r="L437" s="324"/>
      <c r="M437" s="324"/>
      <c r="N437" s="324"/>
      <c r="O437" s="324"/>
      <c r="P437" s="324"/>
      <c r="Q437" s="324"/>
      <c r="R437" s="324"/>
      <c r="S437" s="324"/>
      <c r="T437" s="324"/>
      <c r="U437" s="324"/>
      <c r="V437" s="324"/>
      <c r="W437" s="324"/>
      <c r="X437" s="324"/>
      <c r="Y437" s="324"/>
      <c r="Z437" s="324"/>
      <c r="AA437" s="324"/>
      <c r="AB437" s="324"/>
      <c r="AC437" s="324"/>
      <c r="AD437" s="324"/>
      <c r="AE437" s="324"/>
      <c r="AF437" s="324"/>
      <c r="AG437" s="324"/>
      <c r="AH437" s="324"/>
      <c r="AI437" s="417"/>
      <c r="AJ437" s="324"/>
      <c r="AK437" s="324"/>
      <c r="AL437" s="324"/>
      <c r="AM437" s="324"/>
      <c r="AN437" s="324"/>
      <c r="AO437" s="324"/>
      <c r="AP437" s="324"/>
      <c r="AQ437" s="324"/>
      <c r="AR437" s="324"/>
      <c r="AS437" s="325"/>
      <c r="AT437" s="325"/>
      <c r="AU437" s="325"/>
      <c r="AV437" s="325"/>
      <c r="AW437" s="325"/>
      <c r="AX437" s="325"/>
      <c r="AY437" s="325"/>
      <c r="AZ437" s="325"/>
      <c r="BA437" s="325"/>
      <c r="BB437" s="325"/>
      <c r="BC437" s="325"/>
      <c r="BD437" s="325"/>
      <c r="BE437" s="325"/>
      <c r="BF437" s="325"/>
      <c r="BG437" s="325"/>
      <c r="BH437" s="325"/>
      <c r="BI437" s="325"/>
      <c r="BJ437" s="325"/>
      <c r="BK437" s="325"/>
      <c r="BL437" s="325"/>
      <c r="BM437" s="325"/>
      <c r="BN437" s="325"/>
      <c r="BO437" s="325"/>
      <c r="BP437" s="325"/>
      <c r="BQ437" s="325"/>
    </row>
    <row r="438" spans="1:69" ht="14.25" customHeight="1" x14ac:dyDescent="0.2">
      <c r="A438" s="28"/>
      <c r="B438" s="28"/>
      <c r="C438" s="28"/>
      <c r="D438" s="324"/>
      <c r="E438" s="324"/>
      <c r="F438" s="324"/>
      <c r="G438" s="324"/>
      <c r="H438" s="324"/>
      <c r="I438" s="324"/>
      <c r="J438" s="324"/>
      <c r="K438" s="324"/>
      <c r="L438" s="324"/>
      <c r="M438" s="324"/>
      <c r="N438" s="324"/>
      <c r="O438" s="324"/>
      <c r="P438" s="324"/>
      <c r="Q438" s="324"/>
      <c r="R438" s="324"/>
      <c r="S438" s="324"/>
      <c r="T438" s="324"/>
      <c r="U438" s="324"/>
      <c r="V438" s="324"/>
      <c r="W438" s="324"/>
      <c r="X438" s="324"/>
      <c r="Y438" s="324"/>
      <c r="Z438" s="324"/>
      <c r="AA438" s="324"/>
      <c r="AB438" s="324"/>
      <c r="AC438" s="324"/>
      <c r="AD438" s="324"/>
      <c r="AE438" s="324"/>
      <c r="AF438" s="324"/>
      <c r="AG438" s="324"/>
      <c r="AH438" s="324"/>
      <c r="AI438" s="417"/>
      <c r="AJ438" s="324"/>
      <c r="AK438" s="324"/>
      <c r="AL438" s="324"/>
      <c r="AM438" s="324"/>
      <c r="AN438" s="324"/>
      <c r="AO438" s="324"/>
      <c r="AP438" s="324"/>
      <c r="AQ438" s="324"/>
      <c r="AR438" s="324"/>
      <c r="AS438" s="325"/>
      <c r="AT438" s="325"/>
      <c r="AU438" s="325"/>
      <c r="AV438" s="325"/>
      <c r="AW438" s="325"/>
      <c r="AX438" s="325"/>
      <c r="AY438" s="325"/>
      <c r="AZ438" s="325"/>
      <c r="BA438" s="325"/>
      <c r="BB438" s="325"/>
      <c r="BC438" s="325"/>
      <c r="BD438" s="325"/>
      <c r="BE438" s="325"/>
      <c r="BF438" s="325"/>
      <c r="BG438" s="325"/>
      <c r="BH438" s="325"/>
      <c r="BI438" s="325"/>
      <c r="BJ438" s="325"/>
      <c r="BK438" s="325"/>
      <c r="BL438" s="325"/>
      <c r="BM438" s="325"/>
      <c r="BN438" s="325"/>
      <c r="BO438" s="325"/>
      <c r="BP438" s="325"/>
      <c r="BQ438" s="325"/>
    </row>
    <row r="439" spans="1:69" ht="14.25" customHeight="1" x14ac:dyDescent="0.2">
      <c r="A439" s="28"/>
      <c r="B439" s="28"/>
      <c r="C439" s="28"/>
      <c r="D439" s="324"/>
      <c r="E439" s="324"/>
      <c r="F439" s="324"/>
      <c r="G439" s="324"/>
      <c r="H439" s="324"/>
      <c r="I439" s="324"/>
      <c r="J439" s="324"/>
      <c r="K439" s="324"/>
      <c r="L439" s="324"/>
      <c r="M439" s="324"/>
      <c r="N439" s="324"/>
      <c r="O439" s="324"/>
      <c r="P439" s="324"/>
      <c r="Q439" s="324"/>
      <c r="R439" s="324"/>
      <c r="S439" s="324"/>
      <c r="T439" s="324"/>
      <c r="U439" s="324"/>
      <c r="V439" s="324"/>
      <c r="W439" s="324"/>
      <c r="X439" s="324"/>
      <c r="Y439" s="324"/>
      <c r="Z439" s="324"/>
      <c r="AA439" s="324"/>
      <c r="AB439" s="324"/>
      <c r="AC439" s="324"/>
      <c r="AD439" s="324"/>
      <c r="AE439" s="324"/>
      <c r="AF439" s="324"/>
      <c r="AG439" s="324"/>
      <c r="AH439" s="324"/>
      <c r="AI439" s="417"/>
      <c r="AJ439" s="324"/>
      <c r="AK439" s="324"/>
      <c r="AL439" s="324"/>
      <c r="AM439" s="324"/>
      <c r="AN439" s="324"/>
      <c r="AO439" s="324"/>
      <c r="AP439" s="324"/>
      <c r="AQ439" s="324"/>
      <c r="AR439" s="324"/>
      <c r="AS439" s="325"/>
      <c r="AT439" s="325"/>
      <c r="AU439" s="325"/>
      <c r="AV439" s="325"/>
      <c r="AW439" s="325"/>
      <c r="AX439" s="325"/>
      <c r="AY439" s="325"/>
      <c r="AZ439" s="325"/>
      <c r="BA439" s="325"/>
      <c r="BB439" s="325"/>
      <c r="BC439" s="325"/>
      <c r="BD439" s="325"/>
      <c r="BE439" s="325"/>
      <c r="BF439" s="325"/>
      <c r="BG439" s="325"/>
      <c r="BH439" s="325"/>
      <c r="BI439" s="325"/>
      <c r="BJ439" s="325"/>
      <c r="BK439" s="325"/>
      <c r="BL439" s="325"/>
      <c r="BM439" s="325"/>
      <c r="BN439" s="325"/>
      <c r="BO439" s="325"/>
      <c r="BP439" s="325"/>
      <c r="BQ439" s="325"/>
    </row>
    <row r="440" spans="1:69" ht="14.25" customHeight="1" x14ac:dyDescent="0.2">
      <c r="A440" s="28"/>
      <c r="B440" s="28"/>
      <c r="C440" s="28"/>
      <c r="D440" s="324"/>
      <c r="E440" s="324"/>
      <c r="F440" s="324"/>
      <c r="G440" s="324"/>
      <c r="H440" s="324"/>
      <c r="I440" s="324"/>
      <c r="J440" s="324"/>
      <c r="K440" s="324"/>
      <c r="L440" s="324"/>
      <c r="M440" s="324"/>
      <c r="N440" s="324"/>
      <c r="O440" s="324"/>
      <c r="P440" s="324"/>
      <c r="Q440" s="324"/>
      <c r="R440" s="324"/>
      <c r="S440" s="324"/>
      <c r="T440" s="324"/>
      <c r="U440" s="324"/>
      <c r="V440" s="324"/>
      <c r="W440" s="324"/>
      <c r="X440" s="324"/>
      <c r="Y440" s="324"/>
      <c r="Z440" s="324"/>
      <c r="AA440" s="324"/>
      <c r="AB440" s="324"/>
      <c r="AC440" s="324"/>
      <c r="AD440" s="324"/>
      <c r="AE440" s="324"/>
      <c r="AF440" s="324"/>
      <c r="AG440" s="324"/>
      <c r="AH440" s="324"/>
      <c r="AI440" s="324"/>
      <c r="AJ440" s="324"/>
      <c r="AK440" s="324"/>
      <c r="AL440" s="324"/>
      <c r="AM440" s="324"/>
      <c r="AN440" s="324"/>
      <c r="AO440" s="324"/>
      <c r="AP440" s="324"/>
      <c r="AQ440" s="324"/>
      <c r="AR440" s="324"/>
      <c r="AS440" s="324"/>
      <c r="AT440" s="324"/>
      <c r="AU440" s="324"/>
      <c r="AV440" s="324"/>
      <c r="AW440" s="324"/>
      <c r="AX440" s="324"/>
      <c r="AY440" s="324"/>
      <c r="AZ440" s="325"/>
      <c r="BA440" s="325"/>
      <c r="BB440" s="325"/>
      <c r="BC440" s="325"/>
      <c r="BD440" s="325"/>
      <c r="BE440" s="325"/>
      <c r="BF440" s="325"/>
      <c r="BG440" s="325"/>
      <c r="BH440" s="325"/>
      <c r="BI440" s="325"/>
      <c r="BJ440" s="325"/>
      <c r="BK440" s="325"/>
      <c r="BL440" s="325"/>
      <c r="BM440" s="325"/>
      <c r="BN440" s="325"/>
      <c r="BO440" s="325"/>
      <c r="BP440" s="325"/>
      <c r="BQ440" s="325"/>
    </row>
    <row r="441" spans="1:69" ht="14.25" customHeight="1" x14ac:dyDescent="0.2">
      <c r="A441" s="28"/>
      <c r="B441" s="28"/>
      <c r="C441" s="28"/>
      <c r="D441" s="324"/>
      <c r="E441" s="324"/>
      <c r="F441" s="324"/>
      <c r="G441" s="324"/>
      <c r="H441" s="324"/>
      <c r="I441" s="324"/>
      <c r="J441" s="324"/>
      <c r="K441" s="324"/>
      <c r="L441" s="324"/>
      <c r="M441" s="324"/>
      <c r="N441" s="324"/>
      <c r="O441" s="324"/>
      <c r="P441" s="324"/>
      <c r="Q441" s="324"/>
      <c r="R441" s="324"/>
      <c r="S441" s="324"/>
      <c r="T441" s="324"/>
      <c r="U441" s="324"/>
      <c r="V441" s="324"/>
      <c r="W441" s="324"/>
      <c r="X441" s="324"/>
      <c r="Y441" s="324"/>
      <c r="Z441" s="324"/>
      <c r="AA441" s="324"/>
      <c r="AB441" s="324"/>
      <c r="AC441" s="324"/>
      <c r="AD441" s="324"/>
      <c r="AE441" s="324"/>
      <c r="AF441" s="324"/>
      <c r="AG441" s="324"/>
      <c r="AH441" s="324"/>
      <c r="AI441" s="324"/>
      <c r="AJ441" s="324"/>
      <c r="AK441" s="324"/>
      <c r="AL441" s="324"/>
      <c r="AM441" s="324"/>
      <c r="AN441" s="324"/>
      <c r="AO441" s="324"/>
      <c r="AP441" s="324"/>
      <c r="AQ441" s="324"/>
      <c r="AR441" s="324"/>
      <c r="AS441" s="324"/>
      <c r="AT441" s="324"/>
      <c r="AU441" s="324"/>
      <c r="AV441" s="324"/>
      <c r="AW441" s="324"/>
      <c r="AX441" s="324"/>
      <c r="AY441" s="324"/>
      <c r="AZ441" s="325"/>
      <c r="BA441" s="325"/>
      <c r="BB441" s="325"/>
      <c r="BC441" s="325"/>
      <c r="BD441" s="325"/>
      <c r="BE441" s="325"/>
      <c r="BF441" s="325"/>
      <c r="BG441" s="325"/>
      <c r="BH441" s="325"/>
      <c r="BI441" s="325"/>
      <c r="BJ441" s="325"/>
      <c r="BK441" s="325"/>
      <c r="BL441" s="325"/>
      <c r="BM441" s="325"/>
      <c r="BN441" s="325"/>
      <c r="BO441" s="325"/>
      <c r="BP441" s="325"/>
      <c r="BQ441" s="325"/>
    </row>
    <row r="442" spans="1:69" ht="14.25" customHeight="1" x14ac:dyDescent="0.2">
      <c r="A442" s="28"/>
      <c r="B442" s="28"/>
      <c r="C442" s="28"/>
      <c r="D442" s="324"/>
      <c r="E442" s="324"/>
      <c r="F442" s="324"/>
      <c r="G442" s="324"/>
      <c r="H442" s="324"/>
      <c r="I442" s="324"/>
      <c r="J442" s="324"/>
      <c r="K442" s="324"/>
      <c r="L442" s="324"/>
      <c r="M442" s="324"/>
      <c r="N442" s="324"/>
      <c r="O442" s="324"/>
      <c r="P442" s="324"/>
      <c r="Q442" s="324"/>
      <c r="R442" s="324"/>
      <c r="S442" s="324"/>
      <c r="T442" s="324"/>
      <c r="U442" s="324"/>
      <c r="V442" s="324"/>
      <c r="W442" s="324"/>
      <c r="X442" s="324"/>
      <c r="Y442" s="324"/>
      <c r="Z442" s="324"/>
      <c r="AA442" s="324"/>
      <c r="AB442" s="324"/>
      <c r="AC442" s="324"/>
      <c r="AD442" s="324"/>
      <c r="AE442" s="324"/>
      <c r="AF442" s="324"/>
      <c r="AG442" s="324"/>
      <c r="AH442" s="324"/>
      <c r="AI442" s="324"/>
      <c r="AJ442" s="324"/>
      <c r="AK442" s="324"/>
      <c r="AL442" s="324"/>
      <c r="AM442" s="324"/>
      <c r="AN442" s="324"/>
      <c r="AO442" s="324"/>
      <c r="AP442" s="324"/>
      <c r="AQ442" s="324"/>
      <c r="AR442" s="324"/>
      <c r="AS442" s="324"/>
      <c r="AT442" s="324"/>
      <c r="AU442" s="324"/>
      <c r="AV442" s="324"/>
      <c r="AW442" s="324"/>
      <c r="AX442" s="324"/>
      <c r="AY442" s="324"/>
      <c r="AZ442" s="325"/>
      <c r="BA442" s="325"/>
      <c r="BB442" s="325"/>
      <c r="BC442" s="325"/>
      <c r="BD442" s="325"/>
      <c r="BE442" s="325"/>
      <c r="BF442" s="325"/>
      <c r="BG442" s="325"/>
      <c r="BH442" s="325"/>
      <c r="BI442" s="325"/>
      <c r="BJ442" s="325"/>
      <c r="BK442" s="325"/>
      <c r="BL442" s="325"/>
      <c r="BM442" s="325"/>
      <c r="BN442" s="325"/>
      <c r="BO442" s="325"/>
      <c r="BP442" s="325"/>
      <c r="BQ442" s="325"/>
    </row>
    <row r="443" spans="1:69" ht="14.25" customHeight="1" x14ac:dyDescent="0.2">
      <c r="A443" s="28"/>
      <c r="B443" s="28"/>
      <c r="C443" s="28"/>
      <c r="D443" s="324"/>
      <c r="E443" s="324"/>
      <c r="F443" s="324"/>
      <c r="G443" s="324"/>
      <c r="H443" s="324"/>
      <c r="I443" s="324"/>
      <c r="J443" s="324"/>
      <c r="K443" s="324"/>
      <c r="L443" s="324"/>
      <c r="M443" s="324"/>
      <c r="N443" s="324"/>
      <c r="O443" s="324"/>
      <c r="P443" s="324"/>
      <c r="Q443" s="324"/>
      <c r="R443" s="324"/>
      <c r="S443" s="324"/>
      <c r="T443" s="324"/>
      <c r="U443" s="324"/>
      <c r="V443" s="324"/>
      <c r="W443" s="324"/>
      <c r="X443" s="324"/>
      <c r="Y443" s="324"/>
      <c r="Z443" s="324"/>
      <c r="AA443" s="324"/>
      <c r="AB443" s="324"/>
      <c r="AC443" s="324"/>
      <c r="AD443" s="324"/>
      <c r="AE443" s="324"/>
      <c r="AF443" s="324"/>
      <c r="AG443" s="324"/>
      <c r="AH443" s="324"/>
      <c r="AI443" s="324"/>
      <c r="AJ443" s="324"/>
      <c r="AK443" s="324"/>
      <c r="AL443" s="324"/>
      <c r="AM443" s="324"/>
      <c r="AN443" s="324"/>
      <c r="AO443" s="324"/>
      <c r="AP443" s="324"/>
      <c r="AQ443" s="324"/>
      <c r="AR443" s="324"/>
      <c r="AS443" s="324"/>
      <c r="AT443" s="324"/>
      <c r="AU443" s="324"/>
      <c r="AV443" s="324"/>
      <c r="AW443" s="324"/>
      <c r="AX443" s="324"/>
      <c r="AY443" s="324"/>
      <c r="AZ443" s="325"/>
      <c r="BA443" s="325"/>
      <c r="BB443" s="325"/>
      <c r="BC443" s="325"/>
      <c r="BD443" s="325"/>
      <c r="BE443" s="325"/>
      <c r="BF443" s="325"/>
      <c r="BG443" s="325"/>
      <c r="BH443" s="325"/>
      <c r="BI443" s="325"/>
      <c r="BJ443" s="325"/>
      <c r="BK443" s="325"/>
      <c r="BL443" s="325"/>
      <c r="BM443" s="325"/>
      <c r="BN443" s="325"/>
      <c r="BO443" s="325"/>
      <c r="BP443" s="325"/>
      <c r="BQ443" s="325"/>
    </row>
    <row r="444" spans="1:69" ht="14.25" customHeight="1" x14ac:dyDescent="0.2">
      <c r="A444" s="28"/>
      <c r="B444" s="28"/>
      <c r="C444" s="28"/>
      <c r="D444" s="324"/>
      <c r="E444" s="324"/>
      <c r="F444" s="324"/>
      <c r="G444" s="324"/>
      <c r="H444" s="324"/>
      <c r="I444" s="324"/>
      <c r="J444" s="324"/>
      <c r="K444" s="324"/>
      <c r="L444" s="324"/>
      <c r="M444" s="324"/>
      <c r="N444" s="324"/>
      <c r="O444" s="324"/>
      <c r="P444" s="324"/>
      <c r="Q444" s="324"/>
      <c r="R444" s="324"/>
      <c r="S444" s="324"/>
      <c r="T444" s="324"/>
      <c r="U444" s="324"/>
      <c r="V444" s="324"/>
      <c r="W444" s="324"/>
      <c r="X444" s="324"/>
      <c r="Y444" s="324"/>
      <c r="Z444" s="324"/>
      <c r="AA444" s="324"/>
      <c r="AB444" s="324"/>
      <c r="AC444" s="324"/>
      <c r="AD444" s="324"/>
      <c r="AE444" s="324"/>
      <c r="AF444" s="324"/>
      <c r="AG444" s="324"/>
      <c r="AH444" s="324"/>
      <c r="AI444" s="324"/>
      <c r="AJ444" s="324"/>
      <c r="AK444" s="324"/>
      <c r="AL444" s="324"/>
      <c r="AM444" s="324"/>
      <c r="AN444" s="324"/>
      <c r="AO444" s="324"/>
      <c r="AP444" s="324"/>
      <c r="AQ444" s="324"/>
      <c r="AR444" s="324"/>
      <c r="AS444" s="324"/>
      <c r="AT444" s="324"/>
      <c r="AU444" s="324"/>
      <c r="AV444" s="324"/>
      <c r="AW444" s="324"/>
      <c r="AX444" s="324"/>
      <c r="AY444" s="324"/>
      <c r="AZ444" s="325"/>
      <c r="BA444" s="325"/>
      <c r="BB444" s="325"/>
      <c r="BC444" s="325"/>
      <c r="BD444" s="325"/>
      <c r="BE444" s="325"/>
      <c r="BF444" s="325"/>
      <c r="BG444" s="325"/>
      <c r="BH444" s="325"/>
      <c r="BI444" s="325"/>
      <c r="BJ444" s="325"/>
      <c r="BK444" s="325"/>
      <c r="BL444" s="325"/>
      <c r="BM444" s="325"/>
      <c r="BN444" s="325"/>
      <c r="BO444" s="325"/>
      <c r="BP444" s="325"/>
      <c r="BQ444" s="325"/>
    </row>
    <row r="445" spans="1:69" ht="14.25" customHeight="1" x14ac:dyDescent="0.2">
      <c r="A445" s="28"/>
      <c r="B445" s="28"/>
      <c r="C445" s="28"/>
      <c r="D445" s="324"/>
      <c r="E445" s="324"/>
      <c r="F445" s="324"/>
      <c r="G445" s="324"/>
      <c r="H445" s="324"/>
      <c r="I445" s="324"/>
      <c r="J445" s="324"/>
      <c r="K445" s="324"/>
      <c r="L445" s="324"/>
      <c r="M445" s="324"/>
      <c r="N445" s="324"/>
      <c r="O445" s="324"/>
      <c r="P445" s="324"/>
      <c r="Q445" s="324"/>
      <c r="R445" s="324"/>
      <c r="S445" s="324"/>
      <c r="T445" s="324"/>
      <c r="U445" s="324"/>
      <c r="V445" s="324"/>
      <c r="W445" s="324"/>
      <c r="X445" s="324"/>
      <c r="Y445" s="324"/>
      <c r="Z445" s="324"/>
      <c r="AA445" s="324"/>
      <c r="AB445" s="324"/>
      <c r="AC445" s="324"/>
      <c r="AD445" s="324"/>
      <c r="AE445" s="324"/>
      <c r="AF445" s="324"/>
      <c r="AG445" s="324"/>
      <c r="AH445" s="324"/>
      <c r="AI445" s="324"/>
      <c r="AJ445" s="324"/>
      <c r="AK445" s="324"/>
      <c r="AL445" s="324"/>
      <c r="AM445" s="324"/>
      <c r="AN445" s="324"/>
      <c r="AO445" s="324"/>
      <c r="AP445" s="324"/>
      <c r="AQ445" s="324"/>
      <c r="AR445" s="324"/>
      <c r="AS445" s="324"/>
      <c r="AT445" s="324"/>
      <c r="AU445" s="324"/>
      <c r="AV445" s="324"/>
      <c r="AW445" s="324"/>
      <c r="AX445" s="324"/>
      <c r="AY445" s="324"/>
      <c r="AZ445" s="325"/>
      <c r="BA445" s="325"/>
      <c r="BB445" s="325"/>
      <c r="BC445" s="325"/>
      <c r="BD445" s="325"/>
      <c r="BE445" s="325"/>
      <c r="BF445" s="325"/>
      <c r="BG445" s="325"/>
      <c r="BH445" s="325"/>
      <c r="BI445" s="325"/>
      <c r="BJ445" s="325"/>
      <c r="BK445" s="325"/>
      <c r="BL445" s="325"/>
      <c r="BM445" s="325"/>
      <c r="BN445" s="325"/>
      <c r="BO445" s="325"/>
      <c r="BP445" s="325"/>
      <c r="BQ445" s="325"/>
    </row>
    <row r="446" spans="1:69" ht="14.25" customHeight="1" x14ac:dyDescent="0.2">
      <c r="A446" s="28"/>
      <c r="B446" s="28"/>
      <c r="C446" s="28"/>
      <c r="D446" s="324"/>
      <c r="E446" s="324"/>
      <c r="F446" s="324"/>
      <c r="G446" s="324"/>
      <c r="H446" s="324"/>
      <c r="I446" s="324"/>
      <c r="J446" s="324"/>
      <c r="K446" s="324"/>
      <c r="L446" s="324"/>
      <c r="M446" s="324"/>
      <c r="N446" s="324"/>
      <c r="O446" s="324"/>
      <c r="P446" s="324"/>
      <c r="Q446" s="324"/>
      <c r="R446" s="324"/>
      <c r="S446" s="324"/>
      <c r="T446" s="324"/>
      <c r="U446" s="324"/>
      <c r="V446" s="324"/>
      <c r="W446" s="324"/>
      <c r="X446" s="324"/>
      <c r="Y446" s="324"/>
      <c r="Z446" s="324"/>
      <c r="AA446" s="324"/>
      <c r="AB446" s="324"/>
      <c r="AC446" s="324"/>
      <c r="AD446" s="324"/>
      <c r="AE446" s="324"/>
      <c r="AF446" s="324"/>
      <c r="AG446" s="324"/>
      <c r="AH446" s="324"/>
      <c r="AI446" s="324"/>
      <c r="AJ446" s="324"/>
      <c r="AK446" s="324"/>
      <c r="AL446" s="324"/>
      <c r="AM446" s="324"/>
      <c r="AN446" s="324"/>
      <c r="AO446" s="324"/>
      <c r="AP446" s="324"/>
      <c r="AQ446" s="324"/>
      <c r="AR446" s="324"/>
      <c r="AS446" s="324"/>
      <c r="AT446" s="324"/>
      <c r="AU446" s="324"/>
      <c r="AV446" s="324"/>
      <c r="AW446" s="324"/>
      <c r="AX446" s="324"/>
      <c r="AY446" s="324"/>
      <c r="AZ446" s="325"/>
      <c r="BA446" s="325"/>
      <c r="BB446" s="325"/>
      <c r="BC446" s="325"/>
      <c r="BD446" s="325"/>
      <c r="BE446" s="325"/>
      <c r="BF446" s="325"/>
      <c r="BG446" s="325"/>
      <c r="BH446" s="325"/>
      <c r="BI446" s="325"/>
      <c r="BJ446" s="325"/>
      <c r="BK446" s="325"/>
      <c r="BL446" s="325"/>
      <c r="BM446" s="325"/>
      <c r="BN446" s="325"/>
      <c r="BO446" s="325"/>
      <c r="BP446" s="325"/>
      <c r="BQ446" s="325"/>
    </row>
    <row r="447" spans="1:69" ht="14.25" customHeight="1" x14ac:dyDescent="0.2">
      <c r="A447" s="28"/>
      <c r="B447" s="28"/>
      <c r="C447" s="28"/>
      <c r="D447" s="324"/>
      <c r="E447" s="324"/>
      <c r="F447" s="324"/>
      <c r="G447" s="324"/>
      <c r="H447" s="324"/>
      <c r="I447" s="324"/>
      <c r="J447" s="324"/>
      <c r="K447" s="324"/>
      <c r="L447" s="324"/>
      <c r="M447" s="324"/>
      <c r="N447" s="324"/>
      <c r="O447" s="324"/>
      <c r="P447" s="324"/>
      <c r="Q447" s="324"/>
      <c r="R447" s="324"/>
      <c r="S447" s="324"/>
      <c r="T447" s="324"/>
      <c r="U447" s="324"/>
      <c r="V447" s="324"/>
      <c r="W447" s="324"/>
      <c r="X447" s="324"/>
      <c r="Y447" s="324"/>
      <c r="Z447" s="324"/>
      <c r="AA447" s="324"/>
      <c r="AB447" s="324"/>
      <c r="AC447" s="324"/>
      <c r="AD447" s="324"/>
      <c r="AE447" s="324"/>
      <c r="AF447" s="324"/>
      <c r="AG447" s="324"/>
      <c r="AH447" s="324"/>
      <c r="AI447" s="324"/>
      <c r="AJ447" s="324"/>
      <c r="AK447" s="324"/>
      <c r="AL447" s="324"/>
      <c r="AM447" s="324"/>
      <c r="AN447" s="324"/>
      <c r="AO447" s="324"/>
      <c r="AP447" s="324"/>
      <c r="AQ447" s="324"/>
      <c r="AR447" s="324"/>
      <c r="AS447" s="324"/>
      <c r="AT447" s="324"/>
      <c r="AU447" s="324"/>
      <c r="AV447" s="324"/>
      <c r="AW447" s="324"/>
      <c r="AX447" s="324"/>
      <c r="AY447" s="324"/>
      <c r="AZ447" s="325"/>
      <c r="BA447" s="325"/>
      <c r="BB447" s="325"/>
      <c r="BC447" s="325"/>
      <c r="BD447" s="325"/>
      <c r="BE447" s="325"/>
      <c r="BF447" s="325"/>
      <c r="BG447" s="325"/>
      <c r="BH447" s="325"/>
      <c r="BI447" s="325"/>
      <c r="BJ447" s="325"/>
      <c r="BK447" s="325"/>
      <c r="BL447" s="325"/>
      <c r="BM447" s="325"/>
      <c r="BN447" s="325"/>
      <c r="BO447" s="325"/>
      <c r="BP447" s="325"/>
      <c r="BQ447" s="325"/>
    </row>
    <row r="448" spans="1:69" ht="14.25" customHeight="1" x14ac:dyDescent="0.2">
      <c r="A448" s="28"/>
      <c r="B448" s="28"/>
      <c r="C448" s="28"/>
      <c r="D448" s="324"/>
      <c r="E448" s="324"/>
      <c r="F448" s="324"/>
      <c r="G448" s="324"/>
      <c r="H448" s="324"/>
      <c r="I448" s="324"/>
      <c r="J448" s="324"/>
      <c r="K448" s="324"/>
      <c r="L448" s="324"/>
      <c r="M448" s="324"/>
      <c r="N448" s="324"/>
      <c r="O448" s="324"/>
      <c r="P448" s="324"/>
      <c r="Q448" s="324"/>
      <c r="R448" s="324"/>
      <c r="S448" s="324"/>
      <c r="T448" s="324"/>
      <c r="U448" s="324"/>
      <c r="V448" s="324"/>
      <c r="W448" s="324"/>
      <c r="X448" s="324"/>
      <c r="Y448" s="324"/>
      <c r="Z448" s="324"/>
      <c r="AA448" s="324"/>
      <c r="AB448" s="324"/>
      <c r="AC448" s="324"/>
      <c r="AD448" s="324"/>
      <c r="AE448" s="324"/>
      <c r="AF448" s="324"/>
      <c r="AG448" s="324"/>
      <c r="AH448" s="324"/>
      <c r="AI448" s="324"/>
      <c r="AJ448" s="324"/>
      <c r="AK448" s="324"/>
      <c r="AL448" s="324"/>
      <c r="AM448" s="324"/>
      <c r="AN448" s="324"/>
      <c r="AO448" s="324"/>
      <c r="AP448" s="324"/>
      <c r="AQ448" s="324"/>
      <c r="AR448" s="324"/>
      <c r="AS448" s="324"/>
      <c r="AT448" s="324"/>
      <c r="AU448" s="324"/>
      <c r="AV448" s="324"/>
      <c r="AW448" s="324"/>
      <c r="AX448" s="324"/>
      <c r="AY448" s="324"/>
      <c r="AZ448" s="325"/>
      <c r="BA448" s="325"/>
      <c r="BB448" s="325"/>
      <c r="BC448" s="325"/>
      <c r="BD448" s="325"/>
      <c r="BE448" s="325"/>
      <c r="BF448" s="325"/>
      <c r="BG448" s="325"/>
      <c r="BH448" s="325"/>
      <c r="BI448" s="325"/>
      <c r="BJ448" s="325"/>
      <c r="BK448" s="325"/>
      <c r="BL448" s="325"/>
      <c r="BM448" s="325"/>
      <c r="BN448" s="325"/>
      <c r="BO448" s="325"/>
      <c r="BP448" s="325"/>
      <c r="BQ448" s="325"/>
    </row>
    <row r="449" spans="1:69" ht="14.25" customHeight="1" x14ac:dyDescent="0.2">
      <c r="A449" s="28"/>
      <c r="B449" s="28"/>
      <c r="C449" s="28"/>
      <c r="D449" s="324"/>
      <c r="E449" s="324"/>
      <c r="F449" s="324"/>
      <c r="G449" s="324"/>
      <c r="H449" s="324"/>
      <c r="I449" s="324"/>
      <c r="J449" s="324"/>
      <c r="K449" s="324"/>
      <c r="L449" s="324"/>
      <c r="M449" s="324"/>
      <c r="N449" s="324"/>
      <c r="O449" s="324"/>
      <c r="P449" s="324"/>
      <c r="Q449" s="324"/>
      <c r="R449" s="324"/>
      <c r="S449" s="324"/>
      <c r="T449" s="324"/>
      <c r="U449" s="324"/>
      <c r="V449" s="324"/>
      <c r="W449" s="324"/>
      <c r="X449" s="324"/>
      <c r="Y449" s="324"/>
      <c r="Z449" s="324"/>
      <c r="AA449" s="324"/>
      <c r="AB449" s="324"/>
      <c r="AC449" s="324"/>
      <c r="AD449" s="324"/>
      <c r="AE449" s="324"/>
      <c r="AF449" s="324"/>
      <c r="AG449" s="324"/>
      <c r="AH449" s="324"/>
      <c r="AI449" s="324"/>
      <c r="AJ449" s="324"/>
      <c r="AK449" s="324"/>
      <c r="AL449" s="324"/>
      <c r="AM449" s="324"/>
      <c r="AN449" s="324"/>
      <c r="AO449" s="324"/>
      <c r="AP449" s="324"/>
      <c r="AQ449" s="324"/>
      <c r="AR449" s="324"/>
      <c r="AS449" s="324"/>
      <c r="AT449" s="324"/>
      <c r="AU449" s="324"/>
      <c r="AV449" s="324"/>
      <c r="AW449" s="324"/>
      <c r="AX449" s="324"/>
      <c r="AY449" s="324"/>
      <c r="AZ449" s="325"/>
      <c r="BA449" s="325"/>
      <c r="BB449" s="325"/>
      <c r="BC449" s="325"/>
      <c r="BD449" s="325"/>
      <c r="BE449" s="325"/>
      <c r="BF449" s="325"/>
      <c r="BG449" s="325"/>
      <c r="BH449" s="325"/>
      <c r="BI449" s="325"/>
      <c r="BJ449" s="325"/>
      <c r="BK449" s="325"/>
      <c r="BL449" s="325"/>
      <c r="BM449" s="325"/>
      <c r="BN449" s="325"/>
      <c r="BO449" s="325"/>
      <c r="BP449" s="325"/>
      <c r="BQ449" s="325"/>
    </row>
    <row r="450" spans="1:69" ht="14.25" customHeight="1" x14ac:dyDescent="0.2">
      <c r="A450" s="28"/>
      <c r="B450" s="28"/>
      <c r="C450" s="28"/>
      <c r="D450" s="324"/>
      <c r="E450" s="324"/>
      <c r="F450" s="324"/>
      <c r="G450" s="324"/>
      <c r="H450" s="324"/>
      <c r="I450" s="324"/>
      <c r="J450" s="324"/>
      <c r="K450" s="324"/>
      <c r="L450" s="324"/>
      <c r="M450" s="324"/>
      <c r="N450" s="324"/>
      <c r="O450" s="324"/>
      <c r="P450" s="324"/>
      <c r="Q450" s="324"/>
      <c r="R450" s="324"/>
      <c r="S450" s="324"/>
      <c r="T450" s="324"/>
      <c r="U450" s="324"/>
      <c r="V450" s="324"/>
      <c r="W450" s="324"/>
      <c r="X450" s="324"/>
      <c r="Y450" s="324"/>
      <c r="Z450" s="324"/>
      <c r="AA450" s="324"/>
      <c r="AB450" s="324"/>
      <c r="AC450" s="324"/>
      <c r="AD450" s="324"/>
      <c r="AE450" s="324"/>
      <c r="AF450" s="324"/>
      <c r="AG450" s="324"/>
      <c r="AH450" s="324"/>
      <c r="AI450" s="324"/>
      <c r="AJ450" s="324"/>
      <c r="AK450" s="324"/>
      <c r="AL450" s="324"/>
      <c r="AM450" s="324"/>
      <c r="AN450" s="324"/>
      <c r="AO450" s="324"/>
      <c r="AP450" s="324"/>
      <c r="AQ450" s="324"/>
      <c r="AR450" s="324"/>
      <c r="AS450" s="324"/>
      <c r="AT450" s="324"/>
      <c r="AU450" s="324"/>
      <c r="AV450" s="324"/>
      <c r="AW450" s="324"/>
      <c r="AX450" s="324"/>
      <c r="AY450" s="324"/>
      <c r="AZ450" s="325"/>
      <c r="BA450" s="325"/>
      <c r="BB450" s="325"/>
      <c r="BC450" s="325"/>
      <c r="BD450" s="325"/>
      <c r="BE450" s="325"/>
      <c r="BF450" s="325"/>
      <c r="BG450" s="325"/>
      <c r="BH450" s="325"/>
      <c r="BI450" s="325"/>
      <c r="BJ450" s="325"/>
      <c r="BK450" s="325"/>
      <c r="BL450" s="325"/>
      <c r="BM450" s="325"/>
      <c r="BN450" s="325"/>
      <c r="BO450" s="325"/>
      <c r="BP450" s="325"/>
      <c r="BQ450" s="325"/>
    </row>
    <row r="451" spans="1:69" ht="14.25" customHeight="1" x14ac:dyDescent="0.2">
      <c r="A451" s="28"/>
      <c r="B451" s="28"/>
      <c r="C451" s="28"/>
      <c r="D451" s="324"/>
      <c r="E451" s="324"/>
      <c r="F451" s="324"/>
      <c r="G451" s="324"/>
      <c r="H451" s="324"/>
      <c r="I451" s="324"/>
      <c r="J451" s="324"/>
      <c r="K451" s="324"/>
      <c r="L451" s="324"/>
      <c r="M451" s="324"/>
      <c r="N451" s="324"/>
      <c r="O451" s="324"/>
      <c r="P451" s="324"/>
      <c r="Q451" s="324"/>
      <c r="R451" s="324"/>
      <c r="S451" s="324"/>
      <c r="T451" s="324"/>
      <c r="U451" s="324"/>
      <c r="V451" s="324"/>
      <c r="W451" s="324"/>
      <c r="X451" s="324"/>
      <c r="Y451" s="324"/>
      <c r="Z451" s="324"/>
      <c r="AA451" s="324"/>
      <c r="AB451" s="324"/>
      <c r="AC451" s="324"/>
      <c r="AD451" s="324"/>
      <c r="AE451" s="324"/>
      <c r="AF451" s="324"/>
      <c r="AG451" s="324"/>
      <c r="AH451" s="324"/>
      <c r="AI451" s="324"/>
      <c r="AJ451" s="324"/>
      <c r="AK451" s="324"/>
      <c r="AL451" s="324"/>
      <c r="AM451" s="324"/>
      <c r="AN451" s="324"/>
      <c r="AO451" s="324"/>
      <c r="AP451" s="324"/>
      <c r="AQ451" s="324"/>
      <c r="AR451" s="324"/>
      <c r="AS451" s="324"/>
      <c r="AT451" s="324"/>
      <c r="AU451" s="324"/>
      <c r="AV451" s="324"/>
      <c r="AW451" s="324"/>
      <c r="AX451" s="324"/>
      <c r="AY451" s="324"/>
      <c r="AZ451" s="325"/>
      <c r="BA451" s="325"/>
      <c r="BB451" s="325"/>
      <c r="BC451" s="325"/>
      <c r="BD451" s="325"/>
      <c r="BE451" s="325"/>
      <c r="BF451" s="325"/>
      <c r="BG451" s="325"/>
      <c r="BH451" s="325"/>
      <c r="BI451" s="325"/>
      <c r="BJ451" s="325"/>
      <c r="BK451" s="325"/>
      <c r="BL451" s="325"/>
      <c r="BM451" s="325"/>
      <c r="BN451" s="325"/>
      <c r="BO451" s="325"/>
      <c r="BP451" s="325"/>
      <c r="BQ451" s="325"/>
    </row>
    <row r="452" spans="1:69" ht="14.25" customHeight="1" x14ac:dyDescent="0.2">
      <c r="A452" s="28"/>
      <c r="B452" s="28"/>
      <c r="C452" s="28"/>
      <c r="D452" s="324"/>
      <c r="E452" s="324"/>
      <c r="F452" s="324"/>
      <c r="G452" s="324"/>
      <c r="H452" s="324"/>
      <c r="I452" s="324"/>
      <c r="J452" s="324"/>
      <c r="K452" s="324"/>
      <c r="L452" s="324"/>
      <c r="M452" s="324"/>
      <c r="N452" s="324"/>
      <c r="O452" s="324"/>
      <c r="P452" s="324"/>
      <c r="Q452" s="324"/>
      <c r="R452" s="324"/>
      <c r="S452" s="324"/>
      <c r="T452" s="324"/>
      <c r="U452" s="324"/>
      <c r="V452" s="324"/>
      <c r="W452" s="324"/>
      <c r="X452" s="324"/>
      <c r="Y452" s="324"/>
      <c r="Z452" s="324"/>
      <c r="AA452" s="324"/>
      <c r="AB452" s="324"/>
      <c r="AC452" s="324"/>
      <c r="AD452" s="324"/>
      <c r="AE452" s="324"/>
      <c r="AF452" s="324"/>
      <c r="AG452" s="324"/>
      <c r="AH452" s="324"/>
      <c r="AI452" s="324"/>
      <c r="AJ452" s="324"/>
      <c r="AK452" s="324"/>
      <c r="AL452" s="324"/>
      <c r="AM452" s="324"/>
      <c r="AN452" s="324"/>
      <c r="AO452" s="324"/>
      <c r="AP452" s="324"/>
      <c r="AQ452" s="324"/>
      <c r="AR452" s="324"/>
      <c r="AS452" s="324"/>
      <c r="AT452" s="324"/>
      <c r="AU452" s="324"/>
      <c r="AV452" s="324"/>
      <c r="AW452" s="324"/>
      <c r="AX452" s="324"/>
      <c r="AY452" s="324"/>
      <c r="AZ452" s="325"/>
      <c r="BA452" s="325"/>
      <c r="BB452" s="325"/>
      <c r="BC452" s="325"/>
      <c r="BD452" s="325"/>
      <c r="BE452" s="325"/>
      <c r="BF452" s="325"/>
      <c r="BG452" s="325"/>
      <c r="BH452" s="325"/>
      <c r="BI452" s="325"/>
      <c r="BJ452" s="325"/>
      <c r="BK452" s="325"/>
      <c r="BL452" s="325"/>
      <c r="BM452" s="325"/>
      <c r="BN452" s="325"/>
      <c r="BO452" s="325"/>
      <c r="BP452" s="325"/>
      <c r="BQ452" s="325"/>
    </row>
    <row r="453" spans="1:69" ht="14.25" customHeight="1" x14ac:dyDescent="0.2">
      <c r="A453" s="28"/>
      <c r="B453" s="28"/>
      <c r="C453" s="28"/>
      <c r="D453" s="324"/>
      <c r="E453" s="324"/>
      <c r="F453" s="324"/>
      <c r="G453" s="324"/>
      <c r="H453" s="324"/>
      <c r="I453" s="324"/>
      <c r="J453" s="324"/>
      <c r="K453" s="324"/>
      <c r="L453" s="324"/>
      <c r="M453" s="324"/>
      <c r="N453" s="324"/>
      <c r="O453" s="324"/>
      <c r="P453" s="324"/>
      <c r="Q453" s="324"/>
      <c r="R453" s="324"/>
      <c r="S453" s="324"/>
      <c r="T453" s="324"/>
      <c r="U453" s="324"/>
      <c r="V453" s="324"/>
      <c r="W453" s="324"/>
      <c r="X453" s="324"/>
      <c r="Y453" s="324"/>
      <c r="Z453" s="324"/>
      <c r="AA453" s="324"/>
      <c r="AB453" s="324"/>
      <c r="AC453" s="324"/>
      <c r="AD453" s="324"/>
      <c r="AE453" s="324"/>
      <c r="AF453" s="324"/>
      <c r="AG453" s="324"/>
      <c r="AH453" s="324"/>
      <c r="AI453" s="324"/>
      <c r="AJ453" s="324"/>
      <c r="AK453" s="324"/>
      <c r="AL453" s="324"/>
      <c r="AM453" s="324"/>
      <c r="AN453" s="324"/>
      <c r="AO453" s="324"/>
      <c r="AP453" s="324"/>
      <c r="AQ453" s="324"/>
      <c r="AR453" s="324"/>
      <c r="AS453" s="324"/>
      <c r="AT453" s="324"/>
      <c r="AU453" s="324"/>
      <c r="AV453" s="324"/>
      <c r="AW453" s="324"/>
      <c r="AX453" s="324"/>
      <c r="AY453" s="324"/>
      <c r="AZ453" s="325"/>
      <c r="BA453" s="325"/>
      <c r="BB453" s="325"/>
      <c r="BC453" s="325"/>
      <c r="BD453" s="325"/>
      <c r="BE453" s="325"/>
      <c r="BF453" s="325"/>
      <c r="BG453" s="325"/>
      <c r="BH453" s="325"/>
      <c r="BI453" s="325"/>
      <c r="BJ453" s="325"/>
      <c r="BK453" s="325"/>
      <c r="BL453" s="325"/>
      <c r="BM453" s="325"/>
      <c r="BN453" s="325"/>
      <c r="BO453" s="325"/>
      <c r="BP453" s="325"/>
      <c r="BQ453" s="325"/>
    </row>
    <row r="454" spans="1:69" ht="14.25" customHeight="1" x14ac:dyDescent="0.2">
      <c r="A454" s="28"/>
      <c r="B454" s="28"/>
      <c r="C454" s="28"/>
      <c r="D454" s="324"/>
      <c r="E454" s="324"/>
      <c r="F454" s="324"/>
      <c r="G454" s="324"/>
      <c r="H454" s="324"/>
      <c r="I454" s="324"/>
      <c r="J454" s="324"/>
      <c r="K454" s="324"/>
      <c r="L454" s="324"/>
      <c r="M454" s="324"/>
      <c r="N454" s="324"/>
      <c r="O454" s="324"/>
      <c r="P454" s="324"/>
      <c r="Q454" s="324"/>
      <c r="R454" s="324"/>
      <c r="S454" s="324"/>
      <c r="T454" s="324"/>
      <c r="U454" s="324"/>
      <c r="V454" s="324"/>
      <c r="W454" s="324"/>
      <c r="X454" s="324"/>
      <c r="Y454" s="324"/>
      <c r="Z454" s="324"/>
      <c r="AA454" s="324"/>
      <c r="AB454" s="324"/>
      <c r="AC454" s="324"/>
      <c r="AD454" s="324"/>
      <c r="AE454" s="324"/>
      <c r="AF454" s="324"/>
      <c r="AG454" s="324"/>
      <c r="AH454" s="324"/>
      <c r="AI454" s="324"/>
      <c r="AJ454" s="324"/>
      <c r="AK454" s="324"/>
      <c r="AL454" s="324"/>
      <c r="AM454" s="324"/>
      <c r="AN454" s="324"/>
      <c r="AO454" s="324"/>
      <c r="AP454" s="324"/>
      <c r="AQ454" s="324"/>
      <c r="AR454" s="324"/>
      <c r="AS454" s="324"/>
      <c r="AT454" s="324"/>
      <c r="AU454" s="324"/>
      <c r="AV454" s="324"/>
      <c r="AW454" s="324"/>
      <c r="AX454" s="324"/>
      <c r="AY454" s="324"/>
      <c r="AZ454" s="325"/>
      <c r="BA454" s="325"/>
      <c r="BB454" s="325"/>
      <c r="BC454" s="325"/>
      <c r="BD454" s="325"/>
      <c r="BE454" s="325"/>
      <c r="BF454" s="325"/>
      <c r="BG454" s="325"/>
      <c r="BH454" s="325"/>
      <c r="BI454" s="325"/>
      <c r="BJ454" s="325"/>
      <c r="BK454" s="325"/>
      <c r="BL454" s="325"/>
      <c r="BM454" s="325"/>
      <c r="BN454" s="325"/>
      <c r="BO454" s="325"/>
      <c r="BP454" s="325"/>
      <c r="BQ454" s="325"/>
    </row>
    <row r="455" spans="1:69" ht="14.25" customHeight="1" x14ac:dyDescent="0.2">
      <c r="A455" s="28"/>
      <c r="B455" s="28"/>
      <c r="C455" s="28"/>
      <c r="D455" s="324"/>
      <c r="E455" s="324"/>
      <c r="F455" s="324"/>
      <c r="G455" s="324"/>
      <c r="H455" s="324"/>
      <c r="I455" s="324"/>
      <c r="J455" s="324"/>
      <c r="K455" s="324"/>
      <c r="L455" s="324"/>
      <c r="M455" s="324"/>
      <c r="N455" s="324"/>
      <c r="O455" s="324"/>
      <c r="P455" s="324"/>
      <c r="Q455" s="324"/>
      <c r="R455" s="324"/>
      <c r="S455" s="324"/>
      <c r="T455" s="324"/>
      <c r="U455" s="324"/>
      <c r="V455" s="324"/>
      <c r="W455" s="324"/>
      <c r="X455" s="324"/>
      <c r="Y455" s="324"/>
      <c r="Z455" s="324"/>
      <c r="AA455" s="324"/>
      <c r="AB455" s="324"/>
      <c r="AC455" s="324"/>
      <c r="AD455" s="324"/>
      <c r="AE455" s="324"/>
      <c r="AF455" s="324"/>
      <c r="AG455" s="324"/>
      <c r="AH455" s="324"/>
      <c r="AI455" s="324"/>
      <c r="AJ455" s="324"/>
      <c r="AK455" s="324"/>
      <c r="AL455" s="324"/>
      <c r="AM455" s="324"/>
      <c r="AN455" s="324"/>
      <c r="AO455" s="324"/>
      <c r="AP455" s="324"/>
      <c r="AQ455" s="324"/>
      <c r="AR455" s="324"/>
      <c r="AS455" s="324"/>
      <c r="AT455" s="324"/>
      <c r="AU455" s="324"/>
      <c r="AV455" s="324"/>
      <c r="AW455" s="324"/>
      <c r="AX455" s="324"/>
      <c r="AY455" s="324"/>
      <c r="AZ455" s="325"/>
      <c r="BA455" s="325"/>
      <c r="BB455" s="325"/>
      <c r="BC455" s="325"/>
      <c r="BD455" s="325"/>
      <c r="BE455" s="325"/>
      <c r="BF455" s="325"/>
      <c r="BG455" s="325"/>
      <c r="BH455" s="325"/>
      <c r="BI455" s="325"/>
      <c r="BJ455" s="325"/>
      <c r="BK455" s="325"/>
      <c r="BL455" s="325"/>
      <c r="BM455" s="325"/>
      <c r="BN455" s="325"/>
      <c r="BO455" s="325"/>
      <c r="BP455" s="325"/>
      <c r="BQ455" s="325"/>
    </row>
    <row r="456" spans="1:69" ht="14.25" customHeight="1" x14ac:dyDescent="0.2">
      <c r="A456" s="28"/>
      <c r="B456" s="28"/>
      <c r="C456" s="28"/>
      <c r="D456" s="324"/>
      <c r="E456" s="324"/>
      <c r="F456" s="324"/>
      <c r="G456" s="324"/>
      <c r="H456" s="324"/>
      <c r="I456" s="324"/>
      <c r="J456" s="324"/>
      <c r="K456" s="324"/>
      <c r="L456" s="324"/>
      <c r="M456" s="324"/>
      <c r="N456" s="324"/>
      <c r="O456" s="324"/>
      <c r="P456" s="324"/>
      <c r="Q456" s="324"/>
      <c r="R456" s="324"/>
      <c r="S456" s="324"/>
      <c r="T456" s="324"/>
      <c r="U456" s="324"/>
      <c r="V456" s="324"/>
      <c r="W456" s="324"/>
      <c r="X456" s="324"/>
      <c r="Y456" s="324"/>
      <c r="Z456" s="324"/>
      <c r="AA456" s="324"/>
      <c r="AB456" s="324"/>
      <c r="AC456" s="324"/>
      <c r="AD456" s="324"/>
      <c r="AE456" s="324"/>
      <c r="AF456" s="324"/>
      <c r="AG456" s="324"/>
      <c r="AH456" s="324"/>
      <c r="AI456" s="324"/>
      <c r="AJ456" s="324"/>
      <c r="AK456" s="324"/>
      <c r="AL456" s="324"/>
      <c r="AM456" s="324"/>
      <c r="AN456" s="324"/>
      <c r="AO456" s="324"/>
      <c r="AP456" s="324"/>
      <c r="AQ456" s="324"/>
      <c r="AR456" s="324"/>
      <c r="AS456" s="324"/>
      <c r="AT456" s="324"/>
      <c r="AU456" s="324"/>
      <c r="AV456" s="324"/>
      <c r="AW456" s="324"/>
      <c r="AX456" s="324"/>
      <c r="AY456" s="324"/>
      <c r="AZ456" s="325"/>
      <c r="BA456" s="325"/>
      <c r="BB456" s="325"/>
      <c r="BC456" s="325"/>
      <c r="BD456" s="325"/>
      <c r="BE456" s="325"/>
      <c r="BF456" s="325"/>
      <c r="BG456" s="325"/>
      <c r="BH456" s="325"/>
      <c r="BI456" s="325"/>
      <c r="BJ456" s="325"/>
      <c r="BK456" s="325"/>
      <c r="BL456" s="325"/>
      <c r="BM456" s="325"/>
      <c r="BN456" s="325"/>
      <c r="BO456" s="325"/>
      <c r="BP456" s="325"/>
      <c r="BQ456" s="325"/>
    </row>
    <row r="457" spans="1:69" ht="14.25" customHeight="1" x14ac:dyDescent="0.2">
      <c r="A457" s="28"/>
      <c r="B457" s="28"/>
      <c r="C457" s="28"/>
      <c r="D457" s="324"/>
      <c r="E457" s="324"/>
      <c r="F457" s="324"/>
      <c r="G457" s="324"/>
      <c r="H457" s="324"/>
      <c r="I457" s="324"/>
      <c r="J457" s="324"/>
      <c r="K457" s="324"/>
      <c r="L457" s="324"/>
      <c r="M457" s="324"/>
      <c r="N457" s="324"/>
      <c r="O457" s="324"/>
      <c r="P457" s="324"/>
      <c r="Q457" s="324"/>
      <c r="R457" s="324"/>
      <c r="S457" s="324"/>
      <c r="T457" s="324"/>
      <c r="U457" s="324"/>
      <c r="V457" s="324"/>
      <c r="W457" s="324"/>
      <c r="X457" s="324"/>
      <c r="Y457" s="324"/>
      <c r="Z457" s="324"/>
      <c r="AA457" s="324"/>
      <c r="AB457" s="324"/>
      <c r="AC457" s="324"/>
      <c r="AD457" s="324"/>
      <c r="AE457" s="324"/>
      <c r="AF457" s="324"/>
      <c r="AG457" s="324"/>
      <c r="AH457" s="324"/>
      <c r="AI457" s="324"/>
      <c r="AJ457" s="324"/>
      <c r="AK457" s="324"/>
      <c r="AL457" s="324"/>
      <c r="AM457" s="324"/>
      <c r="AN457" s="324"/>
      <c r="AO457" s="324"/>
      <c r="AP457" s="324"/>
      <c r="AQ457" s="324"/>
      <c r="AR457" s="324"/>
      <c r="AS457" s="324"/>
      <c r="AT457" s="324"/>
      <c r="AU457" s="324"/>
      <c r="AV457" s="324"/>
      <c r="AW457" s="324"/>
      <c r="AX457" s="324"/>
      <c r="AY457" s="324"/>
      <c r="AZ457" s="325"/>
      <c r="BA457" s="325"/>
      <c r="BB457" s="325"/>
      <c r="BC457" s="325"/>
      <c r="BD457" s="325"/>
      <c r="BE457" s="325"/>
      <c r="BF457" s="325"/>
      <c r="BG457" s="325"/>
      <c r="BH457" s="325"/>
      <c r="BI457" s="325"/>
      <c r="BJ457" s="325"/>
      <c r="BK457" s="325"/>
      <c r="BL457" s="325"/>
      <c r="BM457" s="325"/>
      <c r="BN457" s="325"/>
      <c r="BO457" s="325"/>
      <c r="BP457" s="325"/>
      <c r="BQ457" s="325"/>
    </row>
    <row r="458" spans="1:69" ht="14.25" customHeight="1" x14ac:dyDescent="0.2">
      <c r="A458" s="28"/>
      <c r="B458" s="28"/>
      <c r="C458" s="28"/>
      <c r="D458" s="324"/>
      <c r="E458" s="324"/>
      <c r="F458" s="324"/>
      <c r="G458" s="324"/>
      <c r="H458" s="324"/>
      <c r="I458" s="324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324"/>
      <c r="V458" s="324"/>
      <c r="W458" s="324"/>
      <c r="X458" s="324"/>
      <c r="Y458" s="324"/>
      <c r="Z458" s="324"/>
      <c r="AA458" s="324"/>
      <c r="AB458" s="324"/>
      <c r="AC458" s="324"/>
      <c r="AD458" s="324"/>
      <c r="AE458" s="324"/>
      <c r="AF458" s="324"/>
      <c r="AG458" s="324"/>
      <c r="AH458" s="324"/>
      <c r="AI458" s="324"/>
      <c r="AJ458" s="324"/>
      <c r="AK458" s="324"/>
      <c r="AL458" s="324"/>
      <c r="AM458" s="324"/>
      <c r="AN458" s="324"/>
      <c r="AO458" s="324"/>
      <c r="AP458" s="324"/>
      <c r="AQ458" s="324"/>
      <c r="AR458" s="324"/>
      <c r="AS458" s="324"/>
      <c r="AT458" s="324"/>
      <c r="AU458" s="324"/>
      <c r="AV458" s="324"/>
      <c r="AW458" s="324"/>
      <c r="AX458" s="324"/>
      <c r="AY458" s="324"/>
      <c r="AZ458" s="325"/>
      <c r="BA458" s="325"/>
      <c r="BB458" s="325"/>
      <c r="BC458" s="325"/>
      <c r="BD458" s="325"/>
      <c r="BE458" s="325"/>
      <c r="BF458" s="325"/>
      <c r="BG458" s="325"/>
      <c r="BH458" s="325"/>
      <c r="BI458" s="325"/>
      <c r="BJ458" s="325"/>
      <c r="BK458" s="325"/>
      <c r="BL458" s="325"/>
      <c r="BM458" s="325"/>
      <c r="BN458" s="325"/>
      <c r="BO458" s="325"/>
      <c r="BP458" s="325"/>
      <c r="BQ458" s="325"/>
    </row>
    <row r="459" spans="1:69" ht="14.25" customHeight="1" x14ac:dyDescent="0.2">
      <c r="A459" s="28"/>
      <c r="B459" s="28"/>
      <c r="C459" s="28"/>
      <c r="D459" s="324"/>
      <c r="E459" s="324"/>
      <c r="F459" s="324"/>
      <c r="G459" s="324"/>
      <c r="H459" s="324"/>
      <c r="I459" s="324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324"/>
      <c r="V459" s="324"/>
      <c r="W459" s="324"/>
      <c r="X459" s="324"/>
      <c r="Y459" s="324"/>
      <c r="Z459" s="324"/>
      <c r="AA459" s="324"/>
      <c r="AB459" s="324"/>
      <c r="AC459" s="324"/>
      <c r="AD459" s="324"/>
      <c r="AE459" s="324"/>
      <c r="AF459" s="324"/>
      <c r="AG459" s="324"/>
      <c r="AH459" s="324"/>
      <c r="AI459" s="324"/>
      <c r="AJ459" s="324"/>
      <c r="AK459" s="324"/>
      <c r="AL459" s="324"/>
      <c r="AM459" s="324"/>
      <c r="AN459" s="324"/>
      <c r="AO459" s="324"/>
      <c r="AP459" s="324"/>
      <c r="AQ459" s="324"/>
      <c r="AR459" s="324"/>
      <c r="AS459" s="324"/>
      <c r="AT459" s="324"/>
      <c r="AU459" s="324"/>
      <c r="AV459" s="324"/>
      <c r="AW459" s="324"/>
      <c r="AX459" s="324"/>
      <c r="AY459" s="324"/>
      <c r="AZ459" s="325"/>
      <c r="BA459" s="325"/>
      <c r="BB459" s="325"/>
      <c r="BC459" s="325"/>
      <c r="BD459" s="325"/>
      <c r="BE459" s="325"/>
      <c r="BF459" s="325"/>
      <c r="BG459" s="325"/>
      <c r="BH459" s="325"/>
      <c r="BI459" s="325"/>
      <c r="BJ459" s="325"/>
      <c r="BK459" s="325"/>
      <c r="BL459" s="325"/>
      <c r="BM459" s="325"/>
      <c r="BN459" s="325"/>
      <c r="BO459" s="325"/>
      <c r="BP459" s="325"/>
      <c r="BQ459" s="325"/>
    </row>
    <row r="460" spans="1:69" ht="14.25" customHeight="1" x14ac:dyDescent="0.2">
      <c r="A460" s="28"/>
      <c r="B460" s="28"/>
      <c r="C460" s="28"/>
      <c r="D460" s="324"/>
      <c r="E460" s="324"/>
      <c r="F460" s="324"/>
      <c r="G460" s="324"/>
      <c r="H460" s="324"/>
      <c r="I460" s="324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324"/>
      <c r="V460" s="324"/>
      <c r="W460" s="324"/>
      <c r="X460" s="324"/>
      <c r="Y460" s="324"/>
      <c r="Z460" s="324"/>
      <c r="AA460" s="324"/>
      <c r="AB460" s="324"/>
      <c r="AC460" s="324"/>
      <c r="AD460" s="324"/>
      <c r="AE460" s="324"/>
      <c r="AF460" s="324"/>
      <c r="AG460" s="324"/>
      <c r="AH460" s="324"/>
      <c r="AI460" s="324"/>
      <c r="AJ460" s="324"/>
      <c r="AK460" s="324"/>
      <c r="AL460" s="324"/>
      <c r="AM460" s="324"/>
      <c r="AN460" s="324"/>
      <c r="AO460" s="324"/>
      <c r="AP460" s="324"/>
      <c r="AQ460" s="324"/>
      <c r="AR460" s="324"/>
      <c r="AS460" s="324"/>
      <c r="AT460" s="324"/>
      <c r="AU460" s="324"/>
      <c r="AV460" s="324"/>
      <c r="AW460" s="324"/>
      <c r="AX460" s="324"/>
      <c r="AY460" s="324"/>
      <c r="AZ460" s="325"/>
      <c r="BA460" s="325"/>
      <c r="BB460" s="325"/>
      <c r="BC460" s="325"/>
      <c r="BD460" s="325"/>
      <c r="BE460" s="325"/>
      <c r="BF460" s="325"/>
      <c r="BG460" s="325"/>
      <c r="BH460" s="325"/>
      <c r="BI460" s="325"/>
      <c r="BJ460" s="325"/>
      <c r="BK460" s="325"/>
      <c r="BL460" s="325"/>
      <c r="BM460" s="325"/>
      <c r="BN460" s="325"/>
      <c r="BO460" s="325"/>
      <c r="BP460" s="325"/>
      <c r="BQ460" s="325"/>
    </row>
    <row r="461" spans="1:69" ht="14.25" customHeight="1" x14ac:dyDescent="0.2">
      <c r="A461" s="28"/>
      <c r="B461" s="28"/>
      <c r="C461" s="28"/>
      <c r="D461" s="324"/>
      <c r="E461" s="324"/>
      <c r="F461" s="324"/>
      <c r="G461" s="324"/>
      <c r="H461" s="324"/>
      <c r="I461" s="324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324"/>
      <c r="V461" s="324"/>
      <c r="W461" s="324"/>
      <c r="X461" s="324"/>
      <c r="Y461" s="324"/>
      <c r="Z461" s="324"/>
      <c r="AA461" s="324"/>
      <c r="AB461" s="324"/>
      <c r="AC461" s="324"/>
      <c r="AD461" s="324"/>
      <c r="AE461" s="324"/>
      <c r="AF461" s="324"/>
      <c r="AG461" s="324"/>
      <c r="AH461" s="324"/>
      <c r="AI461" s="324"/>
      <c r="AJ461" s="324"/>
      <c r="AK461" s="324"/>
      <c r="AL461" s="324"/>
      <c r="AM461" s="324"/>
      <c r="AN461" s="324"/>
      <c r="AO461" s="324"/>
      <c r="AP461" s="324"/>
      <c r="AQ461" s="324"/>
      <c r="AR461" s="324"/>
      <c r="AS461" s="324"/>
      <c r="AT461" s="324"/>
      <c r="AU461" s="324"/>
      <c r="AV461" s="324"/>
      <c r="AW461" s="324"/>
      <c r="AX461" s="324"/>
      <c r="AY461" s="324"/>
      <c r="AZ461" s="325"/>
      <c r="BA461" s="325"/>
      <c r="BB461" s="325"/>
      <c r="BC461" s="325"/>
      <c r="BD461" s="325"/>
      <c r="BE461" s="325"/>
      <c r="BF461" s="325"/>
      <c r="BG461" s="325"/>
      <c r="BH461" s="325"/>
      <c r="BI461" s="325"/>
      <c r="BJ461" s="325"/>
      <c r="BK461" s="325"/>
      <c r="BL461" s="325"/>
      <c r="BM461" s="325"/>
      <c r="BN461" s="325"/>
      <c r="BO461" s="325"/>
      <c r="BP461" s="325"/>
      <c r="BQ461" s="325"/>
    </row>
    <row r="462" spans="1:69" ht="14.25" customHeight="1" x14ac:dyDescent="0.2">
      <c r="A462" s="28"/>
      <c r="B462" s="28"/>
      <c r="C462" s="28"/>
      <c r="D462" s="324"/>
      <c r="E462" s="324"/>
      <c r="F462" s="324"/>
      <c r="G462" s="324"/>
      <c r="H462" s="324"/>
      <c r="I462" s="324"/>
      <c r="J462" s="324"/>
      <c r="K462" s="324"/>
      <c r="L462" s="324"/>
      <c r="M462" s="324"/>
      <c r="N462" s="324"/>
      <c r="O462" s="324"/>
      <c r="P462" s="324"/>
      <c r="Q462" s="324"/>
      <c r="R462" s="324"/>
      <c r="S462" s="324"/>
      <c r="T462" s="324"/>
      <c r="U462" s="324"/>
      <c r="V462" s="324"/>
      <c r="W462" s="324"/>
      <c r="X462" s="324"/>
      <c r="Y462" s="324"/>
      <c r="Z462" s="324"/>
      <c r="AA462" s="324"/>
      <c r="AB462" s="324"/>
      <c r="AC462" s="324"/>
      <c r="AD462" s="324"/>
      <c r="AE462" s="324"/>
      <c r="AF462" s="324"/>
      <c r="AG462" s="324"/>
      <c r="AH462" s="324"/>
      <c r="AI462" s="324"/>
      <c r="AJ462" s="324"/>
      <c r="AK462" s="324"/>
      <c r="AL462" s="324"/>
      <c r="AM462" s="324"/>
      <c r="AN462" s="324"/>
      <c r="AO462" s="324"/>
      <c r="AP462" s="324"/>
      <c r="AQ462" s="324"/>
      <c r="AR462" s="324"/>
      <c r="AS462" s="324"/>
      <c r="AT462" s="324"/>
      <c r="AU462" s="324"/>
      <c r="AV462" s="324"/>
      <c r="AW462" s="324"/>
      <c r="AX462" s="324"/>
      <c r="AY462" s="324"/>
      <c r="AZ462" s="325"/>
      <c r="BA462" s="325"/>
      <c r="BB462" s="325"/>
      <c r="BC462" s="325"/>
      <c r="BD462" s="325"/>
      <c r="BE462" s="325"/>
      <c r="BF462" s="325"/>
      <c r="BG462" s="325"/>
      <c r="BH462" s="325"/>
      <c r="BI462" s="325"/>
      <c r="BJ462" s="325"/>
      <c r="BK462" s="325"/>
      <c r="BL462" s="325"/>
      <c r="BM462" s="325"/>
      <c r="BN462" s="325"/>
      <c r="BO462" s="325"/>
      <c r="BP462" s="325"/>
      <c r="BQ462" s="325"/>
    </row>
    <row r="463" spans="1:69" ht="14.25" customHeight="1" x14ac:dyDescent="0.2">
      <c r="A463" s="28"/>
      <c r="B463" s="28"/>
      <c r="C463" s="28"/>
      <c r="D463" s="324"/>
      <c r="E463" s="324"/>
      <c r="F463" s="324"/>
      <c r="G463" s="324"/>
      <c r="H463" s="324"/>
      <c r="I463" s="324"/>
      <c r="J463" s="324"/>
      <c r="K463" s="324"/>
      <c r="L463" s="324"/>
      <c r="M463" s="324"/>
      <c r="N463" s="324"/>
      <c r="O463" s="324"/>
      <c r="P463" s="324"/>
      <c r="Q463" s="324"/>
      <c r="R463" s="324"/>
      <c r="S463" s="324"/>
      <c r="T463" s="324"/>
      <c r="U463" s="324"/>
      <c r="V463" s="324"/>
      <c r="W463" s="324"/>
      <c r="X463" s="324"/>
      <c r="Y463" s="324"/>
      <c r="Z463" s="324"/>
      <c r="AA463" s="324"/>
      <c r="AB463" s="324"/>
      <c r="AC463" s="324"/>
      <c r="AD463" s="324"/>
      <c r="AE463" s="324"/>
      <c r="AF463" s="324"/>
      <c r="AG463" s="324"/>
      <c r="AH463" s="324"/>
      <c r="AI463" s="324"/>
      <c r="AJ463" s="324"/>
      <c r="AK463" s="324"/>
      <c r="AL463" s="324"/>
      <c r="AM463" s="324"/>
      <c r="AN463" s="324"/>
      <c r="AO463" s="324"/>
      <c r="AP463" s="324"/>
      <c r="AQ463" s="324"/>
      <c r="AR463" s="324"/>
      <c r="AS463" s="324"/>
      <c r="AT463" s="324"/>
      <c r="AU463" s="324"/>
      <c r="AV463" s="324"/>
      <c r="AW463" s="324"/>
      <c r="AX463" s="324"/>
      <c r="AY463" s="324"/>
      <c r="AZ463" s="325"/>
      <c r="BA463" s="325"/>
      <c r="BB463" s="325"/>
      <c r="BC463" s="325"/>
      <c r="BD463" s="325"/>
      <c r="BE463" s="325"/>
      <c r="BF463" s="325"/>
      <c r="BG463" s="325"/>
      <c r="BH463" s="325"/>
      <c r="BI463" s="325"/>
      <c r="BJ463" s="325"/>
      <c r="BK463" s="325"/>
      <c r="BL463" s="325"/>
      <c r="BM463" s="325"/>
      <c r="BN463" s="325"/>
      <c r="BO463" s="325"/>
      <c r="BP463" s="325"/>
      <c r="BQ463" s="325"/>
    </row>
    <row r="464" spans="1:69" ht="14.25" customHeight="1" x14ac:dyDescent="0.2">
      <c r="A464" s="28"/>
      <c r="B464" s="28"/>
      <c r="C464" s="28"/>
      <c r="D464" s="324"/>
      <c r="E464" s="324"/>
      <c r="F464" s="324"/>
      <c r="G464" s="324"/>
      <c r="H464" s="324"/>
      <c r="I464" s="324"/>
      <c r="J464" s="324"/>
      <c r="K464" s="324"/>
      <c r="L464" s="324"/>
      <c r="M464" s="324"/>
      <c r="N464" s="324"/>
      <c r="O464" s="324"/>
      <c r="P464" s="324"/>
      <c r="Q464" s="324"/>
      <c r="R464" s="324"/>
      <c r="S464" s="324"/>
      <c r="T464" s="324"/>
      <c r="U464" s="324"/>
      <c r="V464" s="324"/>
      <c r="W464" s="324"/>
      <c r="X464" s="324"/>
      <c r="Y464" s="324"/>
      <c r="Z464" s="324"/>
      <c r="AA464" s="324"/>
      <c r="AB464" s="324"/>
      <c r="AC464" s="324"/>
      <c r="AD464" s="324"/>
      <c r="AE464" s="324"/>
      <c r="AF464" s="324"/>
      <c r="AG464" s="324"/>
      <c r="AH464" s="324"/>
      <c r="AI464" s="324"/>
      <c r="AJ464" s="324"/>
      <c r="AK464" s="324"/>
      <c r="AL464" s="324"/>
      <c r="AM464" s="324"/>
      <c r="AN464" s="324"/>
      <c r="AO464" s="324"/>
      <c r="AP464" s="324"/>
      <c r="AQ464" s="324"/>
      <c r="AR464" s="324"/>
      <c r="AS464" s="324"/>
      <c r="AT464" s="324"/>
      <c r="AU464" s="324"/>
      <c r="AV464" s="324"/>
      <c r="AW464" s="324"/>
      <c r="AX464" s="324"/>
      <c r="AY464" s="324"/>
      <c r="AZ464" s="325"/>
      <c r="BA464" s="325"/>
      <c r="BB464" s="325"/>
      <c r="BC464" s="325"/>
      <c r="BD464" s="325"/>
      <c r="BE464" s="325"/>
      <c r="BF464" s="325"/>
      <c r="BG464" s="325"/>
      <c r="BH464" s="325"/>
      <c r="BI464" s="325"/>
      <c r="BJ464" s="325"/>
      <c r="BK464" s="325"/>
      <c r="BL464" s="325"/>
      <c r="BM464" s="325"/>
      <c r="BN464" s="325"/>
      <c r="BO464" s="325"/>
      <c r="BP464" s="325"/>
      <c r="BQ464" s="325"/>
    </row>
    <row r="465" spans="1:69" ht="14.25" customHeight="1" x14ac:dyDescent="0.2">
      <c r="A465" s="28"/>
      <c r="B465" s="28"/>
      <c r="C465" s="28"/>
      <c r="D465" s="324"/>
      <c r="E465" s="324"/>
      <c r="F465" s="324"/>
      <c r="G465" s="324"/>
      <c r="H465" s="324"/>
      <c r="I465" s="324"/>
      <c r="J465" s="324"/>
      <c r="K465" s="324"/>
      <c r="L465" s="324"/>
      <c r="M465" s="324"/>
      <c r="N465" s="324"/>
      <c r="O465" s="324"/>
      <c r="P465" s="324"/>
      <c r="Q465" s="324"/>
      <c r="R465" s="324"/>
      <c r="S465" s="324"/>
      <c r="T465" s="324"/>
      <c r="U465" s="324"/>
      <c r="V465" s="324"/>
      <c r="W465" s="324"/>
      <c r="X465" s="324"/>
      <c r="Y465" s="324"/>
      <c r="Z465" s="324"/>
      <c r="AA465" s="324"/>
      <c r="AB465" s="324"/>
      <c r="AC465" s="324"/>
      <c r="AD465" s="324"/>
      <c r="AE465" s="324"/>
      <c r="AF465" s="324"/>
      <c r="AG465" s="324"/>
      <c r="AH465" s="324"/>
      <c r="AI465" s="324"/>
      <c r="AJ465" s="324"/>
      <c r="AK465" s="324"/>
      <c r="AL465" s="324"/>
      <c r="AM465" s="324"/>
      <c r="AN465" s="324"/>
      <c r="AO465" s="324"/>
      <c r="AP465" s="324"/>
      <c r="AQ465" s="324"/>
      <c r="AR465" s="324"/>
      <c r="AS465" s="324"/>
      <c r="AT465" s="324"/>
      <c r="AU465" s="324"/>
      <c r="AV465" s="324"/>
      <c r="AW465" s="324"/>
      <c r="AX465" s="324"/>
      <c r="AY465" s="324"/>
      <c r="AZ465" s="325"/>
      <c r="BA465" s="325"/>
      <c r="BB465" s="325"/>
      <c r="BC465" s="325"/>
      <c r="BD465" s="325"/>
      <c r="BE465" s="325"/>
      <c r="BF465" s="325"/>
      <c r="BG465" s="325"/>
      <c r="BH465" s="325"/>
      <c r="BI465" s="325"/>
      <c r="BJ465" s="325"/>
      <c r="BK465" s="325"/>
      <c r="BL465" s="325"/>
      <c r="BM465" s="325"/>
      <c r="BN465" s="325"/>
      <c r="BO465" s="325"/>
      <c r="BP465" s="325"/>
      <c r="BQ465" s="325"/>
    </row>
    <row r="466" spans="1:69" ht="14.25" customHeight="1" x14ac:dyDescent="0.2">
      <c r="A466" s="28"/>
      <c r="B466" s="28"/>
      <c r="C466" s="28"/>
      <c r="D466" s="324"/>
      <c r="E466" s="324"/>
      <c r="F466" s="324"/>
      <c r="G466" s="324"/>
      <c r="H466" s="324"/>
      <c r="I466" s="324"/>
      <c r="J466" s="324"/>
      <c r="K466" s="324"/>
      <c r="L466" s="324"/>
      <c r="M466" s="324"/>
      <c r="N466" s="324"/>
      <c r="O466" s="324"/>
      <c r="P466" s="324"/>
      <c r="Q466" s="324"/>
      <c r="R466" s="324"/>
      <c r="S466" s="324"/>
      <c r="T466" s="324"/>
      <c r="U466" s="324"/>
      <c r="V466" s="324"/>
      <c r="W466" s="324"/>
      <c r="X466" s="324"/>
      <c r="Y466" s="324"/>
      <c r="Z466" s="324"/>
      <c r="AA466" s="324"/>
      <c r="AB466" s="324"/>
      <c r="AC466" s="324"/>
      <c r="AD466" s="324"/>
      <c r="AE466" s="324"/>
      <c r="AF466" s="324"/>
      <c r="AG466" s="324"/>
      <c r="AH466" s="324"/>
      <c r="AI466" s="324"/>
      <c r="AJ466" s="324"/>
      <c r="AK466" s="324"/>
      <c r="AL466" s="324"/>
      <c r="AM466" s="324"/>
      <c r="AN466" s="324"/>
      <c r="AO466" s="324"/>
      <c r="AP466" s="324"/>
      <c r="AQ466" s="324"/>
      <c r="AR466" s="324"/>
      <c r="AS466" s="324"/>
      <c r="AT466" s="324"/>
      <c r="AU466" s="324"/>
      <c r="AV466" s="324"/>
      <c r="AW466" s="324"/>
      <c r="AX466" s="324"/>
      <c r="AY466" s="324"/>
      <c r="AZ466" s="325"/>
      <c r="BA466" s="325"/>
      <c r="BB466" s="325"/>
      <c r="BC466" s="325"/>
      <c r="BD466" s="325"/>
      <c r="BE466" s="325"/>
      <c r="BF466" s="325"/>
      <c r="BG466" s="325"/>
      <c r="BH466" s="325"/>
      <c r="BI466" s="325"/>
      <c r="BJ466" s="325"/>
      <c r="BK466" s="325"/>
      <c r="BL466" s="325"/>
      <c r="BM466" s="325"/>
      <c r="BN466" s="325"/>
      <c r="BO466" s="325"/>
      <c r="BP466" s="325"/>
      <c r="BQ466" s="325"/>
    </row>
    <row r="467" spans="1:69" ht="14.25" customHeight="1" x14ac:dyDescent="0.2">
      <c r="A467" s="28"/>
      <c r="B467" s="28"/>
      <c r="C467" s="28"/>
      <c r="D467" s="324"/>
      <c r="E467" s="324"/>
      <c r="F467" s="324"/>
      <c r="G467" s="324"/>
      <c r="H467" s="324"/>
      <c r="I467" s="324"/>
      <c r="J467" s="324"/>
      <c r="K467" s="324"/>
      <c r="L467" s="324"/>
      <c r="M467" s="324"/>
      <c r="N467" s="324"/>
      <c r="O467" s="324"/>
      <c r="P467" s="324"/>
      <c r="Q467" s="324"/>
      <c r="R467" s="324"/>
      <c r="S467" s="324"/>
      <c r="T467" s="324"/>
      <c r="U467" s="324"/>
      <c r="V467" s="324"/>
      <c r="W467" s="324"/>
      <c r="X467" s="324"/>
      <c r="Y467" s="324"/>
      <c r="Z467" s="324"/>
      <c r="AA467" s="324"/>
      <c r="AB467" s="324"/>
      <c r="AC467" s="324"/>
      <c r="AD467" s="324"/>
      <c r="AE467" s="324"/>
      <c r="AF467" s="324"/>
      <c r="AG467" s="324"/>
      <c r="AH467" s="324"/>
      <c r="AI467" s="324"/>
      <c r="AJ467" s="324"/>
      <c r="AK467" s="324"/>
      <c r="AL467" s="324"/>
      <c r="AM467" s="324"/>
      <c r="AN467" s="324"/>
      <c r="AO467" s="324"/>
      <c r="AP467" s="324"/>
      <c r="AQ467" s="324"/>
      <c r="AR467" s="324"/>
      <c r="AS467" s="324"/>
      <c r="AT467" s="324"/>
      <c r="AU467" s="324"/>
      <c r="AV467" s="324"/>
      <c r="AW467" s="324"/>
      <c r="AX467" s="324"/>
      <c r="AY467" s="324"/>
      <c r="AZ467" s="325"/>
      <c r="BA467" s="325"/>
      <c r="BB467" s="325"/>
      <c r="BC467" s="325"/>
      <c r="BD467" s="325"/>
      <c r="BE467" s="325"/>
      <c r="BF467" s="325"/>
      <c r="BG467" s="325"/>
      <c r="BH467" s="325"/>
      <c r="BI467" s="325"/>
      <c r="BJ467" s="325"/>
      <c r="BK467" s="325"/>
      <c r="BL467" s="325"/>
      <c r="BM467" s="325"/>
      <c r="BN467" s="325"/>
      <c r="BO467" s="325"/>
      <c r="BP467" s="325"/>
      <c r="BQ467" s="325"/>
    </row>
    <row r="468" spans="1:69" ht="14.25" customHeight="1" x14ac:dyDescent="0.2">
      <c r="A468" s="28"/>
      <c r="B468" s="28"/>
      <c r="C468" s="28"/>
      <c r="D468" s="324"/>
      <c r="E468" s="324"/>
      <c r="F468" s="324"/>
      <c r="G468" s="324"/>
      <c r="H468" s="324"/>
      <c r="I468" s="324"/>
      <c r="J468" s="324"/>
      <c r="K468" s="324"/>
      <c r="L468" s="324"/>
      <c r="M468" s="324"/>
      <c r="N468" s="324"/>
      <c r="O468" s="324"/>
      <c r="P468" s="324"/>
      <c r="Q468" s="324"/>
      <c r="R468" s="324"/>
      <c r="S468" s="324"/>
      <c r="T468" s="324"/>
      <c r="U468" s="324"/>
      <c r="V468" s="324"/>
      <c r="W468" s="324"/>
      <c r="X468" s="324"/>
      <c r="Y468" s="324"/>
      <c r="Z468" s="324"/>
      <c r="AA468" s="324"/>
      <c r="AB468" s="324"/>
      <c r="AC468" s="324"/>
      <c r="AD468" s="324"/>
      <c r="AE468" s="324"/>
      <c r="AF468" s="324"/>
      <c r="AG468" s="324"/>
      <c r="AH468" s="324"/>
      <c r="AI468" s="324"/>
      <c r="AJ468" s="324"/>
      <c r="AK468" s="324"/>
      <c r="AL468" s="324"/>
      <c r="AM468" s="324"/>
      <c r="AN468" s="324"/>
      <c r="AO468" s="324"/>
      <c r="AP468" s="324"/>
      <c r="AQ468" s="324"/>
      <c r="AR468" s="324"/>
      <c r="AS468" s="324"/>
      <c r="AT468" s="324"/>
      <c r="AU468" s="324"/>
      <c r="AV468" s="324"/>
      <c r="AW468" s="324"/>
      <c r="AX468" s="324"/>
      <c r="AY468" s="324"/>
      <c r="AZ468" s="325"/>
      <c r="BA468" s="325"/>
      <c r="BB468" s="325"/>
      <c r="BC468" s="325"/>
      <c r="BD468" s="325"/>
      <c r="BE468" s="325"/>
      <c r="BF468" s="325"/>
      <c r="BG468" s="325"/>
      <c r="BH468" s="325"/>
      <c r="BI468" s="325"/>
      <c r="BJ468" s="325"/>
      <c r="BK468" s="325"/>
      <c r="BL468" s="325"/>
      <c r="BM468" s="325"/>
      <c r="BN468" s="325"/>
      <c r="BO468" s="325"/>
      <c r="BP468" s="325"/>
      <c r="BQ468" s="325"/>
    </row>
    <row r="469" spans="1:69" ht="14.25" customHeight="1" x14ac:dyDescent="0.2">
      <c r="A469" s="28"/>
      <c r="B469" s="28"/>
      <c r="C469" s="28"/>
      <c r="D469" s="324"/>
      <c r="E469" s="324"/>
      <c r="F469" s="324"/>
      <c r="G469" s="324"/>
      <c r="H469" s="324"/>
      <c r="I469" s="324"/>
      <c r="J469" s="324"/>
      <c r="K469" s="324"/>
      <c r="L469" s="324"/>
      <c r="M469" s="324"/>
      <c r="N469" s="324"/>
      <c r="O469" s="324"/>
      <c r="P469" s="324"/>
      <c r="Q469" s="324"/>
      <c r="R469" s="324"/>
      <c r="S469" s="324"/>
      <c r="T469" s="324"/>
      <c r="U469" s="324"/>
      <c r="V469" s="324"/>
      <c r="W469" s="324"/>
      <c r="X469" s="324"/>
      <c r="Y469" s="324"/>
      <c r="Z469" s="324"/>
      <c r="AA469" s="324"/>
      <c r="AB469" s="324"/>
      <c r="AC469" s="324"/>
      <c r="AD469" s="324"/>
      <c r="AE469" s="324"/>
      <c r="AF469" s="324"/>
      <c r="AG469" s="324"/>
      <c r="AH469" s="324"/>
      <c r="AI469" s="324"/>
      <c r="AJ469" s="324"/>
      <c r="AK469" s="324"/>
      <c r="AL469" s="324"/>
      <c r="AM469" s="324"/>
      <c r="AN469" s="324"/>
      <c r="AO469" s="324"/>
      <c r="AP469" s="324"/>
      <c r="AQ469" s="324"/>
      <c r="AR469" s="324"/>
      <c r="AS469" s="324"/>
      <c r="AT469" s="324"/>
      <c r="AU469" s="324"/>
      <c r="AV469" s="324"/>
      <c r="AW469" s="324"/>
      <c r="AX469" s="324"/>
      <c r="AY469" s="324"/>
      <c r="AZ469" s="325"/>
      <c r="BA469" s="325"/>
      <c r="BB469" s="325"/>
      <c r="BC469" s="325"/>
      <c r="BD469" s="325"/>
      <c r="BE469" s="325"/>
      <c r="BF469" s="325"/>
      <c r="BG469" s="325"/>
      <c r="BH469" s="325"/>
      <c r="BI469" s="325"/>
      <c r="BJ469" s="325"/>
      <c r="BK469" s="325"/>
      <c r="BL469" s="325"/>
      <c r="BM469" s="325"/>
      <c r="BN469" s="325"/>
      <c r="BO469" s="325"/>
      <c r="BP469" s="325"/>
      <c r="BQ469" s="325"/>
    </row>
    <row r="470" spans="1:69" ht="14.25" customHeight="1" x14ac:dyDescent="0.2">
      <c r="A470" s="28"/>
      <c r="B470" s="28"/>
      <c r="C470" s="28"/>
      <c r="D470" s="324"/>
      <c r="E470" s="324"/>
      <c r="F470" s="324"/>
      <c r="G470" s="324"/>
      <c r="H470" s="324"/>
      <c r="I470" s="324"/>
      <c r="J470" s="324"/>
      <c r="K470" s="324"/>
      <c r="L470" s="324"/>
      <c r="M470" s="324"/>
      <c r="N470" s="324"/>
      <c r="O470" s="324"/>
      <c r="P470" s="324"/>
      <c r="Q470" s="324"/>
      <c r="R470" s="324"/>
      <c r="S470" s="324"/>
      <c r="T470" s="324"/>
      <c r="U470" s="324"/>
      <c r="V470" s="324"/>
      <c r="W470" s="324"/>
      <c r="X470" s="324"/>
      <c r="Y470" s="324"/>
      <c r="Z470" s="324"/>
      <c r="AA470" s="324"/>
      <c r="AB470" s="324"/>
      <c r="AC470" s="324"/>
      <c r="AD470" s="324"/>
      <c r="AE470" s="324"/>
      <c r="AF470" s="324"/>
      <c r="AG470" s="324"/>
      <c r="AH470" s="324"/>
      <c r="AI470" s="324"/>
      <c r="AJ470" s="324"/>
      <c r="AK470" s="324"/>
      <c r="AL470" s="324"/>
      <c r="AM470" s="324"/>
      <c r="AN470" s="324"/>
      <c r="AO470" s="324"/>
      <c r="AP470" s="324"/>
      <c r="AQ470" s="324"/>
      <c r="AR470" s="324"/>
      <c r="AS470" s="324"/>
      <c r="AT470" s="324"/>
      <c r="AU470" s="324"/>
      <c r="AV470" s="324"/>
      <c r="AW470" s="324"/>
      <c r="AX470" s="324"/>
      <c r="AY470" s="324"/>
      <c r="AZ470" s="325"/>
      <c r="BA470" s="325"/>
      <c r="BB470" s="325"/>
      <c r="BC470" s="325"/>
      <c r="BD470" s="325"/>
      <c r="BE470" s="325"/>
      <c r="BF470" s="325"/>
      <c r="BG470" s="325"/>
      <c r="BH470" s="325"/>
      <c r="BI470" s="325"/>
      <c r="BJ470" s="325"/>
      <c r="BK470" s="325"/>
      <c r="BL470" s="325"/>
      <c r="BM470" s="325"/>
      <c r="BN470" s="325"/>
      <c r="BO470" s="325"/>
      <c r="BP470" s="325"/>
      <c r="BQ470" s="325"/>
    </row>
    <row r="471" spans="1:69" ht="14.25" customHeight="1" x14ac:dyDescent="0.2">
      <c r="A471" s="28"/>
      <c r="B471" s="28"/>
      <c r="C471" s="28"/>
      <c r="D471" s="324"/>
      <c r="E471" s="324"/>
      <c r="F471" s="324"/>
      <c r="G471" s="324"/>
      <c r="H471" s="324"/>
      <c r="I471" s="324"/>
      <c r="J471" s="324"/>
      <c r="K471" s="324"/>
      <c r="L471" s="324"/>
      <c r="M471" s="324"/>
      <c r="N471" s="324"/>
      <c r="O471" s="324"/>
      <c r="P471" s="324"/>
      <c r="Q471" s="324"/>
      <c r="R471" s="324"/>
      <c r="S471" s="324"/>
      <c r="T471" s="324"/>
      <c r="U471" s="324"/>
      <c r="V471" s="324"/>
      <c r="W471" s="324"/>
      <c r="X471" s="324"/>
      <c r="Y471" s="324"/>
      <c r="Z471" s="324"/>
      <c r="AA471" s="324"/>
      <c r="AB471" s="324"/>
      <c r="AC471" s="324"/>
      <c r="AD471" s="324"/>
      <c r="AE471" s="324"/>
      <c r="AF471" s="324"/>
      <c r="AG471" s="324"/>
      <c r="AH471" s="324"/>
      <c r="AI471" s="324"/>
      <c r="AJ471" s="324"/>
      <c r="AK471" s="324"/>
      <c r="AL471" s="324"/>
      <c r="AM471" s="324"/>
      <c r="AN471" s="324"/>
      <c r="AO471" s="324"/>
      <c r="AP471" s="324"/>
      <c r="AQ471" s="324"/>
      <c r="AR471" s="324"/>
      <c r="AS471" s="324"/>
      <c r="AT471" s="324"/>
      <c r="AU471" s="324"/>
      <c r="AV471" s="324"/>
      <c r="AW471" s="324"/>
      <c r="AX471" s="324"/>
      <c r="AY471" s="324"/>
      <c r="AZ471" s="325"/>
      <c r="BA471" s="325"/>
      <c r="BB471" s="325"/>
      <c r="BC471" s="325"/>
      <c r="BD471" s="325"/>
      <c r="BE471" s="325"/>
      <c r="BF471" s="325"/>
      <c r="BG471" s="325"/>
      <c r="BH471" s="325"/>
      <c r="BI471" s="325"/>
      <c r="BJ471" s="325"/>
      <c r="BK471" s="325"/>
      <c r="BL471" s="325"/>
      <c r="BM471" s="325"/>
      <c r="BN471" s="325"/>
      <c r="BO471" s="325"/>
      <c r="BP471" s="325"/>
      <c r="BQ471" s="325"/>
    </row>
    <row r="472" spans="1:69" ht="14.25" customHeight="1" x14ac:dyDescent="0.2">
      <c r="A472" s="28"/>
      <c r="B472" s="28"/>
      <c r="C472" s="28"/>
      <c r="D472" s="324"/>
      <c r="E472" s="324"/>
      <c r="F472" s="324"/>
      <c r="G472" s="324"/>
      <c r="H472" s="324"/>
      <c r="I472" s="324"/>
      <c r="J472" s="324"/>
      <c r="K472" s="324"/>
      <c r="L472" s="324"/>
      <c r="M472" s="324"/>
      <c r="N472" s="324"/>
      <c r="O472" s="324"/>
      <c r="P472" s="324"/>
      <c r="Q472" s="324"/>
      <c r="R472" s="324"/>
      <c r="S472" s="324"/>
      <c r="T472" s="324"/>
      <c r="U472" s="324"/>
      <c r="V472" s="324"/>
      <c r="W472" s="324"/>
      <c r="X472" s="324"/>
      <c r="Y472" s="324"/>
      <c r="Z472" s="324"/>
      <c r="AA472" s="324"/>
      <c r="AB472" s="324"/>
      <c r="AC472" s="324"/>
      <c r="AD472" s="324"/>
      <c r="AE472" s="324"/>
      <c r="AF472" s="324"/>
      <c r="AG472" s="324"/>
      <c r="AH472" s="324"/>
      <c r="AI472" s="324"/>
      <c r="AJ472" s="324"/>
      <c r="AK472" s="324"/>
      <c r="AL472" s="324"/>
      <c r="AM472" s="324"/>
      <c r="AN472" s="324"/>
      <c r="AO472" s="324"/>
      <c r="AP472" s="324"/>
      <c r="AQ472" s="324"/>
      <c r="AR472" s="324"/>
      <c r="AS472" s="324"/>
      <c r="AT472" s="324"/>
      <c r="AU472" s="324"/>
      <c r="AV472" s="324"/>
      <c r="AW472" s="324"/>
      <c r="AX472" s="324"/>
      <c r="AY472" s="324"/>
      <c r="AZ472" s="325"/>
      <c r="BA472" s="325"/>
      <c r="BB472" s="325"/>
      <c r="BC472" s="325"/>
      <c r="BD472" s="325"/>
      <c r="BE472" s="325"/>
      <c r="BF472" s="325"/>
      <c r="BG472" s="325"/>
      <c r="BH472" s="325"/>
      <c r="BI472" s="325"/>
      <c r="BJ472" s="325"/>
      <c r="BK472" s="325"/>
      <c r="BL472" s="325"/>
      <c r="BM472" s="325"/>
      <c r="BN472" s="325"/>
      <c r="BO472" s="325"/>
      <c r="BP472" s="325"/>
      <c r="BQ472" s="325"/>
    </row>
    <row r="473" spans="1:69" ht="14.25" customHeight="1" x14ac:dyDescent="0.2">
      <c r="A473" s="28"/>
      <c r="B473" s="28"/>
      <c r="C473" s="28"/>
      <c r="D473" s="324"/>
      <c r="E473" s="324"/>
      <c r="F473" s="324"/>
      <c r="G473" s="324"/>
      <c r="H473" s="324"/>
      <c r="I473" s="324"/>
      <c r="J473" s="324"/>
      <c r="K473" s="324"/>
      <c r="L473" s="324"/>
      <c r="M473" s="324"/>
      <c r="N473" s="324"/>
      <c r="O473" s="324"/>
      <c r="P473" s="324"/>
      <c r="Q473" s="324"/>
      <c r="R473" s="324"/>
      <c r="S473" s="324"/>
      <c r="T473" s="324"/>
      <c r="U473" s="324"/>
      <c r="V473" s="324"/>
      <c r="W473" s="324"/>
      <c r="X473" s="324"/>
      <c r="Y473" s="324"/>
      <c r="Z473" s="324"/>
      <c r="AA473" s="324"/>
      <c r="AB473" s="324"/>
      <c r="AC473" s="324"/>
      <c r="AD473" s="324"/>
      <c r="AE473" s="324"/>
      <c r="AF473" s="324"/>
      <c r="AG473" s="324"/>
      <c r="AH473" s="324"/>
      <c r="AI473" s="324"/>
      <c r="AJ473" s="324"/>
      <c r="AK473" s="324"/>
      <c r="AL473" s="324"/>
      <c r="AM473" s="324"/>
      <c r="AN473" s="324"/>
      <c r="AO473" s="324"/>
      <c r="AP473" s="324"/>
      <c r="AQ473" s="324"/>
      <c r="AR473" s="324"/>
      <c r="AS473" s="324"/>
      <c r="AT473" s="324"/>
      <c r="AU473" s="324"/>
      <c r="AV473" s="324"/>
      <c r="AW473" s="324"/>
      <c r="AX473" s="324"/>
      <c r="AY473" s="324"/>
      <c r="AZ473" s="325"/>
      <c r="BA473" s="325"/>
      <c r="BB473" s="325"/>
      <c r="BC473" s="325"/>
      <c r="BD473" s="325"/>
      <c r="BE473" s="325"/>
      <c r="BF473" s="325"/>
      <c r="BG473" s="325"/>
      <c r="BH473" s="325"/>
      <c r="BI473" s="325"/>
      <c r="BJ473" s="325"/>
      <c r="BK473" s="325"/>
      <c r="BL473" s="325"/>
      <c r="BM473" s="325"/>
      <c r="BN473" s="325"/>
      <c r="BO473" s="325"/>
      <c r="BP473" s="325"/>
      <c r="BQ473" s="325"/>
    </row>
    <row r="474" spans="1:69" ht="14.25" customHeight="1" x14ac:dyDescent="0.2">
      <c r="A474" s="28"/>
      <c r="B474" s="28"/>
      <c r="C474" s="28"/>
      <c r="D474" s="324"/>
      <c r="E474" s="324"/>
      <c r="F474" s="324"/>
      <c r="G474" s="324"/>
      <c r="H474" s="324"/>
      <c r="I474" s="324"/>
      <c r="J474" s="324"/>
      <c r="K474" s="324"/>
      <c r="L474" s="324"/>
      <c r="M474" s="324"/>
      <c r="N474" s="324"/>
      <c r="O474" s="324"/>
      <c r="P474" s="324"/>
      <c r="Q474" s="324"/>
      <c r="R474" s="324"/>
      <c r="S474" s="324"/>
      <c r="T474" s="324"/>
      <c r="U474" s="324"/>
      <c r="V474" s="324"/>
      <c r="W474" s="324"/>
      <c r="X474" s="324"/>
      <c r="Y474" s="324"/>
      <c r="Z474" s="324"/>
      <c r="AA474" s="324"/>
      <c r="AB474" s="324"/>
      <c r="AC474" s="324"/>
      <c r="AD474" s="324"/>
      <c r="AE474" s="324"/>
      <c r="AF474" s="324"/>
      <c r="AG474" s="324"/>
      <c r="AH474" s="324"/>
      <c r="AI474" s="324"/>
      <c r="AJ474" s="324"/>
      <c r="AK474" s="324"/>
      <c r="AL474" s="324"/>
      <c r="AM474" s="324"/>
      <c r="AN474" s="324"/>
      <c r="AO474" s="324"/>
      <c r="AP474" s="324"/>
      <c r="AQ474" s="324"/>
      <c r="AR474" s="324"/>
      <c r="AS474" s="324"/>
      <c r="AT474" s="324"/>
      <c r="AU474" s="324"/>
      <c r="AV474" s="324"/>
      <c r="AW474" s="324"/>
      <c r="AX474" s="324"/>
      <c r="AY474" s="324"/>
      <c r="AZ474" s="325"/>
      <c r="BA474" s="325"/>
      <c r="BB474" s="325"/>
      <c r="BC474" s="325"/>
      <c r="BD474" s="325"/>
      <c r="BE474" s="325"/>
      <c r="BF474" s="325"/>
      <c r="BG474" s="325"/>
      <c r="BH474" s="325"/>
      <c r="BI474" s="325"/>
      <c r="BJ474" s="325"/>
      <c r="BK474" s="325"/>
      <c r="BL474" s="325"/>
      <c r="BM474" s="325"/>
      <c r="BN474" s="325"/>
      <c r="BO474" s="325"/>
      <c r="BP474" s="325"/>
      <c r="BQ474" s="325"/>
    </row>
    <row r="475" spans="1:69" ht="14.25" customHeight="1" x14ac:dyDescent="0.2">
      <c r="A475" s="28"/>
      <c r="B475" s="28"/>
      <c r="C475" s="28"/>
      <c r="D475" s="324"/>
      <c r="E475" s="324"/>
      <c r="F475" s="324"/>
      <c r="G475" s="324"/>
      <c r="H475" s="324"/>
      <c r="I475" s="324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324"/>
      <c r="V475" s="324"/>
      <c r="W475" s="324"/>
      <c r="X475" s="324"/>
      <c r="Y475" s="324"/>
      <c r="Z475" s="324"/>
      <c r="AA475" s="324"/>
      <c r="AB475" s="324"/>
      <c r="AC475" s="324"/>
      <c r="AD475" s="324"/>
      <c r="AE475" s="324"/>
      <c r="AF475" s="324"/>
      <c r="AG475" s="324"/>
      <c r="AH475" s="324"/>
      <c r="AI475" s="324"/>
      <c r="AJ475" s="324"/>
      <c r="AK475" s="324"/>
      <c r="AL475" s="324"/>
      <c r="AM475" s="324"/>
      <c r="AN475" s="324"/>
      <c r="AO475" s="324"/>
      <c r="AP475" s="324"/>
      <c r="AQ475" s="324"/>
      <c r="AR475" s="324"/>
      <c r="AS475" s="324"/>
      <c r="AT475" s="324"/>
      <c r="AU475" s="324"/>
      <c r="AV475" s="324"/>
      <c r="AW475" s="324"/>
      <c r="AX475" s="324"/>
      <c r="AY475" s="324"/>
      <c r="AZ475" s="325"/>
      <c r="BA475" s="325"/>
      <c r="BB475" s="325"/>
      <c r="BC475" s="325"/>
      <c r="BD475" s="325"/>
      <c r="BE475" s="325"/>
      <c r="BF475" s="325"/>
      <c r="BG475" s="325"/>
      <c r="BH475" s="325"/>
      <c r="BI475" s="325"/>
      <c r="BJ475" s="325"/>
      <c r="BK475" s="325"/>
      <c r="BL475" s="325"/>
      <c r="BM475" s="325"/>
      <c r="BN475" s="325"/>
      <c r="BO475" s="325"/>
      <c r="BP475" s="325"/>
      <c r="BQ475" s="325"/>
    </row>
    <row r="476" spans="1:69" ht="14.25" customHeight="1" x14ac:dyDescent="0.2">
      <c r="A476" s="28"/>
      <c r="B476" s="28"/>
      <c r="C476" s="28"/>
      <c r="D476" s="324"/>
      <c r="E476" s="324"/>
      <c r="F476" s="324"/>
      <c r="G476" s="324"/>
      <c r="H476" s="324"/>
      <c r="I476" s="324"/>
      <c r="J476" s="324"/>
      <c r="K476" s="324"/>
      <c r="L476" s="324"/>
      <c r="M476" s="324"/>
      <c r="N476" s="324"/>
      <c r="O476" s="324"/>
      <c r="P476" s="324"/>
      <c r="Q476" s="324"/>
      <c r="R476" s="324"/>
      <c r="S476" s="324"/>
      <c r="T476" s="324"/>
      <c r="U476" s="324"/>
      <c r="V476" s="324"/>
      <c r="W476" s="324"/>
      <c r="X476" s="324"/>
      <c r="Y476" s="324"/>
      <c r="Z476" s="324"/>
      <c r="AA476" s="324"/>
      <c r="AB476" s="324"/>
      <c r="AC476" s="324"/>
      <c r="AD476" s="324"/>
      <c r="AE476" s="324"/>
      <c r="AF476" s="324"/>
      <c r="AG476" s="324"/>
      <c r="AH476" s="324"/>
      <c r="AI476" s="324"/>
      <c r="AJ476" s="324"/>
      <c r="AK476" s="324"/>
      <c r="AL476" s="324"/>
      <c r="AM476" s="324"/>
      <c r="AN476" s="324"/>
      <c r="AO476" s="324"/>
      <c r="AP476" s="324"/>
      <c r="AQ476" s="324"/>
      <c r="AR476" s="324"/>
      <c r="AS476" s="324"/>
      <c r="AT476" s="324"/>
      <c r="AU476" s="324"/>
      <c r="AV476" s="324"/>
      <c r="AW476" s="324"/>
      <c r="AX476" s="324"/>
      <c r="AY476" s="324"/>
      <c r="AZ476" s="325"/>
      <c r="BA476" s="325"/>
      <c r="BB476" s="325"/>
      <c r="BC476" s="325"/>
      <c r="BD476" s="325"/>
      <c r="BE476" s="325"/>
      <c r="BF476" s="325"/>
      <c r="BG476" s="325"/>
      <c r="BH476" s="325"/>
      <c r="BI476" s="325"/>
      <c r="BJ476" s="325"/>
      <c r="BK476" s="325"/>
      <c r="BL476" s="325"/>
      <c r="BM476" s="325"/>
      <c r="BN476" s="325"/>
      <c r="BO476" s="325"/>
      <c r="BP476" s="325"/>
      <c r="BQ476" s="325"/>
    </row>
    <row r="477" spans="1:69" ht="14.25" customHeight="1" x14ac:dyDescent="0.2">
      <c r="A477" s="28"/>
      <c r="B477" s="28"/>
      <c r="C477" s="28"/>
      <c r="D477" s="324"/>
      <c r="E477" s="324"/>
      <c r="F477" s="324"/>
      <c r="G477" s="324"/>
      <c r="H477" s="324"/>
      <c r="I477" s="324"/>
      <c r="J477" s="324"/>
      <c r="K477" s="324"/>
      <c r="L477" s="324"/>
      <c r="M477" s="324"/>
      <c r="N477" s="324"/>
      <c r="O477" s="324"/>
      <c r="P477" s="324"/>
      <c r="Q477" s="324"/>
      <c r="R477" s="324"/>
      <c r="S477" s="324"/>
      <c r="T477" s="324"/>
      <c r="U477" s="324"/>
      <c r="V477" s="324"/>
      <c r="W477" s="324"/>
      <c r="X477" s="324"/>
      <c r="Y477" s="324"/>
      <c r="Z477" s="324"/>
      <c r="AA477" s="324"/>
      <c r="AB477" s="324"/>
      <c r="AC477" s="324"/>
      <c r="AD477" s="324"/>
      <c r="AE477" s="324"/>
      <c r="AF477" s="324"/>
      <c r="AG477" s="324"/>
      <c r="AH477" s="324"/>
      <c r="AI477" s="324"/>
      <c r="AJ477" s="324"/>
      <c r="AK477" s="324"/>
      <c r="AL477" s="324"/>
      <c r="AM477" s="324"/>
      <c r="AN477" s="324"/>
      <c r="AO477" s="324"/>
      <c r="AP477" s="324"/>
      <c r="AQ477" s="324"/>
      <c r="AR477" s="324"/>
      <c r="AS477" s="324"/>
      <c r="AT477" s="324"/>
      <c r="AU477" s="324"/>
      <c r="AV477" s="324"/>
      <c r="AW477" s="324"/>
      <c r="AX477" s="324"/>
      <c r="AY477" s="324"/>
      <c r="AZ477" s="325"/>
      <c r="BA477" s="325"/>
      <c r="BB477" s="325"/>
      <c r="BC477" s="325"/>
      <c r="BD477" s="325"/>
      <c r="BE477" s="325"/>
      <c r="BF477" s="325"/>
      <c r="BG477" s="325"/>
      <c r="BH477" s="325"/>
      <c r="BI477" s="325"/>
      <c r="BJ477" s="325"/>
      <c r="BK477" s="325"/>
      <c r="BL477" s="325"/>
      <c r="BM477" s="325"/>
      <c r="BN477" s="325"/>
      <c r="BO477" s="325"/>
      <c r="BP477" s="325"/>
      <c r="BQ477" s="325"/>
    </row>
    <row r="478" spans="1:69" ht="14.25" customHeight="1" x14ac:dyDescent="0.2">
      <c r="A478" s="28"/>
      <c r="B478" s="28"/>
      <c r="C478" s="28"/>
      <c r="D478" s="324"/>
      <c r="E478" s="324"/>
      <c r="F478" s="324"/>
      <c r="G478" s="324"/>
      <c r="H478" s="324"/>
      <c r="I478" s="324"/>
      <c r="J478" s="324"/>
      <c r="K478" s="324"/>
      <c r="L478" s="324"/>
      <c r="M478" s="324"/>
      <c r="N478" s="324"/>
      <c r="O478" s="324"/>
      <c r="P478" s="324"/>
      <c r="Q478" s="324"/>
      <c r="R478" s="324"/>
      <c r="S478" s="324"/>
      <c r="T478" s="324"/>
      <c r="U478" s="324"/>
      <c r="V478" s="324"/>
      <c r="W478" s="324"/>
      <c r="X478" s="324"/>
      <c r="Y478" s="324"/>
      <c r="Z478" s="324"/>
      <c r="AA478" s="324"/>
      <c r="AB478" s="324"/>
      <c r="AC478" s="324"/>
      <c r="AD478" s="324"/>
      <c r="AE478" s="324"/>
      <c r="AF478" s="324"/>
      <c r="AG478" s="324"/>
      <c r="AH478" s="324"/>
      <c r="AI478" s="324"/>
      <c r="AJ478" s="324"/>
      <c r="AK478" s="324"/>
      <c r="AL478" s="324"/>
      <c r="AM478" s="324"/>
      <c r="AN478" s="324"/>
      <c r="AO478" s="324"/>
      <c r="AP478" s="324"/>
      <c r="AQ478" s="324"/>
      <c r="AR478" s="324"/>
      <c r="AS478" s="324"/>
      <c r="AT478" s="324"/>
      <c r="AU478" s="324"/>
      <c r="AV478" s="324"/>
      <c r="AW478" s="324"/>
      <c r="AX478" s="324"/>
      <c r="AY478" s="324"/>
      <c r="AZ478" s="325"/>
      <c r="BA478" s="325"/>
      <c r="BB478" s="325"/>
      <c r="BC478" s="325"/>
      <c r="BD478" s="325"/>
      <c r="BE478" s="325"/>
      <c r="BF478" s="325"/>
      <c r="BG478" s="325"/>
      <c r="BH478" s="325"/>
      <c r="BI478" s="325"/>
      <c r="BJ478" s="325"/>
      <c r="BK478" s="325"/>
      <c r="BL478" s="325"/>
      <c r="BM478" s="325"/>
      <c r="BN478" s="325"/>
      <c r="BO478" s="325"/>
      <c r="BP478" s="325"/>
      <c r="BQ478" s="325"/>
    </row>
    <row r="479" spans="1:69" ht="14.25" customHeight="1" x14ac:dyDescent="0.2">
      <c r="A479" s="28"/>
      <c r="B479" s="28"/>
      <c r="C479" s="28"/>
      <c r="D479" s="324"/>
      <c r="E479" s="324"/>
      <c r="F479" s="324"/>
      <c r="G479" s="324"/>
      <c r="H479" s="324"/>
      <c r="I479" s="324"/>
      <c r="J479" s="324"/>
      <c r="K479" s="324"/>
      <c r="L479" s="324"/>
      <c r="M479" s="324"/>
      <c r="N479" s="324"/>
      <c r="O479" s="324"/>
      <c r="P479" s="324"/>
      <c r="Q479" s="324"/>
      <c r="R479" s="324"/>
      <c r="S479" s="324"/>
      <c r="T479" s="324"/>
      <c r="U479" s="324"/>
      <c r="V479" s="324"/>
      <c r="W479" s="324"/>
      <c r="X479" s="324"/>
      <c r="Y479" s="324"/>
      <c r="Z479" s="324"/>
      <c r="AA479" s="324"/>
      <c r="AB479" s="324"/>
      <c r="AC479" s="324"/>
      <c r="AD479" s="324"/>
      <c r="AE479" s="324"/>
      <c r="AF479" s="324"/>
      <c r="AG479" s="324"/>
      <c r="AH479" s="324"/>
      <c r="AI479" s="324"/>
      <c r="AJ479" s="324"/>
      <c r="AK479" s="324"/>
      <c r="AL479" s="324"/>
      <c r="AM479" s="324"/>
      <c r="AN479" s="324"/>
      <c r="AO479" s="324"/>
      <c r="AP479" s="324"/>
      <c r="AQ479" s="324"/>
      <c r="AR479" s="324"/>
      <c r="AS479" s="324"/>
      <c r="AT479" s="324"/>
      <c r="AU479" s="324"/>
      <c r="AV479" s="324"/>
      <c r="AW479" s="324"/>
      <c r="AX479" s="324"/>
      <c r="AY479" s="324"/>
      <c r="AZ479" s="325"/>
      <c r="BA479" s="325"/>
      <c r="BB479" s="325"/>
      <c r="BC479" s="325"/>
      <c r="BD479" s="325"/>
      <c r="BE479" s="325"/>
      <c r="BF479" s="325"/>
      <c r="BG479" s="325"/>
      <c r="BH479" s="325"/>
      <c r="BI479" s="325"/>
      <c r="BJ479" s="325"/>
      <c r="BK479" s="325"/>
      <c r="BL479" s="325"/>
      <c r="BM479" s="325"/>
      <c r="BN479" s="325"/>
      <c r="BO479" s="325"/>
      <c r="BP479" s="325"/>
      <c r="BQ479" s="325"/>
    </row>
    <row r="480" spans="1:69" ht="14.25" customHeight="1" x14ac:dyDescent="0.2">
      <c r="A480" s="28"/>
      <c r="B480" s="28"/>
      <c r="C480" s="28"/>
      <c r="D480" s="324"/>
      <c r="E480" s="324"/>
      <c r="F480" s="324"/>
      <c r="G480" s="324"/>
      <c r="H480" s="324"/>
      <c r="I480" s="324"/>
      <c r="J480" s="324"/>
      <c r="K480" s="324"/>
      <c r="L480" s="324"/>
      <c r="M480" s="324"/>
      <c r="N480" s="324"/>
      <c r="O480" s="324"/>
      <c r="P480" s="324"/>
      <c r="Q480" s="324"/>
      <c r="R480" s="324"/>
      <c r="S480" s="324"/>
      <c r="T480" s="324"/>
      <c r="U480" s="324"/>
      <c r="V480" s="324"/>
      <c r="W480" s="324"/>
      <c r="X480" s="324"/>
      <c r="Y480" s="324"/>
      <c r="Z480" s="324"/>
      <c r="AA480" s="324"/>
      <c r="AB480" s="324"/>
      <c r="AC480" s="324"/>
      <c r="AD480" s="324"/>
      <c r="AE480" s="324"/>
      <c r="AF480" s="324"/>
      <c r="AG480" s="324"/>
      <c r="AH480" s="324"/>
      <c r="AI480" s="324"/>
      <c r="AJ480" s="324"/>
      <c r="AK480" s="324"/>
      <c r="AL480" s="324"/>
      <c r="AM480" s="324"/>
      <c r="AN480" s="324"/>
      <c r="AO480" s="324"/>
      <c r="AP480" s="324"/>
      <c r="AQ480" s="324"/>
      <c r="AR480" s="324"/>
      <c r="AS480" s="324"/>
      <c r="AT480" s="324"/>
      <c r="AU480" s="324"/>
      <c r="AV480" s="324"/>
      <c r="AW480" s="324"/>
      <c r="AX480" s="324"/>
      <c r="AY480" s="324"/>
      <c r="AZ480" s="325"/>
      <c r="BA480" s="325"/>
      <c r="BB480" s="325"/>
      <c r="BC480" s="325"/>
      <c r="BD480" s="325"/>
      <c r="BE480" s="325"/>
      <c r="BF480" s="325"/>
      <c r="BG480" s="325"/>
      <c r="BH480" s="325"/>
      <c r="BI480" s="325"/>
      <c r="BJ480" s="325"/>
      <c r="BK480" s="325"/>
      <c r="BL480" s="325"/>
      <c r="BM480" s="325"/>
      <c r="BN480" s="325"/>
      <c r="BO480" s="325"/>
      <c r="BP480" s="325"/>
      <c r="BQ480" s="325"/>
    </row>
    <row r="481" spans="1:69" ht="14.25" customHeight="1" x14ac:dyDescent="0.2">
      <c r="A481" s="28"/>
      <c r="B481" s="28"/>
      <c r="C481" s="28"/>
      <c r="D481" s="324"/>
      <c r="E481" s="324"/>
      <c r="F481" s="324"/>
      <c r="G481" s="324"/>
      <c r="H481" s="324"/>
      <c r="I481" s="324"/>
      <c r="J481" s="324"/>
      <c r="K481" s="324"/>
      <c r="L481" s="324"/>
      <c r="M481" s="324"/>
      <c r="N481" s="324"/>
      <c r="O481" s="324"/>
      <c r="P481" s="324"/>
      <c r="Q481" s="324"/>
      <c r="R481" s="324"/>
      <c r="S481" s="324"/>
      <c r="T481" s="324"/>
      <c r="U481" s="324"/>
      <c r="V481" s="324"/>
      <c r="W481" s="324"/>
      <c r="X481" s="324"/>
      <c r="Y481" s="324"/>
      <c r="Z481" s="324"/>
      <c r="AA481" s="324"/>
      <c r="AB481" s="324"/>
      <c r="AC481" s="324"/>
      <c r="AD481" s="324"/>
      <c r="AE481" s="324"/>
      <c r="AF481" s="324"/>
      <c r="AG481" s="324"/>
      <c r="AH481" s="324"/>
      <c r="AI481" s="324"/>
      <c r="AJ481" s="324"/>
      <c r="AK481" s="324"/>
      <c r="AL481" s="324"/>
      <c r="AM481" s="324"/>
      <c r="AN481" s="324"/>
      <c r="AO481" s="324"/>
      <c r="AP481" s="324"/>
      <c r="AQ481" s="324"/>
      <c r="AR481" s="324"/>
      <c r="AS481" s="324"/>
      <c r="AT481" s="324"/>
      <c r="AU481" s="324"/>
      <c r="AV481" s="324"/>
      <c r="AW481" s="324"/>
      <c r="AX481" s="324"/>
      <c r="AY481" s="324"/>
      <c r="AZ481" s="325"/>
      <c r="BA481" s="325"/>
      <c r="BB481" s="325"/>
      <c r="BC481" s="325"/>
      <c r="BD481" s="325"/>
      <c r="BE481" s="325"/>
      <c r="BF481" s="325"/>
      <c r="BG481" s="325"/>
      <c r="BH481" s="325"/>
      <c r="BI481" s="325"/>
      <c r="BJ481" s="325"/>
      <c r="BK481" s="325"/>
      <c r="BL481" s="325"/>
      <c r="BM481" s="325"/>
      <c r="BN481" s="325"/>
      <c r="BO481" s="325"/>
      <c r="BP481" s="325"/>
      <c r="BQ481" s="325"/>
    </row>
    <row r="482" spans="1:69" ht="14.25" customHeight="1" x14ac:dyDescent="0.2">
      <c r="A482" s="28"/>
      <c r="B482" s="28"/>
      <c r="C482" s="28"/>
      <c r="D482" s="324"/>
      <c r="E482" s="324"/>
      <c r="F482" s="324"/>
      <c r="G482" s="324"/>
      <c r="H482" s="324"/>
      <c r="I482" s="324"/>
      <c r="J482" s="324"/>
      <c r="K482" s="324"/>
      <c r="L482" s="324"/>
      <c r="M482" s="324"/>
      <c r="N482" s="324"/>
      <c r="O482" s="324"/>
      <c r="P482" s="324"/>
      <c r="Q482" s="324"/>
      <c r="R482" s="324"/>
      <c r="S482" s="324"/>
      <c r="T482" s="324"/>
      <c r="U482" s="324"/>
      <c r="V482" s="324"/>
      <c r="W482" s="324"/>
      <c r="X482" s="324"/>
      <c r="Y482" s="324"/>
      <c r="Z482" s="324"/>
      <c r="AA482" s="324"/>
      <c r="AB482" s="324"/>
      <c r="AC482" s="324"/>
      <c r="AD482" s="324"/>
      <c r="AE482" s="324"/>
      <c r="AF482" s="324"/>
      <c r="AG482" s="324"/>
      <c r="AH482" s="324"/>
      <c r="AI482" s="324"/>
      <c r="AJ482" s="324"/>
      <c r="AK482" s="324"/>
      <c r="AL482" s="324"/>
      <c r="AM482" s="324"/>
      <c r="AN482" s="324"/>
      <c r="AO482" s="324"/>
      <c r="AP482" s="324"/>
      <c r="AQ482" s="324"/>
      <c r="AR482" s="324"/>
      <c r="AS482" s="324"/>
      <c r="AT482" s="324"/>
      <c r="AU482" s="324"/>
      <c r="AV482" s="324"/>
      <c r="AW482" s="324"/>
      <c r="AX482" s="324"/>
      <c r="AY482" s="324"/>
      <c r="AZ482" s="325"/>
      <c r="BA482" s="325"/>
      <c r="BB482" s="325"/>
      <c r="BC482" s="325"/>
      <c r="BD482" s="325"/>
      <c r="BE482" s="325"/>
      <c r="BF482" s="325"/>
      <c r="BG482" s="325"/>
      <c r="BH482" s="325"/>
      <c r="BI482" s="325"/>
      <c r="BJ482" s="325"/>
      <c r="BK482" s="325"/>
      <c r="BL482" s="325"/>
      <c r="BM482" s="325"/>
      <c r="BN482" s="325"/>
      <c r="BO482" s="325"/>
      <c r="BP482" s="325"/>
      <c r="BQ482" s="325"/>
    </row>
    <row r="483" spans="1:69" ht="14.25" customHeight="1" x14ac:dyDescent="0.2">
      <c r="A483" s="28"/>
      <c r="B483" s="28"/>
      <c r="C483" s="28"/>
      <c r="D483" s="324"/>
      <c r="E483" s="324"/>
      <c r="F483" s="324"/>
      <c r="G483" s="324"/>
      <c r="H483" s="324"/>
      <c r="I483" s="324"/>
      <c r="J483" s="324"/>
      <c r="K483" s="324"/>
      <c r="L483" s="324"/>
      <c r="M483" s="324"/>
      <c r="N483" s="324"/>
      <c r="O483" s="324"/>
      <c r="P483" s="324"/>
      <c r="Q483" s="324"/>
      <c r="R483" s="324"/>
      <c r="S483" s="324"/>
      <c r="T483" s="324"/>
      <c r="U483" s="324"/>
      <c r="V483" s="324"/>
      <c r="W483" s="324"/>
      <c r="X483" s="324"/>
      <c r="Y483" s="324"/>
      <c r="Z483" s="324"/>
      <c r="AA483" s="324"/>
      <c r="AB483" s="324"/>
      <c r="AC483" s="324"/>
      <c r="AD483" s="324"/>
      <c r="AE483" s="324"/>
      <c r="AF483" s="324"/>
      <c r="AG483" s="324"/>
      <c r="AH483" s="324"/>
      <c r="AI483" s="324"/>
      <c r="AJ483" s="324"/>
      <c r="AK483" s="324"/>
      <c r="AL483" s="324"/>
      <c r="AM483" s="324"/>
      <c r="AN483" s="324"/>
      <c r="AO483" s="324"/>
      <c r="AP483" s="324"/>
      <c r="AQ483" s="324"/>
      <c r="AR483" s="324"/>
      <c r="AS483" s="324"/>
      <c r="AT483" s="324"/>
      <c r="AU483" s="324"/>
      <c r="AV483" s="324"/>
      <c r="AW483" s="324"/>
      <c r="AX483" s="324"/>
      <c r="AY483" s="324"/>
      <c r="AZ483" s="325"/>
      <c r="BA483" s="325"/>
      <c r="BB483" s="325"/>
      <c r="BC483" s="325"/>
      <c r="BD483" s="325"/>
      <c r="BE483" s="325"/>
      <c r="BF483" s="325"/>
      <c r="BG483" s="325"/>
      <c r="BH483" s="325"/>
      <c r="BI483" s="325"/>
      <c r="BJ483" s="325"/>
      <c r="BK483" s="325"/>
      <c r="BL483" s="325"/>
      <c r="BM483" s="325"/>
      <c r="BN483" s="325"/>
      <c r="BO483" s="325"/>
      <c r="BP483" s="325"/>
      <c r="BQ483" s="325"/>
    </row>
    <row r="484" spans="1:69" ht="14.25" customHeight="1" x14ac:dyDescent="0.2">
      <c r="A484" s="28"/>
      <c r="B484" s="28"/>
      <c r="C484" s="28"/>
      <c r="D484" s="324"/>
      <c r="E484" s="324"/>
      <c r="F484" s="324"/>
      <c r="G484" s="324"/>
      <c r="H484" s="324"/>
      <c r="I484" s="324"/>
      <c r="J484" s="324"/>
      <c r="K484" s="324"/>
      <c r="L484" s="324"/>
      <c r="M484" s="324"/>
      <c r="N484" s="324"/>
      <c r="O484" s="324"/>
      <c r="P484" s="324"/>
      <c r="Q484" s="324"/>
      <c r="R484" s="324"/>
      <c r="S484" s="324"/>
      <c r="T484" s="324"/>
      <c r="U484" s="324"/>
      <c r="V484" s="324"/>
      <c r="W484" s="324"/>
      <c r="X484" s="324"/>
      <c r="Y484" s="324"/>
      <c r="Z484" s="324"/>
      <c r="AA484" s="324"/>
      <c r="AB484" s="324"/>
      <c r="AC484" s="324"/>
      <c r="AD484" s="324"/>
      <c r="AE484" s="324"/>
      <c r="AF484" s="324"/>
      <c r="AG484" s="324"/>
      <c r="AH484" s="324"/>
      <c r="AI484" s="324"/>
      <c r="AJ484" s="324"/>
      <c r="AK484" s="324"/>
      <c r="AL484" s="324"/>
      <c r="AM484" s="324"/>
      <c r="AN484" s="324"/>
      <c r="AO484" s="324"/>
      <c r="AP484" s="324"/>
      <c r="AQ484" s="324"/>
      <c r="AR484" s="324"/>
      <c r="AS484" s="324"/>
      <c r="AT484" s="324"/>
      <c r="AU484" s="324"/>
      <c r="AV484" s="324"/>
      <c r="AW484" s="324"/>
      <c r="AX484" s="324"/>
      <c r="AY484" s="324"/>
      <c r="AZ484" s="325"/>
      <c r="BA484" s="325"/>
      <c r="BB484" s="325"/>
      <c r="BC484" s="325"/>
      <c r="BD484" s="325"/>
      <c r="BE484" s="325"/>
      <c r="BF484" s="325"/>
      <c r="BG484" s="325"/>
      <c r="BH484" s="325"/>
      <c r="BI484" s="325"/>
      <c r="BJ484" s="325"/>
      <c r="BK484" s="325"/>
      <c r="BL484" s="325"/>
      <c r="BM484" s="325"/>
      <c r="BN484" s="325"/>
      <c r="BO484" s="325"/>
      <c r="BP484" s="325"/>
      <c r="BQ484" s="325"/>
    </row>
    <row r="485" spans="1:69" ht="14.25" customHeight="1" x14ac:dyDescent="0.2">
      <c r="A485" s="28"/>
      <c r="B485" s="28"/>
      <c r="C485" s="28"/>
      <c r="D485" s="324"/>
      <c r="E485" s="324"/>
      <c r="F485" s="324"/>
      <c r="G485" s="324"/>
      <c r="H485" s="324"/>
      <c r="I485" s="324"/>
      <c r="J485" s="324"/>
      <c r="K485" s="324"/>
      <c r="L485" s="324"/>
      <c r="M485" s="324"/>
      <c r="N485" s="324"/>
      <c r="O485" s="324"/>
      <c r="P485" s="324"/>
      <c r="Q485" s="324"/>
      <c r="R485" s="324"/>
      <c r="S485" s="324"/>
      <c r="T485" s="324"/>
      <c r="U485" s="324"/>
      <c r="V485" s="324"/>
      <c r="W485" s="324"/>
      <c r="X485" s="324"/>
      <c r="Y485" s="324"/>
      <c r="Z485" s="324"/>
      <c r="AA485" s="324"/>
      <c r="AB485" s="324"/>
      <c r="AC485" s="324"/>
      <c r="AD485" s="324"/>
      <c r="AE485" s="324"/>
      <c r="AF485" s="324"/>
      <c r="AG485" s="324"/>
      <c r="AH485" s="324"/>
      <c r="AI485" s="324"/>
      <c r="AJ485" s="324"/>
      <c r="AK485" s="324"/>
      <c r="AL485" s="324"/>
      <c r="AM485" s="324"/>
      <c r="AN485" s="324"/>
      <c r="AO485" s="324"/>
      <c r="AP485" s="324"/>
      <c r="AQ485" s="324"/>
      <c r="AR485" s="324"/>
      <c r="AS485" s="324"/>
      <c r="AT485" s="324"/>
      <c r="AU485" s="324"/>
      <c r="AV485" s="324"/>
      <c r="AW485" s="324"/>
      <c r="AX485" s="324"/>
      <c r="AY485" s="324"/>
      <c r="AZ485" s="325"/>
      <c r="BA485" s="325"/>
      <c r="BB485" s="325"/>
      <c r="BC485" s="325"/>
      <c r="BD485" s="325"/>
      <c r="BE485" s="325"/>
      <c r="BF485" s="325"/>
      <c r="BG485" s="325"/>
      <c r="BH485" s="325"/>
      <c r="BI485" s="325"/>
      <c r="BJ485" s="325"/>
      <c r="BK485" s="325"/>
      <c r="BL485" s="325"/>
      <c r="BM485" s="325"/>
      <c r="BN485" s="325"/>
      <c r="BO485" s="325"/>
      <c r="BP485" s="325"/>
      <c r="BQ485" s="325"/>
    </row>
    <row r="486" spans="1:69" ht="14.25" customHeight="1" x14ac:dyDescent="0.2">
      <c r="A486" s="28"/>
      <c r="B486" s="28"/>
      <c r="C486" s="28"/>
      <c r="D486" s="324"/>
      <c r="E486" s="324"/>
      <c r="F486" s="324"/>
      <c r="G486" s="324"/>
      <c r="H486" s="324"/>
      <c r="I486" s="324"/>
      <c r="J486" s="324"/>
      <c r="K486" s="324"/>
      <c r="L486" s="324"/>
      <c r="M486" s="324"/>
      <c r="N486" s="324"/>
      <c r="O486" s="324"/>
      <c r="P486" s="324"/>
      <c r="Q486" s="324"/>
      <c r="R486" s="324"/>
      <c r="S486" s="324"/>
      <c r="T486" s="324"/>
      <c r="U486" s="324"/>
      <c r="V486" s="324"/>
      <c r="W486" s="324"/>
      <c r="X486" s="324"/>
      <c r="Y486" s="324"/>
      <c r="Z486" s="324"/>
      <c r="AA486" s="324"/>
      <c r="AB486" s="324"/>
      <c r="AC486" s="324"/>
      <c r="AD486" s="324"/>
      <c r="AE486" s="324"/>
      <c r="AF486" s="324"/>
      <c r="AG486" s="324"/>
      <c r="AH486" s="324"/>
      <c r="AI486" s="324"/>
      <c r="AJ486" s="324"/>
      <c r="AK486" s="324"/>
      <c r="AL486" s="324"/>
      <c r="AM486" s="324"/>
      <c r="AN486" s="324"/>
      <c r="AO486" s="324"/>
      <c r="AP486" s="324"/>
      <c r="AQ486" s="324"/>
      <c r="AR486" s="324"/>
      <c r="AS486" s="324"/>
      <c r="AT486" s="324"/>
      <c r="AU486" s="324"/>
      <c r="AV486" s="324"/>
      <c r="AW486" s="324"/>
      <c r="AX486" s="324"/>
      <c r="AY486" s="324"/>
      <c r="AZ486" s="325"/>
      <c r="BA486" s="325"/>
      <c r="BB486" s="325"/>
      <c r="BC486" s="325"/>
      <c r="BD486" s="325"/>
      <c r="BE486" s="325"/>
      <c r="BF486" s="325"/>
      <c r="BG486" s="325"/>
      <c r="BH486" s="325"/>
      <c r="BI486" s="325"/>
      <c r="BJ486" s="325"/>
      <c r="BK486" s="325"/>
      <c r="BL486" s="325"/>
      <c r="BM486" s="325"/>
      <c r="BN486" s="325"/>
      <c r="BO486" s="325"/>
      <c r="BP486" s="325"/>
      <c r="BQ486" s="325"/>
    </row>
    <row r="487" spans="1:69" ht="14.25" customHeight="1" x14ac:dyDescent="0.2">
      <c r="A487" s="28"/>
      <c r="B487" s="28"/>
      <c r="C487" s="28"/>
      <c r="D487" s="324"/>
      <c r="E487" s="324"/>
      <c r="F487" s="324"/>
      <c r="G487" s="324"/>
      <c r="H487" s="324"/>
      <c r="I487" s="324"/>
      <c r="J487" s="324"/>
      <c r="K487" s="324"/>
      <c r="L487" s="324"/>
      <c r="M487" s="324"/>
      <c r="N487" s="324"/>
      <c r="O487" s="324"/>
      <c r="P487" s="324"/>
      <c r="Q487" s="324"/>
      <c r="R487" s="324"/>
      <c r="S487" s="324"/>
      <c r="T487" s="324"/>
      <c r="U487" s="324"/>
      <c r="V487" s="324"/>
      <c r="W487" s="324"/>
      <c r="X487" s="324"/>
      <c r="Y487" s="324"/>
      <c r="Z487" s="324"/>
      <c r="AA487" s="324"/>
      <c r="AB487" s="324"/>
      <c r="AC487" s="324"/>
      <c r="AD487" s="324"/>
      <c r="AE487" s="324"/>
      <c r="AF487" s="324"/>
      <c r="AG487" s="324"/>
      <c r="AH487" s="324"/>
      <c r="AI487" s="324"/>
      <c r="AJ487" s="324"/>
      <c r="AK487" s="324"/>
      <c r="AL487" s="324"/>
      <c r="AM487" s="324"/>
      <c r="AN487" s="324"/>
      <c r="AO487" s="324"/>
      <c r="AP487" s="324"/>
      <c r="AQ487" s="324"/>
      <c r="AR487" s="324"/>
      <c r="AS487" s="324"/>
      <c r="AT487" s="324"/>
      <c r="AU487" s="324"/>
      <c r="AV487" s="324"/>
      <c r="AW487" s="324"/>
      <c r="AX487" s="324"/>
      <c r="AY487" s="324"/>
      <c r="AZ487" s="325"/>
      <c r="BA487" s="325"/>
      <c r="BB487" s="325"/>
      <c r="BC487" s="325"/>
      <c r="BD487" s="325"/>
      <c r="BE487" s="325"/>
      <c r="BF487" s="325"/>
      <c r="BG487" s="325"/>
      <c r="BH487" s="325"/>
      <c r="BI487" s="325"/>
      <c r="BJ487" s="325"/>
      <c r="BK487" s="325"/>
      <c r="BL487" s="325"/>
      <c r="BM487" s="325"/>
      <c r="BN487" s="325"/>
      <c r="BO487" s="325"/>
      <c r="BP487" s="325"/>
      <c r="BQ487" s="325"/>
    </row>
    <row r="488" spans="1:69" ht="14.25" customHeight="1" x14ac:dyDescent="0.2">
      <c r="A488" s="28"/>
      <c r="B488" s="28"/>
      <c r="C488" s="28"/>
      <c r="D488" s="324"/>
      <c r="E488" s="324"/>
      <c r="F488" s="324"/>
      <c r="G488" s="324"/>
      <c r="H488" s="324"/>
      <c r="I488" s="324"/>
      <c r="J488" s="324"/>
      <c r="K488" s="324"/>
      <c r="L488" s="324"/>
      <c r="M488" s="324"/>
      <c r="N488" s="324"/>
      <c r="O488" s="324"/>
      <c r="P488" s="324"/>
      <c r="Q488" s="324"/>
      <c r="R488" s="324"/>
      <c r="S488" s="324"/>
      <c r="T488" s="324"/>
      <c r="U488" s="324"/>
      <c r="V488" s="324"/>
      <c r="W488" s="324"/>
      <c r="X488" s="324"/>
      <c r="Y488" s="324"/>
      <c r="Z488" s="324"/>
      <c r="AA488" s="324"/>
      <c r="AB488" s="324"/>
      <c r="AC488" s="324"/>
      <c r="AD488" s="324"/>
      <c r="AE488" s="324"/>
      <c r="AF488" s="324"/>
      <c r="AG488" s="324"/>
      <c r="AH488" s="324"/>
      <c r="AI488" s="324"/>
      <c r="AJ488" s="324"/>
      <c r="AK488" s="324"/>
      <c r="AL488" s="324"/>
      <c r="AM488" s="324"/>
      <c r="AN488" s="324"/>
      <c r="AO488" s="324"/>
      <c r="AP488" s="324"/>
      <c r="AQ488" s="324"/>
      <c r="AR488" s="324"/>
      <c r="AS488" s="324"/>
      <c r="AT488" s="324"/>
      <c r="AU488" s="324"/>
      <c r="AV488" s="324"/>
      <c r="AW488" s="324"/>
      <c r="AX488" s="324"/>
      <c r="AY488" s="324"/>
      <c r="AZ488" s="325"/>
      <c r="BA488" s="325"/>
      <c r="BB488" s="325"/>
      <c r="BC488" s="325"/>
      <c r="BD488" s="325"/>
      <c r="BE488" s="325"/>
      <c r="BF488" s="325"/>
      <c r="BG488" s="325"/>
      <c r="BH488" s="325"/>
      <c r="BI488" s="325"/>
      <c r="BJ488" s="325"/>
      <c r="BK488" s="325"/>
      <c r="BL488" s="325"/>
      <c r="BM488" s="325"/>
      <c r="BN488" s="325"/>
      <c r="BO488" s="325"/>
      <c r="BP488" s="325"/>
      <c r="BQ488" s="325"/>
    </row>
    <row r="489" spans="1:69" ht="14.25" customHeight="1" x14ac:dyDescent="0.2">
      <c r="A489" s="28"/>
      <c r="B489" s="28"/>
      <c r="C489" s="28"/>
      <c r="D489" s="324"/>
      <c r="E489" s="324"/>
      <c r="F489" s="324"/>
      <c r="G489" s="324"/>
      <c r="H489" s="324"/>
      <c r="I489" s="324"/>
      <c r="J489" s="324"/>
      <c r="K489" s="324"/>
      <c r="L489" s="324"/>
      <c r="M489" s="324"/>
      <c r="N489" s="324"/>
      <c r="O489" s="324"/>
      <c r="P489" s="324"/>
      <c r="Q489" s="324"/>
      <c r="R489" s="324"/>
      <c r="S489" s="324"/>
      <c r="T489" s="324"/>
      <c r="U489" s="324"/>
      <c r="V489" s="324"/>
      <c r="W489" s="324"/>
      <c r="X489" s="324"/>
      <c r="Y489" s="324"/>
      <c r="Z489" s="324"/>
      <c r="AA489" s="324"/>
      <c r="AB489" s="324"/>
      <c r="AC489" s="324"/>
      <c r="AD489" s="324"/>
      <c r="AE489" s="324"/>
      <c r="AF489" s="324"/>
      <c r="AG489" s="324"/>
      <c r="AH489" s="324"/>
      <c r="AI489" s="324"/>
      <c r="AJ489" s="324"/>
      <c r="AK489" s="324"/>
      <c r="AL489" s="324"/>
      <c r="AM489" s="324"/>
      <c r="AN489" s="324"/>
      <c r="AO489" s="324"/>
      <c r="AP489" s="324"/>
      <c r="AQ489" s="324"/>
      <c r="AR489" s="324"/>
      <c r="AS489" s="324"/>
      <c r="AT489" s="324"/>
      <c r="AU489" s="324"/>
      <c r="AV489" s="324"/>
      <c r="AW489" s="324"/>
      <c r="AX489" s="324"/>
      <c r="AY489" s="324"/>
      <c r="AZ489" s="325"/>
      <c r="BA489" s="325"/>
      <c r="BB489" s="325"/>
      <c r="BC489" s="325"/>
      <c r="BD489" s="325"/>
      <c r="BE489" s="325"/>
      <c r="BF489" s="325"/>
      <c r="BG489" s="325"/>
      <c r="BH489" s="325"/>
      <c r="BI489" s="325"/>
      <c r="BJ489" s="325"/>
      <c r="BK489" s="325"/>
      <c r="BL489" s="325"/>
      <c r="BM489" s="325"/>
      <c r="BN489" s="325"/>
      <c r="BO489" s="325"/>
      <c r="BP489" s="325"/>
      <c r="BQ489" s="325"/>
    </row>
    <row r="490" spans="1:69" ht="14.25" customHeight="1" x14ac:dyDescent="0.2">
      <c r="A490" s="28"/>
      <c r="B490" s="28"/>
      <c r="C490" s="28"/>
      <c r="D490" s="324"/>
      <c r="E490" s="324"/>
      <c r="F490" s="324"/>
      <c r="G490" s="324"/>
      <c r="H490" s="324"/>
      <c r="I490" s="324"/>
      <c r="J490" s="324"/>
      <c r="K490" s="324"/>
      <c r="L490" s="324"/>
      <c r="M490" s="324"/>
      <c r="N490" s="324"/>
      <c r="O490" s="324"/>
      <c r="P490" s="324"/>
      <c r="Q490" s="324"/>
      <c r="R490" s="324"/>
      <c r="S490" s="324"/>
      <c r="T490" s="324"/>
      <c r="U490" s="324"/>
      <c r="V490" s="324"/>
      <c r="W490" s="324"/>
      <c r="X490" s="324"/>
      <c r="Y490" s="324"/>
      <c r="Z490" s="324"/>
      <c r="AA490" s="324"/>
      <c r="AB490" s="324"/>
      <c r="AC490" s="324"/>
      <c r="AD490" s="324"/>
      <c r="AE490" s="324"/>
      <c r="AF490" s="324"/>
      <c r="AG490" s="324"/>
      <c r="AH490" s="324"/>
      <c r="AI490" s="324"/>
      <c r="AJ490" s="324"/>
      <c r="AK490" s="324"/>
      <c r="AL490" s="324"/>
      <c r="AM490" s="324"/>
      <c r="AN490" s="324"/>
      <c r="AO490" s="324"/>
      <c r="AP490" s="324"/>
      <c r="AQ490" s="324"/>
      <c r="AR490" s="324"/>
      <c r="AS490" s="324"/>
      <c r="AT490" s="324"/>
      <c r="AU490" s="324"/>
      <c r="AV490" s="324"/>
      <c r="AW490" s="324"/>
      <c r="AX490" s="324"/>
      <c r="AY490" s="324"/>
      <c r="AZ490" s="325"/>
      <c r="BA490" s="325"/>
      <c r="BB490" s="325"/>
      <c r="BC490" s="325"/>
      <c r="BD490" s="325"/>
      <c r="BE490" s="325"/>
      <c r="BF490" s="325"/>
      <c r="BG490" s="325"/>
      <c r="BH490" s="325"/>
      <c r="BI490" s="325"/>
      <c r="BJ490" s="325"/>
      <c r="BK490" s="325"/>
      <c r="BL490" s="325"/>
      <c r="BM490" s="325"/>
      <c r="BN490" s="325"/>
      <c r="BO490" s="325"/>
      <c r="BP490" s="325"/>
      <c r="BQ490" s="325"/>
    </row>
    <row r="491" spans="1:69" ht="14.25" customHeight="1" x14ac:dyDescent="0.2">
      <c r="A491" s="28"/>
      <c r="B491" s="28"/>
      <c r="C491" s="28"/>
      <c r="D491" s="324"/>
      <c r="E491" s="324"/>
      <c r="F491" s="324"/>
      <c r="G491" s="324"/>
      <c r="H491" s="324"/>
      <c r="I491" s="324"/>
      <c r="J491" s="324"/>
      <c r="K491" s="324"/>
      <c r="L491" s="324"/>
      <c r="M491" s="324"/>
      <c r="N491" s="324"/>
      <c r="O491" s="324"/>
      <c r="P491" s="324"/>
      <c r="Q491" s="324"/>
      <c r="R491" s="324"/>
      <c r="S491" s="324"/>
      <c r="T491" s="324"/>
      <c r="U491" s="324"/>
      <c r="V491" s="324"/>
      <c r="W491" s="324"/>
      <c r="X491" s="324"/>
      <c r="Y491" s="324"/>
      <c r="Z491" s="324"/>
      <c r="AA491" s="324"/>
      <c r="AB491" s="324"/>
      <c r="AC491" s="324"/>
      <c r="AD491" s="324"/>
      <c r="AE491" s="324"/>
      <c r="AF491" s="324"/>
      <c r="AG491" s="324"/>
      <c r="AH491" s="324"/>
      <c r="AI491" s="324"/>
      <c r="AJ491" s="324"/>
      <c r="AK491" s="324"/>
      <c r="AL491" s="324"/>
      <c r="AM491" s="324"/>
      <c r="AN491" s="324"/>
      <c r="AO491" s="324"/>
      <c r="AP491" s="324"/>
      <c r="AQ491" s="324"/>
      <c r="AR491" s="324"/>
      <c r="AS491" s="324"/>
      <c r="AT491" s="324"/>
      <c r="AU491" s="324"/>
      <c r="AV491" s="324"/>
      <c r="AW491" s="324"/>
      <c r="AX491" s="324"/>
      <c r="AY491" s="324"/>
      <c r="AZ491" s="325"/>
      <c r="BA491" s="325"/>
      <c r="BB491" s="325"/>
      <c r="BC491" s="325"/>
      <c r="BD491" s="325"/>
      <c r="BE491" s="325"/>
      <c r="BF491" s="325"/>
      <c r="BG491" s="325"/>
      <c r="BH491" s="325"/>
      <c r="BI491" s="325"/>
      <c r="BJ491" s="325"/>
      <c r="BK491" s="325"/>
      <c r="BL491" s="325"/>
      <c r="BM491" s="325"/>
      <c r="BN491" s="325"/>
      <c r="BO491" s="325"/>
      <c r="BP491" s="325"/>
      <c r="BQ491" s="325"/>
    </row>
    <row r="492" spans="1:69" ht="14.25" customHeight="1" x14ac:dyDescent="0.2">
      <c r="A492" s="28"/>
      <c r="B492" s="28"/>
      <c r="C492" s="28"/>
      <c r="D492" s="324"/>
      <c r="E492" s="324"/>
      <c r="F492" s="324"/>
      <c r="G492" s="324"/>
      <c r="H492" s="324"/>
      <c r="I492" s="324"/>
      <c r="J492" s="324"/>
      <c r="K492" s="324"/>
      <c r="L492" s="324"/>
      <c r="M492" s="324"/>
      <c r="N492" s="324"/>
      <c r="O492" s="324"/>
      <c r="P492" s="324"/>
      <c r="Q492" s="324"/>
      <c r="R492" s="324"/>
      <c r="S492" s="324"/>
      <c r="T492" s="324"/>
      <c r="U492" s="324"/>
      <c r="V492" s="324"/>
      <c r="W492" s="324"/>
      <c r="X492" s="324"/>
      <c r="Y492" s="324"/>
      <c r="Z492" s="324"/>
      <c r="AA492" s="324"/>
      <c r="AB492" s="324"/>
      <c r="AC492" s="324"/>
      <c r="AD492" s="324"/>
      <c r="AE492" s="324"/>
      <c r="AF492" s="324"/>
      <c r="AG492" s="324"/>
      <c r="AH492" s="324"/>
      <c r="AI492" s="324"/>
      <c r="AJ492" s="324"/>
      <c r="AK492" s="324"/>
      <c r="AL492" s="324"/>
      <c r="AM492" s="324"/>
      <c r="AN492" s="324"/>
      <c r="AO492" s="324"/>
      <c r="AP492" s="324"/>
      <c r="AQ492" s="324"/>
      <c r="AR492" s="324"/>
      <c r="AS492" s="324"/>
      <c r="AT492" s="324"/>
      <c r="AU492" s="324"/>
      <c r="AV492" s="324"/>
      <c r="AW492" s="324"/>
      <c r="AX492" s="324"/>
      <c r="AY492" s="324"/>
      <c r="AZ492" s="325"/>
      <c r="BA492" s="325"/>
      <c r="BB492" s="325"/>
      <c r="BC492" s="325"/>
      <c r="BD492" s="325"/>
      <c r="BE492" s="325"/>
      <c r="BF492" s="325"/>
      <c r="BG492" s="325"/>
      <c r="BH492" s="325"/>
      <c r="BI492" s="325"/>
      <c r="BJ492" s="325"/>
      <c r="BK492" s="325"/>
      <c r="BL492" s="325"/>
      <c r="BM492" s="325"/>
      <c r="BN492" s="325"/>
      <c r="BO492" s="325"/>
      <c r="BP492" s="325"/>
      <c r="BQ492" s="325"/>
    </row>
    <row r="493" spans="1:69" ht="14.25" customHeight="1" x14ac:dyDescent="0.2">
      <c r="A493" s="28"/>
      <c r="B493" s="28"/>
      <c r="C493" s="28"/>
      <c r="D493" s="324"/>
      <c r="E493" s="324"/>
      <c r="F493" s="324"/>
      <c r="G493" s="324"/>
      <c r="H493" s="324"/>
      <c r="I493" s="324"/>
      <c r="J493" s="324"/>
      <c r="K493" s="324"/>
      <c r="L493" s="324"/>
      <c r="M493" s="324"/>
      <c r="N493" s="324"/>
      <c r="O493" s="324"/>
      <c r="P493" s="324"/>
      <c r="Q493" s="324"/>
      <c r="R493" s="324"/>
      <c r="S493" s="324"/>
      <c r="T493" s="324"/>
      <c r="U493" s="324"/>
      <c r="V493" s="324"/>
      <c r="W493" s="324"/>
      <c r="X493" s="324"/>
      <c r="Y493" s="324"/>
      <c r="Z493" s="324"/>
      <c r="AA493" s="324"/>
      <c r="AB493" s="324"/>
      <c r="AC493" s="324"/>
      <c r="AD493" s="324"/>
      <c r="AE493" s="324"/>
      <c r="AF493" s="324"/>
      <c r="AG493" s="324"/>
      <c r="AH493" s="324"/>
      <c r="AI493" s="324"/>
      <c r="AJ493" s="324"/>
      <c r="AK493" s="324"/>
      <c r="AL493" s="324"/>
      <c r="AM493" s="324"/>
      <c r="AN493" s="324"/>
      <c r="AO493" s="324"/>
      <c r="AP493" s="324"/>
      <c r="AQ493" s="324"/>
      <c r="AR493" s="324"/>
      <c r="AS493" s="324"/>
      <c r="AT493" s="324"/>
      <c r="AU493" s="324"/>
      <c r="AV493" s="324"/>
      <c r="AW493" s="324"/>
      <c r="AX493" s="324"/>
      <c r="AY493" s="324"/>
      <c r="AZ493" s="325"/>
      <c r="BA493" s="325"/>
      <c r="BB493" s="325"/>
      <c r="BC493" s="325"/>
      <c r="BD493" s="325"/>
      <c r="BE493" s="325"/>
      <c r="BF493" s="325"/>
      <c r="BG493" s="325"/>
      <c r="BH493" s="325"/>
      <c r="BI493" s="325"/>
      <c r="BJ493" s="325"/>
      <c r="BK493" s="325"/>
      <c r="BL493" s="325"/>
      <c r="BM493" s="325"/>
      <c r="BN493" s="325"/>
      <c r="BO493" s="325"/>
      <c r="BP493" s="325"/>
      <c r="BQ493" s="325"/>
    </row>
    <row r="494" spans="1:69" ht="14.25" customHeight="1" x14ac:dyDescent="0.2">
      <c r="A494" s="28"/>
      <c r="B494" s="28"/>
      <c r="C494" s="28"/>
      <c r="D494" s="324"/>
      <c r="E494" s="324"/>
      <c r="F494" s="324"/>
      <c r="G494" s="324"/>
      <c r="H494" s="324"/>
      <c r="I494" s="324"/>
      <c r="J494" s="324"/>
      <c r="K494" s="324"/>
      <c r="L494" s="324"/>
      <c r="M494" s="324"/>
      <c r="N494" s="324"/>
      <c r="O494" s="324"/>
      <c r="P494" s="324"/>
      <c r="Q494" s="324"/>
      <c r="R494" s="324"/>
      <c r="S494" s="324"/>
      <c r="T494" s="324"/>
      <c r="U494" s="324"/>
      <c r="V494" s="324"/>
      <c r="W494" s="324"/>
      <c r="X494" s="324"/>
      <c r="Y494" s="324"/>
      <c r="Z494" s="324"/>
      <c r="AA494" s="324"/>
      <c r="AB494" s="324"/>
      <c r="AC494" s="324"/>
      <c r="AD494" s="324"/>
      <c r="AE494" s="324"/>
      <c r="AF494" s="324"/>
      <c r="AG494" s="324"/>
      <c r="AH494" s="324"/>
      <c r="AI494" s="324"/>
      <c r="AJ494" s="324"/>
      <c r="AK494" s="324"/>
      <c r="AL494" s="324"/>
      <c r="AM494" s="324"/>
      <c r="AN494" s="324"/>
      <c r="AO494" s="324"/>
      <c r="AP494" s="324"/>
      <c r="AQ494" s="324"/>
      <c r="AR494" s="324"/>
      <c r="AS494" s="324"/>
      <c r="AT494" s="324"/>
      <c r="AU494" s="324"/>
      <c r="AV494" s="324"/>
      <c r="AW494" s="324"/>
      <c r="AX494" s="324"/>
      <c r="AY494" s="324"/>
      <c r="AZ494" s="325"/>
      <c r="BA494" s="325"/>
      <c r="BB494" s="325"/>
      <c r="BC494" s="325"/>
      <c r="BD494" s="325"/>
      <c r="BE494" s="325"/>
      <c r="BF494" s="325"/>
      <c r="BG494" s="325"/>
      <c r="BH494" s="325"/>
      <c r="BI494" s="325"/>
      <c r="BJ494" s="325"/>
      <c r="BK494" s="325"/>
      <c r="BL494" s="325"/>
      <c r="BM494" s="325"/>
      <c r="BN494" s="325"/>
      <c r="BO494" s="325"/>
      <c r="BP494" s="325"/>
      <c r="BQ494" s="325"/>
    </row>
    <row r="495" spans="1:69" ht="14.25" customHeight="1" x14ac:dyDescent="0.2">
      <c r="A495" s="28"/>
      <c r="B495" s="28"/>
      <c r="C495" s="28"/>
      <c r="D495" s="324"/>
      <c r="E495" s="324"/>
      <c r="F495" s="324"/>
      <c r="G495" s="324"/>
      <c r="H495" s="324"/>
      <c r="I495" s="324"/>
      <c r="J495" s="324"/>
      <c r="K495" s="324"/>
      <c r="L495" s="324"/>
      <c r="M495" s="324"/>
      <c r="N495" s="324"/>
      <c r="O495" s="324"/>
      <c r="P495" s="324"/>
      <c r="Q495" s="324"/>
      <c r="R495" s="324"/>
      <c r="S495" s="324"/>
      <c r="T495" s="324"/>
      <c r="U495" s="324"/>
      <c r="V495" s="324"/>
      <c r="W495" s="324"/>
      <c r="X495" s="324"/>
      <c r="Y495" s="324"/>
      <c r="Z495" s="324"/>
      <c r="AA495" s="324"/>
      <c r="AB495" s="324"/>
      <c r="AC495" s="324"/>
      <c r="AD495" s="324"/>
      <c r="AE495" s="324"/>
      <c r="AF495" s="324"/>
      <c r="AG495" s="324"/>
      <c r="AH495" s="324"/>
      <c r="AI495" s="324"/>
      <c r="AJ495" s="324"/>
      <c r="AK495" s="324"/>
      <c r="AL495" s="324"/>
      <c r="AM495" s="324"/>
      <c r="AN495" s="324"/>
      <c r="AO495" s="324"/>
      <c r="AP495" s="324"/>
      <c r="AQ495" s="324"/>
      <c r="AR495" s="324"/>
      <c r="AS495" s="324"/>
      <c r="AT495" s="324"/>
      <c r="AU495" s="324"/>
      <c r="AV495" s="324"/>
      <c r="AW495" s="324"/>
      <c r="AX495" s="324"/>
      <c r="AY495" s="324"/>
      <c r="AZ495" s="325"/>
      <c r="BA495" s="325"/>
      <c r="BB495" s="325"/>
      <c r="BC495" s="325"/>
      <c r="BD495" s="325"/>
      <c r="BE495" s="325"/>
      <c r="BF495" s="325"/>
      <c r="BG495" s="325"/>
      <c r="BH495" s="325"/>
      <c r="BI495" s="325"/>
      <c r="BJ495" s="325"/>
      <c r="BK495" s="325"/>
      <c r="BL495" s="325"/>
      <c r="BM495" s="325"/>
      <c r="BN495" s="325"/>
      <c r="BO495" s="325"/>
      <c r="BP495" s="325"/>
      <c r="BQ495" s="325"/>
    </row>
    <row r="496" spans="1:69" ht="14.25" customHeight="1" x14ac:dyDescent="0.2">
      <c r="A496" s="28"/>
      <c r="B496" s="28"/>
      <c r="C496" s="28"/>
      <c r="D496" s="324"/>
      <c r="E496" s="324"/>
      <c r="F496" s="324"/>
      <c r="G496" s="324"/>
      <c r="H496" s="324"/>
      <c r="I496" s="324"/>
      <c r="J496" s="324"/>
      <c r="K496" s="324"/>
      <c r="L496" s="324"/>
      <c r="M496" s="324"/>
      <c r="N496" s="324"/>
      <c r="O496" s="324"/>
      <c r="P496" s="324"/>
      <c r="Q496" s="324"/>
      <c r="R496" s="324"/>
      <c r="S496" s="324"/>
      <c r="T496" s="324"/>
      <c r="U496" s="324"/>
      <c r="V496" s="324"/>
      <c r="W496" s="324"/>
      <c r="X496" s="324"/>
      <c r="Y496" s="324"/>
      <c r="Z496" s="324"/>
      <c r="AA496" s="324"/>
      <c r="AB496" s="324"/>
      <c r="AC496" s="324"/>
      <c r="AD496" s="324"/>
      <c r="AE496" s="324"/>
      <c r="AF496" s="324"/>
      <c r="AG496" s="324"/>
      <c r="AH496" s="324"/>
      <c r="AI496" s="324"/>
      <c r="AJ496" s="324"/>
      <c r="AK496" s="324"/>
      <c r="AL496" s="324"/>
      <c r="AM496" s="324"/>
      <c r="AN496" s="324"/>
      <c r="AO496" s="324"/>
      <c r="AP496" s="324"/>
      <c r="AQ496" s="324"/>
      <c r="AR496" s="324"/>
      <c r="AS496" s="324"/>
      <c r="AT496" s="324"/>
      <c r="AU496" s="324"/>
      <c r="AV496" s="324"/>
      <c r="AW496" s="324"/>
      <c r="AX496" s="324"/>
      <c r="AY496" s="324"/>
      <c r="AZ496" s="325"/>
      <c r="BA496" s="325"/>
      <c r="BB496" s="325"/>
      <c r="BC496" s="325"/>
      <c r="BD496" s="325"/>
      <c r="BE496" s="325"/>
      <c r="BF496" s="325"/>
      <c r="BG496" s="325"/>
      <c r="BH496" s="325"/>
      <c r="BI496" s="325"/>
      <c r="BJ496" s="325"/>
      <c r="BK496" s="325"/>
      <c r="BL496" s="325"/>
      <c r="BM496" s="325"/>
      <c r="BN496" s="325"/>
      <c r="BO496" s="325"/>
      <c r="BP496" s="325"/>
      <c r="BQ496" s="325"/>
    </row>
    <row r="497" spans="1:69" ht="14.25" customHeight="1" x14ac:dyDescent="0.2">
      <c r="A497" s="28"/>
      <c r="B497" s="28"/>
      <c r="C497" s="28"/>
      <c r="D497" s="324"/>
      <c r="E497" s="324"/>
      <c r="F497" s="324"/>
      <c r="G497" s="324"/>
      <c r="H497" s="324"/>
      <c r="I497" s="324"/>
      <c r="J497" s="324"/>
      <c r="K497" s="324"/>
      <c r="L497" s="324"/>
      <c r="M497" s="324"/>
      <c r="N497" s="324"/>
      <c r="O497" s="324"/>
      <c r="P497" s="324"/>
      <c r="Q497" s="324"/>
      <c r="R497" s="324"/>
      <c r="S497" s="324"/>
      <c r="T497" s="324"/>
      <c r="U497" s="324"/>
      <c r="V497" s="324"/>
      <c r="W497" s="324"/>
      <c r="X497" s="324"/>
      <c r="Y497" s="324"/>
      <c r="Z497" s="324"/>
      <c r="AA497" s="324"/>
      <c r="AB497" s="324"/>
      <c r="AC497" s="324"/>
      <c r="AD497" s="324"/>
      <c r="AE497" s="324"/>
      <c r="AF497" s="324"/>
      <c r="AG497" s="324"/>
      <c r="AH497" s="324"/>
      <c r="AI497" s="324"/>
      <c r="AJ497" s="324"/>
      <c r="AK497" s="324"/>
      <c r="AL497" s="324"/>
      <c r="AM497" s="324"/>
      <c r="AN497" s="324"/>
      <c r="AO497" s="324"/>
      <c r="AP497" s="324"/>
      <c r="AQ497" s="324"/>
      <c r="AR497" s="324"/>
      <c r="AS497" s="324"/>
      <c r="AT497" s="324"/>
      <c r="AU497" s="324"/>
      <c r="AV497" s="324"/>
      <c r="AW497" s="324"/>
      <c r="AX497" s="324"/>
      <c r="AY497" s="324"/>
      <c r="AZ497" s="325"/>
      <c r="BA497" s="325"/>
      <c r="BB497" s="325"/>
      <c r="BC497" s="325"/>
      <c r="BD497" s="325"/>
      <c r="BE497" s="325"/>
      <c r="BF497" s="325"/>
      <c r="BG497" s="325"/>
      <c r="BH497" s="325"/>
      <c r="BI497" s="325"/>
      <c r="BJ497" s="325"/>
      <c r="BK497" s="325"/>
      <c r="BL497" s="325"/>
      <c r="BM497" s="325"/>
      <c r="BN497" s="325"/>
      <c r="BO497" s="325"/>
      <c r="BP497" s="325"/>
      <c r="BQ497" s="325"/>
    </row>
    <row r="498" spans="1:69" ht="14.25" customHeight="1" x14ac:dyDescent="0.2">
      <c r="A498" s="28"/>
      <c r="B498" s="28"/>
      <c r="C498" s="28"/>
      <c r="D498" s="324"/>
      <c r="E498" s="324"/>
      <c r="F498" s="324"/>
      <c r="G498" s="324"/>
      <c r="H498" s="324"/>
      <c r="I498" s="324"/>
      <c r="J498" s="324"/>
      <c r="K498" s="324"/>
      <c r="L498" s="324"/>
      <c r="M498" s="324"/>
      <c r="N498" s="324"/>
      <c r="O498" s="324"/>
      <c r="P498" s="324"/>
      <c r="Q498" s="324"/>
      <c r="R498" s="324"/>
      <c r="S498" s="324"/>
      <c r="T498" s="324"/>
      <c r="U498" s="324"/>
      <c r="V498" s="324"/>
      <c r="W498" s="324"/>
      <c r="X498" s="324"/>
      <c r="Y498" s="324"/>
      <c r="Z498" s="324"/>
      <c r="AA498" s="324"/>
      <c r="AB498" s="324"/>
      <c r="AC498" s="324"/>
      <c r="AD498" s="324"/>
      <c r="AE498" s="324"/>
      <c r="AF498" s="324"/>
      <c r="AG498" s="324"/>
      <c r="AH498" s="324"/>
      <c r="AI498" s="324"/>
      <c r="AJ498" s="324"/>
      <c r="AK498" s="324"/>
      <c r="AL498" s="324"/>
      <c r="AM498" s="324"/>
      <c r="AN498" s="324"/>
      <c r="AO498" s="324"/>
      <c r="AP498" s="324"/>
      <c r="AQ498" s="324"/>
      <c r="AR498" s="324"/>
      <c r="AS498" s="324"/>
      <c r="AT498" s="324"/>
      <c r="AU498" s="324"/>
      <c r="AV498" s="324"/>
      <c r="AW498" s="324"/>
      <c r="AX498" s="324"/>
      <c r="AY498" s="324"/>
      <c r="AZ498" s="325"/>
      <c r="BA498" s="325"/>
      <c r="BB498" s="325"/>
      <c r="BC498" s="325"/>
      <c r="BD498" s="325"/>
      <c r="BE498" s="325"/>
      <c r="BF498" s="325"/>
      <c r="BG498" s="325"/>
      <c r="BH498" s="325"/>
      <c r="BI498" s="325"/>
      <c r="BJ498" s="325"/>
      <c r="BK498" s="325"/>
      <c r="BL498" s="325"/>
      <c r="BM498" s="325"/>
      <c r="BN498" s="325"/>
      <c r="BO498" s="325"/>
      <c r="BP498" s="325"/>
      <c r="BQ498" s="325"/>
    </row>
    <row r="499" spans="1:69" ht="14.25" customHeight="1" x14ac:dyDescent="0.2">
      <c r="A499" s="28"/>
      <c r="B499" s="28"/>
      <c r="C499" s="28"/>
      <c r="D499" s="324"/>
      <c r="E499" s="324"/>
      <c r="F499" s="324"/>
      <c r="G499" s="324"/>
      <c r="H499" s="324"/>
      <c r="I499" s="324"/>
      <c r="J499" s="324"/>
      <c r="K499" s="324"/>
      <c r="L499" s="324"/>
      <c r="M499" s="324"/>
      <c r="N499" s="324"/>
      <c r="O499" s="324"/>
      <c r="P499" s="324"/>
      <c r="Q499" s="324"/>
      <c r="R499" s="324"/>
      <c r="S499" s="324"/>
      <c r="T499" s="324"/>
      <c r="U499" s="324"/>
      <c r="V499" s="324"/>
      <c r="W499" s="324"/>
      <c r="X499" s="324"/>
      <c r="Y499" s="324"/>
      <c r="Z499" s="324"/>
      <c r="AA499" s="324"/>
      <c r="AB499" s="324"/>
      <c r="AC499" s="324"/>
      <c r="AD499" s="324"/>
      <c r="AE499" s="324"/>
      <c r="AF499" s="324"/>
      <c r="AG499" s="324"/>
      <c r="AH499" s="324"/>
      <c r="AI499" s="324"/>
      <c r="AJ499" s="324"/>
      <c r="AK499" s="324"/>
      <c r="AL499" s="324"/>
      <c r="AM499" s="324"/>
      <c r="AN499" s="324"/>
      <c r="AO499" s="324"/>
      <c r="AP499" s="324"/>
      <c r="AQ499" s="324"/>
      <c r="AR499" s="324"/>
      <c r="AS499" s="324"/>
      <c r="AT499" s="324"/>
      <c r="AU499" s="324"/>
      <c r="AV499" s="324"/>
      <c r="AW499" s="324"/>
      <c r="AX499" s="324"/>
      <c r="AY499" s="324"/>
      <c r="AZ499" s="325"/>
      <c r="BA499" s="325"/>
      <c r="BB499" s="325"/>
      <c r="BC499" s="325"/>
      <c r="BD499" s="325"/>
      <c r="BE499" s="325"/>
      <c r="BF499" s="325"/>
      <c r="BG499" s="325"/>
      <c r="BH499" s="325"/>
      <c r="BI499" s="325"/>
      <c r="BJ499" s="325"/>
      <c r="BK499" s="325"/>
      <c r="BL499" s="325"/>
      <c r="BM499" s="325"/>
      <c r="BN499" s="325"/>
      <c r="BO499" s="325"/>
      <c r="BP499" s="325"/>
      <c r="BQ499" s="325"/>
    </row>
    <row r="500" spans="1:69" ht="14.25" customHeight="1" x14ac:dyDescent="0.2">
      <c r="A500" s="28"/>
      <c r="B500" s="28"/>
      <c r="C500" s="28"/>
      <c r="D500" s="324"/>
      <c r="E500" s="324"/>
      <c r="F500" s="324"/>
      <c r="G500" s="324"/>
      <c r="H500" s="324"/>
      <c r="I500" s="324"/>
      <c r="J500" s="324"/>
      <c r="K500" s="324"/>
      <c r="L500" s="324"/>
      <c r="M500" s="324"/>
      <c r="N500" s="324"/>
      <c r="O500" s="324"/>
      <c r="P500" s="324"/>
      <c r="Q500" s="324"/>
      <c r="R500" s="324"/>
      <c r="S500" s="324"/>
      <c r="T500" s="324"/>
      <c r="U500" s="324"/>
      <c r="V500" s="324"/>
      <c r="W500" s="324"/>
      <c r="X500" s="324"/>
      <c r="Y500" s="324"/>
      <c r="Z500" s="324"/>
      <c r="AA500" s="324"/>
      <c r="AB500" s="324"/>
      <c r="AC500" s="324"/>
      <c r="AD500" s="324"/>
      <c r="AE500" s="324"/>
      <c r="AF500" s="324"/>
      <c r="AG500" s="324"/>
      <c r="AH500" s="324"/>
      <c r="AI500" s="324"/>
      <c r="AJ500" s="324"/>
      <c r="AK500" s="324"/>
      <c r="AL500" s="324"/>
      <c r="AM500" s="324"/>
      <c r="AN500" s="324"/>
      <c r="AO500" s="324"/>
      <c r="AP500" s="324"/>
      <c r="AQ500" s="324"/>
      <c r="AR500" s="324"/>
      <c r="AS500" s="324"/>
      <c r="AT500" s="324"/>
      <c r="AU500" s="324"/>
      <c r="AV500" s="324"/>
      <c r="AW500" s="324"/>
      <c r="AX500" s="324"/>
      <c r="AY500" s="324"/>
      <c r="AZ500" s="325"/>
      <c r="BA500" s="325"/>
      <c r="BB500" s="325"/>
      <c r="BC500" s="325"/>
      <c r="BD500" s="325"/>
      <c r="BE500" s="325"/>
      <c r="BF500" s="325"/>
      <c r="BG500" s="325"/>
      <c r="BH500" s="325"/>
      <c r="BI500" s="325"/>
      <c r="BJ500" s="325"/>
      <c r="BK500" s="325"/>
      <c r="BL500" s="325"/>
      <c r="BM500" s="325"/>
      <c r="BN500" s="325"/>
      <c r="BO500" s="325"/>
      <c r="BP500" s="325"/>
      <c r="BQ500" s="325"/>
    </row>
    <row r="501" spans="1:69" ht="14.25" customHeight="1" x14ac:dyDescent="0.2">
      <c r="A501" s="28"/>
      <c r="B501" s="28"/>
      <c r="C501" s="28"/>
      <c r="D501" s="324"/>
      <c r="E501" s="324"/>
      <c r="F501" s="324"/>
      <c r="G501" s="324"/>
      <c r="H501" s="324"/>
      <c r="I501" s="324"/>
      <c r="J501" s="324"/>
      <c r="K501" s="324"/>
      <c r="L501" s="324"/>
      <c r="M501" s="324"/>
      <c r="N501" s="324"/>
      <c r="O501" s="324"/>
      <c r="P501" s="324"/>
      <c r="Q501" s="324"/>
      <c r="R501" s="324"/>
      <c r="S501" s="324"/>
      <c r="T501" s="324"/>
      <c r="U501" s="324"/>
      <c r="V501" s="324"/>
      <c r="W501" s="324"/>
      <c r="X501" s="324"/>
      <c r="Y501" s="324"/>
      <c r="Z501" s="324"/>
      <c r="AA501" s="324"/>
      <c r="AB501" s="324"/>
      <c r="AC501" s="324"/>
      <c r="AD501" s="324"/>
      <c r="AE501" s="324"/>
      <c r="AF501" s="324"/>
      <c r="AG501" s="324"/>
      <c r="AH501" s="324"/>
      <c r="AI501" s="324"/>
      <c r="AJ501" s="324"/>
      <c r="AK501" s="324"/>
      <c r="AL501" s="324"/>
      <c r="AM501" s="324"/>
      <c r="AN501" s="324"/>
      <c r="AO501" s="324"/>
      <c r="AP501" s="324"/>
      <c r="AQ501" s="324"/>
      <c r="AR501" s="324"/>
      <c r="AS501" s="324"/>
      <c r="AT501" s="324"/>
      <c r="AU501" s="324"/>
      <c r="AV501" s="324"/>
      <c r="AW501" s="324"/>
      <c r="AX501" s="324"/>
      <c r="AY501" s="324"/>
      <c r="AZ501" s="325"/>
      <c r="BA501" s="325"/>
      <c r="BB501" s="325"/>
      <c r="BC501" s="325"/>
      <c r="BD501" s="325"/>
      <c r="BE501" s="325"/>
      <c r="BF501" s="325"/>
      <c r="BG501" s="325"/>
      <c r="BH501" s="325"/>
      <c r="BI501" s="325"/>
      <c r="BJ501" s="325"/>
      <c r="BK501" s="325"/>
      <c r="BL501" s="325"/>
      <c r="BM501" s="325"/>
      <c r="BN501" s="325"/>
      <c r="BO501" s="325"/>
      <c r="BP501" s="325"/>
      <c r="BQ501" s="325"/>
    </row>
    <row r="502" spans="1:69" ht="14.25" customHeight="1" x14ac:dyDescent="0.2">
      <c r="A502" s="28"/>
      <c r="B502" s="28"/>
      <c r="C502" s="28"/>
      <c r="D502" s="324"/>
      <c r="E502" s="324"/>
      <c r="F502" s="324"/>
      <c r="G502" s="324"/>
      <c r="H502" s="324"/>
      <c r="I502" s="324"/>
      <c r="J502" s="324"/>
      <c r="K502" s="324"/>
      <c r="L502" s="324"/>
      <c r="M502" s="324"/>
      <c r="N502" s="324"/>
      <c r="O502" s="324"/>
      <c r="P502" s="324"/>
      <c r="Q502" s="324"/>
      <c r="R502" s="324"/>
      <c r="S502" s="324"/>
      <c r="T502" s="324"/>
      <c r="U502" s="324"/>
      <c r="V502" s="324"/>
      <c r="W502" s="324"/>
      <c r="X502" s="324"/>
      <c r="Y502" s="324"/>
      <c r="Z502" s="324"/>
      <c r="AA502" s="324"/>
      <c r="AB502" s="324"/>
      <c r="AC502" s="324"/>
      <c r="AD502" s="324"/>
      <c r="AE502" s="324"/>
      <c r="AF502" s="324"/>
      <c r="AG502" s="324"/>
      <c r="AH502" s="324"/>
      <c r="AI502" s="324"/>
      <c r="AJ502" s="324"/>
      <c r="AK502" s="324"/>
      <c r="AL502" s="324"/>
      <c r="AM502" s="324"/>
      <c r="AN502" s="324"/>
      <c r="AO502" s="324"/>
      <c r="AP502" s="324"/>
      <c r="AQ502" s="324"/>
      <c r="AR502" s="324"/>
      <c r="AS502" s="324"/>
      <c r="AT502" s="324"/>
      <c r="AU502" s="324"/>
      <c r="AV502" s="324"/>
      <c r="AW502" s="324"/>
      <c r="AX502" s="324"/>
      <c r="AY502" s="324"/>
      <c r="AZ502" s="325"/>
      <c r="BA502" s="325"/>
      <c r="BB502" s="325"/>
      <c r="BC502" s="325"/>
      <c r="BD502" s="325"/>
      <c r="BE502" s="325"/>
      <c r="BF502" s="325"/>
      <c r="BG502" s="325"/>
      <c r="BH502" s="325"/>
      <c r="BI502" s="325"/>
      <c r="BJ502" s="325"/>
      <c r="BK502" s="325"/>
      <c r="BL502" s="325"/>
      <c r="BM502" s="325"/>
      <c r="BN502" s="325"/>
      <c r="BO502" s="325"/>
      <c r="BP502" s="325"/>
      <c r="BQ502" s="325"/>
    </row>
    <row r="503" spans="1:69" ht="14.25" customHeight="1" x14ac:dyDescent="0.2">
      <c r="A503" s="28"/>
      <c r="B503" s="28"/>
      <c r="C503" s="28"/>
      <c r="D503" s="324"/>
      <c r="E503" s="324"/>
      <c r="F503" s="324"/>
      <c r="G503" s="324"/>
      <c r="H503" s="324"/>
      <c r="I503" s="324"/>
      <c r="J503" s="324"/>
      <c r="K503" s="324"/>
      <c r="L503" s="324"/>
      <c r="M503" s="324"/>
      <c r="N503" s="324"/>
      <c r="O503" s="324"/>
      <c r="P503" s="324"/>
      <c r="Q503" s="324"/>
      <c r="R503" s="324"/>
      <c r="S503" s="324"/>
      <c r="T503" s="324"/>
      <c r="U503" s="324"/>
      <c r="V503" s="324"/>
      <c r="W503" s="324"/>
      <c r="X503" s="324"/>
      <c r="Y503" s="324"/>
      <c r="Z503" s="324"/>
      <c r="AA503" s="324"/>
      <c r="AB503" s="324"/>
      <c r="AC503" s="324"/>
      <c r="AD503" s="324"/>
      <c r="AE503" s="324"/>
      <c r="AF503" s="324"/>
      <c r="AG503" s="324"/>
      <c r="AH503" s="324"/>
      <c r="AI503" s="324"/>
      <c r="AJ503" s="324"/>
      <c r="AK503" s="324"/>
      <c r="AL503" s="324"/>
      <c r="AM503" s="324"/>
      <c r="AN503" s="324"/>
      <c r="AO503" s="324"/>
      <c r="AP503" s="324"/>
      <c r="AQ503" s="324"/>
      <c r="AR503" s="324"/>
      <c r="AS503" s="324"/>
      <c r="AT503" s="324"/>
      <c r="AU503" s="324"/>
      <c r="AV503" s="324"/>
      <c r="AW503" s="324"/>
      <c r="AX503" s="324"/>
      <c r="AY503" s="324"/>
      <c r="AZ503" s="325"/>
      <c r="BA503" s="325"/>
      <c r="BB503" s="325"/>
      <c r="BC503" s="325"/>
      <c r="BD503" s="325"/>
      <c r="BE503" s="325"/>
      <c r="BF503" s="325"/>
      <c r="BG503" s="325"/>
      <c r="BH503" s="325"/>
      <c r="BI503" s="325"/>
      <c r="BJ503" s="325"/>
      <c r="BK503" s="325"/>
      <c r="BL503" s="325"/>
      <c r="BM503" s="325"/>
      <c r="BN503" s="325"/>
      <c r="BO503" s="325"/>
      <c r="BP503" s="325"/>
      <c r="BQ503" s="325"/>
    </row>
    <row r="504" spans="1:69" ht="14.25" customHeight="1" x14ac:dyDescent="0.2">
      <c r="A504" s="28"/>
      <c r="B504" s="28"/>
      <c r="C504" s="28"/>
      <c r="D504" s="324"/>
      <c r="E504" s="324"/>
      <c r="F504" s="324"/>
      <c r="G504" s="324"/>
      <c r="H504" s="324"/>
      <c r="I504" s="324"/>
      <c r="J504" s="324"/>
      <c r="K504" s="324"/>
      <c r="L504" s="324"/>
      <c r="M504" s="324"/>
      <c r="N504" s="324"/>
      <c r="O504" s="324"/>
      <c r="P504" s="324"/>
      <c r="Q504" s="324"/>
      <c r="R504" s="324"/>
      <c r="S504" s="324"/>
      <c r="T504" s="324"/>
      <c r="U504" s="324"/>
      <c r="V504" s="324"/>
      <c r="W504" s="324"/>
      <c r="X504" s="324"/>
      <c r="Y504" s="324"/>
      <c r="Z504" s="324"/>
      <c r="AA504" s="324"/>
      <c r="AB504" s="324"/>
      <c r="AC504" s="324"/>
      <c r="AD504" s="324"/>
      <c r="AE504" s="324"/>
      <c r="AF504" s="324"/>
      <c r="AG504" s="324"/>
      <c r="AH504" s="324"/>
      <c r="AI504" s="324"/>
      <c r="AJ504" s="324"/>
      <c r="AK504" s="324"/>
      <c r="AL504" s="324"/>
      <c r="AM504" s="324"/>
      <c r="AN504" s="324"/>
      <c r="AO504" s="324"/>
      <c r="AP504" s="324"/>
      <c r="AQ504" s="324"/>
      <c r="AR504" s="324"/>
      <c r="AS504" s="324"/>
      <c r="AT504" s="324"/>
      <c r="AU504" s="324"/>
      <c r="AV504" s="324"/>
      <c r="AW504" s="324"/>
      <c r="AX504" s="324"/>
      <c r="AY504" s="324"/>
      <c r="AZ504" s="325"/>
      <c r="BA504" s="325"/>
      <c r="BB504" s="325"/>
      <c r="BC504" s="325"/>
      <c r="BD504" s="325"/>
      <c r="BE504" s="325"/>
      <c r="BF504" s="325"/>
      <c r="BG504" s="325"/>
      <c r="BH504" s="325"/>
      <c r="BI504" s="325"/>
      <c r="BJ504" s="325"/>
      <c r="BK504" s="325"/>
      <c r="BL504" s="325"/>
      <c r="BM504" s="325"/>
      <c r="BN504" s="325"/>
      <c r="BO504" s="325"/>
      <c r="BP504" s="325"/>
      <c r="BQ504" s="325"/>
    </row>
    <row r="505" spans="1:69" ht="14.25" customHeight="1" x14ac:dyDescent="0.2">
      <c r="A505" s="28"/>
      <c r="B505" s="28"/>
      <c r="C505" s="28"/>
      <c r="D505" s="324"/>
      <c r="E505" s="324"/>
      <c r="F505" s="324"/>
      <c r="G505" s="324"/>
      <c r="H505" s="324"/>
      <c r="I505" s="324"/>
      <c r="J505" s="324"/>
      <c r="K505" s="324"/>
      <c r="L505" s="324"/>
      <c r="M505" s="324"/>
      <c r="N505" s="324"/>
      <c r="O505" s="324"/>
      <c r="P505" s="324"/>
      <c r="Q505" s="324"/>
      <c r="R505" s="324"/>
      <c r="S505" s="324"/>
      <c r="T505" s="324"/>
      <c r="U505" s="324"/>
      <c r="V505" s="324"/>
      <c r="W505" s="324"/>
      <c r="X505" s="324"/>
      <c r="Y505" s="324"/>
      <c r="Z505" s="324"/>
      <c r="AA505" s="324"/>
      <c r="AB505" s="324"/>
      <c r="AC505" s="324"/>
      <c r="AD505" s="324"/>
      <c r="AE505" s="324"/>
      <c r="AF505" s="324"/>
      <c r="AG505" s="324"/>
      <c r="AH505" s="324"/>
      <c r="AI505" s="324"/>
      <c r="AJ505" s="324"/>
      <c r="AK505" s="324"/>
      <c r="AL505" s="324"/>
      <c r="AM505" s="324"/>
      <c r="AN505" s="324"/>
      <c r="AO505" s="324"/>
      <c r="AP505" s="324"/>
      <c r="AQ505" s="324"/>
      <c r="AR505" s="324"/>
      <c r="AS505" s="324"/>
      <c r="AT505" s="324"/>
      <c r="AU505" s="324"/>
      <c r="AV505" s="324"/>
      <c r="AW505" s="324"/>
      <c r="AX505" s="324"/>
      <c r="AY505" s="324"/>
      <c r="AZ505" s="325"/>
      <c r="BA505" s="325"/>
      <c r="BB505" s="325"/>
      <c r="BC505" s="325"/>
      <c r="BD505" s="325"/>
      <c r="BE505" s="325"/>
      <c r="BF505" s="325"/>
      <c r="BG505" s="325"/>
      <c r="BH505" s="325"/>
      <c r="BI505" s="325"/>
      <c r="BJ505" s="325"/>
      <c r="BK505" s="325"/>
      <c r="BL505" s="325"/>
      <c r="BM505" s="325"/>
      <c r="BN505" s="325"/>
      <c r="BO505" s="325"/>
      <c r="BP505" s="325"/>
      <c r="BQ505" s="325"/>
    </row>
    <row r="506" spans="1:69" ht="14.25" customHeight="1" x14ac:dyDescent="0.2">
      <c r="A506" s="28"/>
      <c r="B506" s="28"/>
      <c r="C506" s="28"/>
      <c r="D506" s="324"/>
      <c r="E506" s="324"/>
      <c r="F506" s="324"/>
      <c r="G506" s="324"/>
      <c r="H506" s="324"/>
      <c r="I506" s="324"/>
      <c r="J506" s="324"/>
      <c r="K506" s="324"/>
      <c r="L506" s="324"/>
      <c r="M506" s="324"/>
      <c r="N506" s="324"/>
      <c r="O506" s="324"/>
      <c r="P506" s="324"/>
      <c r="Q506" s="324"/>
      <c r="R506" s="324"/>
      <c r="S506" s="324"/>
      <c r="T506" s="324"/>
      <c r="U506" s="324"/>
      <c r="V506" s="324"/>
      <c r="W506" s="324"/>
      <c r="X506" s="324"/>
      <c r="Y506" s="324"/>
      <c r="Z506" s="324"/>
      <c r="AA506" s="324"/>
      <c r="AB506" s="324"/>
      <c r="AC506" s="324"/>
      <c r="AD506" s="324"/>
      <c r="AE506" s="324"/>
      <c r="AF506" s="324"/>
      <c r="AG506" s="324"/>
      <c r="AH506" s="324"/>
      <c r="AI506" s="324"/>
      <c r="AJ506" s="324"/>
      <c r="AK506" s="324"/>
      <c r="AL506" s="324"/>
      <c r="AM506" s="324"/>
      <c r="AN506" s="324"/>
      <c r="AO506" s="324"/>
      <c r="AP506" s="324"/>
      <c r="AQ506" s="324"/>
      <c r="AR506" s="324"/>
      <c r="AS506" s="324"/>
      <c r="AT506" s="324"/>
      <c r="AU506" s="324"/>
      <c r="AV506" s="324"/>
      <c r="AW506" s="324"/>
      <c r="AX506" s="324"/>
      <c r="AY506" s="324"/>
      <c r="AZ506" s="325"/>
      <c r="BA506" s="325"/>
      <c r="BB506" s="325"/>
      <c r="BC506" s="325"/>
      <c r="BD506" s="325"/>
      <c r="BE506" s="325"/>
      <c r="BF506" s="325"/>
      <c r="BG506" s="325"/>
      <c r="BH506" s="325"/>
      <c r="BI506" s="325"/>
      <c r="BJ506" s="325"/>
      <c r="BK506" s="325"/>
      <c r="BL506" s="325"/>
      <c r="BM506" s="325"/>
      <c r="BN506" s="325"/>
      <c r="BO506" s="325"/>
      <c r="BP506" s="325"/>
      <c r="BQ506" s="325"/>
    </row>
    <row r="507" spans="1:69" ht="14.25" customHeight="1" x14ac:dyDescent="0.2">
      <c r="A507" s="28"/>
      <c r="B507" s="28"/>
      <c r="C507" s="28"/>
      <c r="D507" s="324"/>
      <c r="E507" s="324"/>
      <c r="F507" s="324"/>
      <c r="G507" s="324"/>
      <c r="H507" s="324"/>
      <c r="I507" s="324"/>
      <c r="J507" s="324"/>
      <c r="K507" s="324"/>
      <c r="L507" s="324"/>
      <c r="M507" s="324"/>
      <c r="N507" s="324"/>
      <c r="O507" s="324"/>
      <c r="P507" s="324"/>
      <c r="Q507" s="324"/>
      <c r="R507" s="324"/>
      <c r="S507" s="324"/>
      <c r="T507" s="324"/>
      <c r="U507" s="324"/>
      <c r="V507" s="324"/>
      <c r="W507" s="324"/>
      <c r="X507" s="324"/>
      <c r="Y507" s="324"/>
      <c r="Z507" s="324"/>
      <c r="AA507" s="324"/>
      <c r="AB507" s="324"/>
      <c r="AC507" s="324"/>
      <c r="AD507" s="324"/>
      <c r="AE507" s="324"/>
      <c r="AF507" s="324"/>
      <c r="AG507" s="324"/>
      <c r="AH507" s="324"/>
      <c r="AI507" s="324"/>
      <c r="AJ507" s="324"/>
      <c r="AK507" s="324"/>
      <c r="AL507" s="324"/>
      <c r="AM507" s="324"/>
      <c r="AN507" s="324"/>
      <c r="AO507" s="324"/>
      <c r="AP507" s="324"/>
      <c r="AQ507" s="324"/>
      <c r="AR507" s="324"/>
      <c r="AS507" s="324"/>
      <c r="AT507" s="324"/>
      <c r="AU507" s="324"/>
      <c r="AV507" s="324"/>
      <c r="AW507" s="324"/>
      <c r="AX507" s="324"/>
      <c r="AY507" s="324"/>
      <c r="AZ507" s="325"/>
      <c r="BA507" s="325"/>
      <c r="BB507" s="325"/>
      <c r="BC507" s="325"/>
      <c r="BD507" s="325"/>
      <c r="BE507" s="325"/>
      <c r="BF507" s="325"/>
      <c r="BG507" s="325"/>
      <c r="BH507" s="325"/>
      <c r="BI507" s="325"/>
      <c r="BJ507" s="325"/>
      <c r="BK507" s="325"/>
      <c r="BL507" s="325"/>
      <c r="BM507" s="325"/>
      <c r="BN507" s="325"/>
      <c r="BO507" s="325"/>
      <c r="BP507" s="325"/>
      <c r="BQ507" s="325"/>
    </row>
    <row r="508" spans="1:69" ht="14.25" customHeight="1" x14ac:dyDescent="0.2">
      <c r="A508" s="28"/>
      <c r="B508" s="28"/>
      <c r="C508" s="28"/>
      <c r="D508" s="324"/>
      <c r="E508" s="324"/>
      <c r="F508" s="324"/>
      <c r="G508" s="324"/>
      <c r="H508" s="324"/>
      <c r="I508" s="324"/>
      <c r="J508" s="324"/>
      <c r="K508" s="324"/>
      <c r="L508" s="324"/>
      <c r="M508" s="324"/>
      <c r="N508" s="324"/>
      <c r="O508" s="324"/>
      <c r="P508" s="324"/>
      <c r="Q508" s="324"/>
      <c r="R508" s="324"/>
      <c r="S508" s="324"/>
      <c r="T508" s="324"/>
      <c r="U508" s="324"/>
      <c r="V508" s="324"/>
      <c r="W508" s="324"/>
      <c r="X508" s="324"/>
      <c r="Y508" s="324"/>
      <c r="Z508" s="324"/>
      <c r="AA508" s="324"/>
      <c r="AB508" s="324"/>
      <c r="AC508" s="324"/>
      <c r="AD508" s="324"/>
      <c r="AE508" s="324"/>
      <c r="AF508" s="324"/>
      <c r="AG508" s="324"/>
      <c r="AH508" s="324"/>
      <c r="AI508" s="324"/>
      <c r="AJ508" s="324"/>
      <c r="AK508" s="324"/>
      <c r="AL508" s="324"/>
      <c r="AM508" s="324"/>
      <c r="AN508" s="324"/>
      <c r="AO508" s="324"/>
      <c r="AP508" s="324"/>
      <c r="AQ508" s="324"/>
      <c r="AR508" s="324"/>
      <c r="AS508" s="324"/>
      <c r="AT508" s="324"/>
      <c r="AU508" s="324"/>
      <c r="AV508" s="324"/>
      <c r="AW508" s="324"/>
      <c r="AX508" s="324"/>
      <c r="AY508" s="324"/>
      <c r="AZ508" s="325"/>
      <c r="BA508" s="325"/>
      <c r="BB508" s="325"/>
      <c r="BC508" s="325"/>
      <c r="BD508" s="325"/>
      <c r="BE508" s="325"/>
      <c r="BF508" s="325"/>
      <c r="BG508" s="325"/>
      <c r="BH508" s="325"/>
      <c r="BI508" s="325"/>
      <c r="BJ508" s="325"/>
      <c r="BK508" s="325"/>
      <c r="BL508" s="325"/>
      <c r="BM508" s="325"/>
      <c r="BN508" s="325"/>
      <c r="BO508" s="325"/>
      <c r="BP508" s="325"/>
      <c r="BQ508" s="325"/>
    </row>
    <row r="509" spans="1:69" ht="14.25" customHeight="1" x14ac:dyDescent="0.2">
      <c r="A509" s="28"/>
      <c r="B509" s="28"/>
      <c r="C509" s="28"/>
      <c r="D509" s="324"/>
      <c r="E509" s="324"/>
      <c r="F509" s="324"/>
      <c r="G509" s="324"/>
      <c r="H509" s="324"/>
      <c r="I509" s="324"/>
      <c r="J509" s="324"/>
      <c r="K509" s="324"/>
      <c r="L509" s="324"/>
      <c r="M509" s="324"/>
      <c r="N509" s="324"/>
      <c r="O509" s="324"/>
      <c r="P509" s="324"/>
      <c r="Q509" s="324"/>
      <c r="R509" s="324"/>
      <c r="S509" s="324"/>
      <c r="T509" s="324"/>
      <c r="U509" s="324"/>
      <c r="V509" s="324"/>
      <c r="W509" s="324"/>
      <c r="X509" s="324"/>
      <c r="Y509" s="324"/>
      <c r="Z509" s="324"/>
      <c r="AA509" s="324"/>
      <c r="AB509" s="324"/>
      <c r="AC509" s="324"/>
      <c r="AD509" s="324"/>
      <c r="AE509" s="324"/>
      <c r="AF509" s="324"/>
      <c r="AG509" s="324"/>
      <c r="AH509" s="324"/>
      <c r="AI509" s="324"/>
      <c r="AJ509" s="324"/>
      <c r="AK509" s="324"/>
      <c r="AL509" s="324"/>
      <c r="AM509" s="324"/>
      <c r="AN509" s="324"/>
      <c r="AO509" s="324"/>
      <c r="AP509" s="324"/>
      <c r="AQ509" s="324"/>
      <c r="AR509" s="324"/>
      <c r="AS509" s="324"/>
      <c r="AT509" s="324"/>
      <c r="AU509" s="324"/>
      <c r="AV509" s="324"/>
      <c r="AW509" s="324"/>
      <c r="AX509" s="324"/>
      <c r="AY509" s="324"/>
      <c r="AZ509" s="325"/>
      <c r="BA509" s="325"/>
      <c r="BB509" s="325"/>
      <c r="BC509" s="325"/>
      <c r="BD509" s="325"/>
      <c r="BE509" s="325"/>
      <c r="BF509" s="325"/>
      <c r="BG509" s="325"/>
      <c r="BH509" s="325"/>
      <c r="BI509" s="325"/>
      <c r="BJ509" s="325"/>
      <c r="BK509" s="325"/>
      <c r="BL509" s="325"/>
      <c r="BM509" s="325"/>
      <c r="BN509" s="325"/>
      <c r="BO509" s="325"/>
      <c r="BP509" s="325"/>
      <c r="BQ509" s="325"/>
    </row>
    <row r="510" spans="1:69" ht="14.25" customHeight="1" x14ac:dyDescent="0.2">
      <c r="A510" s="28"/>
      <c r="B510" s="28"/>
      <c r="C510" s="28"/>
      <c r="D510" s="324"/>
      <c r="E510" s="324"/>
      <c r="F510" s="324"/>
      <c r="G510" s="324"/>
      <c r="H510" s="324"/>
      <c r="I510" s="324"/>
      <c r="J510" s="324"/>
      <c r="K510" s="324"/>
      <c r="L510" s="324"/>
      <c r="M510" s="324"/>
      <c r="N510" s="324"/>
      <c r="O510" s="324"/>
      <c r="P510" s="324"/>
      <c r="Q510" s="324"/>
      <c r="R510" s="324"/>
      <c r="S510" s="324"/>
      <c r="T510" s="324"/>
      <c r="U510" s="324"/>
      <c r="V510" s="324"/>
      <c r="W510" s="324"/>
      <c r="X510" s="324"/>
      <c r="Y510" s="324"/>
      <c r="Z510" s="324"/>
      <c r="AA510" s="324"/>
      <c r="AB510" s="324"/>
      <c r="AC510" s="324"/>
      <c r="AD510" s="324"/>
      <c r="AE510" s="324"/>
      <c r="AF510" s="324"/>
      <c r="AG510" s="324"/>
      <c r="AH510" s="324"/>
      <c r="AI510" s="324"/>
      <c r="AJ510" s="324"/>
      <c r="AK510" s="324"/>
      <c r="AL510" s="324"/>
      <c r="AM510" s="324"/>
      <c r="AN510" s="324"/>
      <c r="AO510" s="324"/>
      <c r="AP510" s="324"/>
      <c r="AQ510" s="324"/>
      <c r="AR510" s="324"/>
      <c r="AS510" s="324"/>
      <c r="AT510" s="324"/>
      <c r="AU510" s="324"/>
      <c r="AV510" s="324"/>
      <c r="AW510" s="324"/>
      <c r="AX510" s="324"/>
      <c r="AY510" s="324"/>
      <c r="AZ510" s="325"/>
      <c r="BA510" s="325"/>
      <c r="BB510" s="325"/>
      <c r="BC510" s="325"/>
      <c r="BD510" s="325"/>
      <c r="BE510" s="325"/>
      <c r="BF510" s="325"/>
      <c r="BG510" s="325"/>
      <c r="BH510" s="325"/>
      <c r="BI510" s="325"/>
      <c r="BJ510" s="325"/>
      <c r="BK510" s="325"/>
      <c r="BL510" s="325"/>
      <c r="BM510" s="325"/>
      <c r="BN510" s="325"/>
      <c r="BO510" s="325"/>
      <c r="BP510" s="325"/>
      <c r="BQ510" s="325"/>
    </row>
    <row r="511" spans="1:69" ht="14.25" customHeight="1" x14ac:dyDescent="0.2">
      <c r="A511" s="28"/>
      <c r="B511" s="28"/>
      <c r="C511" s="28"/>
      <c r="D511" s="324"/>
      <c r="E511" s="324"/>
      <c r="F511" s="324"/>
      <c r="G511" s="324"/>
      <c r="H511" s="324"/>
      <c r="I511" s="324"/>
      <c r="J511" s="324"/>
      <c r="K511" s="324"/>
      <c r="L511" s="324"/>
      <c r="M511" s="324"/>
      <c r="N511" s="324"/>
      <c r="O511" s="324"/>
      <c r="P511" s="324"/>
      <c r="Q511" s="324"/>
      <c r="R511" s="324"/>
      <c r="S511" s="324"/>
      <c r="T511" s="324"/>
      <c r="U511" s="324"/>
      <c r="V511" s="324"/>
      <c r="W511" s="324"/>
      <c r="X511" s="324"/>
      <c r="Y511" s="324"/>
      <c r="Z511" s="324"/>
      <c r="AA511" s="324"/>
      <c r="AB511" s="324"/>
      <c r="AC511" s="324"/>
      <c r="AD511" s="324"/>
      <c r="AE511" s="324"/>
      <c r="AF511" s="324"/>
      <c r="AG511" s="324"/>
      <c r="AH511" s="324"/>
      <c r="AI511" s="324"/>
      <c r="AJ511" s="324"/>
      <c r="AK511" s="324"/>
      <c r="AL511" s="324"/>
      <c r="AM511" s="324"/>
      <c r="AN511" s="324"/>
      <c r="AO511" s="324"/>
      <c r="AP511" s="324"/>
      <c r="AQ511" s="324"/>
      <c r="AR511" s="324"/>
      <c r="AS511" s="324"/>
      <c r="AT511" s="324"/>
      <c r="AU511" s="324"/>
      <c r="AV511" s="324"/>
      <c r="AW511" s="324"/>
      <c r="AX511" s="324"/>
      <c r="AY511" s="324"/>
      <c r="AZ511" s="325"/>
      <c r="BA511" s="325"/>
      <c r="BB511" s="325"/>
      <c r="BC511" s="325"/>
      <c r="BD511" s="325"/>
      <c r="BE511" s="325"/>
      <c r="BF511" s="325"/>
      <c r="BG511" s="325"/>
      <c r="BH511" s="325"/>
      <c r="BI511" s="325"/>
      <c r="BJ511" s="325"/>
      <c r="BK511" s="325"/>
      <c r="BL511" s="325"/>
      <c r="BM511" s="325"/>
      <c r="BN511" s="325"/>
      <c r="BO511" s="325"/>
      <c r="BP511" s="325"/>
      <c r="BQ511" s="325"/>
    </row>
    <row r="512" spans="1:69" ht="14.25" customHeight="1" x14ac:dyDescent="0.2">
      <c r="A512" s="28"/>
      <c r="B512" s="28"/>
      <c r="C512" s="28"/>
      <c r="D512" s="324"/>
      <c r="E512" s="324"/>
      <c r="F512" s="324"/>
      <c r="G512" s="324"/>
      <c r="H512" s="324"/>
      <c r="I512" s="324"/>
      <c r="J512" s="324"/>
      <c r="K512" s="324"/>
      <c r="L512" s="324"/>
      <c r="M512" s="324"/>
      <c r="N512" s="324"/>
      <c r="O512" s="324"/>
      <c r="P512" s="324"/>
      <c r="Q512" s="324"/>
      <c r="R512" s="324"/>
      <c r="S512" s="324"/>
      <c r="T512" s="324"/>
      <c r="U512" s="324"/>
      <c r="V512" s="324"/>
      <c r="W512" s="324"/>
      <c r="X512" s="324"/>
      <c r="Y512" s="324"/>
      <c r="Z512" s="324"/>
      <c r="AA512" s="324"/>
      <c r="AB512" s="324"/>
      <c r="AC512" s="324"/>
      <c r="AD512" s="324"/>
      <c r="AE512" s="324"/>
      <c r="AF512" s="324"/>
      <c r="AG512" s="324"/>
      <c r="AH512" s="324"/>
      <c r="AI512" s="324"/>
      <c r="AJ512" s="324"/>
      <c r="AK512" s="324"/>
      <c r="AL512" s="324"/>
      <c r="AM512" s="324"/>
      <c r="AN512" s="324"/>
      <c r="AO512" s="324"/>
      <c r="AP512" s="324"/>
      <c r="AQ512" s="324"/>
      <c r="AR512" s="324"/>
      <c r="AS512" s="324"/>
      <c r="AT512" s="324"/>
      <c r="AU512" s="324"/>
      <c r="AV512" s="324"/>
      <c r="AW512" s="324"/>
      <c r="AX512" s="324"/>
      <c r="AY512" s="324"/>
      <c r="AZ512" s="325"/>
      <c r="BA512" s="325"/>
      <c r="BB512" s="325"/>
      <c r="BC512" s="325"/>
      <c r="BD512" s="325"/>
      <c r="BE512" s="325"/>
      <c r="BF512" s="325"/>
      <c r="BG512" s="325"/>
      <c r="BH512" s="325"/>
      <c r="BI512" s="325"/>
      <c r="BJ512" s="325"/>
      <c r="BK512" s="325"/>
      <c r="BL512" s="325"/>
      <c r="BM512" s="325"/>
      <c r="BN512" s="325"/>
      <c r="BO512" s="325"/>
      <c r="BP512" s="325"/>
      <c r="BQ512" s="325"/>
    </row>
    <row r="513" spans="1:69" ht="14.25" customHeight="1" x14ac:dyDescent="0.2">
      <c r="A513" s="28"/>
      <c r="B513" s="28"/>
      <c r="C513" s="28"/>
      <c r="D513" s="324"/>
      <c r="E513" s="324"/>
      <c r="F513" s="324"/>
      <c r="G513" s="324"/>
      <c r="H513" s="324"/>
      <c r="I513" s="324"/>
      <c r="J513" s="324"/>
      <c r="K513" s="324"/>
      <c r="L513" s="324"/>
      <c r="M513" s="324"/>
      <c r="N513" s="324"/>
      <c r="O513" s="324"/>
      <c r="P513" s="324"/>
      <c r="Q513" s="324"/>
      <c r="R513" s="324"/>
      <c r="S513" s="324"/>
      <c r="T513" s="324"/>
      <c r="U513" s="324"/>
      <c r="V513" s="324"/>
      <c r="W513" s="324"/>
      <c r="X513" s="324"/>
      <c r="Y513" s="324"/>
      <c r="Z513" s="324"/>
      <c r="AA513" s="324"/>
      <c r="AB513" s="324"/>
      <c r="AC513" s="324"/>
      <c r="AD513" s="324"/>
      <c r="AE513" s="324"/>
      <c r="AF513" s="324"/>
      <c r="AG513" s="324"/>
      <c r="AH513" s="324"/>
      <c r="AI513" s="324"/>
      <c r="AJ513" s="324"/>
      <c r="AK513" s="324"/>
      <c r="AL513" s="324"/>
      <c r="AM513" s="324"/>
      <c r="AN513" s="324"/>
      <c r="AO513" s="324"/>
      <c r="AP513" s="324"/>
      <c r="AQ513" s="324"/>
      <c r="AR513" s="324"/>
      <c r="AS513" s="324"/>
      <c r="AT513" s="324"/>
      <c r="AU513" s="324"/>
      <c r="AV513" s="324"/>
      <c r="AW513" s="324"/>
      <c r="AX513" s="324"/>
      <c r="AY513" s="324"/>
      <c r="AZ513" s="325"/>
      <c r="BA513" s="325"/>
      <c r="BB513" s="325"/>
      <c r="BC513" s="325"/>
      <c r="BD513" s="325"/>
      <c r="BE513" s="325"/>
      <c r="BF513" s="325"/>
      <c r="BG513" s="325"/>
      <c r="BH513" s="325"/>
      <c r="BI513" s="325"/>
      <c r="BJ513" s="325"/>
      <c r="BK513" s="325"/>
      <c r="BL513" s="325"/>
      <c r="BM513" s="325"/>
      <c r="BN513" s="325"/>
      <c r="BO513" s="325"/>
      <c r="BP513" s="325"/>
      <c r="BQ513" s="325"/>
    </row>
    <row r="514" spans="1:69" ht="14.25" customHeight="1" x14ac:dyDescent="0.2">
      <c r="A514" s="28"/>
      <c r="B514" s="28"/>
      <c r="C514" s="28"/>
      <c r="D514" s="324"/>
      <c r="E514" s="324"/>
      <c r="F514" s="324"/>
      <c r="G514" s="324"/>
      <c r="H514" s="324"/>
      <c r="I514" s="324"/>
      <c r="J514" s="324"/>
      <c r="K514" s="324"/>
      <c r="L514" s="324"/>
      <c r="M514" s="324"/>
      <c r="N514" s="324"/>
      <c r="O514" s="324"/>
      <c r="P514" s="324"/>
      <c r="Q514" s="324"/>
      <c r="R514" s="324"/>
      <c r="S514" s="324"/>
      <c r="T514" s="324"/>
      <c r="U514" s="324"/>
      <c r="V514" s="324"/>
      <c r="W514" s="324"/>
      <c r="X514" s="324"/>
      <c r="Y514" s="324"/>
      <c r="Z514" s="324"/>
      <c r="AA514" s="324"/>
      <c r="AB514" s="324"/>
      <c r="AC514" s="324"/>
      <c r="AD514" s="324"/>
      <c r="AE514" s="324"/>
      <c r="AF514" s="324"/>
      <c r="AG514" s="324"/>
      <c r="AH514" s="324"/>
      <c r="AI514" s="324"/>
      <c r="AJ514" s="324"/>
      <c r="AK514" s="324"/>
      <c r="AL514" s="324"/>
      <c r="AM514" s="324"/>
      <c r="AN514" s="324"/>
      <c r="AO514" s="324"/>
      <c r="AP514" s="324"/>
      <c r="AQ514" s="324"/>
      <c r="AR514" s="324"/>
      <c r="AS514" s="324"/>
      <c r="AT514" s="324"/>
      <c r="AU514" s="324"/>
      <c r="AV514" s="324"/>
      <c r="AW514" s="324"/>
      <c r="AX514" s="324"/>
      <c r="AY514" s="324"/>
      <c r="AZ514" s="325"/>
      <c r="BA514" s="325"/>
      <c r="BB514" s="325"/>
      <c r="BC514" s="325"/>
      <c r="BD514" s="325"/>
      <c r="BE514" s="325"/>
      <c r="BF514" s="325"/>
      <c r="BG514" s="325"/>
      <c r="BH514" s="325"/>
      <c r="BI514" s="325"/>
      <c r="BJ514" s="325"/>
      <c r="BK514" s="325"/>
      <c r="BL514" s="325"/>
      <c r="BM514" s="325"/>
      <c r="BN514" s="325"/>
      <c r="BO514" s="325"/>
      <c r="BP514" s="325"/>
      <c r="BQ514" s="325"/>
    </row>
    <row r="515" spans="1:69" ht="14.25" customHeight="1" x14ac:dyDescent="0.2">
      <c r="A515" s="28"/>
      <c r="B515" s="28"/>
      <c r="C515" s="28"/>
      <c r="D515" s="324"/>
      <c r="E515" s="324"/>
      <c r="F515" s="324"/>
      <c r="G515" s="324"/>
      <c r="H515" s="324"/>
      <c r="I515" s="324"/>
      <c r="J515" s="324"/>
      <c r="K515" s="324"/>
      <c r="L515" s="324"/>
      <c r="M515" s="324"/>
      <c r="N515" s="324"/>
      <c r="O515" s="324"/>
      <c r="P515" s="324"/>
      <c r="Q515" s="324"/>
      <c r="R515" s="324"/>
      <c r="S515" s="324"/>
      <c r="T515" s="324"/>
      <c r="U515" s="324"/>
      <c r="V515" s="324"/>
      <c r="W515" s="324"/>
      <c r="X515" s="324"/>
      <c r="Y515" s="324"/>
      <c r="Z515" s="324"/>
      <c r="AA515" s="324"/>
      <c r="AB515" s="324"/>
      <c r="AC515" s="324"/>
      <c r="AD515" s="324"/>
      <c r="AE515" s="324"/>
      <c r="AF515" s="324"/>
      <c r="AG515" s="324"/>
      <c r="AH515" s="324"/>
      <c r="AI515" s="324"/>
      <c r="AJ515" s="324"/>
      <c r="AK515" s="324"/>
      <c r="AL515" s="324"/>
      <c r="AM515" s="324"/>
      <c r="AN515" s="324"/>
      <c r="AO515" s="324"/>
      <c r="AP515" s="324"/>
      <c r="AQ515" s="324"/>
      <c r="AR515" s="324"/>
      <c r="AS515" s="324"/>
      <c r="AT515" s="324"/>
      <c r="AU515" s="324"/>
      <c r="AV515" s="324"/>
      <c r="AW515" s="324"/>
      <c r="AX515" s="324"/>
      <c r="AY515" s="324"/>
      <c r="AZ515" s="325"/>
      <c r="BA515" s="325"/>
      <c r="BB515" s="325"/>
      <c r="BC515" s="325"/>
      <c r="BD515" s="325"/>
      <c r="BE515" s="325"/>
      <c r="BF515" s="325"/>
      <c r="BG515" s="325"/>
      <c r="BH515" s="325"/>
      <c r="BI515" s="325"/>
      <c r="BJ515" s="325"/>
      <c r="BK515" s="325"/>
      <c r="BL515" s="325"/>
      <c r="BM515" s="325"/>
      <c r="BN515" s="325"/>
      <c r="BO515" s="325"/>
      <c r="BP515" s="325"/>
      <c r="BQ515" s="325"/>
    </row>
    <row r="516" spans="1:69" ht="14.25" customHeight="1" x14ac:dyDescent="0.2">
      <c r="A516" s="28"/>
      <c r="B516" s="28"/>
      <c r="C516" s="28"/>
      <c r="D516" s="324"/>
      <c r="E516" s="324"/>
      <c r="F516" s="324"/>
      <c r="G516" s="324"/>
      <c r="H516" s="324"/>
      <c r="I516" s="324"/>
      <c r="J516" s="324"/>
      <c r="K516" s="324"/>
      <c r="L516" s="324"/>
      <c r="M516" s="324"/>
      <c r="N516" s="324"/>
      <c r="O516" s="324"/>
      <c r="P516" s="324"/>
      <c r="Q516" s="324"/>
      <c r="R516" s="324"/>
      <c r="S516" s="324"/>
      <c r="T516" s="324"/>
      <c r="U516" s="324"/>
      <c r="V516" s="324"/>
      <c r="W516" s="324"/>
      <c r="X516" s="324"/>
      <c r="Y516" s="324"/>
      <c r="Z516" s="324"/>
      <c r="AA516" s="324"/>
      <c r="AB516" s="324"/>
      <c r="AC516" s="324"/>
      <c r="AD516" s="324"/>
      <c r="AE516" s="324"/>
      <c r="AF516" s="324"/>
      <c r="AG516" s="324"/>
      <c r="AH516" s="324"/>
      <c r="AI516" s="324"/>
      <c r="AJ516" s="324"/>
      <c r="AK516" s="324"/>
      <c r="AL516" s="324"/>
      <c r="AM516" s="324"/>
      <c r="AN516" s="324"/>
      <c r="AO516" s="324"/>
      <c r="AP516" s="324"/>
      <c r="AQ516" s="324"/>
      <c r="AR516" s="324"/>
      <c r="AS516" s="324"/>
      <c r="AT516" s="324"/>
      <c r="AU516" s="324"/>
      <c r="AV516" s="324"/>
      <c r="AW516" s="324"/>
      <c r="AX516" s="324"/>
      <c r="AY516" s="324"/>
      <c r="AZ516" s="325"/>
      <c r="BA516" s="325"/>
      <c r="BB516" s="325"/>
      <c r="BC516" s="325"/>
      <c r="BD516" s="325"/>
      <c r="BE516" s="325"/>
      <c r="BF516" s="325"/>
      <c r="BG516" s="325"/>
      <c r="BH516" s="325"/>
      <c r="BI516" s="325"/>
      <c r="BJ516" s="325"/>
      <c r="BK516" s="325"/>
      <c r="BL516" s="325"/>
      <c r="BM516" s="325"/>
      <c r="BN516" s="325"/>
      <c r="BO516" s="325"/>
      <c r="BP516" s="325"/>
      <c r="BQ516" s="325"/>
    </row>
    <row r="517" spans="1:69" ht="14.25" customHeight="1" x14ac:dyDescent="0.2">
      <c r="A517" s="28"/>
      <c r="B517" s="28"/>
      <c r="C517" s="28"/>
      <c r="D517" s="324"/>
      <c r="E517" s="324"/>
      <c r="F517" s="324"/>
      <c r="G517" s="324"/>
      <c r="H517" s="324"/>
      <c r="I517" s="324"/>
      <c r="J517" s="324"/>
      <c r="K517" s="324"/>
      <c r="L517" s="324"/>
      <c r="M517" s="324"/>
      <c r="N517" s="324"/>
      <c r="O517" s="324"/>
      <c r="P517" s="324"/>
      <c r="Q517" s="324"/>
      <c r="R517" s="324"/>
      <c r="S517" s="324"/>
      <c r="T517" s="324"/>
      <c r="U517" s="324"/>
      <c r="V517" s="324"/>
      <c r="W517" s="324"/>
      <c r="X517" s="324"/>
      <c r="Y517" s="324"/>
      <c r="Z517" s="324"/>
      <c r="AA517" s="324"/>
      <c r="AB517" s="324"/>
      <c r="AC517" s="324"/>
      <c r="AD517" s="324"/>
      <c r="AE517" s="324"/>
      <c r="AF517" s="324"/>
      <c r="AG517" s="324"/>
      <c r="AH517" s="324"/>
      <c r="AI517" s="324"/>
      <c r="AJ517" s="324"/>
      <c r="AK517" s="324"/>
      <c r="AL517" s="324"/>
      <c r="AM517" s="324"/>
      <c r="AN517" s="324"/>
      <c r="AO517" s="324"/>
      <c r="AP517" s="324"/>
      <c r="AQ517" s="324"/>
      <c r="AR517" s="324"/>
      <c r="AS517" s="324"/>
      <c r="AT517" s="324"/>
      <c r="AU517" s="324"/>
      <c r="AV517" s="324"/>
      <c r="AW517" s="324"/>
      <c r="AX517" s="324"/>
      <c r="AY517" s="324"/>
      <c r="AZ517" s="325"/>
      <c r="BA517" s="325"/>
      <c r="BB517" s="325"/>
      <c r="BC517" s="325"/>
      <c r="BD517" s="325"/>
      <c r="BE517" s="325"/>
      <c r="BF517" s="325"/>
      <c r="BG517" s="325"/>
      <c r="BH517" s="325"/>
      <c r="BI517" s="325"/>
      <c r="BJ517" s="325"/>
      <c r="BK517" s="325"/>
      <c r="BL517" s="325"/>
      <c r="BM517" s="325"/>
      <c r="BN517" s="325"/>
      <c r="BO517" s="325"/>
      <c r="BP517" s="325"/>
      <c r="BQ517" s="325"/>
    </row>
    <row r="518" spans="1:69" ht="14.25" customHeight="1" x14ac:dyDescent="0.2">
      <c r="A518" s="28"/>
      <c r="B518" s="28"/>
      <c r="C518" s="28"/>
      <c r="D518" s="324"/>
      <c r="E518" s="324"/>
      <c r="F518" s="324"/>
      <c r="G518" s="324"/>
      <c r="H518" s="324"/>
      <c r="I518" s="324"/>
      <c r="J518" s="324"/>
      <c r="K518" s="324"/>
      <c r="L518" s="324"/>
      <c r="M518" s="324"/>
      <c r="N518" s="324"/>
      <c r="O518" s="324"/>
      <c r="P518" s="324"/>
      <c r="Q518" s="324"/>
      <c r="R518" s="324"/>
      <c r="S518" s="324"/>
      <c r="T518" s="324"/>
      <c r="U518" s="324"/>
      <c r="V518" s="324"/>
      <c r="W518" s="324"/>
      <c r="X518" s="324"/>
      <c r="Y518" s="324"/>
      <c r="Z518" s="324"/>
      <c r="AA518" s="324"/>
      <c r="AB518" s="324"/>
      <c r="AC518" s="324"/>
      <c r="AD518" s="324"/>
      <c r="AE518" s="324"/>
      <c r="AF518" s="324"/>
      <c r="AG518" s="324"/>
      <c r="AH518" s="324"/>
      <c r="AI518" s="324"/>
      <c r="AJ518" s="324"/>
      <c r="AK518" s="324"/>
      <c r="AL518" s="324"/>
      <c r="AM518" s="324"/>
      <c r="AN518" s="324"/>
      <c r="AO518" s="324"/>
      <c r="AP518" s="324"/>
      <c r="AQ518" s="324"/>
      <c r="AR518" s="324"/>
      <c r="AS518" s="324"/>
      <c r="AT518" s="324"/>
      <c r="AU518" s="324"/>
      <c r="AV518" s="324"/>
      <c r="AW518" s="324"/>
      <c r="AX518" s="324"/>
      <c r="AY518" s="324"/>
      <c r="AZ518" s="325"/>
      <c r="BA518" s="325"/>
      <c r="BB518" s="325"/>
      <c r="BC518" s="325"/>
      <c r="BD518" s="325"/>
      <c r="BE518" s="325"/>
      <c r="BF518" s="325"/>
      <c r="BG518" s="325"/>
      <c r="BH518" s="325"/>
      <c r="BI518" s="325"/>
      <c r="BJ518" s="325"/>
      <c r="BK518" s="325"/>
      <c r="BL518" s="325"/>
      <c r="BM518" s="325"/>
      <c r="BN518" s="325"/>
      <c r="BO518" s="325"/>
      <c r="BP518" s="325"/>
      <c r="BQ518" s="325"/>
    </row>
    <row r="519" spans="1:69" ht="14.25" customHeight="1" x14ac:dyDescent="0.2">
      <c r="A519" s="28"/>
      <c r="B519" s="28"/>
      <c r="C519" s="28"/>
      <c r="D519" s="324"/>
      <c r="E519" s="324"/>
      <c r="F519" s="324"/>
      <c r="G519" s="324"/>
      <c r="H519" s="324"/>
      <c r="I519" s="324"/>
      <c r="J519" s="324"/>
      <c r="K519" s="324"/>
      <c r="L519" s="324"/>
      <c r="M519" s="324"/>
      <c r="N519" s="324"/>
      <c r="O519" s="324"/>
      <c r="P519" s="324"/>
      <c r="Q519" s="324"/>
      <c r="R519" s="324"/>
      <c r="S519" s="324"/>
      <c r="T519" s="324"/>
      <c r="U519" s="324"/>
      <c r="V519" s="324"/>
      <c r="W519" s="324"/>
      <c r="X519" s="324"/>
      <c r="Y519" s="324"/>
      <c r="Z519" s="324"/>
      <c r="AA519" s="324"/>
      <c r="AB519" s="324"/>
      <c r="AC519" s="324"/>
      <c r="AD519" s="324"/>
      <c r="AE519" s="324"/>
      <c r="AF519" s="324"/>
      <c r="AG519" s="324"/>
      <c r="AH519" s="324"/>
      <c r="AI519" s="324"/>
      <c r="AJ519" s="324"/>
      <c r="AK519" s="324"/>
      <c r="AL519" s="324"/>
      <c r="AM519" s="324"/>
      <c r="AN519" s="324"/>
      <c r="AO519" s="324"/>
      <c r="AP519" s="324"/>
      <c r="AQ519" s="324"/>
      <c r="AR519" s="324"/>
      <c r="AS519" s="324"/>
      <c r="AT519" s="324"/>
      <c r="AU519" s="324"/>
      <c r="AV519" s="324"/>
      <c r="AW519" s="324"/>
      <c r="AX519" s="324"/>
      <c r="AY519" s="324"/>
      <c r="AZ519" s="325"/>
      <c r="BA519" s="325"/>
      <c r="BB519" s="325"/>
      <c r="BC519" s="325"/>
      <c r="BD519" s="325"/>
      <c r="BE519" s="325"/>
      <c r="BF519" s="325"/>
      <c r="BG519" s="325"/>
      <c r="BH519" s="325"/>
      <c r="BI519" s="325"/>
      <c r="BJ519" s="325"/>
      <c r="BK519" s="325"/>
      <c r="BL519" s="325"/>
      <c r="BM519" s="325"/>
      <c r="BN519" s="325"/>
      <c r="BO519" s="325"/>
      <c r="BP519" s="325"/>
      <c r="BQ519" s="325"/>
    </row>
    <row r="520" spans="1:69" ht="14.25" customHeight="1" x14ac:dyDescent="0.2">
      <c r="A520" s="28"/>
      <c r="B520" s="28"/>
      <c r="C520" s="28"/>
      <c r="D520" s="324"/>
      <c r="E520" s="324"/>
      <c r="F520" s="324"/>
      <c r="G520" s="324"/>
      <c r="H520" s="324"/>
      <c r="I520" s="324"/>
      <c r="J520" s="324"/>
      <c r="K520" s="324"/>
      <c r="L520" s="324"/>
      <c r="M520" s="324"/>
      <c r="N520" s="324"/>
      <c r="O520" s="324"/>
      <c r="P520" s="324"/>
      <c r="Q520" s="324"/>
      <c r="R520" s="324"/>
      <c r="S520" s="324"/>
      <c r="T520" s="324"/>
      <c r="U520" s="324"/>
      <c r="V520" s="324"/>
      <c r="W520" s="324"/>
      <c r="X520" s="324"/>
      <c r="Y520" s="324"/>
      <c r="Z520" s="324"/>
      <c r="AA520" s="324"/>
      <c r="AB520" s="324"/>
      <c r="AC520" s="324"/>
      <c r="AD520" s="324"/>
      <c r="AE520" s="324"/>
      <c r="AF520" s="324"/>
      <c r="AG520" s="324"/>
      <c r="AH520" s="324"/>
      <c r="AI520" s="324"/>
      <c r="AJ520" s="324"/>
      <c r="AK520" s="324"/>
      <c r="AL520" s="324"/>
      <c r="AM520" s="324"/>
      <c r="AN520" s="324"/>
      <c r="AO520" s="324"/>
      <c r="AP520" s="324"/>
      <c r="AQ520" s="324"/>
      <c r="AR520" s="324"/>
      <c r="AS520" s="324"/>
      <c r="AT520" s="324"/>
      <c r="AU520" s="324"/>
      <c r="AV520" s="324"/>
      <c r="AW520" s="324"/>
      <c r="AX520" s="324"/>
      <c r="AY520" s="324"/>
      <c r="AZ520" s="325"/>
      <c r="BA520" s="325"/>
      <c r="BB520" s="325"/>
      <c r="BC520" s="325"/>
      <c r="BD520" s="325"/>
      <c r="BE520" s="325"/>
      <c r="BF520" s="325"/>
      <c r="BG520" s="325"/>
      <c r="BH520" s="325"/>
      <c r="BI520" s="325"/>
      <c r="BJ520" s="325"/>
      <c r="BK520" s="325"/>
      <c r="BL520" s="325"/>
      <c r="BM520" s="325"/>
      <c r="BN520" s="325"/>
      <c r="BO520" s="325"/>
      <c r="BP520" s="325"/>
      <c r="BQ520" s="325"/>
    </row>
    <row r="521" spans="1:69" ht="14.25" customHeight="1" x14ac:dyDescent="0.2">
      <c r="A521" s="28"/>
      <c r="B521" s="28"/>
      <c r="C521" s="28"/>
      <c r="D521" s="324"/>
      <c r="E521" s="324"/>
      <c r="F521" s="324"/>
      <c r="G521" s="324"/>
      <c r="H521" s="324"/>
      <c r="I521" s="324"/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324"/>
      <c r="U521" s="324"/>
      <c r="V521" s="324"/>
      <c r="W521" s="324"/>
      <c r="X521" s="324"/>
      <c r="Y521" s="324"/>
      <c r="Z521" s="324"/>
      <c r="AA521" s="324"/>
      <c r="AB521" s="324"/>
      <c r="AC521" s="324"/>
      <c r="AD521" s="324"/>
      <c r="AE521" s="324"/>
      <c r="AF521" s="324"/>
      <c r="AG521" s="324"/>
      <c r="AH521" s="324"/>
      <c r="AI521" s="324"/>
      <c r="AJ521" s="324"/>
      <c r="AK521" s="324"/>
      <c r="AL521" s="324"/>
      <c r="AM521" s="324"/>
      <c r="AN521" s="324"/>
      <c r="AO521" s="324"/>
      <c r="AP521" s="324"/>
      <c r="AQ521" s="324"/>
      <c r="AR521" s="324"/>
      <c r="AS521" s="324"/>
      <c r="AT521" s="324"/>
      <c r="AU521" s="324"/>
      <c r="AV521" s="324"/>
      <c r="AW521" s="324"/>
      <c r="AX521" s="324"/>
      <c r="AY521" s="324"/>
      <c r="AZ521" s="325"/>
      <c r="BA521" s="325"/>
      <c r="BB521" s="325"/>
      <c r="BC521" s="325"/>
      <c r="BD521" s="325"/>
      <c r="BE521" s="325"/>
      <c r="BF521" s="325"/>
      <c r="BG521" s="325"/>
      <c r="BH521" s="325"/>
      <c r="BI521" s="325"/>
      <c r="BJ521" s="325"/>
      <c r="BK521" s="325"/>
      <c r="BL521" s="325"/>
      <c r="BM521" s="325"/>
      <c r="BN521" s="325"/>
      <c r="BO521" s="325"/>
      <c r="BP521" s="325"/>
      <c r="BQ521" s="325"/>
    </row>
    <row r="522" spans="1:69" ht="14.25" customHeight="1" x14ac:dyDescent="0.2">
      <c r="A522" s="28"/>
      <c r="B522" s="28"/>
      <c r="C522" s="28"/>
      <c r="D522" s="324"/>
      <c r="E522" s="324"/>
      <c r="F522" s="324"/>
      <c r="G522" s="324"/>
      <c r="H522" s="324"/>
      <c r="I522" s="324"/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324"/>
      <c r="U522" s="324"/>
      <c r="V522" s="324"/>
      <c r="W522" s="324"/>
      <c r="X522" s="324"/>
      <c r="Y522" s="324"/>
      <c r="Z522" s="324"/>
      <c r="AA522" s="324"/>
      <c r="AB522" s="324"/>
      <c r="AC522" s="324"/>
      <c r="AD522" s="324"/>
      <c r="AE522" s="324"/>
      <c r="AF522" s="324"/>
      <c r="AG522" s="324"/>
      <c r="AH522" s="324"/>
      <c r="AI522" s="324"/>
      <c r="AJ522" s="324"/>
      <c r="AK522" s="324"/>
      <c r="AL522" s="324"/>
      <c r="AM522" s="324"/>
      <c r="AN522" s="324"/>
      <c r="AO522" s="324"/>
      <c r="AP522" s="324"/>
      <c r="AQ522" s="324"/>
      <c r="AR522" s="324"/>
      <c r="AS522" s="324"/>
      <c r="AT522" s="324"/>
      <c r="AU522" s="324"/>
      <c r="AV522" s="324"/>
      <c r="AW522" s="324"/>
      <c r="AX522" s="324"/>
      <c r="AY522" s="324"/>
      <c r="AZ522" s="325"/>
      <c r="BA522" s="325"/>
      <c r="BB522" s="325"/>
      <c r="BC522" s="325"/>
      <c r="BD522" s="325"/>
      <c r="BE522" s="325"/>
      <c r="BF522" s="325"/>
      <c r="BG522" s="325"/>
      <c r="BH522" s="325"/>
      <c r="BI522" s="325"/>
      <c r="BJ522" s="325"/>
      <c r="BK522" s="325"/>
      <c r="BL522" s="325"/>
      <c r="BM522" s="325"/>
      <c r="BN522" s="325"/>
      <c r="BO522" s="325"/>
      <c r="BP522" s="325"/>
      <c r="BQ522" s="325"/>
    </row>
    <row r="523" spans="1:69" ht="14.25" customHeight="1" x14ac:dyDescent="0.2">
      <c r="A523" s="28"/>
      <c r="B523" s="28"/>
      <c r="C523" s="28"/>
      <c r="D523" s="324"/>
      <c r="E523" s="324"/>
      <c r="F523" s="324"/>
      <c r="G523" s="324"/>
      <c r="H523" s="324"/>
      <c r="I523" s="324"/>
      <c r="J523" s="324"/>
      <c r="K523" s="324"/>
      <c r="L523" s="324"/>
      <c r="M523" s="324"/>
      <c r="N523" s="324"/>
      <c r="O523" s="324"/>
      <c r="P523" s="324"/>
      <c r="Q523" s="324"/>
      <c r="R523" s="324"/>
      <c r="S523" s="324"/>
      <c r="T523" s="324"/>
      <c r="U523" s="324"/>
      <c r="V523" s="324"/>
      <c r="W523" s="324"/>
      <c r="X523" s="324"/>
      <c r="Y523" s="324"/>
      <c r="Z523" s="324"/>
      <c r="AA523" s="324"/>
      <c r="AB523" s="324"/>
      <c r="AC523" s="324"/>
      <c r="AD523" s="324"/>
      <c r="AE523" s="324"/>
      <c r="AF523" s="324"/>
      <c r="AG523" s="324"/>
      <c r="AH523" s="324"/>
      <c r="AI523" s="324"/>
      <c r="AJ523" s="324"/>
      <c r="AK523" s="324"/>
      <c r="AL523" s="324"/>
      <c r="AM523" s="324"/>
      <c r="AN523" s="324"/>
      <c r="AO523" s="324"/>
      <c r="AP523" s="324"/>
      <c r="AQ523" s="324"/>
      <c r="AR523" s="324"/>
      <c r="AS523" s="324"/>
      <c r="AT523" s="324"/>
      <c r="AU523" s="324"/>
      <c r="AV523" s="324"/>
      <c r="AW523" s="324"/>
      <c r="AX523" s="324"/>
      <c r="AY523" s="324"/>
      <c r="AZ523" s="325"/>
      <c r="BA523" s="325"/>
      <c r="BB523" s="325"/>
      <c r="BC523" s="325"/>
      <c r="BD523" s="325"/>
      <c r="BE523" s="325"/>
      <c r="BF523" s="325"/>
      <c r="BG523" s="325"/>
      <c r="BH523" s="325"/>
      <c r="BI523" s="325"/>
      <c r="BJ523" s="325"/>
      <c r="BK523" s="325"/>
      <c r="BL523" s="325"/>
      <c r="BM523" s="325"/>
      <c r="BN523" s="325"/>
      <c r="BO523" s="325"/>
      <c r="BP523" s="325"/>
      <c r="BQ523" s="325"/>
    </row>
    <row r="524" spans="1:69" ht="14.25" customHeight="1" x14ac:dyDescent="0.2">
      <c r="A524" s="28"/>
      <c r="B524" s="28"/>
      <c r="C524" s="28"/>
      <c r="D524" s="324"/>
      <c r="E524" s="324"/>
      <c r="F524" s="324"/>
      <c r="G524" s="324"/>
      <c r="H524" s="324"/>
      <c r="I524" s="324"/>
      <c r="J524" s="324"/>
      <c r="K524" s="324"/>
      <c r="L524" s="324"/>
      <c r="M524" s="324"/>
      <c r="N524" s="324"/>
      <c r="O524" s="324"/>
      <c r="P524" s="324"/>
      <c r="Q524" s="324"/>
      <c r="R524" s="324"/>
      <c r="S524" s="324"/>
      <c r="T524" s="324"/>
      <c r="U524" s="324"/>
      <c r="V524" s="324"/>
      <c r="W524" s="324"/>
      <c r="X524" s="324"/>
      <c r="Y524" s="324"/>
      <c r="Z524" s="324"/>
      <c r="AA524" s="324"/>
      <c r="AB524" s="324"/>
      <c r="AC524" s="324"/>
      <c r="AD524" s="324"/>
      <c r="AE524" s="324"/>
      <c r="AF524" s="324"/>
      <c r="AG524" s="324"/>
      <c r="AH524" s="324"/>
      <c r="AI524" s="324"/>
      <c r="AJ524" s="324"/>
      <c r="AK524" s="324"/>
      <c r="AL524" s="324"/>
      <c r="AM524" s="324"/>
      <c r="AN524" s="324"/>
      <c r="AO524" s="324"/>
      <c r="AP524" s="324"/>
      <c r="AQ524" s="324"/>
      <c r="AR524" s="324"/>
      <c r="AS524" s="324"/>
      <c r="AT524" s="324"/>
      <c r="AU524" s="324"/>
      <c r="AV524" s="324"/>
      <c r="AW524" s="324"/>
      <c r="AX524" s="324"/>
      <c r="AY524" s="324"/>
      <c r="AZ524" s="325"/>
      <c r="BA524" s="325"/>
      <c r="BB524" s="325"/>
      <c r="BC524" s="325"/>
      <c r="BD524" s="325"/>
      <c r="BE524" s="325"/>
      <c r="BF524" s="325"/>
      <c r="BG524" s="325"/>
      <c r="BH524" s="325"/>
      <c r="BI524" s="325"/>
      <c r="BJ524" s="325"/>
      <c r="BK524" s="325"/>
      <c r="BL524" s="325"/>
      <c r="BM524" s="325"/>
      <c r="BN524" s="325"/>
      <c r="BO524" s="325"/>
      <c r="BP524" s="325"/>
      <c r="BQ524" s="325"/>
    </row>
    <row r="525" spans="1:69" ht="14.25" customHeight="1" x14ac:dyDescent="0.2">
      <c r="A525" s="28"/>
      <c r="B525" s="28"/>
      <c r="C525" s="28"/>
      <c r="D525" s="324"/>
      <c r="E525" s="324"/>
      <c r="F525" s="324"/>
      <c r="G525" s="324"/>
      <c r="H525" s="324"/>
      <c r="I525" s="324"/>
      <c r="J525" s="324"/>
      <c r="K525" s="324"/>
      <c r="L525" s="324"/>
      <c r="M525" s="324"/>
      <c r="N525" s="324"/>
      <c r="O525" s="324"/>
      <c r="P525" s="324"/>
      <c r="Q525" s="324"/>
      <c r="R525" s="324"/>
      <c r="S525" s="324"/>
      <c r="T525" s="324"/>
      <c r="U525" s="324"/>
      <c r="V525" s="324"/>
      <c r="W525" s="324"/>
      <c r="X525" s="324"/>
      <c r="Y525" s="324"/>
      <c r="Z525" s="324"/>
      <c r="AA525" s="324"/>
      <c r="AB525" s="324"/>
      <c r="AC525" s="324"/>
      <c r="AD525" s="324"/>
      <c r="AE525" s="324"/>
      <c r="AF525" s="324"/>
      <c r="AG525" s="324"/>
      <c r="AH525" s="324"/>
      <c r="AI525" s="324"/>
      <c r="AJ525" s="324"/>
      <c r="AK525" s="324"/>
      <c r="AL525" s="324"/>
      <c r="AM525" s="324"/>
      <c r="AN525" s="324"/>
      <c r="AO525" s="324"/>
      <c r="AP525" s="324"/>
      <c r="AQ525" s="324"/>
      <c r="AR525" s="324"/>
      <c r="AS525" s="324"/>
      <c r="AT525" s="324"/>
      <c r="AU525" s="324"/>
      <c r="AV525" s="324"/>
      <c r="AW525" s="324"/>
      <c r="AX525" s="324"/>
      <c r="AY525" s="324"/>
      <c r="AZ525" s="325"/>
      <c r="BA525" s="325"/>
      <c r="BB525" s="325"/>
      <c r="BC525" s="325"/>
      <c r="BD525" s="325"/>
      <c r="BE525" s="325"/>
      <c r="BF525" s="325"/>
      <c r="BG525" s="325"/>
      <c r="BH525" s="325"/>
      <c r="BI525" s="325"/>
      <c r="BJ525" s="325"/>
      <c r="BK525" s="325"/>
      <c r="BL525" s="325"/>
      <c r="BM525" s="325"/>
      <c r="BN525" s="325"/>
      <c r="BO525" s="325"/>
      <c r="BP525" s="325"/>
      <c r="BQ525" s="325"/>
    </row>
    <row r="526" spans="1:69" ht="14.25" customHeight="1" x14ac:dyDescent="0.2">
      <c r="A526" s="28"/>
      <c r="B526" s="28"/>
      <c r="C526" s="28"/>
      <c r="D526" s="324"/>
      <c r="E526" s="324"/>
      <c r="F526" s="324"/>
      <c r="G526" s="324"/>
      <c r="H526" s="324"/>
      <c r="I526" s="324"/>
      <c r="J526" s="324"/>
      <c r="K526" s="324"/>
      <c r="L526" s="324"/>
      <c r="M526" s="324"/>
      <c r="N526" s="324"/>
      <c r="O526" s="324"/>
      <c r="P526" s="324"/>
      <c r="Q526" s="324"/>
      <c r="R526" s="324"/>
      <c r="S526" s="324"/>
      <c r="T526" s="324"/>
      <c r="U526" s="324"/>
      <c r="V526" s="324"/>
      <c r="W526" s="324"/>
      <c r="X526" s="324"/>
      <c r="Y526" s="324"/>
      <c r="Z526" s="324"/>
      <c r="AA526" s="324"/>
      <c r="AB526" s="324"/>
      <c r="AC526" s="324"/>
      <c r="AD526" s="324"/>
      <c r="AE526" s="324"/>
      <c r="AF526" s="324"/>
      <c r="AG526" s="324"/>
      <c r="AH526" s="324"/>
      <c r="AI526" s="324"/>
      <c r="AJ526" s="324"/>
      <c r="AK526" s="324"/>
      <c r="AL526" s="324"/>
      <c r="AM526" s="324"/>
      <c r="AN526" s="324"/>
      <c r="AO526" s="324"/>
      <c r="AP526" s="324"/>
      <c r="AQ526" s="324"/>
      <c r="AR526" s="324"/>
      <c r="AS526" s="324"/>
      <c r="AT526" s="324"/>
      <c r="AU526" s="324"/>
      <c r="AV526" s="324"/>
      <c r="AW526" s="324"/>
      <c r="AX526" s="324"/>
      <c r="AY526" s="324"/>
      <c r="AZ526" s="325"/>
      <c r="BA526" s="325"/>
      <c r="BB526" s="325"/>
      <c r="BC526" s="325"/>
      <c r="BD526" s="325"/>
      <c r="BE526" s="325"/>
      <c r="BF526" s="325"/>
      <c r="BG526" s="325"/>
      <c r="BH526" s="325"/>
      <c r="BI526" s="325"/>
      <c r="BJ526" s="325"/>
      <c r="BK526" s="325"/>
      <c r="BL526" s="325"/>
      <c r="BM526" s="325"/>
      <c r="BN526" s="325"/>
      <c r="BO526" s="325"/>
      <c r="BP526" s="325"/>
      <c r="BQ526" s="325"/>
    </row>
    <row r="527" spans="1:69" ht="14.25" customHeight="1" x14ac:dyDescent="0.2">
      <c r="A527" s="28"/>
      <c r="B527" s="28"/>
      <c r="C527" s="28"/>
      <c r="D527" s="324"/>
      <c r="E527" s="324"/>
      <c r="F527" s="324"/>
      <c r="G527" s="324"/>
      <c r="H527" s="324"/>
      <c r="I527" s="324"/>
      <c r="J527" s="324"/>
      <c r="K527" s="324"/>
      <c r="L527" s="324"/>
      <c r="M527" s="324"/>
      <c r="N527" s="324"/>
      <c r="O527" s="324"/>
      <c r="P527" s="324"/>
      <c r="Q527" s="324"/>
      <c r="R527" s="324"/>
      <c r="S527" s="324"/>
      <c r="T527" s="324"/>
      <c r="U527" s="324"/>
      <c r="V527" s="324"/>
      <c r="W527" s="324"/>
      <c r="X527" s="324"/>
      <c r="Y527" s="324"/>
      <c r="Z527" s="324"/>
      <c r="AA527" s="324"/>
      <c r="AB527" s="324"/>
      <c r="AC527" s="324"/>
      <c r="AD527" s="324"/>
      <c r="AE527" s="324"/>
      <c r="AF527" s="324"/>
      <c r="AG527" s="324"/>
      <c r="AH527" s="324"/>
      <c r="AI527" s="324"/>
      <c r="AJ527" s="324"/>
      <c r="AK527" s="324"/>
      <c r="AL527" s="324"/>
      <c r="AM527" s="324"/>
      <c r="AN527" s="324"/>
      <c r="AO527" s="324"/>
      <c r="AP527" s="324"/>
      <c r="AQ527" s="324"/>
      <c r="AR527" s="324"/>
      <c r="AS527" s="324"/>
      <c r="AT527" s="324"/>
      <c r="AU527" s="324"/>
      <c r="AV527" s="324"/>
      <c r="AW527" s="324"/>
      <c r="AX527" s="324"/>
      <c r="AY527" s="324"/>
      <c r="AZ527" s="325"/>
      <c r="BA527" s="325"/>
      <c r="BB527" s="325"/>
      <c r="BC527" s="325"/>
      <c r="BD527" s="325"/>
      <c r="BE527" s="325"/>
      <c r="BF527" s="325"/>
      <c r="BG527" s="325"/>
      <c r="BH527" s="325"/>
      <c r="BI527" s="325"/>
      <c r="BJ527" s="325"/>
      <c r="BK527" s="325"/>
      <c r="BL527" s="325"/>
      <c r="BM527" s="325"/>
      <c r="BN527" s="325"/>
      <c r="BO527" s="325"/>
      <c r="BP527" s="325"/>
      <c r="BQ527" s="325"/>
    </row>
    <row r="528" spans="1:69" ht="14.25" customHeight="1" x14ac:dyDescent="0.2">
      <c r="A528" s="28"/>
      <c r="B528" s="28"/>
      <c r="C528" s="28"/>
      <c r="D528" s="324"/>
      <c r="E528" s="324"/>
      <c r="F528" s="324"/>
      <c r="G528" s="324"/>
      <c r="H528" s="324"/>
      <c r="I528" s="324"/>
      <c r="J528" s="324"/>
      <c r="K528" s="324"/>
      <c r="L528" s="324"/>
      <c r="M528" s="324"/>
      <c r="N528" s="324"/>
      <c r="O528" s="324"/>
      <c r="P528" s="324"/>
      <c r="Q528" s="324"/>
      <c r="R528" s="324"/>
      <c r="S528" s="324"/>
      <c r="T528" s="324"/>
      <c r="U528" s="324"/>
      <c r="V528" s="324"/>
      <c r="W528" s="324"/>
      <c r="X528" s="324"/>
      <c r="Y528" s="324"/>
      <c r="Z528" s="324"/>
      <c r="AA528" s="324"/>
      <c r="AB528" s="324"/>
      <c r="AC528" s="324"/>
      <c r="AD528" s="324"/>
      <c r="AE528" s="324"/>
      <c r="AF528" s="324"/>
      <c r="AG528" s="324"/>
      <c r="AH528" s="324"/>
      <c r="AI528" s="324"/>
      <c r="AJ528" s="324"/>
      <c r="AK528" s="324"/>
      <c r="AL528" s="324"/>
      <c r="AM528" s="324"/>
      <c r="AN528" s="324"/>
      <c r="AO528" s="324"/>
      <c r="AP528" s="324"/>
      <c r="AQ528" s="324"/>
      <c r="AR528" s="324"/>
      <c r="AS528" s="324"/>
      <c r="AT528" s="324"/>
      <c r="AU528" s="324"/>
      <c r="AV528" s="324"/>
      <c r="AW528" s="324"/>
      <c r="AX528" s="324"/>
      <c r="AY528" s="324"/>
      <c r="AZ528" s="325"/>
      <c r="BA528" s="325"/>
      <c r="BB528" s="325"/>
      <c r="BC528" s="325"/>
      <c r="BD528" s="325"/>
      <c r="BE528" s="325"/>
      <c r="BF528" s="325"/>
      <c r="BG528" s="325"/>
      <c r="BH528" s="325"/>
      <c r="BI528" s="325"/>
      <c r="BJ528" s="325"/>
      <c r="BK528" s="325"/>
      <c r="BL528" s="325"/>
      <c r="BM528" s="325"/>
      <c r="BN528" s="325"/>
      <c r="BO528" s="325"/>
      <c r="BP528" s="325"/>
      <c r="BQ528" s="325"/>
    </row>
    <row r="529" spans="1:69" ht="14.25" customHeight="1" x14ac:dyDescent="0.2">
      <c r="A529" s="28"/>
      <c r="B529" s="28"/>
      <c r="C529" s="28"/>
      <c r="D529" s="324"/>
      <c r="E529" s="324"/>
      <c r="F529" s="324"/>
      <c r="G529" s="324"/>
      <c r="H529" s="324"/>
      <c r="I529" s="324"/>
      <c r="J529" s="324"/>
      <c r="K529" s="324"/>
      <c r="L529" s="324"/>
      <c r="M529" s="324"/>
      <c r="N529" s="324"/>
      <c r="O529" s="324"/>
      <c r="P529" s="324"/>
      <c r="Q529" s="324"/>
      <c r="R529" s="324"/>
      <c r="S529" s="324"/>
      <c r="T529" s="324"/>
      <c r="U529" s="324"/>
      <c r="V529" s="324"/>
      <c r="W529" s="324"/>
      <c r="X529" s="324"/>
      <c r="Y529" s="324"/>
      <c r="Z529" s="324"/>
      <c r="AA529" s="324"/>
      <c r="AB529" s="324"/>
      <c r="AC529" s="324"/>
      <c r="AD529" s="324"/>
      <c r="AE529" s="324"/>
      <c r="AF529" s="324"/>
      <c r="AG529" s="324"/>
      <c r="AH529" s="324"/>
      <c r="AI529" s="324"/>
      <c r="AJ529" s="324"/>
      <c r="AK529" s="324"/>
      <c r="AL529" s="324"/>
      <c r="AM529" s="324"/>
      <c r="AN529" s="324"/>
      <c r="AO529" s="324"/>
      <c r="AP529" s="324"/>
      <c r="AQ529" s="324"/>
      <c r="AR529" s="324"/>
      <c r="AS529" s="324"/>
      <c r="AT529" s="324"/>
      <c r="AU529" s="324"/>
      <c r="AV529" s="324"/>
      <c r="AW529" s="324"/>
      <c r="AX529" s="324"/>
      <c r="AY529" s="324"/>
      <c r="AZ529" s="325"/>
      <c r="BA529" s="325"/>
      <c r="BB529" s="325"/>
      <c r="BC529" s="325"/>
      <c r="BD529" s="325"/>
      <c r="BE529" s="325"/>
      <c r="BF529" s="325"/>
      <c r="BG529" s="325"/>
      <c r="BH529" s="325"/>
      <c r="BI529" s="325"/>
      <c r="BJ529" s="325"/>
      <c r="BK529" s="325"/>
      <c r="BL529" s="325"/>
      <c r="BM529" s="325"/>
      <c r="BN529" s="325"/>
      <c r="BO529" s="325"/>
      <c r="BP529" s="325"/>
      <c r="BQ529" s="325"/>
    </row>
    <row r="530" spans="1:69" ht="14.25" customHeight="1" x14ac:dyDescent="0.2">
      <c r="A530" s="28"/>
      <c r="B530" s="28"/>
      <c r="C530" s="28"/>
      <c r="D530" s="324"/>
      <c r="E530" s="324"/>
      <c r="F530" s="324"/>
      <c r="G530" s="324"/>
      <c r="H530" s="324"/>
      <c r="I530" s="324"/>
      <c r="J530" s="324"/>
      <c r="K530" s="324"/>
      <c r="L530" s="324"/>
      <c r="M530" s="324"/>
      <c r="N530" s="324"/>
      <c r="O530" s="324"/>
      <c r="P530" s="324"/>
      <c r="Q530" s="324"/>
      <c r="R530" s="324"/>
      <c r="S530" s="324"/>
      <c r="T530" s="324"/>
      <c r="U530" s="324"/>
      <c r="V530" s="324"/>
      <c r="W530" s="324"/>
      <c r="X530" s="324"/>
      <c r="Y530" s="324"/>
      <c r="Z530" s="324"/>
      <c r="AA530" s="324"/>
      <c r="AB530" s="324"/>
      <c r="AC530" s="324"/>
      <c r="AD530" s="324"/>
      <c r="AE530" s="324"/>
      <c r="AF530" s="324"/>
      <c r="AG530" s="324"/>
      <c r="AH530" s="324"/>
      <c r="AI530" s="324"/>
      <c r="AJ530" s="324"/>
      <c r="AK530" s="324"/>
      <c r="AL530" s="324"/>
      <c r="AM530" s="324"/>
      <c r="AN530" s="324"/>
      <c r="AO530" s="324"/>
      <c r="AP530" s="324"/>
      <c r="AQ530" s="324"/>
      <c r="AR530" s="324"/>
      <c r="AS530" s="324"/>
      <c r="AT530" s="324"/>
      <c r="AU530" s="324"/>
      <c r="AV530" s="324"/>
      <c r="AW530" s="324"/>
      <c r="AX530" s="324"/>
      <c r="AY530" s="324"/>
      <c r="AZ530" s="325"/>
      <c r="BA530" s="325"/>
      <c r="BB530" s="325"/>
      <c r="BC530" s="325"/>
      <c r="BD530" s="325"/>
      <c r="BE530" s="325"/>
      <c r="BF530" s="325"/>
      <c r="BG530" s="325"/>
      <c r="BH530" s="325"/>
      <c r="BI530" s="325"/>
      <c r="BJ530" s="325"/>
      <c r="BK530" s="325"/>
      <c r="BL530" s="325"/>
      <c r="BM530" s="325"/>
      <c r="BN530" s="325"/>
      <c r="BO530" s="325"/>
      <c r="BP530" s="325"/>
      <c r="BQ530" s="325"/>
    </row>
    <row r="531" spans="1:69" ht="14.25" customHeight="1" x14ac:dyDescent="0.2">
      <c r="A531" s="28"/>
      <c r="B531" s="28"/>
      <c r="C531" s="28"/>
      <c r="D531" s="324"/>
      <c r="E531" s="324"/>
      <c r="F531" s="324"/>
      <c r="G531" s="324"/>
      <c r="H531" s="324"/>
      <c r="I531" s="324"/>
      <c r="J531" s="324"/>
      <c r="K531" s="324"/>
      <c r="L531" s="324"/>
      <c r="M531" s="324"/>
      <c r="N531" s="324"/>
      <c r="O531" s="324"/>
      <c r="P531" s="324"/>
      <c r="Q531" s="324"/>
      <c r="R531" s="324"/>
      <c r="S531" s="324"/>
      <c r="T531" s="324"/>
      <c r="U531" s="324"/>
      <c r="V531" s="324"/>
      <c r="W531" s="324"/>
      <c r="X531" s="324"/>
      <c r="Y531" s="324"/>
      <c r="Z531" s="324"/>
      <c r="AA531" s="324"/>
      <c r="AB531" s="324"/>
      <c r="AC531" s="324"/>
      <c r="AD531" s="324"/>
      <c r="AE531" s="324"/>
      <c r="AF531" s="324"/>
      <c r="AG531" s="324"/>
      <c r="AH531" s="324"/>
      <c r="AI531" s="324"/>
      <c r="AJ531" s="324"/>
      <c r="AK531" s="324"/>
      <c r="AL531" s="324"/>
      <c r="AM531" s="324"/>
      <c r="AN531" s="324"/>
      <c r="AO531" s="324"/>
      <c r="AP531" s="324"/>
      <c r="AQ531" s="324"/>
      <c r="AR531" s="324"/>
      <c r="AS531" s="324"/>
      <c r="AT531" s="324"/>
      <c r="AU531" s="324"/>
      <c r="AV531" s="324"/>
      <c r="AW531" s="324"/>
      <c r="AX531" s="324"/>
      <c r="AY531" s="324"/>
      <c r="AZ531" s="325"/>
      <c r="BA531" s="325"/>
      <c r="BB531" s="325"/>
      <c r="BC531" s="325"/>
      <c r="BD531" s="325"/>
      <c r="BE531" s="325"/>
      <c r="BF531" s="325"/>
      <c r="BG531" s="325"/>
      <c r="BH531" s="325"/>
      <c r="BI531" s="325"/>
      <c r="BJ531" s="325"/>
      <c r="BK531" s="325"/>
      <c r="BL531" s="325"/>
      <c r="BM531" s="325"/>
      <c r="BN531" s="325"/>
      <c r="BO531" s="325"/>
      <c r="BP531" s="325"/>
      <c r="BQ531" s="325"/>
    </row>
    <row r="532" spans="1:69" ht="14.25" customHeight="1" x14ac:dyDescent="0.2">
      <c r="A532" s="28"/>
      <c r="B532" s="28"/>
      <c r="C532" s="28"/>
      <c r="D532" s="324"/>
      <c r="E532" s="324"/>
      <c r="F532" s="324"/>
      <c r="G532" s="324"/>
      <c r="H532" s="324"/>
      <c r="I532" s="324"/>
      <c r="J532" s="324"/>
      <c r="K532" s="324"/>
      <c r="L532" s="324"/>
      <c r="M532" s="324"/>
      <c r="N532" s="324"/>
      <c r="O532" s="324"/>
      <c r="P532" s="324"/>
      <c r="Q532" s="324"/>
      <c r="R532" s="324"/>
      <c r="S532" s="324"/>
      <c r="T532" s="324"/>
      <c r="U532" s="324"/>
      <c r="V532" s="324"/>
      <c r="W532" s="324"/>
      <c r="X532" s="324"/>
      <c r="Y532" s="324"/>
      <c r="Z532" s="324"/>
      <c r="AA532" s="324"/>
      <c r="AB532" s="324"/>
      <c r="AC532" s="324"/>
      <c r="AD532" s="324"/>
      <c r="AE532" s="324"/>
      <c r="AF532" s="324"/>
      <c r="AG532" s="324"/>
      <c r="AH532" s="324"/>
      <c r="AI532" s="324"/>
      <c r="AJ532" s="324"/>
      <c r="AK532" s="324"/>
      <c r="AL532" s="324"/>
      <c r="AM532" s="324"/>
      <c r="AN532" s="324"/>
      <c r="AO532" s="324"/>
      <c r="AP532" s="324"/>
      <c r="AQ532" s="324"/>
      <c r="AR532" s="324"/>
      <c r="AS532" s="324"/>
      <c r="AT532" s="324"/>
      <c r="AU532" s="324"/>
      <c r="AV532" s="324"/>
      <c r="AW532" s="324"/>
      <c r="AX532" s="324"/>
      <c r="AY532" s="324"/>
      <c r="AZ532" s="325"/>
      <c r="BA532" s="325"/>
      <c r="BB532" s="325"/>
      <c r="BC532" s="325"/>
      <c r="BD532" s="325"/>
      <c r="BE532" s="325"/>
      <c r="BF532" s="325"/>
      <c r="BG532" s="325"/>
      <c r="BH532" s="325"/>
      <c r="BI532" s="325"/>
      <c r="BJ532" s="325"/>
      <c r="BK532" s="325"/>
      <c r="BL532" s="325"/>
      <c r="BM532" s="325"/>
      <c r="BN532" s="325"/>
      <c r="BO532" s="325"/>
      <c r="BP532" s="325"/>
      <c r="BQ532" s="325"/>
    </row>
    <row r="533" spans="1:69" ht="14.25" customHeight="1" x14ac:dyDescent="0.2">
      <c r="A533" s="28"/>
      <c r="B533" s="28"/>
      <c r="C533" s="28"/>
      <c r="D533" s="324"/>
      <c r="E533" s="324"/>
      <c r="F533" s="324"/>
      <c r="G533" s="324"/>
      <c r="H533" s="324"/>
      <c r="I533" s="324"/>
      <c r="J533" s="324"/>
      <c r="K533" s="324"/>
      <c r="L533" s="324"/>
      <c r="M533" s="324"/>
      <c r="N533" s="324"/>
      <c r="O533" s="324"/>
      <c r="P533" s="324"/>
      <c r="Q533" s="324"/>
      <c r="R533" s="324"/>
      <c r="S533" s="324"/>
      <c r="T533" s="324"/>
      <c r="U533" s="324"/>
      <c r="V533" s="324"/>
      <c r="W533" s="324"/>
      <c r="X533" s="324"/>
      <c r="Y533" s="324"/>
      <c r="Z533" s="324"/>
      <c r="AA533" s="324"/>
      <c r="AB533" s="324"/>
      <c r="AC533" s="324"/>
      <c r="AD533" s="324"/>
      <c r="AE533" s="324"/>
      <c r="AF533" s="324"/>
      <c r="AG533" s="324"/>
      <c r="AH533" s="324"/>
      <c r="AI533" s="324"/>
      <c r="AJ533" s="324"/>
      <c r="AK533" s="324"/>
      <c r="AL533" s="324"/>
      <c r="AM533" s="324"/>
      <c r="AN533" s="324"/>
      <c r="AO533" s="324"/>
      <c r="AP533" s="324"/>
      <c r="AQ533" s="324"/>
      <c r="AR533" s="324"/>
      <c r="AS533" s="324"/>
      <c r="AT533" s="324"/>
      <c r="AU533" s="324"/>
      <c r="AV533" s="324"/>
      <c r="AW533" s="324"/>
      <c r="AX533" s="324"/>
      <c r="AY533" s="324"/>
      <c r="AZ533" s="325"/>
      <c r="BA533" s="325"/>
      <c r="BB533" s="325"/>
      <c r="BC533" s="325"/>
      <c r="BD533" s="325"/>
      <c r="BE533" s="325"/>
      <c r="BF533" s="325"/>
      <c r="BG533" s="325"/>
      <c r="BH533" s="325"/>
      <c r="BI533" s="325"/>
      <c r="BJ533" s="325"/>
      <c r="BK533" s="325"/>
      <c r="BL533" s="325"/>
      <c r="BM533" s="325"/>
      <c r="BN533" s="325"/>
      <c r="BO533" s="325"/>
      <c r="BP533" s="325"/>
      <c r="BQ533" s="325"/>
    </row>
    <row r="534" spans="1:69" ht="14.25" customHeight="1" x14ac:dyDescent="0.2">
      <c r="A534" s="28"/>
      <c r="B534" s="28"/>
      <c r="C534" s="28"/>
      <c r="D534" s="324"/>
      <c r="E534" s="324"/>
      <c r="F534" s="324"/>
      <c r="G534" s="324"/>
      <c r="H534" s="324"/>
      <c r="I534" s="324"/>
      <c r="J534" s="324"/>
      <c r="K534" s="324"/>
      <c r="L534" s="324"/>
      <c r="M534" s="324"/>
      <c r="N534" s="324"/>
      <c r="O534" s="324"/>
      <c r="P534" s="324"/>
      <c r="Q534" s="324"/>
      <c r="R534" s="324"/>
      <c r="S534" s="324"/>
      <c r="T534" s="324"/>
      <c r="U534" s="324"/>
      <c r="V534" s="324"/>
      <c r="W534" s="324"/>
      <c r="X534" s="324"/>
      <c r="Y534" s="324"/>
      <c r="Z534" s="324"/>
      <c r="AA534" s="324"/>
      <c r="AB534" s="324"/>
      <c r="AC534" s="324"/>
      <c r="AD534" s="324"/>
      <c r="AE534" s="324"/>
      <c r="AF534" s="324"/>
      <c r="AG534" s="324"/>
      <c r="AH534" s="324"/>
      <c r="AI534" s="324"/>
      <c r="AJ534" s="324"/>
      <c r="AK534" s="324"/>
      <c r="AL534" s="324"/>
      <c r="AM534" s="324"/>
      <c r="AN534" s="324"/>
      <c r="AO534" s="324"/>
      <c r="AP534" s="324"/>
      <c r="AQ534" s="324"/>
      <c r="AR534" s="324"/>
      <c r="AS534" s="324"/>
      <c r="AT534" s="324"/>
      <c r="AU534" s="324"/>
      <c r="AV534" s="324"/>
      <c r="AW534" s="324"/>
      <c r="AX534" s="324"/>
      <c r="AY534" s="324"/>
      <c r="AZ534" s="325"/>
      <c r="BA534" s="325"/>
      <c r="BB534" s="325"/>
      <c r="BC534" s="325"/>
      <c r="BD534" s="325"/>
      <c r="BE534" s="325"/>
      <c r="BF534" s="325"/>
      <c r="BG534" s="325"/>
      <c r="BH534" s="325"/>
      <c r="BI534" s="325"/>
      <c r="BJ534" s="325"/>
      <c r="BK534" s="325"/>
      <c r="BL534" s="325"/>
      <c r="BM534" s="325"/>
      <c r="BN534" s="325"/>
      <c r="BO534" s="325"/>
      <c r="BP534" s="325"/>
      <c r="BQ534" s="325"/>
    </row>
    <row r="535" spans="1:69" ht="14.25" customHeight="1" x14ac:dyDescent="0.2">
      <c r="A535" s="28"/>
      <c r="B535" s="28"/>
      <c r="C535" s="28"/>
      <c r="D535" s="324"/>
      <c r="E535" s="324"/>
      <c r="F535" s="324"/>
      <c r="G535" s="324"/>
      <c r="H535" s="324"/>
      <c r="I535" s="324"/>
      <c r="J535" s="324"/>
      <c r="K535" s="324"/>
      <c r="L535" s="324"/>
      <c r="M535" s="324"/>
      <c r="N535" s="324"/>
      <c r="O535" s="324"/>
      <c r="P535" s="324"/>
      <c r="Q535" s="324"/>
      <c r="R535" s="324"/>
      <c r="S535" s="324"/>
      <c r="T535" s="324"/>
      <c r="U535" s="324"/>
      <c r="V535" s="324"/>
      <c r="W535" s="324"/>
      <c r="X535" s="324"/>
      <c r="Y535" s="324"/>
      <c r="Z535" s="324"/>
      <c r="AA535" s="324"/>
      <c r="AB535" s="324"/>
      <c r="AC535" s="324"/>
      <c r="AD535" s="324"/>
      <c r="AE535" s="324"/>
      <c r="AF535" s="324"/>
      <c r="AG535" s="324"/>
      <c r="AH535" s="324"/>
      <c r="AI535" s="324"/>
      <c r="AJ535" s="324"/>
      <c r="AK535" s="324"/>
      <c r="AL535" s="324"/>
      <c r="AM535" s="324"/>
      <c r="AN535" s="324"/>
      <c r="AO535" s="324"/>
      <c r="AP535" s="324"/>
      <c r="AQ535" s="324"/>
      <c r="AR535" s="324"/>
      <c r="AS535" s="324"/>
      <c r="AT535" s="324"/>
      <c r="AU535" s="324"/>
      <c r="AV535" s="324"/>
      <c r="AW535" s="324"/>
      <c r="AX535" s="324"/>
      <c r="AY535" s="324"/>
      <c r="AZ535" s="325"/>
      <c r="BA535" s="325"/>
      <c r="BB535" s="325"/>
      <c r="BC535" s="325"/>
      <c r="BD535" s="325"/>
      <c r="BE535" s="325"/>
      <c r="BF535" s="325"/>
      <c r="BG535" s="325"/>
      <c r="BH535" s="325"/>
      <c r="BI535" s="325"/>
      <c r="BJ535" s="325"/>
      <c r="BK535" s="325"/>
      <c r="BL535" s="325"/>
      <c r="BM535" s="325"/>
      <c r="BN535" s="325"/>
      <c r="BO535" s="325"/>
      <c r="BP535" s="325"/>
      <c r="BQ535" s="325"/>
    </row>
    <row r="536" spans="1:69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324"/>
      <c r="W536" s="324"/>
      <c r="X536" s="324"/>
      <c r="Y536" s="324"/>
      <c r="Z536" s="324"/>
      <c r="AA536" s="324"/>
      <c r="AB536" s="324"/>
      <c r="AC536" s="324"/>
      <c r="AD536" s="324"/>
      <c r="AE536" s="324"/>
      <c r="AF536" s="324"/>
      <c r="AG536" s="324"/>
      <c r="AH536" s="324"/>
      <c r="AI536" s="324"/>
      <c r="AJ536" s="324"/>
      <c r="AK536" s="324"/>
      <c r="AL536" s="324"/>
      <c r="AM536" s="324"/>
      <c r="AN536" s="324"/>
      <c r="AO536" s="324"/>
      <c r="AP536" s="324"/>
      <c r="AQ536" s="324"/>
      <c r="AR536" s="324"/>
      <c r="AS536" s="324"/>
      <c r="AT536" s="324"/>
      <c r="AU536" s="324"/>
      <c r="AV536" s="324"/>
      <c r="AW536" s="324"/>
      <c r="AX536" s="324"/>
      <c r="AY536" s="324"/>
      <c r="AZ536" s="325"/>
      <c r="BA536" s="325"/>
      <c r="BB536" s="325"/>
      <c r="BC536" s="325"/>
      <c r="BD536" s="325"/>
      <c r="BE536" s="325"/>
      <c r="BF536" s="325"/>
      <c r="BG536" s="325"/>
      <c r="BH536" s="325"/>
      <c r="BI536" s="325"/>
      <c r="BJ536" s="325"/>
      <c r="BK536" s="325"/>
      <c r="BL536" s="325"/>
      <c r="BM536" s="325"/>
      <c r="BN536" s="325"/>
      <c r="BO536" s="325"/>
      <c r="BP536" s="325"/>
      <c r="BQ536" s="325"/>
    </row>
    <row r="537" spans="1:69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324"/>
      <c r="W537" s="324"/>
      <c r="X537" s="324"/>
      <c r="Y537" s="324"/>
      <c r="Z537" s="324"/>
      <c r="AA537" s="324"/>
      <c r="AB537" s="324"/>
      <c r="AC537" s="324"/>
      <c r="AD537" s="324"/>
      <c r="AE537" s="324"/>
      <c r="AF537" s="324"/>
      <c r="AG537" s="324"/>
      <c r="AH537" s="324"/>
      <c r="AI537" s="324"/>
      <c r="AJ537" s="324"/>
      <c r="AK537" s="324"/>
      <c r="AL537" s="324"/>
      <c r="AM537" s="324"/>
      <c r="AN537" s="324"/>
      <c r="AO537" s="324"/>
      <c r="AP537" s="324"/>
      <c r="AQ537" s="324"/>
      <c r="AR537" s="324"/>
      <c r="AS537" s="324"/>
      <c r="AT537" s="324"/>
      <c r="AU537" s="324"/>
      <c r="AV537" s="324"/>
      <c r="AW537" s="324"/>
      <c r="AX537" s="324"/>
      <c r="AY537" s="324"/>
      <c r="AZ537" s="325"/>
      <c r="BA537" s="325"/>
      <c r="BB537" s="325"/>
      <c r="BC537" s="325"/>
      <c r="BD537" s="325"/>
      <c r="BE537" s="325"/>
      <c r="BF537" s="325"/>
      <c r="BG537" s="325"/>
      <c r="BH537" s="325"/>
      <c r="BI537" s="325"/>
      <c r="BJ537" s="325"/>
      <c r="BK537" s="325"/>
      <c r="BL537" s="325"/>
      <c r="BM537" s="325"/>
      <c r="BN537" s="325"/>
      <c r="BO537" s="325"/>
      <c r="BP537" s="325"/>
      <c r="BQ537" s="325"/>
    </row>
    <row r="538" spans="1:69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324"/>
      <c r="W538" s="324"/>
      <c r="X538" s="324"/>
      <c r="Y538" s="324"/>
      <c r="Z538" s="324"/>
      <c r="AA538" s="324"/>
      <c r="AB538" s="324"/>
      <c r="AC538" s="324"/>
      <c r="AD538" s="324"/>
      <c r="AE538" s="324"/>
      <c r="AF538" s="324"/>
      <c r="AG538" s="324"/>
      <c r="AH538" s="324"/>
      <c r="AI538" s="324"/>
      <c r="AJ538" s="324"/>
      <c r="AK538" s="324"/>
      <c r="AL538" s="324"/>
      <c r="AM538" s="324"/>
      <c r="AN538" s="324"/>
      <c r="AO538" s="324"/>
      <c r="AP538" s="324"/>
      <c r="AQ538" s="324"/>
      <c r="AR538" s="324"/>
      <c r="AS538" s="324"/>
      <c r="AT538" s="324"/>
      <c r="AU538" s="324"/>
      <c r="AV538" s="324"/>
      <c r="AW538" s="324"/>
      <c r="AX538" s="324"/>
      <c r="AY538" s="324"/>
      <c r="AZ538" s="325"/>
      <c r="BA538" s="325"/>
      <c r="BB538" s="325"/>
      <c r="BC538" s="325"/>
      <c r="BD538" s="325"/>
      <c r="BE538" s="325"/>
      <c r="BF538" s="325"/>
      <c r="BG538" s="325"/>
      <c r="BH538" s="325"/>
      <c r="BI538" s="325"/>
      <c r="BJ538" s="325"/>
      <c r="BK538" s="325"/>
      <c r="BL538" s="325"/>
      <c r="BM538" s="325"/>
      <c r="BN538" s="325"/>
      <c r="BO538" s="325"/>
      <c r="BP538" s="325"/>
      <c r="BQ538" s="325"/>
    </row>
    <row r="539" spans="1:69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324"/>
      <c r="W539" s="324"/>
      <c r="X539" s="324"/>
      <c r="Y539" s="324"/>
      <c r="Z539" s="324"/>
      <c r="AA539" s="324"/>
      <c r="AB539" s="324"/>
      <c r="AC539" s="324"/>
      <c r="AD539" s="324"/>
      <c r="AE539" s="324"/>
      <c r="AF539" s="324"/>
      <c r="AG539" s="324"/>
      <c r="AH539" s="324"/>
      <c r="AI539" s="324"/>
      <c r="AJ539" s="324"/>
      <c r="AK539" s="324"/>
      <c r="AL539" s="324"/>
      <c r="AM539" s="324"/>
      <c r="AN539" s="324"/>
      <c r="AO539" s="324"/>
      <c r="AP539" s="324"/>
      <c r="AQ539" s="324"/>
      <c r="AR539" s="324"/>
      <c r="AS539" s="324"/>
      <c r="AT539" s="324"/>
      <c r="AU539" s="324"/>
      <c r="AV539" s="324"/>
      <c r="AW539" s="324"/>
      <c r="AX539" s="324"/>
      <c r="AY539" s="324"/>
      <c r="AZ539" s="325"/>
      <c r="BA539" s="325"/>
      <c r="BB539" s="325"/>
      <c r="BC539" s="325"/>
      <c r="BD539" s="325"/>
      <c r="BE539" s="325"/>
      <c r="BF539" s="325"/>
      <c r="BG539" s="325"/>
      <c r="BH539" s="325"/>
      <c r="BI539" s="325"/>
      <c r="BJ539" s="325"/>
      <c r="BK539" s="325"/>
      <c r="BL539" s="325"/>
      <c r="BM539" s="325"/>
      <c r="BN539" s="325"/>
      <c r="BO539" s="325"/>
      <c r="BP539" s="325"/>
      <c r="BQ539" s="325"/>
    </row>
    <row r="540" spans="1:69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324"/>
      <c r="W540" s="324"/>
      <c r="X540" s="324"/>
      <c r="Y540" s="324"/>
      <c r="Z540" s="324"/>
      <c r="AA540" s="324"/>
      <c r="AB540" s="324"/>
      <c r="AC540" s="324"/>
      <c r="AD540" s="324"/>
      <c r="AE540" s="324"/>
      <c r="AF540" s="324"/>
      <c r="AG540" s="324"/>
      <c r="AH540" s="324"/>
      <c r="AI540" s="324"/>
      <c r="AJ540" s="324"/>
      <c r="AK540" s="324"/>
      <c r="AL540" s="324"/>
      <c r="AM540" s="324"/>
      <c r="AN540" s="324"/>
      <c r="AO540" s="324"/>
      <c r="AP540" s="324"/>
      <c r="AQ540" s="324"/>
      <c r="AR540" s="324"/>
      <c r="AS540" s="324"/>
      <c r="AT540" s="324"/>
      <c r="AU540" s="324"/>
      <c r="AV540" s="324"/>
      <c r="AW540" s="324"/>
      <c r="AX540" s="324"/>
      <c r="AY540" s="324"/>
      <c r="AZ540" s="325"/>
      <c r="BA540" s="325"/>
      <c r="BB540" s="325"/>
      <c r="BC540" s="325"/>
      <c r="BD540" s="325"/>
      <c r="BE540" s="325"/>
      <c r="BF540" s="325"/>
      <c r="BG540" s="325"/>
      <c r="BH540" s="325"/>
      <c r="BI540" s="325"/>
      <c r="BJ540" s="325"/>
      <c r="BK540" s="325"/>
      <c r="BL540" s="325"/>
      <c r="BM540" s="325"/>
      <c r="BN540" s="325"/>
      <c r="BO540" s="325"/>
      <c r="BP540" s="325"/>
      <c r="BQ540" s="325"/>
    </row>
    <row r="541" spans="1:69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324"/>
      <c r="W541" s="324"/>
      <c r="X541" s="324"/>
      <c r="Y541" s="324"/>
      <c r="Z541" s="324"/>
      <c r="AA541" s="324"/>
      <c r="AB541" s="324"/>
      <c r="AC541" s="324"/>
      <c r="AD541" s="324"/>
      <c r="AE541" s="324"/>
      <c r="AF541" s="324"/>
      <c r="AG541" s="324"/>
      <c r="AH541" s="324"/>
      <c r="AI541" s="324"/>
      <c r="AJ541" s="324"/>
      <c r="AK541" s="324"/>
      <c r="AL541" s="324"/>
      <c r="AM541" s="324"/>
      <c r="AN541" s="324"/>
      <c r="AO541" s="324"/>
      <c r="AP541" s="324"/>
      <c r="AQ541" s="324"/>
      <c r="AR541" s="324"/>
      <c r="AS541" s="324"/>
      <c r="AT541" s="324"/>
      <c r="AU541" s="324"/>
      <c r="AV541" s="324"/>
      <c r="AW541" s="324"/>
      <c r="AX541" s="324"/>
      <c r="AY541" s="324"/>
      <c r="AZ541" s="325"/>
      <c r="BA541" s="325"/>
      <c r="BB541" s="325"/>
      <c r="BC541" s="325"/>
      <c r="BD541" s="325"/>
      <c r="BE541" s="325"/>
      <c r="BF541" s="325"/>
      <c r="BG541" s="325"/>
      <c r="BH541" s="325"/>
      <c r="BI541" s="325"/>
      <c r="BJ541" s="325"/>
      <c r="BK541" s="325"/>
      <c r="BL541" s="325"/>
      <c r="BM541" s="325"/>
      <c r="BN541" s="325"/>
      <c r="BO541" s="325"/>
      <c r="BP541" s="325"/>
      <c r="BQ541" s="325"/>
    </row>
    <row r="542" spans="1:69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324"/>
      <c r="W542" s="324"/>
      <c r="X542" s="324"/>
      <c r="Y542" s="324"/>
      <c r="Z542" s="324"/>
      <c r="AA542" s="324"/>
      <c r="AB542" s="324"/>
      <c r="AC542" s="324"/>
      <c r="AD542" s="324"/>
      <c r="AE542" s="324"/>
      <c r="AF542" s="324"/>
      <c r="AG542" s="324"/>
      <c r="AH542" s="324"/>
      <c r="AI542" s="324"/>
      <c r="AJ542" s="324"/>
      <c r="AK542" s="324"/>
      <c r="AL542" s="324"/>
      <c r="AM542" s="324"/>
      <c r="AN542" s="324"/>
      <c r="AO542" s="324"/>
      <c r="AP542" s="324"/>
      <c r="AQ542" s="324"/>
      <c r="AR542" s="324"/>
      <c r="AS542" s="324"/>
      <c r="AT542" s="324"/>
      <c r="AU542" s="324"/>
      <c r="AV542" s="324"/>
      <c r="AW542" s="324"/>
      <c r="AX542" s="324"/>
      <c r="AY542" s="324"/>
      <c r="AZ542" s="325"/>
      <c r="BA542" s="325"/>
      <c r="BB542" s="325"/>
      <c r="BC542" s="325"/>
      <c r="BD542" s="325"/>
      <c r="BE542" s="325"/>
      <c r="BF542" s="325"/>
      <c r="BG542" s="325"/>
      <c r="BH542" s="325"/>
      <c r="BI542" s="325"/>
      <c r="BJ542" s="325"/>
      <c r="BK542" s="325"/>
      <c r="BL542" s="325"/>
      <c r="BM542" s="325"/>
      <c r="BN542" s="325"/>
      <c r="BO542" s="325"/>
      <c r="BP542" s="325"/>
      <c r="BQ542" s="325"/>
    </row>
    <row r="543" spans="1:69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324"/>
      <c r="W543" s="324"/>
      <c r="X543" s="324"/>
      <c r="Y543" s="324"/>
      <c r="Z543" s="324"/>
      <c r="AA543" s="324"/>
      <c r="AB543" s="324"/>
      <c r="AC543" s="324"/>
      <c r="AD543" s="324"/>
      <c r="AE543" s="324"/>
      <c r="AF543" s="324"/>
      <c r="AG543" s="324"/>
      <c r="AH543" s="324"/>
      <c r="AI543" s="324"/>
      <c r="AJ543" s="324"/>
      <c r="AK543" s="324"/>
      <c r="AL543" s="324"/>
      <c r="AM543" s="324"/>
      <c r="AN543" s="324"/>
      <c r="AO543" s="324"/>
      <c r="AP543" s="324"/>
      <c r="AQ543" s="324"/>
      <c r="AR543" s="324"/>
      <c r="AS543" s="324"/>
      <c r="AT543" s="324"/>
      <c r="AU543" s="324"/>
      <c r="AV543" s="324"/>
      <c r="AW543" s="324"/>
      <c r="AX543" s="324"/>
      <c r="AY543" s="324"/>
      <c r="AZ543" s="325"/>
      <c r="BA543" s="325"/>
      <c r="BB543" s="325"/>
      <c r="BC543" s="325"/>
      <c r="BD543" s="325"/>
      <c r="BE543" s="325"/>
      <c r="BF543" s="325"/>
      <c r="BG543" s="325"/>
      <c r="BH543" s="325"/>
      <c r="BI543" s="325"/>
      <c r="BJ543" s="325"/>
      <c r="BK543" s="325"/>
      <c r="BL543" s="325"/>
      <c r="BM543" s="325"/>
      <c r="BN543" s="325"/>
      <c r="BO543" s="325"/>
      <c r="BP543" s="325"/>
      <c r="BQ543" s="325"/>
    </row>
    <row r="544" spans="1:69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324"/>
      <c r="W544" s="324"/>
      <c r="X544" s="324"/>
      <c r="Y544" s="324"/>
      <c r="Z544" s="324"/>
      <c r="AA544" s="324"/>
      <c r="AB544" s="324"/>
      <c r="AC544" s="324"/>
      <c r="AD544" s="324"/>
      <c r="AE544" s="324"/>
      <c r="AF544" s="324"/>
      <c r="AG544" s="324"/>
      <c r="AH544" s="324"/>
      <c r="AI544" s="324"/>
      <c r="AJ544" s="324"/>
      <c r="AK544" s="324"/>
      <c r="AL544" s="324"/>
      <c r="AM544" s="324"/>
      <c r="AN544" s="324"/>
      <c r="AO544" s="324"/>
      <c r="AP544" s="324"/>
      <c r="AQ544" s="324"/>
      <c r="AR544" s="324"/>
      <c r="AS544" s="324"/>
      <c r="AT544" s="324"/>
      <c r="AU544" s="324"/>
      <c r="AV544" s="324"/>
      <c r="AW544" s="324"/>
      <c r="AX544" s="324"/>
      <c r="AY544" s="324"/>
      <c r="AZ544" s="325"/>
      <c r="BA544" s="325"/>
      <c r="BB544" s="325"/>
      <c r="BC544" s="325"/>
      <c r="BD544" s="325"/>
      <c r="BE544" s="325"/>
      <c r="BF544" s="325"/>
      <c r="BG544" s="325"/>
      <c r="BH544" s="325"/>
      <c r="BI544" s="325"/>
      <c r="BJ544" s="325"/>
      <c r="BK544" s="325"/>
      <c r="BL544" s="325"/>
      <c r="BM544" s="325"/>
      <c r="BN544" s="325"/>
      <c r="BO544" s="325"/>
      <c r="BP544" s="325"/>
      <c r="BQ544" s="325"/>
    </row>
    <row r="545" spans="1:69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324"/>
      <c r="W545" s="324"/>
      <c r="X545" s="324"/>
      <c r="Y545" s="324"/>
      <c r="Z545" s="324"/>
      <c r="AA545" s="324"/>
      <c r="AB545" s="324"/>
      <c r="AC545" s="324"/>
      <c r="AD545" s="324"/>
      <c r="AE545" s="324"/>
      <c r="AF545" s="324"/>
      <c r="AG545" s="324"/>
      <c r="AH545" s="324"/>
      <c r="AI545" s="324"/>
      <c r="AJ545" s="324"/>
      <c r="AK545" s="324"/>
      <c r="AL545" s="324"/>
      <c r="AM545" s="324"/>
      <c r="AN545" s="324"/>
      <c r="AO545" s="324"/>
      <c r="AP545" s="324"/>
      <c r="AQ545" s="324"/>
      <c r="AR545" s="324"/>
      <c r="AS545" s="324"/>
      <c r="AT545" s="324"/>
      <c r="AU545" s="324"/>
      <c r="AV545" s="324"/>
      <c r="AW545" s="324"/>
      <c r="AX545" s="324"/>
      <c r="AY545" s="324"/>
      <c r="AZ545" s="325"/>
      <c r="BA545" s="325"/>
      <c r="BB545" s="325"/>
      <c r="BC545" s="325"/>
      <c r="BD545" s="325"/>
      <c r="BE545" s="325"/>
      <c r="BF545" s="325"/>
      <c r="BG545" s="325"/>
      <c r="BH545" s="325"/>
      <c r="BI545" s="325"/>
      <c r="BJ545" s="325"/>
      <c r="BK545" s="325"/>
      <c r="BL545" s="325"/>
      <c r="BM545" s="325"/>
      <c r="BN545" s="325"/>
      <c r="BO545" s="325"/>
      <c r="BP545" s="325"/>
      <c r="BQ545" s="325"/>
    </row>
    <row r="546" spans="1:69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324"/>
      <c r="W546" s="324"/>
      <c r="X546" s="324"/>
      <c r="Y546" s="324"/>
      <c r="Z546" s="324"/>
      <c r="AA546" s="324"/>
      <c r="AB546" s="324"/>
      <c r="AC546" s="324"/>
      <c r="AD546" s="324"/>
      <c r="AE546" s="324"/>
      <c r="AF546" s="324"/>
      <c r="AG546" s="324"/>
      <c r="AH546" s="324"/>
      <c r="AI546" s="324"/>
      <c r="AJ546" s="324"/>
      <c r="AK546" s="324"/>
      <c r="AL546" s="324"/>
      <c r="AM546" s="324"/>
      <c r="AN546" s="324"/>
      <c r="AO546" s="324"/>
      <c r="AP546" s="324"/>
      <c r="AQ546" s="324"/>
      <c r="AR546" s="324"/>
      <c r="AS546" s="324"/>
      <c r="AT546" s="324"/>
      <c r="AU546" s="324"/>
      <c r="AV546" s="324"/>
      <c r="AW546" s="324"/>
      <c r="AX546" s="324"/>
      <c r="AY546" s="324"/>
      <c r="AZ546" s="325"/>
      <c r="BA546" s="325"/>
      <c r="BB546" s="325"/>
      <c r="BC546" s="325"/>
      <c r="BD546" s="325"/>
      <c r="BE546" s="325"/>
      <c r="BF546" s="325"/>
      <c r="BG546" s="325"/>
      <c r="BH546" s="325"/>
      <c r="BI546" s="325"/>
      <c r="BJ546" s="325"/>
      <c r="BK546" s="325"/>
      <c r="BL546" s="325"/>
      <c r="BM546" s="325"/>
      <c r="BN546" s="325"/>
      <c r="BO546" s="325"/>
      <c r="BP546" s="325"/>
      <c r="BQ546" s="325"/>
    </row>
    <row r="547" spans="1:69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324"/>
      <c r="W547" s="324"/>
      <c r="X547" s="324"/>
      <c r="Y547" s="324"/>
      <c r="Z547" s="324"/>
      <c r="AA547" s="324"/>
      <c r="AB547" s="324"/>
      <c r="AC547" s="324"/>
      <c r="AD547" s="324"/>
      <c r="AE547" s="324"/>
      <c r="AF547" s="324"/>
      <c r="AG547" s="324"/>
      <c r="AH547" s="324"/>
      <c r="AI547" s="324"/>
      <c r="AJ547" s="324"/>
      <c r="AK547" s="324"/>
      <c r="AL547" s="324"/>
      <c r="AM547" s="324"/>
      <c r="AN547" s="324"/>
      <c r="AO547" s="324"/>
      <c r="AP547" s="324"/>
      <c r="AQ547" s="324"/>
      <c r="AR547" s="324"/>
      <c r="AS547" s="324"/>
      <c r="AT547" s="324"/>
      <c r="AU547" s="324"/>
      <c r="AV547" s="324"/>
      <c r="AW547" s="324"/>
      <c r="AX547" s="324"/>
      <c r="AY547" s="324"/>
      <c r="AZ547" s="325"/>
      <c r="BA547" s="325"/>
      <c r="BB547" s="325"/>
      <c r="BC547" s="325"/>
      <c r="BD547" s="325"/>
      <c r="BE547" s="325"/>
      <c r="BF547" s="325"/>
      <c r="BG547" s="325"/>
      <c r="BH547" s="325"/>
      <c r="BI547" s="325"/>
      <c r="BJ547" s="325"/>
      <c r="BK547" s="325"/>
      <c r="BL547" s="325"/>
      <c r="BM547" s="325"/>
      <c r="BN547" s="325"/>
      <c r="BO547" s="325"/>
      <c r="BP547" s="325"/>
      <c r="BQ547" s="325"/>
    </row>
    <row r="548" spans="1:69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324"/>
      <c r="W548" s="324"/>
      <c r="X548" s="324"/>
      <c r="Y548" s="324"/>
      <c r="Z548" s="324"/>
      <c r="AA548" s="324"/>
      <c r="AB548" s="324"/>
      <c r="AC548" s="324"/>
      <c r="AD548" s="324"/>
      <c r="AE548" s="324"/>
      <c r="AF548" s="324"/>
      <c r="AG548" s="324"/>
      <c r="AH548" s="324"/>
      <c r="AI548" s="324"/>
      <c r="AJ548" s="324"/>
      <c r="AK548" s="324"/>
      <c r="AL548" s="324"/>
      <c r="AM548" s="324"/>
      <c r="AN548" s="324"/>
      <c r="AO548" s="324"/>
      <c r="AP548" s="324"/>
      <c r="AQ548" s="324"/>
      <c r="AR548" s="324"/>
      <c r="AS548" s="324"/>
      <c r="AT548" s="324"/>
      <c r="AU548" s="324"/>
      <c r="AV548" s="324"/>
      <c r="AW548" s="324"/>
      <c r="AX548" s="324"/>
      <c r="AY548" s="324"/>
      <c r="AZ548" s="325"/>
      <c r="BA548" s="325"/>
      <c r="BB548" s="325"/>
      <c r="BC548" s="325"/>
      <c r="BD548" s="325"/>
      <c r="BE548" s="325"/>
      <c r="BF548" s="325"/>
      <c r="BG548" s="325"/>
      <c r="BH548" s="325"/>
      <c r="BI548" s="325"/>
      <c r="BJ548" s="325"/>
      <c r="BK548" s="325"/>
      <c r="BL548" s="325"/>
      <c r="BM548" s="325"/>
      <c r="BN548" s="325"/>
      <c r="BO548" s="325"/>
      <c r="BP548" s="325"/>
      <c r="BQ548" s="325"/>
    </row>
    <row r="549" spans="1:69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324"/>
      <c r="W549" s="324"/>
      <c r="X549" s="324"/>
      <c r="Y549" s="324"/>
      <c r="Z549" s="324"/>
      <c r="AA549" s="324"/>
      <c r="AB549" s="324"/>
      <c r="AC549" s="324"/>
      <c r="AD549" s="324"/>
      <c r="AE549" s="324"/>
      <c r="AF549" s="324"/>
      <c r="AG549" s="324"/>
      <c r="AH549" s="324"/>
      <c r="AI549" s="324"/>
      <c r="AJ549" s="324"/>
      <c r="AK549" s="324"/>
      <c r="AL549" s="324"/>
      <c r="AM549" s="324"/>
      <c r="AN549" s="324"/>
      <c r="AO549" s="324"/>
      <c r="AP549" s="324"/>
      <c r="AQ549" s="324"/>
      <c r="AR549" s="324"/>
      <c r="AS549" s="324"/>
      <c r="AT549" s="324"/>
      <c r="AU549" s="324"/>
      <c r="AV549" s="324"/>
      <c r="AW549" s="324"/>
      <c r="AX549" s="324"/>
      <c r="AY549" s="324"/>
      <c r="AZ549" s="325"/>
      <c r="BA549" s="325"/>
      <c r="BB549" s="325"/>
      <c r="BC549" s="325"/>
      <c r="BD549" s="325"/>
      <c r="BE549" s="325"/>
      <c r="BF549" s="325"/>
      <c r="BG549" s="325"/>
      <c r="BH549" s="325"/>
      <c r="BI549" s="325"/>
      <c r="BJ549" s="325"/>
      <c r="BK549" s="325"/>
      <c r="BL549" s="325"/>
      <c r="BM549" s="325"/>
      <c r="BN549" s="325"/>
      <c r="BO549" s="325"/>
      <c r="BP549" s="325"/>
      <c r="BQ549" s="325"/>
    </row>
    <row r="550" spans="1:69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324"/>
      <c r="W550" s="324"/>
      <c r="X550" s="324"/>
      <c r="Y550" s="324"/>
      <c r="Z550" s="324"/>
      <c r="AA550" s="324"/>
      <c r="AB550" s="324"/>
      <c r="AC550" s="324"/>
      <c r="AD550" s="324"/>
      <c r="AE550" s="324"/>
      <c r="AF550" s="324"/>
      <c r="AG550" s="324"/>
      <c r="AH550" s="324"/>
      <c r="AI550" s="324"/>
      <c r="AJ550" s="324"/>
      <c r="AK550" s="324"/>
      <c r="AL550" s="324"/>
      <c r="AM550" s="324"/>
      <c r="AN550" s="324"/>
      <c r="AO550" s="324"/>
      <c r="AP550" s="324"/>
      <c r="AQ550" s="324"/>
      <c r="AR550" s="324"/>
      <c r="AS550" s="324"/>
      <c r="AT550" s="324"/>
      <c r="AU550" s="324"/>
      <c r="AV550" s="324"/>
      <c r="AW550" s="324"/>
      <c r="AX550" s="324"/>
      <c r="AY550" s="324"/>
      <c r="AZ550" s="325"/>
      <c r="BA550" s="325"/>
      <c r="BB550" s="325"/>
      <c r="BC550" s="325"/>
      <c r="BD550" s="325"/>
      <c r="BE550" s="325"/>
      <c r="BF550" s="325"/>
      <c r="BG550" s="325"/>
      <c r="BH550" s="325"/>
      <c r="BI550" s="325"/>
      <c r="BJ550" s="325"/>
      <c r="BK550" s="325"/>
      <c r="BL550" s="325"/>
      <c r="BM550" s="325"/>
      <c r="BN550" s="325"/>
      <c r="BO550" s="325"/>
      <c r="BP550" s="325"/>
      <c r="BQ550" s="325"/>
    </row>
    <row r="551" spans="1:69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324"/>
      <c r="W551" s="324"/>
      <c r="X551" s="324"/>
      <c r="Y551" s="324"/>
      <c r="Z551" s="324"/>
      <c r="AA551" s="324"/>
      <c r="AB551" s="324"/>
      <c r="AC551" s="324"/>
      <c r="AD551" s="324"/>
      <c r="AE551" s="324"/>
      <c r="AF551" s="324"/>
      <c r="AG551" s="324"/>
      <c r="AH551" s="324"/>
      <c r="AI551" s="324"/>
      <c r="AJ551" s="324"/>
      <c r="AK551" s="324"/>
      <c r="AL551" s="324"/>
      <c r="AM551" s="324"/>
      <c r="AN551" s="324"/>
      <c r="AO551" s="324"/>
      <c r="AP551" s="324"/>
      <c r="AQ551" s="324"/>
      <c r="AR551" s="324"/>
      <c r="AS551" s="324"/>
      <c r="AT551" s="324"/>
      <c r="AU551" s="324"/>
      <c r="AV551" s="324"/>
      <c r="AW551" s="324"/>
      <c r="AX551" s="324"/>
      <c r="AY551" s="324"/>
      <c r="AZ551" s="325"/>
      <c r="BA551" s="325"/>
      <c r="BB551" s="325"/>
      <c r="BC551" s="325"/>
      <c r="BD551" s="325"/>
      <c r="BE551" s="325"/>
      <c r="BF551" s="325"/>
      <c r="BG551" s="325"/>
      <c r="BH551" s="325"/>
      <c r="BI551" s="325"/>
      <c r="BJ551" s="325"/>
      <c r="BK551" s="325"/>
      <c r="BL551" s="325"/>
      <c r="BM551" s="325"/>
      <c r="BN551" s="325"/>
      <c r="BO551" s="325"/>
      <c r="BP551" s="325"/>
      <c r="BQ551" s="325"/>
    </row>
    <row r="552" spans="1:69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324"/>
      <c r="W552" s="324"/>
      <c r="X552" s="324"/>
      <c r="Y552" s="324"/>
      <c r="Z552" s="324"/>
      <c r="AA552" s="324"/>
      <c r="AB552" s="324"/>
      <c r="AC552" s="324"/>
      <c r="AD552" s="324"/>
      <c r="AE552" s="324"/>
      <c r="AF552" s="324"/>
      <c r="AG552" s="324"/>
      <c r="AH552" s="324"/>
      <c r="AI552" s="324"/>
      <c r="AJ552" s="324"/>
      <c r="AK552" s="324"/>
      <c r="AL552" s="324"/>
      <c r="AM552" s="324"/>
      <c r="AN552" s="324"/>
      <c r="AO552" s="324"/>
      <c r="AP552" s="324"/>
      <c r="AQ552" s="324"/>
      <c r="AR552" s="324"/>
      <c r="AS552" s="324"/>
      <c r="AT552" s="324"/>
      <c r="AU552" s="324"/>
      <c r="AV552" s="324"/>
      <c r="AW552" s="324"/>
      <c r="AX552" s="324"/>
      <c r="AY552" s="324"/>
      <c r="AZ552" s="325"/>
      <c r="BA552" s="325"/>
      <c r="BB552" s="325"/>
      <c r="BC552" s="325"/>
      <c r="BD552" s="325"/>
      <c r="BE552" s="325"/>
      <c r="BF552" s="325"/>
      <c r="BG552" s="325"/>
      <c r="BH552" s="325"/>
      <c r="BI552" s="325"/>
      <c r="BJ552" s="325"/>
      <c r="BK552" s="325"/>
      <c r="BL552" s="325"/>
      <c r="BM552" s="325"/>
      <c r="BN552" s="325"/>
      <c r="BO552" s="325"/>
      <c r="BP552" s="325"/>
      <c r="BQ552" s="325"/>
    </row>
    <row r="553" spans="1:69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 s="324"/>
      <c r="AG553" s="324"/>
      <c r="AH553" s="324"/>
      <c r="AI553" s="324"/>
      <c r="AJ553" s="324"/>
      <c r="AK553" s="324"/>
      <c r="AL553" s="324"/>
      <c r="AM553" s="324"/>
      <c r="AN553" s="324"/>
      <c r="AO553" s="324"/>
      <c r="AP553" s="324"/>
      <c r="AQ553" s="324"/>
      <c r="AR553" s="324"/>
      <c r="AS553" s="324"/>
      <c r="AT553" s="324"/>
      <c r="AU553" s="324"/>
      <c r="AV553" s="324"/>
      <c r="AW553" s="324"/>
      <c r="AX553" s="324"/>
      <c r="AY553" s="324"/>
      <c r="AZ553" s="325"/>
      <c r="BA553" s="325"/>
      <c r="BB553" s="325"/>
      <c r="BC553" s="325"/>
      <c r="BD553" s="325"/>
      <c r="BE553" s="325"/>
      <c r="BF553" s="325"/>
      <c r="BG553" s="325"/>
      <c r="BH553" s="325"/>
      <c r="BI553" s="325"/>
      <c r="BJ553" s="325"/>
      <c r="BK553" s="325"/>
      <c r="BL553" s="325"/>
      <c r="BM553" s="325"/>
      <c r="BN553" s="325"/>
      <c r="BO553" s="325"/>
      <c r="BP553" s="325"/>
      <c r="BQ553" s="325"/>
    </row>
    <row r="554" spans="1:69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 s="324"/>
      <c r="AG554" s="324"/>
      <c r="AH554" s="324"/>
      <c r="AI554" s="324"/>
      <c r="AJ554" s="324"/>
      <c r="AK554" s="324"/>
      <c r="AL554" s="324"/>
      <c r="AM554" s="324"/>
      <c r="AN554" s="324"/>
      <c r="AO554" s="324"/>
      <c r="AP554" s="324"/>
      <c r="AQ554" s="324"/>
      <c r="AR554" s="324"/>
      <c r="AS554" s="324"/>
      <c r="AT554" s="324"/>
      <c r="AU554" s="324"/>
      <c r="AV554" s="324"/>
      <c r="AW554" s="324"/>
      <c r="AX554" s="324"/>
      <c r="AY554" s="324"/>
      <c r="AZ554" s="325"/>
      <c r="BA554" s="325"/>
      <c r="BB554" s="325"/>
      <c r="BC554" s="325"/>
      <c r="BD554" s="325"/>
      <c r="BE554" s="325"/>
      <c r="BF554" s="325"/>
      <c r="BG554" s="325"/>
      <c r="BH554" s="325"/>
      <c r="BI554" s="325"/>
      <c r="BJ554" s="325"/>
      <c r="BK554" s="325"/>
      <c r="BL554" s="325"/>
      <c r="BM554" s="325"/>
      <c r="BN554" s="325"/>
      <c r="BO554" s="325"/>
      <c r="BP554" s="325"/>
      <c r="BQ554" s="325"/>
    </row>
    <row r="555" spans="1:69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 s="324"/>
      <c r="AG555" s="324"/>
      <c r="AH555" s="324"/>
      <c r="AI555" s="324"/>
      <c r="AJ555" s="324"/>
      <c r="AK555" s="324"/>
      <c r="AL555" s="324"/>
      <c r="AM555" s="324"/>
      <c r="AN555" s="324"/>
      <c r="AO555" s="324"/>
      <c r="AP555" s="324"/>
      <c r="AQ555" s="324"/>
      <c r="AR555" s="324"/>
      <c r="AS555" s="324"/>
      <c r="AT555" s="324"/>
      <c r="AU555" s="324"/>
      <c r="AV555" s="324"/>
      <c r="AW555" s="324"/>
      <c r="AX555" s="324"/>
      <c r="AY555" s="324"/>
      <c r="AZ555" s="325"/>
      <c r="BA555" s="325"/>
      <c r="BB555" s="325"/>
      <c r="BC555" s="325"/>
      <c r="BD555" s="325"/>
      <c r="BE555" s="325"/>
      <c r="BF555" s="325"/>
      <c r="BG555" s="325"/>
      <c r="BH555" s="325"/>
      <c r="BI555" s="325"/>
      <c r="BJ555" s="325"/>
      <c r="BK555" s="325"/>
      <c r="BL555" s="325"/>
      <c r="BM555" s="325"/>
      <c r="BN555" s="325"/>
      <c r="BO555" s="325"/>
      <c r="BP555" s="325"/>
      <c r="BQ555" s="325"/>
    </row>
    <row r="556" spans="1:69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 s="324"/>
      <c r="AG556" s="324"/>
      <c r="AH556" s="324"/>
      <c r="AI556" s="324"/>
      <c r="AJ556" s="324"/>
      <c r="AK556" s="324"/>
      <c r="AL556" s="324"/>
      <c r="AM556" s="324"/>
      <c r="AN556" s="324"/>
      <c r="AO556" s="324"/>
      <c r="AP556" s="324"/>
      <c r="AQ556" s="324"/>
      <c r="AR556" s="324"/>
      <c r="AS556" s="324"/>
      <c r="AT556" s="324"/>
      <c r="AU556" s="324"/>
      <c r="AV556" s="324"/>
      <c r="AW556" s="324"/>
      <c r="AX556" s="324"/>
      <c r="AY556" s="324"/>
      <c r="AZ556" s="325"/>
      <c r="BA556" s="325"/>
      <c r="BB556" s="325"/>
      <c r="BC556" s="325"/>
      <c r="BD556" s="325"/>
      <c r="BE556" s="325"/>
      <c r="BF556" s="325"/>
      <c r="BG556" s="325"/>
      <c r="BH556" s="325"/>
      <c r="BI556" s="325"/>
      <c r="BJ556" s="325"/>
      <c r="BK556" s="325"/>
      <c r="BL556" s="325"/>
      <c r="BM556" s="325"/>
      <c r="BN556" s="325"/>
      <c r="BO556" s="325"/>
      <c r="BP556" s="325"/>
      <c r="BQ556" s="325"/>
    </row>
    <row r="557" spans="1:69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 s="324"/>
      <c r="AG557" s="324"/>
      <c r="AH557" s="324"/>
      <c r="AI557" s="324"/>
      <c r="AJ557" s="324"/>
      <c r="AK557" s="324"/>
      <c r="AL557" s="324"/>
      <c r="AM557" s="324"/>
      <c r="AN557" s="324"/>
      <c r="AO557" s="324"/>
      <c r="AP557" s="324"/>
      <c r="AQ557" s="324"/>
      <c r="AR557" s="324"/>
      <c r="AS557" s="324"/>
      <c r="AT557" s="324"/>
      <c r="AU557" s="324"/>
      <c r="AV557" s="324"/>
      <c r="AW557" s="324"/>
      <c r="AX557" s="324"/>
      <c r="AY557" s="324"/>
      <c r="AZ557" s="325"/>
      <c r="BA557" s="325"/>
      <c r="BB557" s="325"/>
      <c r="BC557" s="325"/>
      <c r="BD557" s="325"/>
      <c r="BE557" s="325"/>
      <c r="BF557" s="325"/>
      <c r="BG557" s="325"/>
      <c r="BH557" s="325"/>
      <c r="BI557" s="325"/>
      <c r="BJ557" s="325"/>
      <c r="BK557" s="325"/>
      <c r="BL557" s="325"/>
      <c r="BM557" s="325"/>
      <c r="BN557" s="325"/>
      <c r="BO557" s="325"/>
      <c r="BP557" s="325"/>
      <c r="BQ557" s="325"/>
    </row>
    <row r="558" spans="1:69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 s="324"/>
      <c r="AG558" s="324"/>
      <c r="AH558" s="324"/>
      <c r="AI558" s="324"/>
      <c r="AJ558" s="324"/>
      <c r="AK558" s="324"/>
      <c r="AL558" s="324"/>
      <c r="AM558" s="324"/>
      <c r="AN558" s="324"/>
      <c r="AO558" s="324"/>
      <c r="AP558" s="324"/>
      <c r="AQ558" s="324"/>
      <c r="AR558" s="324"/>
      <c r="AS558" s="324"/>
      <c r="AT558" s="324"/>
      <c r="AU558" s="324"/>
      <c r="AV558" s="324"/>
      <c r="AW558" s="324"/>
      <c r="AX558" s="324"/>
      <c r="AY558" s="324"/>
      <c r="AZ558" s="325"/>
      <c r="BA558" s="325"/>
      <c r="BB558" s="325"/>
      <c r="BC558" s="325"/>
      <c r="BD558" s="325"/>
      <c r="BE558" s="325"/>
      <c r="BF558" s="325"/>
      <c r="BG558" s="325"/>
      <c r="BH558" s="325"/>
      <c r="BI558" s="325"/>
      <c r="BJ558" s="325"/>
      <c r="BK558" s="325"/>
      <c r="BL558" s="325"/>
      <c r="BM558" s="325"/>
      <c r="BN558" s="325"/>
      <c r="BO558" s="325"/>
      <c r="BP558" s="325"/>
      <c r="BQ558" s="325"/>
    </row>
    <row r="559" spans="1:69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 s="324"/>
      <c r="AG559" s="324"/>
      <c r="AH559" s="324"/>
      <c r="AI559" s="324"/>
      <c r="AJ559" s="324"/>
      <c r="AK559" s="324"/>
      <c r="AL559" s="324"/>
      <c r="AM559" s="324"/>
      <c r="AN559" s="324"/>
      <c r="AO559" s="324"/>
      <c r="AP559" s="324"/>
      <c r="AQ559" s="324"/>
      <c r="AR559" s="324"/>
      <c r="AS559" s="324"/>
      <c r="AT559" s="324"/>
      <c r="AU559" s="324"/>
      <c r="AV559" s="324"/>
      <c r="AW559" s="324"/>
      <c r="AX559" s="324"/>
      <c r="AY559" s="324"/>
      <c r="AZ559" s="325"/>
      <c r="BA559" s="325"/>
      <c r="BB559" s="325"/>
      <c r="BC559" s="325"/>
      <c r="BD559" s="325"/>
      <c r="BE559" s="325"/>
      <c r="BF559" s="325"/>
      <c r="BG559" s="325"/>
      <c r="BH559" s="325"/>
      <c r="BI559" s="325"/>
      <c r="BJ559" s="325"/>
      <c r="BK559" s="325"/>
      <c r="BL559" s="325"/>
      <c r="BM559" s="325"/>
      <c r="BN559" s="325"/>
      <c r="BO559" s="325"/>
      <c r="BP559" s="325"/>
      <c r="BQ559" s="325"/>
    </row>
    <row r="560" spans="1:69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 s="324"/>
      <c r="AG560" s="324"/>
      <c r="AH560" s="324"/>
      <c r="AI560" s="324"/>
      <c r="AJ560" s="324"/>
      <c r="AK560" s="324"/>
      <c r="AL560" s="324"/>
      <c r="AM560" s="324"/>
      <c r="AN560" s="324"/>
      <c r="AO560" s="324"/>
      <c r="AP560" s="324"/>
      <c r="AQ560" s="324"/>
      <c r="AR560" s="324"/>
      <c r="AS560" s="324"/>
      <c r="AT560" s="324"/>
      <c r="AU560" s="324"/>
      <c r="AV560" s="324"/>
      <c r="AW560" s="324"/>
      <c r="AX560" s="324"/>
      <c r="AY560" s="324"/>
      <c r="AZ560" s="325"/>
      <c r="BA560" s="325"/>
      <c r="BB560" s="325"/>
      <c r="BC560" s="325"/>
      <c r="BD560" s="325"/>
      <c r="BE560" s="325"/>
      <c r="BF560" s="325"/>
      <c r="BG560" s="325"/>
      <c r="BH560" s="325"/>
      <c r="BI560" s="325"/>
      <c r="BJ560" s="325"/>
      <c r="BK560" s="325"/>
      <c r="BL560" s="325"/>
      <c r="BM560" s="325"/>
      <c r="BN560" s="325"/>
      <c r="BO560" s="325"/>
      <c r="BP560" s="325"/>
      <c r="BQ560" s="325"/>
    </row>
    <row r="561" spans="1:69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 s="324"/>
      <c r="AG561" s="324"/>
      <c r="AH561" s="324"/>
      <c r="AI561" s="324"/>
      <c r="AJ561" s="324"/>
      <c r="AK561" s="324"/>
      <c r="AL561" s="324"/>
      <c r="AM561" s="324"/>
      <c r="AN561" s="324"/>
      <c r="AO561" s="324"/>
      <c r="AP561" s="324"/>
      <c r="AQ561" s="324"/>
      <c r="AR561" s="324"/>
      <c r="AS561" s="324"/>
      <c r="AT561" s="324"/>
      <c r="AU561" s="324"/>
      <c r="AV561" s="324"/>
      <c r="AW561" s="324"/>
      <c r="AX561" s="324"/>
      <c r="AY561" s="324"/>
      <c r="AZ561" s="325"/>
      <c r="BA561" s="325"/>
      <c r="BB561" s="325"/>
      <c r="BC561" s="325"/>
      <c r="BD561" s="325"/>
      <c r="BE561" s="325"/>
      <c r="BF561" s="325"/>
      <c r="BG561" s="325"/>
      <c r="BH561" s="325"/>
      <c r="BI561" s="325"/>
      <c r="BJ561" s="325"/>
      <c r="BK561" s="325"/>
      <c r="BL561" s="325"/>
      <c r="BM561" s="325"/>
      <c r="BN561" s="325"/>
      <c r="BO561" s="325"/>
      <c r="BP561" s="325"/>
      <c r="BQ561" s="325"/>
    </row>
    <row r="562" spans="1:69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 s="324"/>
      <c r="AG562" s="324"/>
      <c r="AH562" s="324"/>
      <c r="AI562" s="324"/>
      <c r="AJ562" s="324"/>
      <c r="AK562" s="324"/>
      <c r="AL562" s="324"/>
      <c r="AM562" s="324"/>
      <c r="AN562" s="324"/>
      <c r="AO562" s="324"/>
      <c r="AP562" s="324"/>
      <c r="AQ562" s="324"/>
      <c r="AR562" s="324"/>
      <c r="AS562" s="324"/>
      <c r="AT562" s="324"/>
      <c r="AU562" s="324"/>
      <c r="AV562" s="324"/>
      <c r="AW562" s="324"/>
      <c r="AX562" s="324"/>
      <c r="AY562" s="324"/>
      <c r="AZ562" s="325"/>
      <c r="BA562" s="325"/>
      <c r="BB562" s="325"/>
      <c r="BC562" s="325"/>
      <c r="BD562" s="325"/>
      <c r="BE562" s="325"/>
      <c r="BF562" s="325"/>
      <c r="BG562" s="325"/>
      <c r="BH562" s="325"/>
      <c r="BI562" s="325"/>
      <c r="BJ562" s="325"/>
      <c r="BK562" s="325"/>
      <c r="BL562" s="325"/>
      <c r="BM562" s="325"/>
      <c r="BN562" s="325"/>
      <c r="BO562" s="325"/>
      <c r="BP562" s="325"/>
      <c r="BQ562" s="325"/>
    </row>
    <row r="563" spans="1:69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  <c r="AF563" s="324"/>
      <c r="AG563" s="324"/>
      <c r="AH563" s="324"/>
      <c r="AI563" s="324"/>
      <c r="AJ563" s="324"/>
      <c r="AK563" s="324"/>
      <c r="AL563" s="324"/>
      <c r="AM563" s="324"/>
      <c r="AN563" s="324"/>
      <c r="AO563" s="324"/>
      <c r="AP563" s="324"/>
      <c r="AQ563" s="324"/>
      <c r="AR563" s="324"/>
      <c r="AS563" s="324"/>
      <c r="AT563" s="324"/>
      <c r="AU563" s="324"/>
      <c r="AV563" s="324"/>
      <c r="AW563" s="324"/>
      <c r="AX563" s="324"/>
      <c r="AY563" s="324"/>
      <c r="AZ563" s="325"/>
      <c r="BA563" s="325"/>
      <c r="BB563" s="325"/>
      <c r="BC563" s="325"/>
      <c r="BD563" s="325"/>
      <c r="BE563" s="325"/>
      <c r="BF563" s="325"/>
      <c r="BG563" s="325"/>
      <c r="BH563" s="325"/>
      <c r="BI563" s="325"/>
      <c r="BJ563" s="325"/>
      <c r="BK563" s="325"/>
      <c r="BL563" s="325"/>
      <c r="BM563" s="325"/>
      <c r="BN563" s="325"/>
      <c r="BO563" s="325"/>
      <c r="BP563" s="325"/>
      <c r="BQ563" s="325"/>
    </row>
    <row r="564" spans="1:69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  <c r="AF564" s="324"/>
      <c r="AG564" s="324"/>
      <c r="AH564" s="324"/>
      <c r="AI564" s="324"/>
      <c r="AJ564" s="324"/>
      <c r="AK564" s="324"/>
      <c r="AL564" s="324"/>
      <c r="AM564" s="324"/>
      <c r="AN564" s="324"/>
      <c r="AO564" s="324"/>
      <c r="AP564" s="324"/>
      <c r="AQ564" s="324"/>
      <c r="AR564" s="324"/>
      <c r="AS564" s="324"/>
      <c r="AT564" s="324"/>
      <c r="AU564" s="324"/>
      <c r="AV564" s="324"/>
      <c r="AW564" s="324"/>
      <c r="AX564" s="324"/>
      <c r="AY564" s="324"/>
      <c r="AZ564" s="325"/>
      <c r="BA564" s="325"/>
      <c r="BB564" s="325"/>
      <c r="BC564" s="325"/>
      <c r="BD564" s="325"/>
      <c r="BE564" s="325"/>
      <c r="BF564" s="325"/>
      <c r="BG564" s="325"/>
      <c r="BH564" s="325"/>
      <c r="BI564" s="325"/>
      <c r="BJ564" s="325"/>
      <c r="BK564" s="325"/>
      <c r="BL564" s="325"/>
      <c r="BM564" s="325"/>
      <c r="BN564" s="325"/>
      <c r="BO564" s="325"/>
      <c r="BP564" s="325"/>
      <c r="BQ564" s="325"/>
    </row>
    <row r="565" spans="1:69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  <c r="AF565" s="324"/>
      <c r="AG565" s="324"/>
      <c r="AH565" s="324"/>
      <c r="AI565" s="324"/>
      <c r="AJ565" s="324"/>
      <c r="AK565" s="324"/>
      <c r="AL565" s="324"/>
      <c r="AM565" s="324"/>
      <c r="AN565" s="324"/>
      <c r="AO565" s="324"/>
      <c r="AP565" s="324"/>
      <c r="AQ565" s="324"/>
      <c r="AR565" s="324"/>
      <c r="AS565" s="324"/>
      <c r="AT565" s="324"/>
      <c r="AU565" s="324"/>
      <c r="AV565" s="324"/>
      <c r="AW565" s="324"/>
      <c r="AX565" s="324"/>
      <c r="AY565" s="324"/>
      <c r="AZ565" s="325"/>
      <c r="BA565" s="325"/>
      <c r="BB565" s="325"/>
      <c r="BC565" s="325"/>
      <c r="BD565" s="325"/>
      <c r="BE565" s="325"/>
      <c r="BF565" s="325"/>
      <c r="BG565" s="325"/>
      <c r="BH565" s="325"/>
      <c r="BI565" s="325"/>
      <c r="BJ565" s="325"/>
      <c r="BK565" s="325"/>
      <c r="BL565" s="325"/>
      <c r="BM565" s="325"/>
      <c r="BN565" s="325"/>
      <c r="BO565" s="325"/>
      <c r="BP565" s="325"/>
      <c r="BQ565" s="325"/>
    </row>
    <row r="566" spans="1:69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  <c r="AF566" s="324"/>
      <c r="AG566" s="324"/>
      <c r="AH566" s="324"/>
      <c r="AI566" s="324"/>
      <c r="AJ566" s="324"/>
      <c r="AK566" s="324"/>
      <c r="AL566" s="324"/>
      <c r="AM566" s="324"/>
      <c r="AN566" s="324"/>
      <c r="AO566" s="324"/>
      <c r="AP566" s="324"/>
      <c r="AQ566" s="324"/>
      <c r="AR566" s="324"/>
      <c r="AS566" s="324"/>
      <c r="AT566" s="324"/>
      <c r="AU566" s="324"/>
      <c r="AV566" s="324"/>
      <c r="AW566" s="324"/>
      <c r="AX566" s="324"/>
      <c r="AY566" s="324"/>
      <c r="AZ566" s="325"/>
      <c r="BA566" s="325"/>
      <c r="BB566" s="325"/>
      <c r="BC566" s="325"/>
      <c r="BD566" s="325"/>
      <c r="BE566" s="325"/>
      <c r="BF566" s="325"/>
      <c r="BG566" s="325"/>
      <c r="BH566" s="325"/>
      <c r="BI566" s="325"/>
      <c r="BJ566" s="325"/>
      <c r="BK566" s="325"/>
      <c r="BL566" s="325"/>
      <c r="BM566" s="325"/>
      <c r="BN566" s="325"/>
      <c r="BO566" s="325"/>
      <c r="BP566" s="325"/>
      <c r="BQ566" s="325"/>
    </row>
    <row r="567" spans="1:69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  <c r="AF567" s="324"/>
      <c r="AG567" s="324"/>
      <c r="AH567" s="324"/>
      <c r="AI567" s="324"/>
      <c r="AJ567" s="324"/>
      <c r="AK567" s="324"/>
      <c r="AL567" s="324"/>
      <c r="AM567" s="324"/>
      <c r="AN567" s="324"/>
      <c r="AO567" s="324"/>
      <c r="AP567" s="324"/>
      <c r="AQ567" s="324"/>
      <c r="AR567" s="324"/>
      <c r="AS567" s="324"/>
      <c r="AT567" s="324"/>
      <c r="AU567" s="324"/>
      <c r="AV567" s="324"/>
      <c r="AW567" s="324"/>
      <c r="AX567" s="324"/>
      <c r="AY567" s="324"/>
      <c r="AZ567" s="325"/>
      <c r="BA567" s="325"/>
      <c r="BB567" s="325"/>
      <c r="BC567" s="325"/>
      <c r="BD567" s="325"/>
      <c r="BE567" s="325"/>
      <c r="BF567" s="325"/>
      <c r="BG567" s="325"/>
      <c r="BH567" s="325"/>
      <c r="BI567" s="325"/>
      <c r="BJ567" s="325"/>
      <c r="BK567" s="325"/>
      <c r="BL567" s="325"/>
      <c r="BM567" s="325"/>
      <c r="BN567" s="325"/>
      <c r="BO567" s="325"/>
      <c r="BP567" s="325"/>
      <c r="BQ567" s="325"/>
    </row>
    <row r="568" spans="1:69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  <c r="AF568" s="324"/>
      <c r="AG568" s="324"/>
      <c r="AH568" s="324"/>
      <c r="AI568" s="324"/>
      <c r="AJ568" s="324"/>
      <c r="AK568" s="324"/>
      <c r="AL568" s="324"/>
      <c r="AM568" s="324"/>
      <c r="AN568" s="324"/>
      <c r="AO568" s="324"/>
      <c r="AP568" s="324"/>
      <c r="AQ568" s="324"/>
      <c r="AR568" s="324"/>
      <c r="AS568" s="324"/>
      <c r="AT568" s="324"/>
      <c r="AU568" s="324"/>
      <c r="AV568" s="324"/>
      <c r="AW568" s="324"/>
      <c r="AX568" s="324"/>
      <c r="AY568" s="324"/>
      <c r="AZ568" s="325"/>
      <c r="BA568" s="325"/>
      <c r="BB568" s="325"/>
      <c r="BC568" s="325"/>
      <c r="BD568" s="325"/>
      <c r="BE568" s="325"/>
      <c r="BF568" s="325"/>
      <c r="BG568" s="325"/>
      <c r="BH568" s="325"/>
      <c r="BI568" s="325"/>
      <c r="BJ568" s="325"/>
      <c r="BK568" s="325"/>
      <c r="BL568" s="325"/>
      <c r="BM568" s="325"/>
      <c r="BN568" s="325"/>
      <c r="BO568" s="325"/>
      <c r="BP568" s="325"/>
      <c r="BQ568" s="325"/>
    </row>
    <row r="569" spans="1:69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  <c r="AF569" s="324"/>
      <c r="AG569" s="324"/>
      <c r="AH569" s="324"/>
      <c r="AI569" s="324"/>
      <c r="AJ569" s="324"/>
      <c r="AK569" s="324"/>
      <c r="AL569" s="324"/>
      <c r="AM569" s="324"/>
      <c r="AN569" s="324"/>
      <c r="AO569" s="324"/>
      <c r="AP569" s="324"/>
      <c r="AQ569" s="324"/>
      <c r="AR569" s="324"/>
      <c r="AS569" s="324"/>
      <c r="AT569" s="324"/>
      <c r="AU569" s="324"/>
      <c r="AV569" s="324"/>
      <c r="AW569" s="324"/>
      <c r="AX569" s="324"/>
      <c r="AY569" s="324"/>
      <c r="AZ569" s="325"/>
      <c r="BA569" s="325"/>
      <c r="BB569" s="325"/>
      <c r="BC569" s="325"/>
      <c r="BD569" s="325"/>
      <c r="BE569" s="325"/>
      <c r="BF569" s="325"/>
      <c r="BG569" s="325"/>
      <c r="BH569" s="325"/>
      <c r="BI569" s="325"/>
      <c r="BJ569" s="325"/>
      <c r="BK569" s="325"/>
      <c r="BL569" s="325"/>
      <c r="BM569" s="325"/>
      <c r="BN569" s="325"/>
      <c r="BO569" s="325"/>
      <c r="BP569" s="325"/>
      <c r="BQ569" s="325"/>
    </row>
    <row r="570" spans="1:69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  <c r="AF570" s="324"/>
      <c r="AG570" s="324"/>
      <c r="AH570" s="324"/>
      <c r="AI570" s="324"/>
      <c r="AJ570" s="324"/>
      <c r="AK570" s="324"/>
      <c r="AL570" s="324"/>
      <c r="AM570" s="324"/>
      <c r="AN570" s="324"/>
      <c r="AO570" s="324"/>
      <c r="AP570" s="324"/>
      <c r="AQ570" s="324"/>
      <c r="AR570" s="324"/>
      <c r="AS570" s="324"/>
      <c r="AT570" s="324"/>
      <c r="AU570" s="324"/>
      <c r="AV570" s="324"/>
      <c r="AW570" s="324"/>
      <c r="AX570" s="324"/>
      <c r="AY570" s="324"/>
      <c r="AZ570" s="325"/>
      <c r="BA570" s="325"/>
      <c r="BB570" s="325"/>
      <c r="BC570" s="325"/>
      <c r="BD570" s="325"/>
      <c r="BE570" s="325"/>
      <c r="BF570" s="325"/>
      <c r="BG570" s="325"/>
      <c r="BH570" s="325"/>
      <c r="BI570" s="325"/>
      <c r="BJ570" s="325"/>
      <c r="BK570" s="325"/>
      <c r="BL570" s="325"/>
      <c r="BM570" s="325"/>
      <c r="BN570" s="325"/>
      <c r="BO570" s="325"/>
      <c r="BP570" s="325"/>
      <c r="BQ570" s="325"/>
    </row>
    <row r="571" spans="1:69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  <c r="AF571" s="324"/>
      <c r="AG571" s="324"/>
      <c r="AH571" s="324"/>
      <c r="AI571" s="324"/>
      <c r="AJ571" s="324"/>
      <c r="AK571" s="324"/>
      <c r="AL571" s="324"/>
      <c r="AM571" s="324"/>
      <c r="AN571" s="324"/>
      <c r="AO571" s="324"/>
      <c r="AP571" s="324"/>
      <c r="AQ571" s="324"/>
      <c r="AR571" s="324"/>
      <c r="AS571" s="324"/>
      <c r="AT571" s="324"/>
      <c r="AU571" s="324"/>
      <c r="AV571" s="324"/>
      <c r="AW571" s="324"/>
      <c r="AX571" s="324"/>
      <c r="AY571" s="324"/>
      <c r="AZ571" s="325"/>
      <c r="BA571" s="325"/>
      <c r="BB571" s="325"/>
      <c r="BC571" s="325"/>
      <c r="BD571" s="325"/>
      <c r="BE571" s="325"/>
      <c r="BF571" s="325"/>
      <c r="BG571" s="325"/>
      <c r="BH571" s="325"/>
      <c r="BI571" s="325"/>
      <c r="BJ571" s="325"/>
      <c r="BK571" s="325"/>
      <c r="BL571" s="325"/>
      <c r="BM571" s="325"/>
      <c r="BN571" s="325"/>
      <c r="BO571" s="325"/>
      <c r="BP571" s="325"/>
      <c r="BQ571" s="325"/>
    </row>
    <row r="572" spans="1:69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  <c r="AF572" s="324"/>
      <c r="AG572" s="324"/>
      <c r="AH572" s="324"/>
      <c r="AI572" s="324"/>
      <c r="AJ572" s="324"/>
      <c r="AK572" s="324"/>
      <c r="AL572" s="324"/>
      <c r="AM572" s="324"/>
      <c r="AN572" s="324"/>
      <c r="AO572" s="324"/>
      <c r="AP572" s="324"/>
      <c r="AQ572" s="324"/>
      <c r="AR572" s="324"/>
      <c r="AS572" s="324"/>
      <c r="AT572" s="324"/>
      <c r="AU572" s="324"/>
      <c r="AV572" s="324"/>
      <c r="AW572" s="324"/>
      <c r="AX572" s="324"/>
      <c r="AY572" s="324"/>
      <c r="AZ572" s="325"/>
      <c r="BA572" s="325"/>
      <c r="BB572" s="325"/>
      <c r="BC572" s="325"/>
      <c r="BD572" s="325"/>
      <c r="BE572" s="325"/>
      <c r="BF572" s="325"/>
      <c r="BG572" s="325"/>
      <c r="BH572" s="325"/>
      <c r="BI572" s="325"/>
      <c r="BJ572" s="325"/>
      <c r="BK572" s="325"/>
      <c r="BL572" s="325"/>
      <c r="BM572" s="325"/>
      <c r="BN572" s="325"/>
      <c r="BO572" s="325"/>
      <c r="BP572" s="325"/>
      <c r="BQ572" s="325"/>
    </row>
    <row r="573" spans="1:69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  <c r="AF573" s="324"/>
      <c r="AG573" s="324"/>
      <c r="AH573" s="324"/>
      <c r="AI573" s="324"/>
      <c r="AJ573" s="324"/>
      <c r="AK573" s="324"/>
      <c r="AL573" s="324"/>
      <c r="AM573" s="324"/>
      <c r="AN573" s="324"/>
      <c r="AO573" s="324"/>
      <c r="AP573" s="324"/>
      <c r="AQ573" s="324"/>
      <c r="AR573" s="324"/>
      <c r="AS573" s="324"/>
      <c r="AT573" s="324"/>
      <c r="AU573" s="324"/>
      <c r="AV573" s="324"/>
      <c r="AW573" s="324"/>
      <c r="AX573" s="324"/>
      <c r="AY573" s="324"/>
      <c r="AZ573" s="325"/>
      <c r="BA573" s="325"/>
      <c r="BB573" s="325"/>
      <c r="BC573" s="325"/>
      <c r="BD573" s="325"/>
      <c r="BE573" s="325"/>
      <c r="BF573" s="325"/>
      <c r="BG573" s="325"/>
      <c r="BH573" s="325"/>
      <c r="BI573" s="325"/>
      <c r="BJ573" s="325"/>
      <c r="BK573" s="325"/>
      <c r="BL573" s="325"/>
      <c r="BM573" s="325"/>
      <c r="BN573" s="325"/>
      <c r="BO573" s="325"/>
      <c r="BP573" s="325"/>
      <c r="BQ573" s="325"/>
    </row>
    <row r="574" spans="1:69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  <c r="AF574" s="324"/>
      <c r="AG574" s="324"/>
      <c r="AH574" s="324"/>
      <c r="AI574" s="324"/>
      <c r="AJ574" s="324"/>
      <c r="AK574" s="324"/>
      <c r="AL574" s="324"/>
      <c r="AM574" s="324"/>
      <c r="AN574" s="324"/>
      <c r="AO574" s="324"/>
      <c r="AP574" s="324"/>
      <c r="AQ574" s="324"/>
      <c r="AR574" s="324"/>
      <c r="AS574" s="324"/>
      <c r="AT574" s="324"/>
      <c r="AU574" s="324"/>
      <c r="AV574" s="324"/>
      <c r="AW574" s="324"/>
      <c r="AX574" s="324"/>
      <c r="AY574" s="324"/>
      <c r="AZ574" s="325"/>
      <c r="BA574" s="325"/>
      <c r="BB574" s="325"/>
      <c r="BC574" s="325"/>
      <c r="BD574" s="325"/>
      <c r="BE574" s="325"/>
      <c r="BF574" s="325"/>
      <c r="BG574" s="325"/>
      <c r="BH574" s="325"/>
      <c r="BI574" s="325"/>
      <c r="BJ574" s="325"/>
      <c r="BK574" s="325"/>
      <c r="BL574" s="325"/>
      <c r="BM574" s="325"/>
      <c r="BN574" s="325"/>
      <c r="BO574" s="325"/>
      <c r="BP574" s="325"/>
      <c r="BQ574" s="325"/>
    </row>
    <row r="575" spans="1:69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  <c r="AF575" s="324"/>
      <c r="AG575" s="324"/>
      <c r="AH575" s="324"/>
      <c r="AI575" s="324"/>
      <c r="AJ575" s="324"/>
      <c r="AK575" s="324"/>
      <c r="AL575" s="324"/>
      <c r="AM575" s="324"/>
      <c r="AN575" s="324"/>
      <c r="AO575" s="324"/>
      <c r="AP575" s="324"/>
      <c r="AQ575" s="324"/>
      <c r="AR575" s="324"/>
      <c r="AS575" s="324"/>
      <c r="AT575" s="324"/>
      <c r="AU575" s="324"/>
      <c r="AV575" s="324"/>
      <c r="AW575" s="324"/>
      <c r="AX575" s="324"/>
      <c r="AY575" s="324"/>
      <c r="AZ575" s="325"/>
      <c r="BA575" s="325"/>
      <c r="BB575" s="325"/>
      <c r="BC575" s="325"/>
      <c r="BD575" s="325"/>
      <c r="BE575" s="325"/>
      <c r="BF575" s="325"/>
      <c r="BG575" s="325"/>
      <c r="BH575" s="325"/>
      <c r="BI575" s="325"/>
      <c r="BJ575" s="325"/>
      <c r="BK575" s="325"/>
      <c r="BL575" s="325"/>
      <c r="BM575" s="325"/>
      <c r="BN575" s="325"/>
      <c r="BO575" s="325"/>
      <c r="BP575" s="325"/>
      <c r="BQ575" s="325"/>
    </row>
    <row r="576" spans="1:69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S576" s="325"/>
      <c r="AT576" s="325"/>
      <c r="AU576" s="325"/>
      <c r="AV576" s="325"/>
      <c r="AW576" s="325"/>
      <c r="AX576" s="325"/>
      <c r="AY576" s="325"/>
      <c r="AZ576" s="325"/>
      <c r="BA576" s="325"/>
      <c r="BB576" s="325"/>
      <c r="BC576" s="325"/>
      <c r="BD576" s="325"/>
      <c r="BE576" s="325"/>
      <c r="BF576" s="325"/>
      <c r="BG576" s="325"/>
      <c r="BH576" s="325"/>
      <c r="BI576" s="325"/>
      <c r="BJ576" s="325"/>
      <c r="BK576" s="325"/>
      <c r="BL576" s="325"/>
      <c r="BM576" s="325"/>
      <c r="BN576" s="325"/>
      <c r="BO576" s="325"/>
      <c r="BP576" s="325"/>
      <c r="BQ576" s="325"/>
    </row>
    <row r="577" spans="1:69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S577" s="325"/>
      <c r="AT577" s="325"/>
      <c r="AU577" s="325"/>
      <c r="AV577" s="325"/>
      <c r="AW577" s="325"/>
      <c r="AX577" s="325"/>
      <c r="AY577" s="325"/>
      <c r="AZ577" s="325"/>
      <c r="BA577" s="325"/>
      <c r="BB577" s="325"/>
      <c r="BC577" s="325"/>
      <c r="BD577" s="325"/>
      <c r="BE577" s="325"/>
      <c r="BF577" s="325"/>
      <c r="BG577" s="325"/>
      <c r="BH577" s="325"/>
      <c r="BI577" s="325"/>
      <c r="BJ577" s="325"/>
      <c r="BK577" s="325"/>
      <c r="BL577" s="325"/>
      <c r="BM577" s="325"/>
      <c r="BN577" s="325"/>
      <c r="BO577" s="325"/>
      <c r="BP577" s="325"/>
      <c r="BQ577" s="325"/>
    </row>
    <row r="578" spans="1:69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S578" s="325"/>
      <c r="AT578" s="325"/>
      <c r="AU578" s="325"/>
      <c r="AV578" s="325"/>
      <c r="AW578" s="325"/>
      <c r="AX578" s="325"/>
      <c r="AY578" s="325"/>
      <c r="AZ578" s="325"/>
      <c r="BA578" s="325"/>
      <c r="BB578" s="325"/>
      <c r="BC578" s="325"/>
      <c r="BD578" s="325"/>
      <c r="BE578" s="325"/>
      <c r="BF578" s="325"/>
      <c r="BG578" s="325"/>
      <c r="BH578" s="325"/>
      <c r="BI578" s="325"/>
      <c r="BJ578" s="325"/>
      <c r="BK578" s="325"/>
      <c r="BL578" s="325"/>
      <c r="BM578" s="325"/>
      <c r="BN578" s="325"/>
      <c r="BO578" s="325"/>
      <c r="BP578" s="325"/>
      <c r="BQ578" s="325"/>
    </row>
    <row r="579" spans="1:69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S579" s="325"/>
      <c r="AT579" s="325"/>
      <c r="AU579" s="325"/>
      <c r="AV579" s="325"/>
      <c r="AW579" s="325"/>
      <c r="AX579" s="325"/>
      <c r="AY579" s="325"/>
      <c r="AZ579" s="325"/>
      <c r="BA579" s="325"/>
      <c r="BB579" s="325"/>
      <c r="BC579" s="325"/>
      <c r="BD579" s="325"/>
      <c r="BE579" s="325"/>
      <c r="BF579" s="325"/>
      <c r="BG579" s="325"/>
      <c r="BH579" s="325"/>
      <c r="BI579" s="325"/>
      <c r="BJ579" s="325"/>
      <c r="BK579" s="325"/>
      <c r="BL579" s="325"/>
      <c r="BM579" s="325"/>
      <c r="BN579" s="325"/>
      <c r="BO579" s="325"/>
      <c r="BP579" s="325"/>
      <c r="BQ579" s="325"/>
    </row>
    <row r="580" spans="1:69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S580" s="325"/>
      <c r="AT580" s="325"/>
      <c r="AU580" s="325"/>
      <c r="AV580" s="325"/>
      <c r="AW580" s="325"/>
      <c r="AX580" s="325"/>
      <c r="AY580" s="325"/>
      <c r="AZ580" s="325"/>
      <c r="BA580" s="325"/>
      <c r="BB580" s="325"/>
      <c r="BC580" s="325"/>
      <c r="BD580" s="325"/>
      <c r="BE580" s="325"/>
      <c r="BF580" s="325"/>
      <c r="BG580" s="325"/>
      <c r="BH580" s="325"/>
      <c r="BI580" s="325"/>
      <c r="BJ580" s="325"/>
      <c r="BK580" s="325"/>
      <c r="BL580" s="325"/>
      <c r="BM580" s="325"/>
      <c r="BN580" s="325"/>
      <c r="BO580" s="325"/>
      <c r="BP580" s="325"/>
      <c r="BQ580" s="325"/>
    </row>
    <row r="581" spans="1:69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S581" s="325"/>
      <c r="AT581" s="325"/>
      <c r="AU581" s="325"/>
      <c r="AV581" s="325"/>
      <c r="AW581" s="325"/>
      <c r="AX581" s="325"/>
      <c r="AY581" s="325"/>
      <c r="AZ581" s="325"/>
      <c r="BA581" s="325"/>
      <c r="BB581" s="325"/>
      <c r="BC581" s="325"/>
      <c r="BD581" s="325"/>
      <c r="BE581" s="325"/>
      <c r="BF581" s="325"/>
      <c r="BG581" s="325"/>
      <c r="BH581" s="325"/>
      <c r="BI581" s="325"/>
      <c r="BJ581" s="325"/>
      <c r="BK581" s="325"/>
      <c r="BL581" s="325"/>
      <c r="BM581" s="325"/>
      <c r="BN581" s="325"/>
      <c r="BO581" s="325"/>
      <c r="BP581" s="325"/>
      <c r="BQ581" s="325"/>
    </row>
    <row r="582" spans="1:69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S582" s="325"/>
      <c r="AT582" s="325"/>
      <c r="AU582" s="325"/>
      <c r="AV582" s="325"/>
      <c r="AW582" s="325"/>
      <c r="AX582" s="325"/>
      <c r="AY582" s="325"/>
      <c r="AZ582" s="325"/>
      <c r="BA582" s="325"/>
      <c r="BB582" s="325"/>
      <c r="BC582" s="325"/>
      <c r="BD582" s="325"/>
      <c r="BE582" s="325"/>
      <c r="BF582" s="325"/>
      <c r="BG582" s="325"/>
      <c r="BH582" s="325"/>
      <c r="BI582" s="325"/>
      <c r="BJ582" s="325"/>
      <c r="BK582" s="325"/>
      <c r="BL582" s="325"/>
      <c r="BM582" s="325"/>
      <c r="BN582" s="325"/>
      <c r="BO582" s="325"/>
      <c r="BP582" s="325"/>
      <c r="BQ582" s="325"/>
    </row>
    <row r="583" spans="1:69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S583" s="325"/>
      <c r="AT583" s="325"/>
      <c r="AU583" s="325"/>
      <c r="AV583" s="325"/>
      <c r="AW583" s="325"/>
      <c r="AX583" s="325"/>
      <c r="AY583" s="325"/>
      <c r="AZ583" s="325"/>
      <c r="BA583" s="325"/>
      <c r="BB583" s="325"/>
      <c r="BC583" s="325"/>
      <c r="BD583" s="325"/>
      <c r="BE583" s="325"/>
      <c r="BF583" s="325"/>
      <c r="BG583" s="325"/>
      <c r="BH583" s="325"/>
      <c r="BI583" s="325"/>
      <c r="BJ583" s="325"/>
      <c r="BK583" s="325"/>
      <c r="BL583" s="325"/>
      <c r="BM583" s="325"/>
      <c r="BN583" s="325"/>
      <c r="BO583" s="325"/>
      <c r="BP583" s="325"/>
      <c r="BQ583" s="325"/>
    </row>
    <row r="584" spans="1:69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S584" s="325"/>
      <c r="AT584" s="325"/>
      <c r="AU584" s="325"/>
      <c r="AV584" s="325"/>
      <c r="AW584" s="325"/>
      <c r="AX584" s="325"/>
      <c r="AY584" s="325"/>
      <c r="AZ584" s="325"/>
      <c r="BA584" s="325"/>
      <c r="BB584" s="325"/>
      <c r="BC584" s="325"/>
      <c r="BD584" s="325"/>
      <c r="BE584" s="325"/>
      <c r="BF584" s="325"/>
      <c r="BG584" s="325"/>
      <c r="BH584" s="325"/>
      <c r="BI584" s="325"/>
      <c r="BJ584" s="325"/>
      <c r="BK584" s="325"/>
      <c r="BL584" s="325"/>
      <c r="BM584" s="325"/>
      <c r="BN584" s="325"/>
      <c r="BO584" s="325"/>
      <c r="BP584" s="325"/>
      <c r="BQ584" s="325"/>
    </row>
    <row r="585" spans="1:69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S585" s="325"/>
      <c r="AT585" s="325"/>
      <c r="AU585" s="325"/>
      <c r="AV585" s="325"/>
      <c r="AW585" s="325"/>
      <c r="AX585" s="325"/>
      <c r="AY585" s="325"/>
      <c r="AZ585" s="325"/>
      <c r="BA585" s="325"/>
      <c r="BB585" s="325"/>
      <c r="BC585" s="325"/>
      <c r="BD585" s="325"/>
      <c r="BE585" s="325"/>
      <c r="BF585" s="325"/>
      <c r="BG585" s="325"/>
      <c r="BH585" s="325"/>
      <c r="BI585" s="325"/>
      <c r="BJ585" s="325"/>
      <c r="BK585" s="325"/>
      <c r="BL585" s="325"/>
      <c r="BM585" s="325"/>
      <c r="BN585" s="325"/>
      <c r="BO585" s="325"/>
      <c r="BP585" s="325"/>
      <c r="BQ585" s="325"/>
    </row>
    <row r="586" spans="1:69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S586" s="325"/>
      <c r="AT586" s="325"/>
      <c r="AU586" s="325"/>
      <c r="AV586" s="325"/>
      <c r="AW586" s="325"/>
      <c r="AX586" s="325"/>
      <c r="AY586" s="325"/>
      <c r="AZ586" s="325"/>
      <c r="BA586" s="325"/>
      <c r="BB586" s="325"/>
      <c r="BC586" s="325"/>
      <c r="BD586" s="325"/>
      <c r="BE586" s="325"/>
      <c r="BF586" s="325"/>
      <c r="BG586" s="325"/>
      <c r="BH586" s="325"/>
      <c r="BI586" s="325"/>
      <c r="BJ586" s="325"/>
      <c r="BK586" s="325"/>
      <c r="BL586" s="325"/>
      <c r="BM586" s="325"/>
      <c r="BN586" s="325"/>
      <c r="BO586" s="325"/>
      <c r="BP586" s="325"/>
      <c r="BQ586" s="325"/>
    </row>
    <row r="587" spans="1:69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S587" s="325"/>
      <c r="AT587" s="325"/>
      <c r="AU587" s="325"/>
      <c r="AV587" s="325"/>
      <c r="AW587" s="325"/>
      <c r="AX587" s="325"/>
      <c r="AY587" s="325"/>
      <c r="AZ587" s="325"/>
      <c r="BA587" s="325"/>
      <c r="BB587" s="325"/>
      <c r="BC587" s="325"/>
      <c r="BD587" s="325"/>
      <c r="BE587" s="325"/>
      <c r="BF587" s="325"/>
      <c r="BG587" s="325"/>
      <c r="BH587" s="325"/>
      <c r="BI587" s="325"/>
      <c r="BJ587" s="325"/>
      <c r="BK587" s="325"/>
      <c r="BL587" s="325"/>
      <c r="BM587" s="325"/>
      <c r="BN587" s="325"/>
      <c r="BO587" s="325"/>
      <c r="BP587" s="325"/>
      <c r="BQ587" s="325"/>
    </row>
    <row r="588" spans="1:69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S588" s="325"/>
      <c r="AT588" s="325"/>
      <c r="AU588" s="325"/>
      <c r="AV588" s="325"/>
      <c r="AW588" s="325"/>
      <c r="AX588" s="325"/>
      <c r="AY588" s="325"/>
      <c r="AZ588" s="325"/>
      <c r="BA588" s="325"/>
      <c r="BB588" s="325"/>
      <c r="BC588" s="325"/>
      <c r="BD588" s="325"/>
      <c r="BE588" s="325"/>
      <c r="BF588" s="325"/>
      <c r="BG588" s="325"/>
      <c r="BH588" s="325"/>
      <c r="BI588" s="325"/>
      <c r="BJ588" s="325"/>
      <c r="BK588" s="325"/>
      <c r="BL588" s="325"/>
      <c r="BM588" s="325"/>
      <c r="BN588" s="325"/>
      <c r="BO588" s="325"/>
      <c r="BP588" s="325"/>
      <c r="BQ588" s="325"/>
    </row>
    <row r="589" spans="1:69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S589" s="325"/>
      <c r="AT589" s="325"/>
      <c r="AU589" s="325"/>
      <c r="AV589" s="325"/>
      <c r="AW589" s="325"/>
      <c r="AX589" s="325"/>
      <c r="AY589" s="325"/>
      <c r="AZ589" s="325"/>
      <c r="BA589" s="325"/>
      <c r="BB589" s="325"/>
      <c r="BC589" s="325"/>
      <c r="BD589" s="325"/>
      <c r="BE589" s="325"/>
      <c r="BF589" s="325"/>
      <c r="BG589" s="325"/>
      <c r="BH589" s="325"/>
      <c r="BI589" s="325"/>
      <c r="BJ589" s="325"/>
      <c r="BK589" s="325"/>
      <c r="BL589" s="325"/>
      <c r="BM589" s="325"/>
      <c r="BN589" s="325"/>
      <c r="BO589" s="325"/>
      <c r="BP589" s="325"/>
      <c r="BQ589" s="325"/>
    </row>
    <row r="590" spans="1:69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S590" s="325"/>
      <c r="AT590" s="325"/>
      <c r="AU590" s="325"/>
      <c r="AV590" s="325"/>
      <c r="AW590" s="325"/>
      <c r="AX590" s="325"/>
      <c r="AY590" s="325"/>
      <c r="AZ590" s="325"/>
      <c r="BA590" s="325"/>
      <c r="BB590" s="325"/>
      <c r="BC590" s="325"/>
      <c r="BD590" s="325"/>
      <c r="BE590" s="325"/>
      <c r="BF590" s="325"/>
      <c r="BG590" s="325"/>
      <c r="BH590" s="325"/>
      <c r="BI590" s="325"/>
      <c r="BJ590" s="325"/>
      <c r="BK590" s="325"/>
      <c r="BL590" s="325"/>
      <c r="BM590" s="325"/>
      <c r="BN590" s="325"/>
      <c r="BO590" s="325"/>
      <c r="BP590" s="325"/>
      <c r="BQ590" s="325"/>
    </row>
    <row r="591" spans="1:69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S591" s="325"/>
      <c r="AT591" s="325"/>
      <c r="AU591" s="325"/>
      <c r="AV591" s="325"/>
      <c r="AW591" s="325"/>
      <c r="AX591" s="325"/>
      <c r="AY591" s="325"/>
      <c r="AZ591" s="325"/>
      <c r="BA591" s="325"/>
      <c r="BB591" s="325"/>
      <c r="BC591" s="325"/>
      <c r="BD591" s="325"/>
      <c r="BE591" s="325"/>
      <c r="BF591" s="325"/>
      <c r="BG591" s="325"/>
      <c r="BH591" s="325"/>
      <c r="BI591" s="325"/>
      <c r="BJ591" s="325"/>
      <c r="BK591" s="325"/>
      <c r="BL591" s="325"/>
      <c r="BM591" s="325"/>
      <c r="BN591" s="325"/>
      <c r="BO591" s="325"/>
      <c r="BP591" s="325"/>
      <c r="BQ591" s="325"/>
    </row>
    <row r="592" spans="1:69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S592" s="325"/>
      <c r="AT592" s="325"/>
      <c r="AU592" s="325"/>
      <c r="AV592" s="325"/>
      <c r="AW592" s="325"/>
      <c r="AX592" s="325"/>
      <c r="AY592" s="325"/>
      <c r="AZ592" s="325"/>
      <c r="BA592" s="325"/>
      <c r="BB592" s="325"/>
      <c r="BC592" s="325"/>
      <c r="BD592" s="325"/>
      <c r="BE592" s="325"/>
      <c r="BF592" s="325"/>
      <c r="BG592" s="325"/>
      <c r="BH592" s="325"/>
      <c r="BI592" s="325"/>
      <c r="BJ592" s="325"/>
      <c r="BK592" s="325"/>
      <c r="BL592" s="325"/>
      <c r="BM592" s="325"/>
      <c r="BN592" s="325"/>
      <c r="BO592" s="325"/>
      <c r="BP592" s="325"/>
      <c r="BQ592" s="325"/>
    </row>
    <row r="593" spans="1:69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S593" s="325"/>
      <c r="AT593" s="325"/>
      <c r="AU593" s="325"/>
      <c r="AV593" s="325"/>
      <c r="AW593" s="325"/>
      <c r="AX593" s="325"/>
      <c r="AY593" s="325"/>
      <c r="AZ593" s="325"/>
      <c r="BA593" s="325"/>
      <c r="BB593" s="325"/>
      <c r="BC593" s="325"/>
      <c r="BD593" s="325"/>
      <c r="BE593" s="325"/>
      <c r="BF593" s="325"/>
      <c r="BG593" s="325"/>
      <c r="BH593" s="325"/>
      <c r="BI593" s="325"/>
      <c r="BJ593" s="325"/>
      <c r="BK593" s="325"/>
      <c r="BL593" s="325"/>
      <c r="BM593" s="325"/>
      <c r="BN593" s="325"/>
      <c r="BO593" s="325"/>
      <c r="BP593" s="325"/>
      <c r="BQ593" s="325"/>
    </row>
    <row r="594" spans="1:69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S594" s="325"/>
      <c r="AT594" s="325"/>
      <c r="AU594" s="325"/>
      <c r="AV594" s="325"/>
      <c r="AW594" s="325"/>
      <c r="AX594" s="325"/>
      <c r="AY594" s="325"/>
      <c r="AZ594" s="325"/>
      <c r="BA594" s="325"/>
      <c r="BB594" s="325"/>
      <c r="BC594" s="325"/>
      <c r="BD594" s="325"/>
      <c r="BE594" s="325"/>
      <c r="BF594" s="325"/>
      <c r="BG594" s="325"/>
      <c r="BH594" s="325"/>
      <c r="BI594" s="325"/>
      <c r="BJ594" s="325"/>
      <c r="BK594" s="325"/>
      <c r="BL594" s="325"/>
      <c r="BM594" s="325"/>
      <c r="BN594" s="325"/>
      <c r="BO594" s="325"/>
      <c r="BP594" s="325"/>
      <c r="BQ594" s="325"/>
    </row>
    <row r="595" spans="1:69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S595" s="325"/>
      <c r="AT595" s="325"/>
      <c r="AU595" s="325"/>
      <c r="AV595" s="325"/>
      <c r="AW595" s="325"/>
      <c r="AX595" s="325"/>
      <c r="AY595" s="325"/>
      <c r="AZ595" s="325"/>
      <c r="BA595" s="325"/>
      <c r="BB595" s="325"/>
      <c r="BC595" s="325"/>
      <c r="BD595" s="325"/>
      <c r="BE595" s="325"/>
      <c r="BF595" s="325"/>
      <c r="BG595" s="325"/>
      <c r="BH595" s="325"/>
      <c r="BI595" s="325"/>
      <c r="BJ595" s="325"/>
      <c r="BK595" s="325"/>
      <c r="BL595" s="325"/>
      <c r="BM595" s="325"/>
      <c r="BN595" s="325"/>
      <c r="BO595" s="325"/>
      <c r="BP595" s="325"/>
      <c r="BQ595" s="325"/>
    </row>
    <row r="596" spans="1:69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S596" s="325"/>
      <c r="AT596" s="325"/>
      <c r="AU596" s="325"/>
      <c r="AV596" s="325"/>
      <c r="AW596" s="325"/>
      <c r="AX596" s="325"/>
      <c r="AY596" s="325"/>
      <c r="AZ596" s="325"/>
      <c r="BA596" s="325"/>
      <c r="BB596" s="325"/>
      <c r="BC596" s="325"/>
      <c r="BD596" s="325"/>
      <c r="BE596" s="325"/>
      <c r="BF596" s="325"/>
      <c r="BG596" s="325"/>
      <c r="BH596" s="325"/>
      <c r="BI596" s="325"/>
      <c r="BJ596" s="325"/>
      <c r="BK596" s="325"/>
      <c r="BL596" s="325"/>
      <c r="BM596" s="325"/>
      <c r="BN596" s="325"/>
      <c r="BO596" s="325"/>
      <c r="BP596" s="325"/>
      <c r="BQ596" s="325"/>
    </row>
    <row r="597" spans="1:69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S597" s="325"/>
      <c r="AT597" s="325"/>
      <c r="AU597" s="325"/>
      <c r="AV597" s="325"/>
      <c r="AW597" s="325"/>
      <c r="AX597" s="325"/>
      <c r="AY597" s="325"/>
      <c r="AZ597" s="325"/>
      <c r="BA597" s="325"/>
      <c r="BB597" s="325"/>
      <c r="BC597" s="325"/>
      <c r="BD597" s="325"/>
      <c r="BE597" s="325"/>
      <c r="BF597" s="325"/>
      <c r="BG597" s="325"/>
      <c r="BH597" s="325"/>
      <c r="BI597" s="325"/>
      <c r="BJ597" s="325"/>
      <c r="BK597" s="325"/>
      <c r="BL597" s="325"/>
      <c r="BM597" s="325"/>
      <c r="BN597" s="325"/>
      <c r="BO597" s="325"/>
      <c r="BP597" s="325"/>
      <c r="BQ597" s="325"/>
    </row>
    <row r="598" spans="1:69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S598" s="325"/>
      <c r="AT598" s="325"/>
      <c r="AU598" s="325"/>
      <c r="AV598" s="325"/>
      <c r="AW598" s="325"/>
      <c r="AX598" s="325"/>
      <c r="AY598" s="325"/>
      <c r="AZ598" s="325"/>
      <c r="BA598" s="325"/>
      <c r="BB598" s="325"/>
      <c r="BC598" s="325"/>
      <c r="BD598" s="325"/>
      <c r="BE598" s="325"/>
      <c r="BF598" s="325"/>
      <c r="BG598" s="325"/>
      <c r="BH598" s="325"/>
      <c r="BI598" s="325"/>
      <c r="BJ598" s="325"/>
      <c r="BK598" s="325"/>
      <c r="BL598" s="325"/>
      <c r="BM598" s="325"/>
      <c r="BN598" s="325"/>
      <c r="BO598" s="325"/>
      <c r="BP598" s="325"/>
      <c r="BQ598" s="325"/>
    </row>
    <row r="599" spans="1:69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S599" s="325"/>
      <c r="AT599" s="325"/>
      <c r="AU599" s="325"/>
      <c r="AV599" s="325"/>
      <c r="AW599" s="325"/>
      <c r="AX599" s="325"/>
      <c r="AY599" s="325"/>
      <c r="AZ599" s="325"/>
      <c r="BA599" s="325"/>
      <c r="BB599" s="325"/>
      <c r="BC599" s="325"/>
      <c r="BD599" s="325"/>
      <c r="BE599" s="325"/>
      <c r="BF599" s="325"/>
      <c r="BG599" s="325"/>
      <c r="BH599" s="325"/>
      <c r="BI599" s="325"/>
      <c r="BJ599" s="325"/>
      <c r="BK599" s="325"/>
      <c r="BL599" s="325"/>
      <c r="BM599" s="325"/>
      <c r="BN599" s="325"/>
      <c r="BO599" s="325"/>
      <c r="BP599" s="325"/>
      <c r="BQ599" s="325"/>
    </row>
    <row r="600" spans="1:69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S600" s="325"/>
      <c r="AT600" s="325"/>
      <c r="AU600" s="325"/>
      <c r="AV600" s="325"/>
      <c r="AW600" s="325"/>
      <c r="AX600" s="325"/>
      <c r="AY600" s="325"/>
      <c r="AZ600" s="325"/>
      <c r="BA600" s="325"/>
      <c r="BB600" s="325"/>
      <c r="BC600" s="325"/>
      <c r="BD600" s="325"/>
      <c r="BE600" s="325"/>
      <c r="BF600" s="325"/>
      <c r="BG600" s="325"/>
      <c r="BH600" s="325"/>
      <c r="BI600" s="325"/>
      <c r="BJ600" s="325"/>
      <c r="BK600" s="325"/>
      <c r="BL600" s="325"/>
      <c r="BM600" s="325"/>
      <c r="BN600" s="325"/>
      <c r="BO600" s="325"/>
      <c r="BP600" s="325"/>
      <c r="BQ600" s="325"/>
    </row>
    <row r="601" spans="1:69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S601" s="325"/>
      <c r="AT601" s="325"/>
      <c r="AU601" s="325"/>
      <c r="AV601" s="325"/>
      <c r="AW601" s="325"/>
      <c r="AX601" s="325"/>
      <c r="AY601" s="325"/>
      <c r="AZ601" s="325"/>
      <c r="BA601" s="325"/>
      <c r="BB601" s="325"/>
      <c r="BC601" s="325"/>
      <c r="BD601" s="325"/>
      <c r="BE601" s="325"/>
      <c r="BF601" s="325"/>
      <c r="BG601" s="325"/>
      <c r="BH601" s="325"/>
      <c r="BI601" s="325"/>
      <c r="BJ601" s="325"/>
      <c r="BK601" s="325"/>
      <c r="BL601" s="325"/>
      <c r="BM601" s="325"/>
      <c r="BN601" s="325"/>
      <c r="BO601" s="325"/>
      <c r="BP601" s="325"/>
      <c r="BQ601" s="325"/>
    </row>
    <row r="602" spans="1:69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S602" s="325"/>
      <c r="AT602" s="325"/>
      <c r="AU602" s="325"/>
      <c r="AV602" s="325"/>
      <c r="AW602" s="325"/>
      <c r="AX602" s="325"/>
      <c r="AY602" s="325"/>
      <c r="AZ602" s="325"/>
      <c r="BA602" s="325"/>
      <c r="BB602" s="325"/>
      <c r="BC602" s="325"/>
      <c r="BD602" s="325"/>
      <c r="BE602" s="325"/>
      <c r="BF602" s="325"/>
      <c r="BG602" s="325"/>
      <c r="BH602" s="325"/>
      <c r="BI602" s="325"/>
      <c r="BJ602" s="325"/>
      <c r="BK602" s="325"/>
      <c r="BL602" s="325"/>
      <c r="BM602" s="325"/>
      <c r="BN602" s="325"/>
      <c r="BO602" s="325"/>
      <c r="BP602" s="325"/>
      <c r="BQ602" s="325"/>
    </row>
    <row r="603" spans="1:69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S603" s="325"/>
      <c r="AT603" s="325"/>
      <c r="AU603" s="325"/>
      <c r="AV603" s="325"/>
      <c r="AW603" s="325"/>
      <c r="AX603" s="325"/>
      <c r="AY603" s="325"/>
      <c r="AZ603" s="325"/>
      <c r="BA603" s="325"/>
      <c r="BB603" s="325"/>
      <c r="BC603" s="325"/>
      <c r="BD603" s="325"/>
      <c r="BE603" s="325"/>
      <c r="BF603" s="325"/>
      <c r="BG603" s="325"/>
      <c r="BH603" s="325"/>
      <c r="BI603" s="325"/>
      <c r="BJ603" s="325"/>
      <c r="BK603" s="325"/>
      <c r="BL603" s="325"/>
      <c r="BM603" s="325"/>
      <c r="BN603" s="325"/>
      <c r="BO603" s="325"/>
      <c r="BP603" s="325"/>
      <c r="BQ603" s="325"/>
    </row>
    <row r="604" spans="1:69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S604" s="325"/>
      <c r="AT604" s="325"/>
      <c r="AU604" s="325"/>
      <c r="AV604" s="325"/>
      <c r="AW604" s="325"/>
      <c r="AX604" s="325"/>
      <c r="AY604" s="325"/>
      <c r="AZ604" s="325"/>
      <c r="BA604" s="325"/>
      <c r="BB604" s="325"/>
      <c r="BC604" s="325"/>
      <c r="BD604" s="325"/>
      <c r="BE604" s="325"/>
      <c r="BF604" s="325"/>
      <c r="BG604" s="325"/>
      <c r="BH604" s="325"/>
      <c r="BI604" s="325"/>
      <c r="BJ604" s="325"/>
      <c r="BK604" s="325"/>
      <c r="BL604" s="325"/>
      <c r="BM604" s="325"/>
      <c r="BN604" s="325"/>
      <c r="BO604" s="325"/>
      <c r="BP604" s="325"/>
      <c r="BQ604" s="325"/>
    </row>
    <row r="605" spans="1:69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S605" s="325"/>
      <c r="AT605" s="325"/>
      <c r="AU605" s="325"/>
      <c r="AV605" s="325"/>
      <c r="AW605" s="325"/>
      <c r="AX605" s="325"/>
      <c r="AY605" s="325"/>
      <c r="AZ605" s="325"/>
      <c r="BA605" s="325"/>
      <c r="BB605" s="325"/>
      <c r="BC605" s="325"/>
      <c r="BD605" s="325"/>
      <c r="BE605" s="325"/>
      <c r="BF605" s="325"/>
      <c r="BG605" s="325"/>
      <c r="BH605" s="325"/>
      <c r="BI605" s="325"/>
      <c r="BJ605" s="325"/>
      <c r="BK605" s="325"/>
      <c r="BL605" s="325"/>
      <c r="BM605" s="325"/>
      <c r="BN605" s="325"/>
      <c r="BO605" s="325"/>
      <c r="BP605" s="325"/>
      <c r="BQ605" s="325"/>
    </row>
    <row r="606" spans="1:69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S606" s="325"/>
      <c r="AT606" s="325"/>
      <c r="AU606" s="325"/>
      <c r="AV606" s="325"/>
      <c r="AW606" s="325"/>
      <c r="AX606" s="325"/>
      <c r="AY606" s="325"/>
      <c r="AZ606" s="325"/>
      <c r="BA606" s="325"/>
      <c r="BB606" s="325"/>
      <c r="BC606" s="325"/>
      <c r="BD606" s="325"/>
      <c r="BE606" s="325"/>
      <c r="BF606" s="325"/>
      <c r="BG606" s="325"/>
      <c r="BH606" s="325"/>
      <c r="BI606" s="325"/>
      <c r="BJ606" s="325"/>
      <c r="BK606" s="325"/>
      <c r="BL606" s="325"/>
      <c r="BM606" s="325"/>
      <c r="BN606" s="325"/>
      <c r="BO606" s="325"/>
      <c r="BP606" s="325"/>
      <c r="BQ606" s="325"/>
    </row>
    <row r="607" spans="1:69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S607" s="325"/>
      <c r="AT607" s="325"/>
      <c r="AU607" s="325"/>
      <c r="AV607" s="325"/>
      <c r="AW607" s="325"/>
      <c r="AX607" s="325"/>
      <c r="AY607" s="325"/>
      <c r="AZ607" s="325"/>
      <c r="BA607" s="325"/>
      <c r="BB607" s="325"/>
      <c r="BC607" s="325"/>
      <c r="BD607" s="325"/>
      <c r="BE607" s="325"/>
      <c r="BF607" s="325"/>
      <c r="BG607" s="325"/>
      <c r="BH607" s="325"/>
      <c r="BI607" s="325"/>
      <c r="BJ607" s="325"/>
      <c r="BK607" s="325"/>
      <c r="BL607" s="325"/>
      <c r="BM607" s="325"/>
      <c r="BN607" s="325"/>
      <c r="BO607" s="325"/>
      <c r="BP607" s="325"/>
      <c r="BQ607" s="325"/>
    </row>
    <row r="608" spans="1:69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S608" s="325"/>
      <c r="AT608" s="325"/>
      <c r="AU608" s="325"/>
      <c r="AV608" s="325"/>
      <c r="AW608" s="325"/>
      <c r="AX608" s="325"/>
      <c r="AY608" s="325"/>
      <c r="AZ608" s="325"/>
      <c r="BA608" s="325"/>
      <c r="BB608" s="325"/>
      <c r="BC608" s="325"/>
      <c r="BD608" s="325"/>
      <c r="BE608" s="325"/>
      <c r="BF608" s="325"/>
      <c r="BG608" s="325"/>
      <c r="BH608" s="325"/>
      <c r="BI608" s="325"/>
      <c r="BJ608" s="325"/>
      <c r="BK608" s="325"/>
      <c r="BL608" s="325"/>
      <c r="BM608" s="325"/>
      <c r="BN608" s="325"/>
      <c r="BO608" s="325"/>
      <c r="BP608" s="325"/>
      <c r="BQ608" s="325"/>
    </row>
    <row r="609" spans="1:69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S609" s="325"/>
      <c r="AT609" s="325"/>
      <c r="AU609" s="325"/>
      <c r="AV609" s="325"/>
      <c r="AW609" s="325"/>
      <c r="AX609" s="325"/>
      <c r="AY609" s="325"/>
      <c r="AZ609" s="325"/>
      <c r="BA609" s="325"/>
      <c r="BB609" s="325"/>
      <c r="BC609" s="325"/>
      <c r="BD609" s="325"/>
      <c r="BE609" s="325"/>
      <c r="BF609" s="325"/>
      <c r="BG609" s="325"/>
      <c r="BH609" s="325"/>
      <c r="BI609" s="325"/>
      <c r="BJ609" s="325"/>
      <c r="BK609" s="325"/>
      <c r="BL609" s="325"/>
      <c r="BM609" s="325"/>
      <c r="BN609" s="325"/>
      <c r="BO609" s="325"/>
      <c r="BP609" s="325"/>
      <c r="BQ609" s="325"/>
    </row>
    <row r="610" spans="1:69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S610" s="325"/>
      <c r="AT610" s="325"/>
      <c r="AU610" s="325"/>
      <c r="AV610" s="325"/>
      <c r="AW610" s="325"/>
      <c r="AX610" s="325"/>
      <c r="AY610" s="325"/>
      <c r="AZ610" s="325"/>
      <c r="BA610" s="325"/>
      <c r="BB610" s="325"/>
      <c r="BC610" s="325"/>
      <c r="BD610" s="325"/>
      <c r="BE610" s="325"/>
      <c r="BF610" s="325"/>
      <c r="BG610" s="325"/>
      <c r="BH610" s="325"/>
      <c r="BI610" s="325"/>
      <c r="BJ610" s="325"/>
      <c r="BK610" s="325"/>
      <c r="BL610" s="325"/>
      <c r="BM610" s="325"/>
      <c r="BN610" s="325"/>
      <c r="BO610" s="325"/>
      <c r="BP610" s="325"/>
      <c r="BQ610" s="325"/>
    </row>
    <row r="611" spans="1:69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S611" s="325"/>
      <c r="AT611" s="325"/>
      <c r="AU611" s="325"/>
      <c r="AV611" s="325"/>
      <c r="AW611" s="325"/>
      <c r="AX611" s="325"/>
      <c r="AY611" s="325"/>
      <c r="AZ611" s="325"/>
      <c r="BA611" s="325"/>
      <c r="BB611" s="325"/>
      <c r="BC611" s="325"/>
      <c r="BD611" s="325"/>
      <c r="BE611" s="325"/>
      <c r="BF611" s="325"/>
      <c r="BG611" s="325"/>
      <c r="BH611" s="325"/>
      <c r="BI611" s="325"/>
      <c r="BJ611" s="325"/>
      <c r="BK611" s="325"/>
      <c r="BL611" s="325"/>
      <c r="BM611" s="325"/>
      <c r="BN611" s="325"/>
      <c r="BO611" s="325"/>
      <c r="BP611" s="325"/>
      <c r="BQ611" s="325"/>
    </row>
    <row r="612" spans="1:69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S612" s="325"/>
      <c r="AT612" s="325"/>
      <c r="AU612" s="325"/>
      <c r="AV612" s="325"/>
      <c r="AW612" s="325"/>
      <c r="AX612" s="325"/>
      <c r="AY612" s="325"/>
      <c r="AZ612" s="325"/>
      <c r="BA612" s="325"/>
      <c r="BB612" s="325"/>
      <c r="BC612" s="325"/>
      <c r="BD612" s="325"/>
      <c r="BE612" s="325"/>
      <c r="BF612" s="325"/>
      <c r="BG612" s="325"/>
      <c r="BH612" s="325"/>
      <c r="BI612" s="325"/>
      <c r="BJ612" s="325"/>
      <c r="BK612" s="325"/>
      <c r="BL612" s="325"/>
      <c r="BM612" s="325"/>
      <c r="BN612" s="325"/>
      <c r="BO612" s="325"/>
      <c r="BP612" s="325"/>
      <c r="BQ612" s="325"/>
    </row>
    <row r="613" spans="1:69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S613" s="325"/>
      <c r="AT613" s="325"/>
      <c r="AU613" s="325"/>
      <c r="AV613" s="325"/>
      <c r="AW613" s="325"/>
      <c r="AX613" s="325"/>
      <c r="AY613" s="325"/>
      <c r="AZ613" s="325"/>
      <c r="BA613" s="325"/>
      <c r="BB613" s="325"/>
      <c r="BC613" s="325"/>
      <c r="BD613" s="325"/>
      <c r="BE613" s="325"/>
      <c r="BF613" s="325"/>
      <c r="BG613" s="325"/>
      <c r="BH613" s="325"/>
      <c r="BI613" s="325"/>
      <c r="BJ613" s="325"/>
      <c r="BK613" s="325"/>
      <c r="BL613" s="325"/>
      <c r="BM613" s="325"/>
      <c r="BN613" s="325"/>
      <c r="BO613" s="325"/>
      <c r="BP613" s="325"/>
      <c r="BQ613" s="325"/>
    </row>
    <row r="614" spans="1:69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S614" s="325"/>
      <c r="AT614" s="325"/>
      <c r="AU614" s="325"/>
      <c r="AV614" s="325"/>
      <c r="AW614" s="325"/>
      <c r="AX614" s="325"/>
      <c r="AY614" s="325"/>
      <c r="AZ614" s="325"/>
      <c r="BA614" s="325"/>
      <c r="BB614" s="325"/>
      <c r="BC614" s="325"/>
      <c r="BD614" s="325"/>
      <c r="BE614" s="325"/>
      <c r="BF614" s="325"/>
      <c r="BG614" s="325"/>
      <c r="BH614" s="325"/>
      <c r="BI614" s="325"/>
      <c r="BJ614" s="325"/>
      <c r="BK614" s="325"/>
      <c r="BL614" s="325"/>
      <c r="BM614" s="325"/>
      <c r="BN614" s="325"/>
      <c r="BO614" s="325"/>
      <c r="BP614" s="325"/>
      <c r="BQ614" s="325"/>
    </row>
    <row r="615" spans="1:69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S615" s="325"/>
      <c r="AT615" s="325"/>
      <c r="AU615" s="325"/>
      <c r="AV615" s="325"/>
      <c r="AW615" s="325"/>
      <c r="AX615" s="325"/>
      <c r="AY615" s="325"/>
      <c r="AZ615" s="325"/>
      <c r="BA615" s="325"/>
      <c r="BB615" s="325"/>
      <c r="BC615" s="325"/>
      <c r="BD615" s="325"/>
      <c r="BE615" s="325"/>
      <c r="BF615" s="325"/>
      <c r="BG615" s="325"/>
      <c r="BH615" s="325"/>
      <c r="BI615" s="325"/>
      <c r="BJ615" s="325"/>
      <c r="BK615" s="325"/>
      <c r="BL615" s="325"/>
      <c r="BM615" s="325"/>
      <c r="BN615" s="325"/>
      <c r="BO615" s="325"/>
      <c r="BP615" s="325"/>
      <c r="BQ615" s="325"/>
    </row>
    <row r="616" spans="1:69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S616" s="325"/>
      <c r="AT616" s="325"/>
      <c r="AU616" s="325"/>
      <c r="AV616" s="325"/>
      <c r="AW616" s="325"/>
      <c r="AX616" s="325"/>
      <c r="AY616" s="325"/>
      <c r="AZ616" s="325"/>
      <c r="BA616" s="325"/>
      <c r="BB616" s="325"/>
      <c r="BC616" s="325"/>
      <c r="BD616" s="325"/>
      <c r="BE616" s="325"/>
      <c r="BF616" s="325"/>
      <c r="BG616" s="325"/>
      <c r="BH616" s="325"/>
      <c r="BI616" s="325"/>
      <c r="BJ616" s="325"/>
      <c r="BK616" s="325"/>
      <c r="BL616" s="325"/>
      <c r="BM616" s="325"/>
      <c r="BN616" s="325"/>
      <c r="BO616" s="325"/>
      <c r="BP616" s="325"/>
      <c r="BQ616" s="325"/>
    </row>
    <row r="617" spans="1:69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S617" s="325"/>
      <c r="AT617" s="325"/>
      <c r="AU617" s="325"/>
      <c r="AV617" s="325"/>
      <c r="AW617" s="325"/>
      <c r="AX617" s="325"/>
      <c r="AY617" s="325"/>
      <c r="AZ617" s="325"/>
      <c r="BA617" s="325"/>
      <c r="BB617" s="325"/>
      <c r="BC617" s="325"/>
      <c r="BD617" s="325"/>
      <c r="BE617" s="325"/>
      <c r="BF617" s="325"/>
      <c r="BG617" s="325"/>
      <c r="BH617" s="325"/>
      <c r="BI617" s="325"/>
      <c r="BJ617" s="325"/>
      <c r="BK617" s="325"/>
      <c r="BL617" s="325"/>
      <c r="BM617" s="325"/>
      <c r="BN617" s="325"/>
      <c r="BO617" s="325"/>
      <c r="BP617" s="325"/>
      <c r="BQ617" s="325"/>
    </row>
    <row r="618" spans="1:69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S618" s="325"/>
      <c r="AT618" s="325"/>
      <c r="AU618" s="325"/>
      <c r="AV618" s="325"/>
      <c r="AW618" s="325"/>
      <c r="AX618" s="325"/>
      <c r="AY618" s="325"/>
      <c r="AZ618" s="325"/>
      <c r="BA618" s="325"/>
      <c r="BB618" s="325"/>
      <c r="BC618" s="325"/>
      <c r="BD618" s="325"/>
      <c r="BE618" s="325"/>
      <c r="BF618" s="325"/>
      <c r="BG618" s="325"/>
      <c r="BH618" s="325"/>
      <c r="BI618" s="325"/>
      <c r="BJ618" s="325"/>
      <c r="BK618" s="325"/>
      <c r="BL618" s="325"/>
      <c r="BM618" s="325"/>
      <c r="BN618" s="325"/>
      <c r="BO618" s="325"/>
      <c r="BP618" s="325"/>
      <c r="BQ618" s="325"/>
    </row>
    <row r="619" spans="1:69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S619" s="325"/>
      <c r="AT619" s="325"/>
      <c r="AU619" s="325"/>
      <c r="AV619" s="325"/>
      <c r="AW619" s="325"/>
      <c r="AX619" s="325"/>
      <c r="AY619" s="325"/>
      <c r="AZ619" s="325"/>
      <c r="BA619" s="325"/>
      <c r="BB619" s="325"/>
      <c r="BC619" s="325"/>
      <c r="BD619" s="325"/>
      <c r="BE619" s="325"/>
      <c r="BF619" s="325"/>
      <c r="BG619" s="325"/>
      <c r="BH619" s="325"/>
      <c r="BI619" s="325"/>
      <c r="BJ619" s="325"/>
      <c r="BK619" s="325"/>
      <c r="BL619" s="325"/>
      <c r="BM619" s="325"/>
      <c r="BN619" s="325"/>
      <c r="BO619" s="325"/>
      <c r="BP619" s="325"/>
      <c r="BQ619" s="325"/>
    </row>
    <row r="620" spans="1:69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S620" s="325"/>
      <c r="AT620" s="325"/>
      <c r="AU620" s="325"/>
      <c r="AV620" s="325"/>
      <c r="AW620" s="325"/>
      <c r="AX620" s="325"/>
      <c r="AY620" s="325"/>
      <c r="AZ620" s="325"/>
      <c r="BA620" s="325"/>
      <c r="BB620" s="325"/>
      <c r="BC620" s="325"/>
      <c r="BD620" s="325"/>
      <c r="BE620" s="325"/>
      <c r="BF620" s="325"/>
      <c r="BG620" s="325"/>
      <c r="BH620" s="325"/>
      <c r="BI620" s="325"/>
      <c r="BJ620" s="325"/>
      <c r="BK620" s="325"/>
      <c r="BL620" s="325"/>
      <c r="BM620" s="325"/>
      <c r="BN620" s="325"/>
      <c r="BO620" s="325"/>
      <c r="BP620" s="325"/>
      <c r="BQ620" s="325"/>
    </row>
    <row r="621" spans="1:69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S621" s="325"/>
      <c r="AT621" s="325"/>
      <c r="AU621" s="325"/>
      <c r="AV621" s="325"/>
      <c r="AW621" s="325"/>
      <c r="AX621" s="325"/>
      <c r="AY621" s="325"/>
      <c r="AZ621" s="325"/>
      <c r="BA621" s="325"/>
      <c r="BB621" s="325"/>
      <c r="BC621" s="325"/>
      <c r="BD621" s="325"/>
      <c r="BE621" s="325"/>
      <c r="BF621" s="325"/>
      <c r="BG621" s="325"/>
      <c r="BH621" s="325"/>
      <c r="BI621" s="325"/>
      <c r="BJ621" s="325"/>
      <c r="BK621" s="325"/>
      <c r="BL621" s="325"/>
      <c r="BM621" s="325"/>
      <c r="BN621" s="325"/>
      <c r="BO621" s="325"/>
      <c r="BP621" s="325"/>
      <c r="BQ621" s="325"/>
    </row>
    <row r="622" spans="1:69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S622" s="325"/>
      <c r="AT622" s="325"/>
      <c r="AU622" s="325"/>
      <c r="AV622" s="325"/>
      <c r="AW622" s="325"/>
      <c r="AX622" s="325"/>
      <c r="AY622" s="325"/>
      <c r="AZ622" s="325"/>
      <c r="BA622" s="325"/>
      <c r="BB622" s="325"/>
      <c r="BC622" s="325"/>
      <c r="BD622" s="325"/>
      <c r="BE622" s="325"/>
      <c r="BF622" s="325"/>
      <c r="BG622" s="325"/>
      <c r="BH622" s="325"/>
      <c r="BI622" s="325"/>
      <c r="BJ622" s="325"/>
      <c r="BK622" s="325"/>
      <c r="BL622" s="325"/>
      <c r="BM622" s="325"/>
      <c r="BN622" s="325"/>
      <c r="BO622" s="325"/>
      <c r="BP622" s="325"/>
      <c r="BQ622" s="325"/>
    </row>
    <row r="623" spans="1:69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S623" s="325"/>
      <c r="AT623" s="325"/>
      <c r="AU623" s="325"/>
      <c r="AV623" s="325"/>
      <c r="AW623" s="325"/>
      <c r="AX623" s="325"/>
      <c r="AY623" s="325"/>
      <c r="AZ623" s="325"/>
      <c r="BA623" s="325"/>
      <c r="BB623" s="325"/>
      <c r="BC623" s="325"/>
      <c r="BD623" s="325"/>
      <c r="BE623" s="325"/>
      <c r="BF623" s="325"/>
      <c r="BG623" s="325"/>
      <c r="BH623" s="325"/>
      <c r="BI623" s="325"/>
      <c r="BJ623" s="325"/>
      <c r="BK623" s="325"/>
      <c r="BL623" s="325"/>
      <c r="BM623" s="325"/>
      <c r="BN623" s="325"/>
      <c r="BO623" s="325"/>
      <c r="BP623" s="325"/>
      <c r="BQ623" s="325"/>
    </row>
    <row r="624" spans="1:69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S624" s="325"/>
      <c r="AT624" s="325"/>
      <c r="AU624" s="325"/>
      <c r="AV624" s="325"/>
      <c r="AW624" s="325"/>
      <c r="AX624" s="325"/>
      <c r="AY624" s="325"/>
      <c r="AZ624" s="325"/>
      <c r="BA624" s="325"/>
      <c r="BB624" s="325"/>
      <c r="BC624" s="325"/>
      <c r="BD624" s="325"/>
      <c r="BE624" s="325"/>
      <c r="BF624" s="325"/>
      <c r="BG624" s="325"/>
      <c r="BH624" s="325"/>
      <c r="BI624" s="325"/>
      <c r="BJ624" s="325"/>
      <c r="BK624" s="325"/>
      <c r="BL624" s="325"/>
      <c r="BM624" s="325"/>
      <c r="BN624" s="325"/>
      <c r="BO624" s="325"/>
      <c r="BP624" s="325"/>
      <c r="BQ624" s="325"/>
    </row>
    <row r="625" spans="1:69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S625" s="325"/>
      <c r="AT625" s="325"/>
      <c r="AU625" s="325"/>
      <c r="AV625" s="325"/>
      <c r="AW625" s="325"/>
      <c r="AX625" s="325"/>
      <c r="AY625" s="325"/>
      <c r="AZ625" s="325"/>
      <c r="BA625" s="325"/>
      <c r="BB625" s="325"/>
      <c r="BC625" s="325"/>
      <c r="BD625" s="325"/>
      <c r="BE625" s="325"/>
      <c r="BF625" s="325"/>
      <c r="BG625" s="325"/>
      <c r="BH625" s="325"/>
      <c r="BI625" s="325"/>
      <c r="BJ625" s="325"/>
      <c r="BK625" s="325"/>
      <c r="BL625" s="325"/>
      <c r="BM625" s="325"/>
      <c r="BN625" s="325"/>
      <c r="BO625" s="325"/>
      <c r="BP625" s="325"/>
      <c r="BQ625" s="325"/>
    </row>
    <row r="626" spans="1:69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S626" s="325"/>
      <c r="AT626" s="325"/>
      <c r="AU626" s="325"/>
      <c r="AV626" s="325"/>
      <c r="AW626" s="325"/>
      <c r="AX626" s="325"/>
      <c r="AY626" s="325"/>
      <c r="AZ626" s="325"/>
      <c r="BA626" s="325"/>
      <c r="BB626" s="325"/>
      <c r="BC626" s="325"/>
      <c r="BD626" s="325"/>
      <c r="BE626" s="325"/>
      <c r="BF626" s="325"/>
      <c r="BG626" s="325"/>
      <c r="BH626" s="325"/>
      <c r="BI626" s="325"/>
      <c r="BJ626" s="325"/>
      <c r="BK626" s="325"/>
      <c r="BL626" s="325"/>
      <c r="BM626" s="325"/>
      <c r="BN626" s="325"/>
      <c r="BO626" s="325"/>
      <c r="BP626" s="325"/>
      <c r="BQ626" s="325"/>
    </row>
    <row r="627" spans="1:69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S627" s="325"/>
      <c r="AT627" s="325"/>
      <c r="AU627" s="325"/>
      <c r="AV627" s="325"/>
      <c r="AW627" s="325"/>
      <c r="AX627" s="325"/>
      <c r="AY627" s="325"/>
      <c r="AZ627" s="325"/>
      <c r="BA627" s="325"/>
      <c r="BB627" s="325"/>
      <c r="BC627" s="325"/>
      <c r="BD627" s="325"/>
      <c r="BE627" s="325"/>
      <c r="BF627" s="325"/>
      <c r="BG627" s="325"/>
      <c r="BH627" s="325"/>
      <c r="BI627" s="325"/>
      <c r="BJ627" s="325"/>
      <c r="BK627" s="325"/>
      <c r="BL627" s="325"/>
      <c r="BM627" s="325"/>
      <c r="BN627" s="325"/>
      <c r="BO627" s="325"/>
      <c r="BP627" s="325"/>
      <c r="BQ627" s="325"/>
    </row>
    <row r="628" spans="1:69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S628" s="325"/>
      <c r="AT628" s="325"/>
      <c r="AU628" s="325"/>
      <c r="AV628" s="325"/>
      <c r="AW628" s="325"/>
      <c r="AX628" s="325"/>
      <c r="AY628" s="325"/>
      <c r="AZ628" s="325"/>
      <c r="BA628" s="325"/>
      <c r="BB628" s="325"/>
      <c r="BC628" s="325"/>
      <c r="BD628" s="325"/>
      <c r="BE628" s="325"/>
      <c r="BF628" s="325"/>
      <c r="BG628" s="325"/>
      <c r="BH628" s="325"/>
      <c r="BI628" s="325"/>
      <c r="BJ628" s="325"/>
      <c r="BK628" s="325"/>
      <c r="BL628" s="325"/>
      <c r="BM628" s="325"/>
      <c r="BN628" s="325"/>
      <c r="BO628" s="325"/>
      <c r="BP628" s="325"/>
      <c r="BQ628" s="325"/>
    </row>
    <row r="629" spans="1:69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S629" s="325"/>
      <c r="AT629" s="325"/>
      <c r="AU629" s="325"/>
      <c r="AV629" s="325"/>
      <c r="AW629" s="325"/>
      <c r="AX629" s="325"/>
      <c r="AY629" s="325"/>
      <c r="AZ629" s="325"/>
      <c r="BA629" s="325"/>
      <c r="BB629" s="325"/>
      <c r="BC629" s="325"/>
      <c r="BD629" s="325"/>
      <c r="BE629" s="325"/>
      <c r="BF629" s="325"/>
      <c r="BG629" s="325"/>
      <c r="BH629" s="325"/>
      <c r="BI629" s="325"/>
      <c r="BJ629" s="325"/>
      <c r="BK629" s="325"/>
      <c r="BL629" s="325"/>
      <c r="BM629" s="325"/>
      <c r="BN629" s="325"/>
      <c r="BO629" s="325"/>
      <c r="BP629" s="325"/>
      <c r="BQ629" s="325"/>
    </row>
    <row r="630" spans="1:69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S630" s="325"/>
      <c r="AT630" s="325"/>
      <c r="AU630" s="325"/>
      <c r="AV630" s="325"/>
      <c r="AW630" s="325"/>
      <c r="AX630" s="325"/>
      <c r="AY630" s="325"/>
      <c r="AZ630" s="325"/>
      <c r="BA630" s="325"/>
      <c r="BB630" s="325"/>
      <c r="BC630" s="325"/>
      <c r="BD630" s="325"/>
      <c r="BE630" s="325"/>
      <c r="BF630" s="325"/>
      <c r="BG630" s="325"/>
      <c r="BH630" s="325"/>
      <c r="BI630" s="325"/>
      <c r="BJ630" s="325"/>
      <c r="BK630" s="325"/>
      <c r="BL630" s="325"/>
      <c r="BM630" s="325"/>
      <c r="BN630" s="325"/>
      <c r="BO630" s="325"/>
      <c r="BP630" s="325"/>
      <c r="BQ630" s="325"/>
    </row>
    <row r="631" spans="1:69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S631" s="325"/>
      <c r="AT631" s="325"/>
      <c r="AU631" s="325"/>
      <c r="AV631" s="325"/>
      <c r="AW631" s="325"/>
      <c r="AX631" s="325"/>
      <c r="AY631" s="325"/>
      <c r="AZ631" s="325"/>
      <c r="BA631" s="325"/>
      <c r="BB631" s="325"/>
      <c r="BC631" s="325"/>
      <c r="BD631" s="325"/>
      <c r="BE631" s="325"/>
      <c r="BF631" s="325"/>
      <c r="BG631" s="325"/>
      <c r="BH631" s="325"/>
      <c r="BI631" s="325"/>
      <c r="BJ631" s="325"/>
      <c r="BK631" s="325"/>
      <c r="BL631" s="325"/>
      <c r="BM631" s="325"/>
      <c r="BN631" s="325"/>
      <c r="BO631" s="325"/>
      <c r="BP631" s="325"/>
      <c r="BQ631" s="325"/>
    </row>
    <row r="632" spans="1:69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S632" s="325"/>
      <c r="AT632" s="325"/>
      <c r="AU632" s="325"/>
      <c r="AV632" s="325"/>
      <c r="AW632" s="325"/>
      <c r="AX632" s="325"/>
      <c r="AY632" s="325"/>
      <c r="AZ632" s="325"/>
      <c r="BA632" s="325"/>
      <c r="BB632" s="325"/>
      <c r="BC632" s="325"/>
      <c r="BD632" s="325"/>
      <c r="BE632" s="325"/>
      <c r="BF632" s="325"/>
      <c r="BG632" s="325"/>
      <c r="BH632" s="325"/>
      <c r="BI632" s="325"/>
      <c r="BJ632" s="325"/>
      <c r="BK632" s="325"/>
      <c r="BL632" s="325"/>
      <c r="BM632" s="325"/>
      <c r="BN632" s="325"/>
      <c r="BO632" s="325"/>
      <c r="BP632" s="325"/>
      <c r="BQ632" s="325"/>
    </row>
    <row r="633" spans="1:69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S633" s="325"/>
      <c r="AT633" s="325"/>
      <c r="AU633" s="325"/>
      <c r="AV633" s="325"/>
      <c r="AW633" s="325"/>
      <c r="AX633" s="325"/>
      <c r="AY633" s="325"/>
      <c r="AZ633" s="325"/>
      <c r="BA633" s="325"/>
      <c r="BB633" s="325"/>
      <c r="BC633" s="325"/>
      <c r="BD633" s="325"/>
      <c r="BE633" s="325"/>
      <c r="BF633" s="325"/>
      <c r="BG633" s="325"/>
      <c r="BH633" s="325"/>
      <c r="BI633" s="325"/>
      <c r="BJ633" s="325"/>
      <c r="BK633" s="325"/>
      <c r="BL633" s="325"/>
      <c r="BM633" s="325"/>
      <c r="BN633" s="325"/>
      <c r="BO633" s="325"/>
      <c r="BP633" s="325"/>
      <c r="BQ633" s="325"/>
    </row>
    <row r="634" spans="1:69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S634" s="325"/>
      <c r="AT634" s="325"/>
      <c r="AU634" s="325"/>
      <c r="AV634" s="325"/>
      <c r="AW634" s="325"/>
      <c r="AX634" s="325"/>
      <c r="AY634" s="325"/>
      <c r="AZ634" s="325"/>
      <c r="BA634" s="325"/>
      <c r="BB634" s="325"/>
      <c r="BC634" s="325"/>
      <c r="BD634" s="325"/>
      <c r="BE634" s="325"/>
      <c r="BF634" s="325"/>
      <c r="BG634" s="325"/>
      <c r="BH634" s="325"/>
      <c r="BI634" s="325"/>
      <c r="BJ634" s="325"/>
      <c r="BK634" s="325"/>
      <c r="BL634" s="325"/>
      <c r="BM634" s="325"/>
      <c r="BN634" s="325"/>
      <c r="BO634" s="325"/>
      <c r="BP634" s="325"/>
      <c r="BQ634" s="325"/>
    </row>
    <row r="635" spans="1:69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S635" s="325"/>
      <c r="AT635" s="325"/>
      <c r="AU635" s="325"/>
      <c r="AV635" s="325"/>
      <c r="AW635" s="325"/>
      <c r="AX635" s="325"/>
      <c r="AY635" s="325"/>
      <c r="AZ635" s="325"/>
      <c r="BA635" s="325"/>
      <c r="BB635" s="325"/>
      <c r="BC635" s="325"/>
      <c r="BD635" s="325"/>
      <c r="BE635" s="325"/>
      <c r="BF635" s="325"/>
      <c r="BG635" s="325"/>
      <c r="BH635" s="325"/>
      <c r="BI635" s="325"/>
      <c r="BJ635" s="325"/>
      <c r="BK635" s="325"/>
      <c r="BL635" s="325"/>
      <c r="BM635" s="325"/>
      <c r="BN635" s="325"/>
      <c r="BO635" s="325"/>
      <c r="BP635" s="325"/>
      <c r="BQ635" s="325"/>
    </row>
    <row r="636" spans="1:69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S636" s="325"/>
      <c r="AT636" s="325"/>
      <c r="AU636" s="325"/>
      <c r="AV636" s="325"/>
      <c r="AW636" s="325"/>
      <c r="AX636" s="325"/>
      <c r="AY636" s="325"/>
      <c r="AZ636" s="325"/>
      <c r="BA636" s="325"/>
      <c r="BB636" s="325"/>
      <c r="BC636" s="325"/>
      <c r="BD636" s="325"/>
      <c r="BE636" s="325"/>
      <c r="BF636" s="325"/>
      <c r="BG636" s="325"/>
      <c r="BH636" s="325"/>
      <c r="BI636" s="325"/>
      <c r="BJ636" s="325"/>
      <c r="BK636" s="325"/>
      <c r="BL636" s="325"/>
      <c r="BM636" s="325"/>
      <c r="BN636" s="325"/>
      <c r="BO636" s="325"/>
      <c r="BP636" s="325"/>
      <c r="BQ636" s="325"/>
    </row>
    <row r="637" spans="1:69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S637" s="325"/>
      <c r="AT637" s="325"/>
      <c r="AU637" s="325"/>
      <c r="AV637" s="325"/>
      <c r="AW637" s="325"/>
      <c r="AX637" s="325"/>
      <c r="AY637" s="325"/>
      <c r="AZ637" s="325"/>
      <c r="BA637" s="325"/>
      <c r="BB637" s="325"/>
      <c r="BC637" s="325"/>
      <c r="BD637" s="325"/>
      <c r="BE637" s="325"/>
      <c r="BF637" s="325"/>
      <c r="BG637" s="325"/>
      <c r="BH637" s="325"/>
      <c r="BI637" s="325"/>
      <c r="BJ637" s="325"/>
      <c r="BK637" s="325"/>
      <c r="BL637" s="325"/>
      <c r="BM637" s="325"/>
      <c r="BN637" s="325"/>
      <c r="BO637" s="325"/>
      <c r="BP637" s="325"/>
      <c r="BQ637" s="325"/>
    </row>
    <row r="638" spans="1:69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S638" s="325"/>
      <c r="AT638" s="325"/>
      <c r="AU638" s="325"/>
      <c r="AV638" s="325"/>
      <c r="AW638" s="325"/>
      <c r="AX638" s="325"/>
      <c r="AY638" s="325"/>
      <c r="AZ638" s="325"/>
      <c r="BA638" s="325"/>
      <c r="BB638" s="325"/>
      <c r="BC638" s="325"/>
      <c r="BD638" s="325"/>
      <c r="BE638" s="325"/>
      <c r="BF638" s="325"/>
      <c r="BG638" s="325"/>
      <c r="BH638" s="325"/>
      <c r="BI638" s="325"/>
      <c r="BJ638" s="325"/>
      <c r="BK638" s="325"/>
      <c r="BL638" s="325"/>
      <c r="BM638" s="325"/>
      <c r="BN638" s="325"/>
      <c r="BO638" s="325"/>
      <c r="BP638" s="325"/>
      <c r="BQ638" s="325"/>
    </row>
    <row r="639" spans="1:69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S639" s="325"/>
      <c r="AT639" s="325"/>
      <c r="AU639" s="325"/>
      <c r="AV639" s="325"/>
      <c r="AW639" s="325"/>
      <c r="AX639" s="325"/>
      <c r="AY639" s="325"/>
      <c r="AZ639" s="325"/>
      <c r="BA639" s="325"/>
      <c r="BB639" s="325"/>
      <c r="BC639" s="325"/>
      <c r="BD639" s="325"/>
      <c r="BE639" s="325"/>
      <c r="BF639" s="325"/>
      <c r="BG639" s="325"/>
      <c r="BH639" s="325"/>
      <c r="BI639" s="325"/>
      <c r="BJ639" s="325"/>
      <c r="BK639" s="325"/>
      <c r="BL639" s="325"/>
      <c r="BM639" s="325"/>
      <c r="BN639" s="325"/>
      <c r="BO639" s="325"/>
      <c r="BP639" s="325"/>
      <c r="BQ639" s="325"/>
    </row>
    <row r="640" spans="1:69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S640" s="325"/>
      <c r="AT640" s="325"/>
      <c r="AU640" s="325"/>
      <c r="AV640" s="325"/>
      <c r="AW640" s="325"/>
      <c r="AX640" s="325"/>
      <c r="AY640" s="325"/>
      <c r="AZ640" s="325"/>
      <c r="BA640" s="325"/>
      <c r="BB640" s="325"/>
      <c r="BC640" s="325"/>
      <c r="BD640" s="325"/>
      <c r="BE640" s="325"/>
      <c r="BF640" s="325"/>
      <c r="BG640" s="325"/>
      <c r="BH640" s="325"/>
      <c r="BI640" s="325"/>
      <c r="BJ640" s="325"/>
      <c r="BK640" s="325"/>
      <c r="BL640" s="325"/>
      <c r="BM640" s="325"/>
      <c r="BN640" s="325"/>
      <c r="BO640" s="325"/>
      <c r="BP640" s="325"/>
      <c r="BQ640" s="325"/>
    </row>
    <row r="641" spans="1:69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S641" s="325"/>
      <c r="AT641" s="325"/>
      <c r="AU641" s="325"/>
      <c r="AV641" s="325"/>
      <c r="AW641" s="325"/>
      <c r="AX641" s="325"/>
      <c r="AY641" s="325"/>
      <c r="AZ641" s="325"/>
      <c r="BA641" s="325"/>
      <c r="BB641" s="325"/>
      <c r="BC641" s="325"/>
      <c r="BD641" s="325"/>
      <c r="BE641" s="325"/>
      <c r="BF641" s="325"/>
      <c r="BG641" s="325"/>
      <c r="BH641" s="325"/>
      <c r="BI641" s="325"/>
      <c r="BJ641" s="325"/>
      <c r="BK641" s="325"/>
      <c r="BL641" s="325"/>
      <c r="BM641" s="325"/>
      <c r="BN641" s="325"/>
      <c r="BO641" s="325"/>
      <c r="BP641" s="325"/>
      <c r="BQ641" s="325"/>
    </row>
    <row r="642" spans="1:69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S642" s="325"/>
      <c r="AT642" s="325"/>
      <c r="AU642" s="325"/>
      <c r="AV642" s="325"/>
      <c r="AW642" s="325"/>
      <c r="AX642" s="325"/>
      <c r="AY642" s="325"/>
      <c r="AZ642" s="325"/>
      <c r="BA642" s="325"/>
      <c r="BB642" s="325"/>
      <c r="BC642" s="325"/>
      <c r="BD642" s="325"/>
      <c r="BE642" s="325"/>
      <c r="BF642" s="325"/>
      <c r="BG642" s="325"/>
      <c r="BH642" s="325"/>
      <c r="BI642" s="325"/>
      <c r="BJ642" s="325"/>
      <c r="BK642" s="325"/>
      <c r="BL642" s="325"/>
      <c r="BM642" s="325"/>
      <c r="BN642" s="325"/>
      <c r="BO642" s="325"/>
      <c r="BP642" s="325"/>
      <c r="BQ642" s="325"/>
    </row>
    <row r="643" spans="1:69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S643" s="325"/>
      <c r="AT643" s="325"/>
      <c r="AU643" s="325"/>
      <c r="AV643" s="325"/>
      <c r="AW643" s="325"/>
      <c r="AX643" s="325"/>
      <c r="AY643" s="325"/>
      <c r="AZ643" s="325"/>
      <c r="BA643" s="325"/>
      <c r="BB643" s="325"/>
      <c r="BC643" s="325"/>
      <c r="BD643" s="325"/>
      <c r="BE643" s="325"/>
      <c r="BF643" s="325"/>
      <c r="BG643" s="325"/>
      <c r="BH643" s="325"/>
      <c r="BI643" s="325"/>
      <c r="BJ643" s="325"/>
      <c r="BK643" s="325"/>
      <c r="BL643" s="325"/>
      <c r="BM643" s="325"/>
      <c r="BN643" s="325"/>
      <c r="BO643" s="325"/>
      <c r="BP643" s="325"/>
      <c r="BQ643" s="325"/>
    </row>
    <row r="644" spans="1:69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S644" s="325"/>
      <c r="AT644" s="325"/>
      <c r="AU644" s="325"/>
      <c r="AV644" s="325"/>
      <c r="AW644" s="325"/>
      <c r="AX644" s="325"/>
      <c r="AY644" s="325"/>
      <c r="AZ644" s="325"/>
      <c r="BA644" s="325"/>
      <c r="BB644" s="325"/>
      <c r="BC644" s="325"/>
      <c r="BD644" s="325"/>
      <c r="BE644" s="325"/>
      <c r="BF644" s="325"/>
      <c r="BG644" s="325"/>
      <c r="BH644" s="325"/>
      <c r="BI644" s="325"/>
      <c r="BJ644" s="325"/>
      <c r="BK644" s="325"/>
      <c r="BL644" s="325"/>
      <c r="BM644" s="325"/>
      <c r="BN644" s="325"/>
      <c r="BO644" s="325"/>
      <c r="BP644" s="325"/>
      <c r="BQ644" s="325"/>
    </row>
    <row r="645" spans="1:69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S645" s="325"/>
      <c r="AT645" s="325"/>
      <c r="AU645" s="325"/>
      <c r="AV645" s="325"/>
      <c r="AW645" s="325"/>
      <c r="AX645" s="325"/>
      <c r="AY645" s="325"/>
      <c r="AZ645" s="325"/>
      <c r="BA645" s="325"/>
      <c r="BB645" s="325"/>
      <c r="BC645" s="325"/>
      <c r="BD645" s="325"/>
      <c r="BE645" s="325"/>
      <c r="BF645" s="325"/>
      <c r="BG645" s="325"/>
      <c r="BH645" s="325"/>
      <c r="BI645" s="325"/>
      <c r="BJ645" s="325"/>
      <c r="BK645" s="325"/>
      <c r="BL645" s="325"/>
      <c r="BM645" s="325"/>
      <c r="BN645" s="325"/>
      <c r="BO645" s="325"/>
      <c r="BP645" s="325"/>
      <c r="BQ645" s="325"/>
    </row>
    <row r="646" spans="1:69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S646" s="325"/>
      <c r="AT646" s="325"/>
      <c r="AU646" s="325"/>
      <c r="AV646" s="325"/>
      <c r="AW646" s="325"/>
      <c r="AX646" s="325"/>
      <c r="AY646" s="325"/>
      <c r="AZ646" s="325"/>
      <c r="BA646" s="325"/>
      <c r="BB646" s="325"/>
      <c r="BC646" s="325"/>
      <c r="BD646" s="325"/>
      <c r="BE646" s="325"/>
      <c r="BF646" s="325"/>
      <c r="BG646" s="325"/>
      <c r="BH646" s="325"/>
      <c r="BI646" s="325"/>
      <c r="BJ646" s="325"/>
      <c r="BK646" s="325"/>
      <c r="BL646" s="325"/>
      <c r="BM646" s="325"/>
      <c r="BN646" s="325"/>
      <c r="BO646" s="325"/>
      <c r="BP646" s="325"/>
      <c r="BQ646" s="325"/>
    </row>
    <row r="647" spans="1:69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S647" s="325"/>
      <c r="AT647" s="325"/>
      <c r="AU647" s="325"/>
      <c r="AV647" s="325"/>
      <c r="AW647" s="325"/>
      <c r="AX647" s="325"/>
      <c r="AY647" s="325"/>
      <c r="AZ647" s="325"/>
      <c r="BA647" s="325"/>
      <c r="BB647" s="325"/>
      <c r="BC647" s="325"/>
      <c r="BD647" s="325"/>
      <c r="BE647" s="325"/>
      <c r="BF647" s="325"/>
      <c r="BG647" s="325"/>
      <c r="BH647" s="325"/>
      <c r="BI647" s="325"/>
      <c r="BJ647" s="325"/>
      <c r="BK647" s="325"/>
      <c r="BL647" s="325"/>
      <c r="BM647" s="325"/>
      <c r="BN647" s="325"/>
      <c r="BO647" s="325"/>
      <c r="BP647" s="325"/>
      <c r="BQ647" s="325"/>
    </row>
    <row r="648" spans="1:69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S648" s="325"/>
      <c r="AT648" s="325"/>
      <c r="AU648" s="325"/>
      <c r="AV648" s="325"/>
      <c r="AW648" s="325"/>
      <c r="AX648" s="325"/>
      <c r="AY648" s="325"/>
      <c r="AZ648" s="325"/>
      <c r="BA648" s="325"/>
      <c r="BB648" s="325"/>
      <c r="BC648" s="325"/>
      <c r="BD648" s="325"/>
      <c r="BE648" s="325"/>
      <c r="BF648" s="325"/>
      <c r="BG648" s="325"/>
      <c r="BH648" s="325"/>
      <c r="BI648" s="325"/>
      <c r="BJ648" s="325"/>
      <c r="BK648" s="325"/>
      <c r="BL648" s="325"/>
      <c r="BM648" s="325"/>
      <c r="BN648" s="325"/>
      <c r="BO648" s="325"/>
      <c r="BP648" s="325"/>
      <c r="BQ648" s="325"/>
    </row>
    <row r="649" spans="1:69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S649" s="325"/>
      <c r="AT649" s="325"/>
      <c r="AU649" s="325"/>
      <c r="AV649" s="325"/>
      <c r="AW649" s="325"/>
      <c r="AX649" s="325"/>
      <c r="AY649" s="325"/>
      <c r="AZ649" s="325"/>
      <c r="BA649" s="325"/>
      <c r="BB649" s="325"/>
      <c r="BC649" s="325"/>
      <c r="BD649" s="325"/>
      <c r="BE649" s="325"/>
      <c r="BF649" s="325"/>
      <c r="BG649" s="325"/>
      <c r="BH649" s="325"/>
      <c r="BI649" s="325"/>
      <c r="BJ649" s="325"/>
      <c r="BK649" s="325"/>
      <c r="BL649" s="325"/>
      <c r="BM649" s="325"/>
      <c r="BN649" s="325"/>
      <c r="BO649" s="325"/>
      <c r="BP649" s="325"/>
      <c r="BQ649" s="325"/>
    </row>
    <row r="650" spans="1:69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S650" s="325"/>
      <c r="AT650" s="325"/>
      <c r="AU650" s="325"/>
      <c r="AV650" s="325"/>
      <c r="AW650" s="325"/>
      <c r="AX650" s="325"/>
      <c r="AY650" s="325"/>
      <c r="AZ650" s="325"/>
      <c r="BA650" s="325"/>
      <c r="BB650" s="325"/>
      <c r="BC650" s="325"/>
      <c r="BD650" s="325"/>
      <c r="BE650" s="325"/>
      <c r="BF650" s="325"/>
      <c r="BG650" s="325"/>
      <c r="BH650" s="325"/>
      <c r="BI650" s="325"/>
      <c r="BJ650" s="325"/>
      <c r="BK650" s="325"/>
      <c r="BL650" s="325"/>
      <c r="BM650" s="325"/>
      <c r="BN650" s="325"/>
      <c r="BO650" s="325"/>
      <c r="BP650" s="325"/>
      <c r="BQ650" s="325"/>
    </row>
    <row r="651" spans="1:69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S651" s="325"/>
      <c r="AT651" s="325"/>
      <c r="AU651" s="325"/>
      <c r="AV651" s="325"/>
      <c r="AW651" s="325"/>
      <c r="AX651" s="325"/>
      <c r="AY651" s="325"/>
      <c r="AZ651" s="325"/>
      <c r="BA651" s="325"/>
      <c r="BB651" s="325"/>
      <c r="BC651" s="325"/>
      <c r="BD651" s="325"/>
      <c r="BE651" s="325"/>
      <c r="BF651" s="325"/>
      <c r="BG651" s="325"/>
      <c r="BH651" s="325"/>
      <c r="BI651" s="325"/>
      <c r="BJ651" s="325"/>
      <c r="BK651" s="325"/>
      <c r="BL651" s="325"/>
      <c r="BM651" s="325"/>
      <c r="BN651" s="325"/>
      <c r="BO651" s="325"/>
      <c r="BP651" s="325"/>
      <c r="BQ651" s="325"/>
    </row>
    <row r="652" spans="1:69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S652" s="325"/>
      <c r="AT652" s="325"/>
      <c r="AU652" s="325"/>
      <c r="AV652" s="325"/>
      <c r="AW652" s="325"/>
      <c r="AX652" s="325"/>
      <c r="AY652" s="325"/>
      <c r="AZ652" s="325"/>
      <c r="BA652" s="325"/>
      <c r="BB652" s="325"/>
      <c r="BC652" s="325"/>
      <c r="BD652" s="325"/>
      <c r="BE652" s="325"/>
      <c r="BF652" s="325"/>
      <c r="BG652" s="325"/>
      <c r="BH652" s="325"/>
      <c r="BI652" s="325"/>
      <c r="BJ652" s="325"/>
      <c r="BK652" s="325"/>
      <c r="BL652" s="325"/>
      <c r="BM652" s="325"/>
      <c r="BN652" s="325"/>
      <c r="BO652" s="325"/>
      <c r="BP652" s="325"/>
      <c r="BQ652" s="325"/>
    </row>
    <row r="653" spans="1:69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S653" s="325"/>
      <c r="AT653" s="325"/>
      <c r="AU653" s="325"/>
      <c r="AV653" s="325"/>
      <c r="AW653" s="325"/>
      <c r="AX653" s="325"/>
      <c r="AY653" s="325"/>
      <c r="AZ653" s="325"/>
      <c r="BA653" s="325"/>
      <c r="BB653" s="325"/>
      <c r="BC653" s="325"/>
      <c r="BD653" s="325"/>
      <c r="BE653" s="325"/>
      <c r="BF653" s="325"/>
      <c r="BG653" s="325"/>
      <c r="BH653" s="325"/>
      <c r="BI653" s="325"/>
      <c r="BJ653" s="325"/>
      <c r="BK653" s="325"/>
      <c r="BL653" s="325"/>
      <c r="BM653" s="325"/>
      <c r="BN653" s="325"/>
      <c r="BO653" s="325"/>
      <c r="BP653" s="325"/>
      <c r="BQ653" s="325"/>
    </row>
    <row r="654" spans="1:69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S654" s="325"/>
      <c r="AT654" s="325"/>
      <c r="AU654" s="325"/>
      <c r="AV654" s="325"/>
      <c r="AW654" s="325"/>
      <c r="AX654" s="325"/>
      <c r="AY654" s="325"/>
      <c r="AZ654" s="325"/>
      <c r="BA654" s="325"/>
      <c r="BB654" s="325"/>
      <c r="BC654" s="325"/>
      <c r="BD654" s="325"/>
      <c r="BE654" s="325"/>
      <c r="BF654" s="325"/>
      <c r="BG654" s="325"/>
      <c r="BH654" s="325"/>
      <c r="BI654" s="325"/>
      <c r="BJ654" s="325"/>
      <c r="BK654" s="325"/>
      <c r="BL654" s="325"/>
      <c r="BM654" s="325"/>
      <c r="BN654" s="325"/>
      <c r="BO654" s="325"/>
      <c r="BP654" s="325"/>
      <c r="BQ654" s="325"/>
    </row>
    <row r="655" spans="1:69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S655" s="325"/>
      <c r="AT655" s="325"/>
      <c r="AU655" s="325"/>
      <c r="AV655" s="325"/>
      <c r="AW655" s="325"/>
      <c r="AX655" s="325"/>
      <c r="AY655" s="325"/>
      <c r="AZ655" s="325"/>
      <c r="BA655" s="325"/>
      <c r="BB655" s="325"/>
      <c r="BC655" s="325"/>
      <c r="BD655" s="325"/>
      <c r="BE655" s="325"/>
      <c r="BF655" s="325"/>
      <c r="BG655" s="325"/>
      <c r="BH655" s="325"/>
      <c r="BI655" s="325"/>
      <c r="BJ655" s="325"/>
      <c r="BK655" s="325"/>
      <c r="BL655" s="325"/>
      <c r="BM655" s="325"/>
      <c r="BN655" s="325"/>
      <c r="BO655" s="325"/>
      <c r="BP655" s="325"/>
      <c r="BQ655" s="325"/>
    </row>
    <row r="656" spans="1:69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S656" s="325"/>
      <c r="AT656" s="325"/>
      <c r="AU656" s="325"/>
      <c r="AV656" s="325"/>
      <c r="AW656" s="325"/>
      <c r="AX656" s="325"/>
      <c r="AY656" s="325"/>
      <c r="AZ656" s="325"/>
      <c r="BA656" s="325"/>
      <c r="BB656" s="325"/>
      <c r="BC656" s="325"/>
      <c r="BD656" s="325"/>
      <c r="BE656" s="325"/>
      <c r="BF656" s="325"/>
      <c r="BG656" s="325"/>
      <c r="BH656" s="325"/>
      <c r="BI656" s="325"/>
      <c r="BJ656" s="325"/>
      <c r="BK656" s="325"/>
      <c r="BL656" s="325"/>
      <c r="BM656" s="325"/>
      <c r="BN656" s="325"/>
      <c r="BO656" s="325"/>
      <c r="BP656" s="325"/>
      <c r="BQ656" s="325"/>
    </row>
    <row r="657" spans="1:69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S657" s="325"/>
      <c r="AT657" s="325"/>
      <c r="AU657" s="325"/>
      <c r="AV657" s="325"/>
      <c r="AW657" s="325"/>
      <c r="AX657" s="325"/>
      <c r="AY657" s="325"/>
      <c r="AZ657" s="325"/>
      <c r="BA657" s="325"/>
      <c r="BB657" s="325"/>
      <c r="BC657" s="325"/>
      <c r="BD657" s="325"/>
      <c r="BE657" s="325"/>
      <c r="BF657" s="325"/>
      <c r="BG657" s="325"/>
      <c r="BH657" s="325"/>
      <c r="BI657" s="325"/>
      <c r="BJ657" s="325"/>
      <c r="BK657" s="325"/>
      <c r="BL657" s="325"/>
      <c r="BM657" s="325"/>
      <c r="BN657" s="325"/>
      <c r="BO657" s="325"/>
      <c r="BP657" s="325"/>
      <c r="BQ657" s="325"/>
    </row>
    <row r="658" spans="1:69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S658" s="325"/>
      <c r="AT658" s="325"/>
      <c r="AU658" s="325"/>
      <c r="AV658" s="325"/>
      <c r="AW658" s="325"/>
      <c r="AX658" s="325"/>
      <c r="AY658" s="325"/>
      <c r="AZ658" s="325"/>
      <c r="BA658" s="325"/>
      <c r="BB658" s="325"/>
      <c r="BC658" s="325"/>
      <c r="BD658" s="325"/>
      <c r="BE658" s="325"/>
      <c r="BF658" s="325"/>
      <c r="BG658" s="325"/>
      <c r="BH658" s="325"/>
      <c r="BI658" s="325"/>
      <c r="BJ658" s="325"/>
      <c r="BK658" s="325"/>
      <c r="BL658" s="325"/>
      <c r="BM658" s="325"/>
      <c r="BN658" s="325"/>
      <c r="BO658" s="325"/>
      <c r="BP658" s="325"/>
      <c r="BQ658" s="325"/>
    </row>
    <row r="659" spans="1:69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S659" s="325"/>
      <c r="AT659" s="325"/>
      <c r="AU659" s="325"/>
      <c r="AV659" s="325"/>
      <c r="AW659" s="325"/>
      <c r="AX659" s="325"/>
      <c r="AY659" s="325"/>
      <c r="AZ659" s="325"/>
      <c r="BA659" s="325"/>
      <c r="BB659" s="325"/>
      <c r="BC659" s="325"/>
      <c r="BD659" s="325"/>
      <c r="BE659" s="325"/>
      <c r="BF659" s="325"/>
      <c r="BG659" s="325"/>
      <c r="BH659" s="325"/>
      <c r="BI659" s="325"/>
      <c r="BJ659" s="325"/>
      <c r="BK659" s="325"/>
      <c r="BL659" s="325"/>
      <c r="BM659" s="325"/>
      <c r="BN659" s="325"/>
      <c r="BO659" s="325"/>
      <c r="BP659" s="325"/>
      <c r="BQ659" s="325"/>
    </row>
    <row r="660" spans="1:69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S660" s="325"/>
      <c r="AT660" s="325"/>
      <c r="AU660" s="325"/>
      <c r="AV660" s="325"/>
      <c r="AW660" s="325"/>
      <c r="AX660" s="325"/>
      <c r="AY660" s="325"/>
      <c r="AZ660" s="325"/>
      <c r="BA660" s="325"/>
      <c r="BB660" s="325"/>
      <c r="BC660" s="325"/>
      <c r="BD660" s="325"/>
      <c r="BE660" s="325"/>
      <c r="BF660" s="325"/>
      <c r="BG660" s="325"/>
      <c r="BH660" s="325"/>
      <c r="BI660" s="325"/>
      <c r="BJ660" s="325"/>
      <c r="BK660" s="325"/>
      <c r="BL660" s="325"/>
      <c r="BM660" s="325"/>
      <c r="BN660" s="325"/>
      <c r="BO660" s="325"/>
      <c r="BP660" s="325"/>
      <c r="BQ660" s="325"/>
    </row>
    <row r="661" spans="1:69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S661" s="325"/>
      <c r="AT661" s="325"/>
      <c r="AU661" s="325"/>
      <c r="AV661" s="325"/>
      <c r="AW661" s="325"/>
      <c r="AX661" s="325"/>
      <c r="AY661" s="325"/>
      <c r="AZ661" s="325"/>
      <c r="BA661" s="325"/>
      <c r="BB661" s="325"/>
      <c r="BC661" s="325"/>
      <c r="BD661" s="325"/>
      <c r="BE661" s="325"/>
      <c r="BF661" s="325"/>
      <c r="BG661" s="325"/>
      <c r="BH661" s="325"/>
      <c r="BI661" s="325"/>
      <c r="BJ661" s="325"/>
      <c r="BK661" s="325"/>
      <c r="BL661" s="325"/>
      <c r="BM661" s="325"/>
      <c r="BN661" s="325"/>
      <c r="BO661" s="325"/>
      <c r="BP661" s="325"/>
      <c r="BQ661" s="325"/>
    </row>
    <row r="662" spans="1:69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S662" s="325"/>
      <c r="AT662" s="325"/>
      <c r="AU662" s="325"/>
      <c r="AV662" s="325"/>
      <c r="AW662" s="325"/>
      <c r="AX662" s="325"/>
      <c r="AY662" s="325"/>
      <c r="AZ662" s="325"/>
      <c r="BA662" s="325"/>
      <c r="BB662" s="325"/>
      <c r="BC662" s="325"/>
      <c r="BD662" s="325"/>
      <c r="BE662" s="325"/>
      <c r="BF662" s="325"/>
      <c r="BG662" s="325"/>
      <c r="BH662" s="325"/>
      <c r="BI662" s="325"/>
      <c r="BJ662" s="325"/>
      <c r="BK662" s="325"/>
      <c r="BL662" s="325"/>
      <c r="BM662" s="325"/>
      <c r="BN662" s="325"/>
      <c r="BO662" s="325"/>
      <c r="BP662" s="325"/>
      <c r="BQ662" s="325"/>
    </row>
    <row r="663" spans="1:69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S663" s="325"/>
      <c r="AT663" s="325"/>
      <c r="AU663" s="325"/>
      <c r="AV663" s="325"/>
      <c r="AW663" s="325"/>
      <c r="AX663" s="325"/>
      <c r="AY663" s="325"/>
      <c r="AZ663" s="325"/>
      <c r="BA663" s="325"/>
      <c r="BB663" s="325"/>
      <c r="BC663" s="325"/>
      <c r="BD663" s="325"/>
      <c r="BE663" s="325"/>
      <c r="BF663" s="325"/>
      <c r="BG663" s="325"/>
      <c r="BH663" s="325"/>
      <c r="BI663" s="325"/>
      <c r="BJ663" s="325"/>
      <c r="BK663" s="325"/>
      <c r="BL663" s="325"/>
      <c r="BM663" s="325"/>
      <c r="BN663" s="325"/>
      <c r="BO663" s="325"/>
      <c r="BP663" s="325"/>
      <c r="BQ663" s="325"/>
    </row>
    <row r="664" spans="1:69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S664" s="325"/>
      <c r="AT664" s="325"/>
      <c r="AU664" s="325"/>
      <c r="AV664" s="325"/>
      <c r="AW664" s="325"/>
      <c r="AX664" s="325"/>
      <c r="AY664" s="325"/>
      <c r="AZ664" s="325"/>
      <c r="BA664" s="325"/>
      <c r="BB664" s="325"/>
      <c r="BC664" s="325"/>
      <c r="BD664" s="325"/>
      <c r="BE664" s="325"/>
      <c r="BF664" s="325"/>
      <c r="BG664" s="325"/>
      <c r="BH664" s="325"/>
      <c r="BI664" s="325"/>
      <c r="BJ664" s="325"/>
      <c r="BK664" s="325"/>
      <c r="BL664" s="325"/>
      <c r="BM664" s="325"/>
      <c r="BN664" s="325"/>
      <c r="BO664" s="325"/>
      <c r="BP664" s="325"/>
      <c r="BQ664" s="325"/>
    </row>
    <row r="665" spans="1:69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S665" s="325"/>
      <c r="AT665" s="325"/>
      <c r="AU665" s="325"/>
      <c r="AV665" s="325"/>
      <c r="AW665" s="325"/>
      <c r="AX665" s="325"/>
      <c r="AY665" s="325"/>
      <c r="AZ665" s="325"/>
      <c r="BA665" s="325"/>
      <c r="BB665" s="325"/>
      <c r="BC665" s="325"/>
      <c r="BD665" s="325"/>
      <c r="BE665" s="325"/>
      <c r="BF665" s="325"/>
      <c r="BG665" s="325"/>
      <c r="BH665" s="325"/>
      <c r="BI665" s="325"/>
      <c r="BJ665" s="325"/>
      <c r="BK665" s="325"/>
      <c r="BL665" s="325"/>
      <c r="BM665" s="325"/>
      <c r="BN665" s="325"/>
      <c r="BO665" s="325"/>
      <c r="BP665" s="325"/>
      <c r="BQ665" s="325"/>
    </row>
    <row r="666" spans="1:69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S666" s="325"/>
      <c r="AT666" s="325"/>
      <c r="AU666" s="325"/>
      <c r="AV666" s="325"/>
      <c r="AW666" s="325"/>
      <c r="AX666" s="325"/>
      <c r="AY666" s="325"/>
      <c r="AZ666" s="325"/>
      <c r="BA666" s="325"/>
      <c r="BB666" s="325"/>
      <c r="BC666" s="325"/>
      <c r="BD666" s="325"/>
      <c r="BE666" s="325"/>
      <c r="BF666" s="325"/>
      <c r="BG666" s="325"/>
      <c r="BH666" s="325"/>
      <c r="BI666" s="325"/>
      <c r="BJ666" s="325"/>
      <c r="BK666" s="325"/>
      <c r="BL666" s="325"/>
      <c r="BM666" s="325"/>
      <c r="BN666" s="325"/>
      <c r="BO666" s="325"/>
      <c r="BP666" s="325"/>
      <c r="BQ666" s="325"/>
    </row>
    <row r="667" spans="1:69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S667" s="325"/>
      <c r="AT667" s="325"/>
      <c r="AU667" s="325"/>
      <c r="AV667" s="325"/>
      <c r="AW667" s="325"/>
      <c r="AX667" s="325"/>
      <c r="AY667" s="325"/>
      <c r="AZ667" s="325"/>
      <c r="BA667" s="325"/>
      <c r="BB667" s="325"/>
      <c r="BC667" s="325"/>
      <c r="BD667" s="325"/>
      <c r="BE667" s="325"/>
      <c r="BF667" s="325"/>
      <c r="BG667" s="325"/>
      <c r="BH667" s="325"/>
      <c r="BI667" s="325"/>
      <c r="BJ667" s="325"/>
      <c r="BK667" s="325"/>
      <c r="BL667" s="325"/>
      <c r="BM667" s="325"/>
      <c r="BN667" s="325"/>
      <c r="BO667" s="325"/>
      <c r="BP667" s="325"/>
      <c r="BQ667" s="325"/>
    </row>
    <row r="668" spans="1:69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S668" s="325"/>
      <c r="AT668" s="325"/>
      <c r="AU668" s="325"/>
      <c r="AV668" s="325"/>
      <c r="AW668" s="325"/>
      <c r="AX668" s="325"/>
      <c r="AY668" s="325"/>
      <c r="AZ668" s="325"/>
      <c r="BA668" s="325"/>
      <c r="BB668" s="325"/>
      <c r="BC668" s="325"/>
      <c r="BD668" s="325"/>
      <c r="BE668" s="325"/>
      <c r="BF668" s="325"/>
      <c r="BG668" s="325"/>
      <c r="BH668" s="325"/>
      <c r="BI668" s="325"/>
      <c r="BJ668" s="325"/>
      <c r="BK668" s="325"/>
      <c r="BL668" s="325"/>
      <c r="BM668" s="325"/>
      <c r="BN668" s="325"/>
      <c r="BO668" s="325"/>
      <c r="BP668" s="325"/>
      <c r="BQ668" s="325"/>
    </row>
    <row r="669" spans="1:69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S669" s="325"/>
      <c r="AT669" s="325"/>
      <c r="AU669" s="325"/>
      <c r="AV669" s="325"/>
      <c r="AW669" s="325"/>
      <c r="AX669" s="325"/>
      <c r="AY669" s="325"/>
      <c r="AZ669" s="325"/>
      <c r="BA669" s="325"/>
      <c r="BB669" s="325"/>
      <c r="BC669" s="325"/>
      <c r="BD669" s="325"/>
      <c r="BE669" s="325"/>
      <c r="BF669" s="325"/>
      <c r="BG669" s="325"/>
      <c r="BH669" s="325"/>
      <c r="BI669" s="325"/>
      <c r="BJ669" s="325"/>
      <c r="BK669" s="325"/>
      <c r="BL669" s="325"/>
      <c r="BM669" s="325"/>
      <c r="BN669" s="325"/>
      <c r="BO669" s="325"/>
      <c r="BP669" s="325"/>
      <c r="BQ669" s="325"/>
    </row>
    <row r="670" spans="1:69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S670" s="325"/>
      <c r="AT670" s="325"/>
      <c r="AU670" s="325"/>
      <c r="AV670" s="325"/>
      <c r="AW670" s="325"/>
      <c r="AX670" s="325"/>
      <c r="AY670" s="325"/>
      <c r="AZ670" s="325"/>
      <c r="BA670" s="325"/>
      <c r="BB670" s="325"/>
      <c r="BC670" s="325"/>
      <c r="BD670" s="325"/>
      <c r="BE670" s="325"/>
      <c r="BF670" s="325"/>
      <c r="BG670" s="325"/>
      <c r="BH670" s="325"/>
      <c r="BI670" s="325"/>
      <c r="BJ670" s="325"/>
      <c r="BK670" s="325"/>
      <c r="BL670" s="325"/>
      <c r="BM670" s="325"/>
      <c r="BN670" s="325"/>
      <c r="BO670" s="325"/>
      <c r="BP670" s="325"/>
      <c r="BQ670" s="325"/>
    </row>
    <row r="671" spans="1:69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S671" s="325"/>
      <c r="AT671" s="325"/>
      <c r="AU671" s="325"/>
      <c r="AV671" s="325"/>
      <c r="AW671" s="325"/>
      <c r="AX671" s="325"/>
      <c r="AY671" s="325"/>
      <c r="AZ671" s="325"/>
      <c r="BA671" s="325"/>
      <c r="BB671" s="325"/>
      <c r="BC671" s="325"/>
      <c r="BD671" s="325"/>
      <c r="BE671" s="325"/>
      <c r="BF671" s="325"/>
      <c r="BG671" s="325"/>
      <c r="BH671" s="325"/>
      <c r="BI671" s="325"/>
      <c r="BJ671" s="325"/>
      <c r="BK671" s="325"/>
      <c r="BL671" s="325"/>
      <c r="BM671" s="325"/>
      <c r="BN671" s="325"/>
      <c r="BO671" s="325"/>
      <c r="BP671" s="325"/>
      <c r="BQ671" s="325"/>
    </row>
    <row r="672" spans="1:69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S672" s="325"/>
      <c r="AT672" s="325"/>
      <c r="AU672" s="325"/>
      <c r="AV672" s="325"/>
      <c r="AW672" s="325"/>
      <c r="AX672" s="325"/>
      <c r="AY672" s="325"/>
      <c r="AZ672" s="325"/>
      <c r="BA672" s="325"/>
      <c r="BB672" s="325"/>
      <c r="BC672" s="325"/>
      <c r="BD672" s="325"/>
      <c r="BE672" s="325"/>
      <c r="BF672" s="325"/>
      <c r="BG672" s="325"/>
      <c r="BH672" s="325"/>
      <c r="BI672" s="325"/>
      <c r="BJ672" s="325"/>
      <c r="BK672" s="325"/>
      <c r="BL672" s="325"/>
      <c r="BM672" s="325"/>
      <c r="BN672" s="325"/>
      <c r="BO672" s="325"/>
      <c r="BP672" s="325"/>
      <c r="BQ672" s="325"/>
    </row>
    <row r="673" spans="1:69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S673" s="325"/>
      <c r="AT673" s="325"/>
      <c r="AU673" s="325"/>
      <c r="AV673" s="325"/>
      <c r="AW673" s="325"/>
      <c r="AX673" s="325"/>
      <c r="AY673" s="325"/>
      <c r="AZ673" s="325"/>
      <c r="BA673" s="325"/>
      <c r="BB673" s="325"/>
      <c r="BC673" s="325"/>
      <c r="BD673" s="325"/>
      <c r="BE673" s="325"/>
      <c r="BF673" s="325"/>
      <c r="BG673" s="325"/>
      <c r="BH673" s="325"/>
      <c r="BI673" s="325"/>
      <c r="BJ673" s="325"/>
      <c r="BK673" s="325"/>
      <c r="BL673" s="325"/>
      <c r="BM673" s="325"/>
      <c r="BN673" s="325"/>
      <c r="BO673" s="325"/>
      <c r="BP673" s="325"/>
      <c r="BQ673" s="325"/>
    </row>
    <row r="674" spans="1:69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S674" s="325"/>
      <c r="AT674" s="325"/>
      <c r="AU674" s="325"/>
      <c r="AV674" s="325"/>
      <c r="AW674" s="325"/>
      <c r="AX674" s="325"/>
      <c r="AY674" s="325"/>
      <c r="AZ674" s="325"/>
      <c r="BA674" s="325"/>
      <c r="BB674" s="325"/>
      <c r="BC674" s="325"/>
      <c r="BD674" s="325"/>
      <c r="BE674" s="325"/>
      <c r="BF674" s="325"/>
      <c r="BG674" s="325"/>
      <c r="BH674" s="325"/>
      <c r="BI674" s="325"/>
      <c r="BJ674" s="325"/>
      <c r="BK674" s="325"/>
      <c r="BL674" s="325"/>
      <c r="BM674" s="325"/>
      <c r="BN674" s="325"/>
      <c r="BO674" s="325"/>
      <c r="BP674" s="325"/>
      <c r="BQ674" s="325"/>
    </row>
    <row r="675" spans="1:69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S675" s="325"/>
      <c r="AT675" s="325"/>
      <c r="AU675" s="325"/>
      <c r="AV675" s="325"/>
      <c r="AW675" s="325"/>
      <c r="AX675" s="325"/>
      <c r="AY675" s="325"/>
      <c r="AZ675" s="325"/>
      <c r="BA675" s="325"/>
      <c r="BB675" s="325"/>
      <c r="BC675" s="325"/>
      <c r="BD675" s="325"/>
      <c r="BE675" s="325"/>
      <c r="BF675" s="325"/>
      <c r="BG675" s="325"/>
      <c r="BH675" s="325"/>
      <c r="BI675" s="325"/>
      <c r="BJ675" s="325"/>
      <c r="BK675" s="325"/>
      <c r="BL675" s="325"/>
      <c r="BM675" s="325"/>
      <c r="BN675" s="325"/>
      <c r="BO675" s="325"/>
      <c r="BP675" s="325"/>
      <c r="BQ675" s="325"/>
    </row>
    <row r="676" spans="1:69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S676" s="325"/>
      <c r="AT676" s="325"/>
      <c r="AU676" s="325"/>
      <c r="AV676" s="325"/>
      <c r="AW676" s="325"/>
      <c r="AX676" s="325"/>
      <c r="AY676" s="325"/>
      <c r="AZ676" s="325"/>
      <c r="BA676" s="325"/>
      <c r="BB676" s="325"/>
      <c r="BC676" s="325"/>
      <c r="BD676" s="325"/>
      <c r="BE676" s="325"/>
      <c r="BF676" s="325"/>
      <c r="BG676" s="325"/>
      <c r="BH676" s="325"/>
      <c r="BI676" s="325"/>
      <c r="BJ676" s="325"/>
      <c r="BK676" s="325"/>
      <c r="BL676" s="325"/>
      <c r="BM676" s="325"/>
      <c r="BN676" s="325"/>
      <c r="BO676" s="325"/>
      <c r="BP676" s="325"/>
      <c r="BQ676" s="325"/>
    </row>
    <row r="677" spans="1:69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S677" s="325"/>
      <c r="AT677" s="325"/>
      <c r="AU677" s="325"/>
      <c r="AV677" s="325"/>
      <c r="AW677" s="325"/>
      <c r="AX677" s="325"/>
      <c r="AY677" s="325"/>
      <c r="AZ677" s="325"/>
      <c r="BA677" s="325"/>
      <c r="BB677" s="325"/>
      <c r="BC677" s="325"/>
      <c r="BD677" s="325"/>
      <c r="BE677" s="325"/>
      <c r="BF677" s="325"/>
      <c r="BG677" s="325"/>
      <c r="BH677" s="325"/>
      <c r="BI677" s="325"/>
      <c r="BJ677" s="325"/>
      <c r="BK677" s="325"/>
      <c r="BL677" s="325"/>
      <c r="BM677" s="325"/>
      <c r="BN677" s="325"/>
      <c r="BO677" s="325"/>
      <c r="BP677" s="325"/>
      <c r="BQ677" s="325"/>
    </row>
    <row r="678" spans="1:69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S678" s="325"/>
      <c r="AT678" s="325"/>
      <c r="AU678" s="325"/>
      <c r="AV678" s="325"/>
      <c r="AW678" s="325"/>
      <c r="AX678" s="325"/>
      <c r="AY678" s="325"/>
      <c r="AZ678" s="325"/>
      <c r="BA678" s="325"/>
      <c r="BB678" s="325"/>
      <c r="BC678" s="325"/>
      <c r="BD678" s="325"/>
      <c r="BE678" s="325"/>
      <c r="BF678" s="325"/>
      <c r="BG678" s="325"/>
      <c r="BH678" s="325"/>
      <c r="BI678" s="325"/>
      <c r="BJ678" s="325"/>
      <c r="BK678" s="325"/>
      <c r="BL678" s="325"/>
      <c r="BM678" s="325"/>
      <c r="BN678" s="325"/>
      <c r="BO678" s="325"/>
      <c r="BP678" s="325"/>
      <c r="BQ678" s="325"/>
    </row>
    <row r="679" spans="1:69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S679" s="325"/>
      <c r="AT679" s="325"/>
      <c r="AU679" s="325"/>
      <c r="AV679" s="325"/>
      <c r="AW679" s="325"/>
      <c r="AX679" s="325"/>
      <c r="AY679" s="325"/>
      <c r="AZ679" s="325"/>
      <c r="BA679" s="325"/>
      <c r="BB679" s="325"/>
      <c r="BC679" s="325"/>
      <c r="BD679" s="325"/>
      <c r="BE679" s="325"/>
      <c r="BF679" s="325"/>
      <c r="BG679" s="325"/>
      <c r="BH679" s="325"/>
      <c r="BI679" s="325"/>
      <c r="BJ679" s="325"/>
      <c r="BK679" s="325"/>
      <c r="BL679" s="325"/>
      <c r="BM679" s="325"/>
      <c r="BN679" s="325"/>
      <c r="BO679" s="325"/>
      <c r="BP679" s="325"/>
      <c r="BQ679" s="325"/>
    </row>
    <row r="680" spans="1:69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S680" s="325"/>
      <c r="AT680" s="325"/>
      <c r="AU680" s="325"/>
      <c r="AV680" s="325"/>
      <c r="AW680" s="325"/>
      <c r="AX680" s="325"/>
      <c r="AY680" s="325"/>
      <c r="AZ680" s="325"/>
      <c r="BA680" s="325"/>
      <c r="BB680" s="325"/>
      <c r="BC680" s="325"/>
      <c r="BD680" s="325"/>
      <c r="BE680" s="325"/>
      <c r="BF680" s="325"/>
      <c r="BG680" s="325"/>
      <c r="BH680" s="325"/>
      <c r="BI680" s="325"/>
      <c r="BJ680" s="325"/>
      <c r="BK680" s="325"/>
      <c r="BL680" s="325"/>
      <c r="BM680" s="325"/>
      <c r="BN680" s="325"/>
      <c r="BO680" s="325"/>
      <c r="BP680" s="325"/>
      <c r="BQ680" s="325"/>
    </row>
    <row r="681" spans="1:69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S681" s="325"/>
      <c r="AT681" s="325"/>
      <c r="AU681" s="325"/>
      <c r="AV681" s="325"/>
      <c r="AW681" s="325"/>
      <c r="AX681" s="325"/>
      <c r="AY681" s="325"/>
      <c r="AZ681" s="325"/>
      <c r="BA681" s="325"/>
      <c r="BB681" s="325"/>
      <c r="BC681" s="325"/>
      <c r="BD681" s="325"/>
      <c r="BE681" s="325"/>
      <c r="BF681" s="325"/>
      <c r="BG681" s="325"/>
      <c r="BH681" s="325"/>
      <c r="BI681" s="325"/>
      <c r="BJ681" s="325"/>
      <c r="BK681" s="325"/>
      <c r="BL681" s="325"/>
      <c r="BM681" s="325"/>
      <c r="BN681" s="325"/>
      <c r="BO681" s="325"/>
      <c r="BP681" s="325"/>
      <c r="BQ681" s="325"/>
    </row>
    <row r="682" spans="1:69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S682" s="325"/>
      <c r="AT682" s="325"/>
      <c r="AU682" s="325"/>
      <c r="AV682" s="325"/>
      <c r="AW682" s="325"/>
      <c r="AX682" s="325"/>
      <c r="AY682" s="325"/>
      <c r="AZ682" s="325"/>
      <c r="BA682" s="325"/>
      <c r="BB682" s="325"/>
      <c r="BC682" s="325"/>
      <c r="BD682" s="325"/>
      <c r="BE682" s="325"/>
      <c r="BF682" s="325"/>
      <c r="BG682" s="325"/>
      <c r="BH682" s="325"/>
      <c r="BI682" s="325"/>
      <c r="BJ682" s="325"/>
      <c r="BK682" s="325"/>
      <c r="BL682" s="325"/>
      <c r="BM682" s="325"/>
      <c r="BN682" s="325"/>
      <c r="BO682" s="325"/>
      <c r="BP682" s="325"/>
      <c r="BQ682" s="325"/>
    </row>
    <row r="683" spans="1:69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S683" s="325"/>
      <c r="AT683" s="325"/>
      <c r="AU683" s="325"/>
      <c r="AV683" s="325"/>
      <c r="AW683" s="325"/>
      <c r="AX683" s="325"/>
      <c r="AY683" s="325"/>
      <c r="AZ683" s="325"/>
      <c r="BA683" s="325"/>
      <c r="BB683" s="325"/>
      <c r="BC683" s="325"/>
      <c r="BD683" s="325"/>
      <c r="BE683" s="325"/>
      <c r="BF683" s="325"/>
      <c r="BG683" s="325"/>
      <c r="BH683" s="325"/>
      <c r="BI683" s="325"/>
      <c r="BJ683" s="325"/>
      <c r="BK683" s="325"/>
      <c r="BL683" s="325"/>
      <c r="BM683" s="325"/>
      <c r="BN683" s="325"/>
      <c r="BO683" s="325"/>
      <c r="BP683" s="325"/>
      <c r="BQ683" s="325"/>
    </row>
    <row r="684" spans="1:69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S684" s="325"/>
      <c r="AT684" s="325"/>
      <c r="AU684" s="325"/>
      <c r="AV684" s="325"/>
      <c r="AW684" s="325"/>
      <c r="AX684" s="325"/>
      <c r="AY684" s="325"/>
      <c r="AZ684" s="325"/>
      <c r="BA684" s="325"/>
      <c r="BB684" s="325"/>
      <c r="BC684" s="325"/>
      <c r="BD684" s="325"/>
      <c r="BE684" s="325"/>
      <c r="BF684" s="325"/>
      <c r="BG684" s="325"/>
      <c r="BH684" s="325"/>
      <c r="BI684" s="325"/>
      <c r="BJ684" s="325"/>
      <c r="BK684" s="325"/>
      <c r="BL684" s="325"/>
      <c r="BM684" s="325"/>
      <c r="BN684" s="325"/>
      <c r="BO684" s="325"/>
      <c r="BP684" s="325"/>
      <c r="BQ684" s="325"/>
    </row>
    <row r="685" spans="1:69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S685" s="325"/>
      <c r="AT685" s="325"/>
      <c r="AU685" s="325"/>
      <c r="AV685" s="325"/>
      <c r="AW685" s="325"/>
      <c r="AX685" s="325"/>
      <c r="AY685" s="325"/>
      <c r="AZ685" s="325"/>
      <c r="BA685" s="325"/>
      <c r="BB685" s="325"/>
      <c r="BC685" s="325"/>
      <c r="BD685" s="325"/>
      <c r="BE685" s="325"/>
      <c r="BF685" s="325"/>
      <c r="BG685" s="325"/>
      <c r="BH685" s="325"/>
      <c r="BI685" s="325"/>
      <c r="BJ685" s="325"/>
      <c r="BK685" s="325"/>
      <c r="BL685" s="325"/>
      <c r="BM685" s="325"/>
      <c r="BN685" s="325"/>
      <c r="BO685" s="325"/>
      <c r="BP685" s="325"/>
      <c r="BQ685" s="325"/>
    </row>
    <row r="686" spans="1:69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S686" s="325"/>
      <c r="AT686" s="325"/>
      <c r="AU686" s="325"/>
      <c r="AV686" s="325"/>
      <c r="AW686" s="325"/>
      <c r="AX686" s="325"/>
      <c r="AY686" s="325"/>
      <c r="AZ686" s="325"/>
      <c r="BA686" s="325"/>
      <c r="BB686" s="325"/>
      <c r="BC686" s="325"/>
      <c r="BD686" s="325"/>
      <c r="BE686" s="325"/>
      <c r="BF686" s="325"/>
      <c r="BG686" s="325"/>
      <c r="BH686" s="325"/>
      <c r="BI686" s="325"/>
      <c r="BJ686" s="325"/>
      <c r="BK686" s="325"/>
      <c r="BL686" s="325"/>
      <c r="BM686" s="325"/>
      <c r="BN686" s="325"/>
      <c r="BO686" s="325"/>
      <c r="BP686" s="325"/>
      <c r="BQ686" s="325"/>
    </row>
    <row r="687" spans="1:69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S687" s="325"/>
      <c r="AT687" s="325"/>
      <c r="AU687" s="325"/>
      <c r="AV687" s="325"/>
      <c r="AW687" s="325"/>
      <c r="AX687" s="325"/>
      <c r="AY687" s="325"/>
      <c r="AZ687" s="325"/>
      <c r="BA687" s="325"/>
      <c r="BB687" s="325"/>
      <c r="BC687" s="325"/>
      <c r="BD687" s="325"/>
      <c r="BE687" s="325"/>
      <c r="BF687" s="325"/>
      <c r="BG687" s="325"/>
      <c r="BH687" s="325"/>
      <c r="BI687" s="325"/>
      <c r="BJ687" s="325"/>
      <c r="BK687" s="325"/>
      <c r="BL687" s="325"/>
      <c r="BM687" s="325"/>
      <c r="BN687" s="325"/>
      <c r="BO687" s="325"/>
      <c r="BP687" s="325"/>
      <c r="BQ687" s="325"/>
    </row>
    <row r="688" spans="1:69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S688" s="325"/>
      <c r="AT688" s="325"/>
      <c r="AU688" s="325"/>
      <c r="AV688" s="325"/>
      <c r="AW688" s="325"/>
      <c r="AX688" s="325"/>
      <c r="AY688" s="325"/>
      <c r="AZ688" s="325"/>
      <c r="BA688" s="325"/>
      <c r="BB688" s="325"/>
      <c r="BC688" s="325"/>
      <c r="BD688" s="325"/>
      <c r="BE688" s="325"/>
      <c r="BF688" s="325"/>
      <c r="BG688" s="325"/>
      <c r="BH688" s="325"/>
      <c r="BI688" s="325"/>
      <c r="BJ688" s="325"/>
      <c r="BK688" s="325"/>
      <c r="BL688" s="325"/>
      <c r="BM688" s="325"/>
      <c r="BN688" s="325"/>
      <c r="BO688" s="325"/>
      <c r="BP688" s="325"/>
      <c r="BQ688" s="325"/>
    </row>
    <row r="689" spans="1:69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S689" s="325"/>
      <c r="AT689" s="325"/>
      <c r="AU689" s="325"/>
      <c r="AV689" s="325"/>
      <c r="AW689" s="325"/>
      <c r="AX689" s="325"/>
      <c r="AY689" s="325"/>
      <c r="AZ689" s="325"/>
      <c r="BA689" s="325"/>
      <c r="BB689" s="325"/>
      <c r="BC689" s="325"/>
      <c r="BD689" s="325"/>
      <c r="BE689" s="325"/>
      <c r="BF689" s="325"/>
      <c r="BG689" s="325"/>
      <c r="BH689" s="325"/>
      <c r="BI689" s="325"/>
      <c r="BJ689" s="325"/>
      <c r="BK689" s="325"/>
      <c r="BL689" s="325"/>
      <c r="BM689" s="325"/>
      <c r="BN689" s="325"/>
      <c r="BO689" s="325"/>
      <c r="BP689" s="325"/>
      <c r="BQ689" s="325"/>
    </row>
    <row r="690" spans="1:69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S690" s="325"/>
      <c r="AT690" s="325"/>
      <c r="AU690" s="325"/>
      <c r="AV690" s="325"/>
      <c r="AW690" s="325"/>
      <c r="AX690" s="325"/>
      <c r="AY690" s="325"/>
      <c r="AZ690" s="325"/>
      <c r="BA690" s="325"/>
      <c r="BB690" s="325"/>
      <c r="BC690" s="325"/>
      <c r="BD690" s="325"/>
      <c r="BE690" s="325"/>
      <c r="BF690" s="325"/>
      <c r="BG690" s="325"/>
      <c r="BH690" s="325"/>
      <c r="BI690" s="325"/>
      <c r="BJ690" s="325"/>
      <c r="BK690" s="325"/>
      <c r="BL690" s="325"/>
      <c r="BM690" s="325"/>
      <c r="BN690" s="325"/>
      <c r="BO690" s="325"/>
      <c r="BP690" s="325"/>
      <c r="BQ690" s="325"/>
    </row>
    <row r="691" spans="1:69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S691" s="325"/>
      <c r="AT691" s="325"/>
      <c r="AU691" s="325"/>
      <c r="AV691" s="325"/>
      <c r="AW691" s="325"/>
      <c r="AX691" s="325"/>
      <c r="AY691" s="325"/>
      <c r="AZ691" s="325"/>
      <c r="BA691" s="325"/>
      <c r="BB691" s="325"/>
      <c r="BC691" s="325"/>
      <c r="BD691" s="325"/>
      <c r="BE691" s="325"/>
      <c r="BF691" s="325"/>
      <c r="BG691" s="325"/>
      <c r="BH691" s="325"/>
      <c r="BI691" s="325"/>
      <c r="BJ691" s="325"/>
      <c r="BK691" s="325"/>
      <c r="BL691" s="325"/>
      <c r="BM691" s="325"/>
      <c r="BN691" s="325"/>
      <c r="BO691" s="325"/>
      <c r="BP691" s="325"/>
      <c r="BQ691" s="325"/>
    </row>
    <row r="692" spans="1:69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S692" s="325"/>
      <c r="AT692" s="325"/>
      <c r="AU692" s="325"/>
      <c r="AV692" s="325"/>
      <c r="AW692" s="325"/>
      <c r="AX692" s="325"/>
      <c r="AY692" s="325"/>
      <c r="AZ692" s="325"/>
      <c r="BA692" s="325"/>
      <c r="BB692" s="325"/>
      <c r="BC692" s="325"/>
      <c r="BD692" s="325"/>
      <c r="BE692" s="325"/>
      <c r="BF692" s="325"/>
      <c r="BG692" s="325"/>
      <c r="BH692" s="325"/>
      <c r="BI692" s="325"/>
      <c r="BJ692" s="325"/>
      <c r="BK692" s="325"/>
      <c r="BL692" s="325"/>
      <c r="BM692" s="325"/>
      <c r="BN692" s="325"/>
      <c r="BO692" s="325"/>
      <c r="BP692" s="325"/>
      <c r="BQ692" s="325"/>
    </row>
    <row r="693" spans="1:69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S693" s="325"/>
      <c r="AT693" s="325"/>
      <c r="AU693" s="325"/>
      <c r="AV693" s="325"/>
      <c r="AW693" s="325"/>
      <c r="AX693" s="325"/>
      <c r="AY693" s="325"/>
      <c r="AZ693" s="325"/>
      <c r="BA693" s="325"/>
      <c r="BB693" s="325"/>
      <c r="BC693" s="325"/>
      <c r="BD693" s="325"/>
      <c r="BE693" s="325"/>
      <c r="BF693" s="325"/>
      <c r="BG693" s="325"/>
      <c r="BH693" s="325"/>
      <c r="BI693" s="325"/>
      <c r="BJ693" s="325"/>
      <c r="BK693" s="325"/>
      <c r="BL693" s="325"/>
      <c r="BM693" s="325"/>
      <c r="BN693" s="325"/>
      <c r="BO693" s="325"/>
      <c r="BP693" s="325"/>
      <c r="BQ693" s="325"/>
    </row>
    <row r="694" spans="1:69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S694" s="325"/>
      <c r="AT694" s="325"/>
      <c r="AU694" s="325"/>
      <c r="AV694" s="325"/>
      <c r="AW694" s="325"/>
      <c r="AX694" s="325"/>
      <c r="AY694" s="325"/>
      <c r="AZ694" s="325"/>
      <c r="BA694" s="325"/>
      <c r="BB694" s="325"/>
      <c r="BC694" s="325"/>
      <c r="BD694" s="325"/>
      <c r="BE694" s="325"/>
      <c r="BF694" s="325"/>
      <c r="BG694" s="325"/>
      <c r="BH694" s="325"/>
      <c r="BI694" s="325"/>
      <c r="BJ694" s="325"/>
      <c r="BK694" s="325"/>
      <c r="BL694" s="325"/>
      <c r="BM694" s="325"/>
      <c r="BN694" s="325"/>
      <c r="BO694" s="325"/>
      <c r="BP694" s="325"/>
      <c r="BQ694" s="325"/>
    </row>
    <row r="695" spans="1:69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S695" s="325"/>
      <c r="AT695" s="325"/>
      <c r="AU695" s="325"/>
      <c r="AV695" s="325"/>
      <c r="AW695" s="325"/>
      <c r="AX695" s="325"/>
      <c r="AY695" s="325"/>
      <c r="AZ695" s="325"/>
      <c r="BA695" s="325"/>
      <c r="BB695" s="325"/>
      <c r="BC695" s="325"/>
      <c r="BD695" s="325"/>
      <c r="BE695" s="325"/>
      <c r="BF695" s="325"/>
      <c r="BG695" s="325"/>
      <c r="BH695" s="325"/>
      <c r="BI695" s="325"/>
      <c r="BJ695" s="325"/>
      <c r="BK695" s="325"/>
      <c r="BL695" s="325"/>
      <c r="BM695" s="325"/>
      <c r="BN695" s="325"/>
      <c r="BO695" s="325"/>
      <c r="BP695" s="325"/>
      <c r="BQ695" s="325"/>
    </row>
    <row r="696" spans="1:69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S696" s="325"/>
      <c r="AT696" s="325"/>
      <c r="AU696" s="325"/>
      <c r="AV696" s="325"/>
      <c r="AW696" s="325"/>
      <c r="AX696" s="325"/>
      <c r="AY696" s="325"/>
      <c r="AZ696" s="325"/>
      <c r="BA696" s="325"/>
      <c r="BB696" s="325"/>
      <c r="BC696" s="325"/>
      <c r="BD696" s="325"/>
      <c r="BE696" s="325"/>
      <c r="BF696" s="325"/>
      <c r="BG696" s="325"/>
      <c r="BH696" s="325"/>
      <c r="BI696" s="325"/>
      <c r="BJ696" s="325"/>
      <c r="BK696" s="325"/>
      <c r="BL696" s="325"/>
      <c r="BM696" s="325"/>
      <c r="BN696" s="325"/>
      <c r="BO696" s="325"/>
      <c r="BP696" s="325"/>
      <c r="BQ696" s="325"/>
    </row>
    <row r="697" spans="1:69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S697" s="325"/>
      <c r="AT697" s="325"/>
      <c r="AU697" s="325"/>
      <c r="AV697" s="325"/>
      <c r="AW697" s="325"/>
      <c r="AX697" s="325"/>
      <c r="AY697" s="325"/>
      <c r="AZ697" s="325"/>
      <c r="BA697" s="325"/>
      <c r="BB697" s="325"/>
      <c r="BC697" s="325"/>
      <c r="BD697" s="325"/>
      <c r="BE697" s="325"/>
      <c r="BF697" s="325"/>
      <c r="BG697" s="325"/>
      <c r="BH697" s="325"/>
      <c r="BI697" s="325"/>
      <c r="BJ697" s="325"/>
      <c r="BK697" s="325"/>
      <c r="BL697" s="325"/>
      <c r="BM697" s="325"/>
      <c r="BN697" s="325"/>
      <c r="BO697" s="325"/>
      <c r="BP697" s="325"/>
      <c r="BQ697" s="325"/>
    </row>
    <row r="698" spans="1:69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S698" s="325"/>
      <c r="AT698" s="325"/>
      <c r="AU698" s="325"/>
      <c r="AV698" s="325"/>
      <c r="AW698" s="325"/>
      <c r="AX698" s="325"/>
      <c r="AY698" s="325"/>
      <c r="AZ698" s="325"/>
      <c r="BA698" s="325"/>
      <c r="BB698" s="325"/>
      <c r="BC698" s="325"/>
      <c r="BD698" s="325"/>
      <c r="BE698" s="325"/>
      <c r="BF698" s="325"/>
      <c r="BG698" s="325"/>
      <c r="BH698" s="325"/>
      <c r="BI698" s="325"/>
      <c r="BJ698" s="325"/>
      <c r="BK698" s="325"/>
      <c r="BL698" s="325"/>
      <c r="BM698" s="325"/>
      <c r="BN698" s="325"/>
      <c r="BO698" s="325"/>
      <c r="BP698" s="325"/>
      <c r="BQ698" s="325"/>
    </row>
    <row r="699" spans="1:69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S699" s="325"/>
      <c r="AT699" s="325"/>
      <c r="AU699" s="325"/>
      <c r="AV699" s="325"/>
      <c r="AW699" s="325"/>
      <c r="AX699" s="325"/>
      <c r="AY699" s="325"/>
      <c r="AZ699" s="325"/>
      <c r="BA699" s="325"/>
      <c r="BB699" s="325"/>
      <c r="BC699" s="325"/>
      <c r="BD699" s="325"/>
      <c r="BE699" s="325"/>
      <c r="BF699" s="325"/>
      <c r="BG699" s="325"/>
      <c r="BH699" s="325"/>
      <c r="BI699" s="325"/>
      <c r="BJ699" s="325"/>
      <c r="BK699" s="325"/>
      <c r="BL699" s="325"/>
      <c r="BM699" s="325"/>
      <c r="BN699" s="325"/>
      <c r="BO699" s="325"/>
      <c r="BP699" s="325"/>
      <c r="BQ699" s="325"/>
    </row>
    <row r="700" spans="1:69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S700" s="325"/>
      <c r="AT700" s="325"/>
      <c r="AU700" s="325"/>
      <c r="AV700" s="325"/>
      <c r="AW700" s="325"/>
      <c r="AX700" s="325"/>
      <c r="AY700" s="325"/>
      <c r="AZ700" s="325"/>
      <c r="BA700" s="325"/>
      <c r="BB700" s="325"/>
      <c r="BC700" s="325"/>
      <c r="BD700" s="325"/>
      <c r="BE700" s="325"/>
      <c r="BF700" s="325"/>
      <c r="BG700" s="325"/>
      <c r="BH700" s="325"/>
      <c r="BI700" s="325"/>
      <c r="BJ700" s="325"/>
      <c r="BK700" s="325"/>
      <c r="BL700" s="325"/>
      <c r="BM700" s="325"/>
      <c r="BN700" s="325"/>
      <c r="BO700" s="325"/>
      <c r="BP700" s="325"/>
      <c r="BQ700" s="325"/>
    </row>
    <row r="701" spans="1:69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S701" s="325"/>
      <c r="AT701" s="325"/>
      <c r="AU701" s="325"/>
      <c r="AV701" s="325"/>
      <c r="AW701" s="325"/>
      <c r="AX701" s="325"/>
      <c r="AY701" s="325"/>
      <c r="AZ701" s="325"/>
      <c r="BA701" s="325"/>
      <c r="BB701" s="325"/>
      <c r="BC701" s="325"/>
      <c r="BD701" s="325"/>
      <c r="BE701" s="325"/>
      <c r="BF701" s="325"/>
      <c r="BG701" s="325"/>
      <c r="BH701" s="325"/>
      <c r="BI701" s="325"/>
      <c r="BJ701" s="325"/>
      <c r="BK701" s="325"/>
      <c r="BL701" s="325"/>
      <c r="BM701" s="325"/>
      <c r="BN701" s="325"/>
      <c r="BO701" s="325"/>
      <c r="BP701" s="325"/>
      <c r="BQ701" s="325"/>
    </row>
    <row r="702" spans="1:69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S702" s="325"/>
      <c r="AT702" s="325"/>
      <c r="AU702" s="325"/>
      <c r="AV702" s="325"/>
      <c r="AW702" s="325"/>
      <c r="AX702" s="325"/>
      <c r="AY702" s="325"/>
      <c r="AZ702" s="325"/>
      <c r="BA702" s="325"/>
      <c r="BB702" s="325"/>
      <c r="BC702" s="325"/>
      <c r="BD702" s="325"/>
      <c r="BE702" s="325"/>
      <c r="BF702" s="325"/>
      <c r="BG702" s="325"/>
      <c r="BH702" s="325"/>
      <c r="BI702" s="325"/>
      <c r="BJ702" s="325"/>
      <c r="BK702" s="325"/>
      <c r="BL702" s="325"/>
      <c r="BM702" s="325"/>
      <c r="BN702" s="325"/>
      <c r="BO702" s="325"/>
      <c r="BP702" s="325"/>
      <c r="BQ702" s="325"/>
    </row>
    <row r="703" spans="1:69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S703" s="325"/>
      <c r="AT703" s="325"/>
      <c r="AU703" s="325"/>
      <c r="AV703" s="325"/>
      <c r="AW703" s="325"/>
      <c r="AX703" s="325"/>
      <c r="AY703" s="325"/>
      <c r="AZ703" s="325"/>
      <c r="BA703" s="325"/>
      <c r="BB703" s="325"/>
      <c r="BC703" s="325"/>
      <c r="BD703" s="325"/>
      <c r="BE703" s="325"/>
      <c r="BF703" s="325"/>
      <c r="BG703" s="325"/>
      <c r="BH703" s="325"/>
      <c r="BI703" s="325"/>
      <c r="BJ703" s="325"/>
      <c r="BK703" s="325"/>
      <c r="BL703" s="325"/>
      <c r="BM703" s="325"/>
      <c r="BN703" s="325"/>
      <c r="BO703" s="325"/>
      <c r="BP703" s="325"/>
      <c r="BQ703" s="325"/>
    </row>
    <row r="704" spans="1:69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S704" s="325"/>
      <c r="AT704" s="325"/>
      <c r="AU704" s="325"/>
      <c r="AV704" s="325"/>
      <c r="AW704" s="325"/>
      <c r="AX704" s="325"/>
      <c r="AY704" s="325"/>
      <c r="AZ704" s="325"/>
      <c r="BA704" s="325"/>
      <c r="BB704" s="325"/>
      <c r="BC704" s="325"/>
      <c r="BD704" s="325"/>
      <c r="BE704" s="325"/>
      <c r="BF704" s="325"/>
      <c r="BG704" s="325"/>
      <c r="BH704" s="325"/>
      <c r="BI704" s="325"/>
      <c r="BJ704" s="325"/>
      <c r="BK704" s="325"/>
      <c r="BL704" s="325"/>
      <c r="BM704" s="325"/>
      <c r="BN704" s="325"/>
      <c r="BO704" s="325"/>
      <c r="BP704" s="325"/>
      <c r="BQ704" s="325"/>
    </row>
    <row r="705" spans="1:69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S705" s="325"/>
      <c r="AT705" s="325"/>
      <c r="AU705" s="325"/>
      <c r="AV705" s="325"/>
      <c r="AW705" s="325"/>
      <c r="AX705" s="325"/>
      <c r="AY705" s="325"/>
      <c r="AZ705" s="325"/>
      <c r="BA705" s="325"/>
      <c r="BB705" s="325"/>
      <c r="BC705" s="325"/>
      <c r="BD705" s="325"/>
      <c r="BE705" s="325"/>
      <c r="BF705" s="325"/>
      <c r="BG705" s="325"/>
      <c r="BH705" s="325"/>
      <c r="BI705" s="325"/>
      <c r="BJ705" s="325"/>
      <c r="BK705" s="325"/>
      <c r="BL705" s="325"/>
      <c r="BM705" s="325"/>
      <c r="BN705" s="325"/>
      <c r="BO705" s="325"/>
      <c r="BP705" s="325"/>
      <c r="BQ705" s="325"/>
    </row>
    <row r="706" spans="1:69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S706" s="325"/>
      <c r="AT706" s="325"/>
      <c r="AU706" s="325"/>
      <c r="AV706" s="325"/>
      <c r="AW706" s="325"/>
      <c r="AX706" s="325"/>
      <c r="AY706" s="325"/>
      <c r="AZ706" s="325"/>
      <c r="BA706" s="325"/>
      <c r="BB706" s="325"/>
      <c r="BC706" s="325"/>
      <c r="BD706" s="325"/>
      <c r="BE706" s="325"/>
      <c r="BF706" s="325"/>
      <c r="BG706" s="325"/>
      <c r="BH706" s="325"/>
      <c r="BI706" s="325"/>
      <c r="BJ706" s="325"/>
      <c r="BK706" s="325"/>
      <c r="BL706" s="325"/>
      <c r="BM706" s="325"/>
      <c r="BN706" s="325"/>
      <c r="BO706" s="325"/>
      <c r="BP706" s="325"/>
      <c r="BQ706" s="325"/>
    </row>
    <row r="707" spans="1:69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S707" s="325"/>
      <c r="AT707" s="325"/>
      <c r="AU707" s="325"/>
      <c r="AV707" s="325"/>
      <c r="AW707" s="325"/>
      <c r="AX707" s="325"/>
      <c r="AY707" s="325"/>
      <c r="AZ707" s="325"/>
      <c r="BA707" s="325"/>
      <c r="BB707" s="325"/>
      <c r="BC707" s="325"/>
      <c r="BD707" s="325"/>
      <c r="BE707" s="325"/>
      <c r="BF707" s="325"/>
      <c r="BG707" s="325"/>
      <c r="BH707" s="325"/>
      <c r="BI707" s="325"/>
      <c r="BJ707" s="325"/>
      <c r="BK707" s="325"/>
      <c r="BL707" s="325"/>
      <c r="BM707" s="325"/>
      <c r="BN707" s="325"/>
      <c r="BO707" s="325"/>
      <c r="BP707" s="325"/>
      <c r="BQ707" s="325"/>
    </row>
    <row r="708" spans="1:69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S708" s="325"/>
      <c r="AT708" s="325"/>
      <c r="AU708" s="325"/>
      <c r="AV708" s="325"/>
      <c r="AW708" s="325"/>
      <c r="AX708" s="325"/>
      <c r="AY708" s="325"/>
      <c r="AZ708" s="325"/>
      <c r="BA708" s="325"/>
      <c r="BB708" s="325"/>
      <c r="BC708" s="325"/>
      <c r="BD708" s="325"/>
      <c r="BE708" s="325"/>
      <c r="BF708" s="325"/>
      <c r="BG708" s="325"/>
      <c r="BH708" s="325"/>
      <c r="BI708" s="325"/>
      <c r="BJ708" s="325"/>
      <c r="BK708" s="325"/>
      <c r="BL708" s="325"/>
      <c r="BM708" s="325"/>
      <c r="BN708" s="325"/>
      <c r="BO708" s="325"/>
      <c r="BP708" s="325"/>
      <c r="BQ708" s="325"/>
    </row>
    <row r="709" spans="1:69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S709" s="325"/>
      <c r="AT709" s="325"/>
      <c r="AU709" s="325"/>
      <c r="AV709" s="325"/>
      <c r="AW709" s="325"/>
      <c r="AX709" s="325"/>
      <c r="AY709" s="325"/>
      <c r="AZ709" s="325"/>
      <c r="BA709" s="325"/>
      <c r="BB709" s="325"/>
      <c r="BC709" s="325"/>
      <c r="BD709" s="325"/>
      <c r="BE709" s="325"/>
      <c r="BF709" s="325"/>
      <c r="BG709" s="325"/>
      <c r="BH709" s="325"/>
      <c r="BI709" s="325"/>
      <c r="BJ709" s="325"/>
      <c r="BK709" s="325"/>
      <c r="BL709" s="325"/>
      <c r="BM709" s="325"/>
      <c r="BN709" s="325"/>
      <c r="BO709" s="325"/>
      <c r="BP709" s="325"/>
      <c r="BQ709" s="325"/>
    </row>
    <row r="710" spans="1:69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S710" s="325"/>
      <c r="AT710" s="325"/>
      <c r="AU710" s="325"/>
      <c r="AV710" s="325"/>
      <c r="AW710" s="325"/>
      <c r="AX710" s="325"/>
      <c r="AY710" s="325"/>
      <c r="AZ710" s="325"/>
      <c r="BA710" s="325"/>
      <c r="BB710" s="325"/>
      <c r="BC710" s="325"/>
      <c r="BD710" s="325"/>
      <c r="BE710" s="325"/>
      <c r="BF710" s="325"/>
      <c r="BG710" s="325"/>
      <c r="BH710" s="325"/>
      <c r="BI710" s="325"/>
      <c r="BJ710" s="325"/>
      <c r="BK710" s="325"/>
      <c r="BL710" s="325"/>
      <c r="BM710" s="325"/>
      <c r="BN710" s="325"/>
      <c r="BO710" s="325"/>
      <c r="BP710" s="325"/>
      <c r="BQ710" s="325"/>
    </row>
    <row r="711" spans="1:69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S711" s="325"/>
      <c r="AT711" s="325"/>
      <c r="AU711" s="325"/>
      <c r="AV711" s="325"/>
      <c r="AW711" s="325"/>
      <c r="AX711" s="325"/>
      <c r="AY711" s="325"/>
      <c r="AZ711" s="325"/>
      <c r="BA711" s="325"/>
      <c r="BB711" s="325"/>
      <c r="BC711" s="325"/>
      <c r="BD711" s="325"/>
      <c r="BE711" s="325"/>
      <c r="BF711" s="325"/>
      <c r="BG711" s="325"/>
      <c r="BH711" s="325"/>
      <c r="BI711" s="325"/>
      <c r="BJ711" s="325"/>
      <c r="BK711" s="325"/>
      <c r="BL711" s="325"/>
      <c r="BM711" s="325"/>
      <c r="BN711" s="325"/>
      <c r="BO711" s="325"/>
      <c r="BP711" s="325"/>
      <c r="BQ711" s="325"/>
    </row>
    <row r="712" spans="1:69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S712" s="325"/>
      <c r="AT712" s="325"/>
      <c r="AU712" s="325"/>
      <c r="AV712" s="325"/>
      <c r="AW712" s="325"/>
      <c r="AX712" s="325"/>
      <c r="AY712" s="325"/>
      <c r="AZ712" s="325"/>
      <c r="BA712" s="325"/>
      <c r="BB712" s="325"/>
      <c r="BC712" s="325"/>
      <c r="BD712" s="325"/>
      <c r="BE712" s="325"/>
      <c r="BF712" s="325"/>
      <c r="BG712" s="325"/>
      <c r="BH712" s="325"/>
      <c r="BI712" s="325"/>
      <c r="BJ712" s="325"/>
      <c r="BK712" s="325"/>
      <c r="BL712" s="325"/>
      <c r="BM712" s="325"/>
      <c r="BN712" s="325"/>
      <c r="BO712" s="325"/>
      <c r="BP712" s="325"/>
      <c r="BQ712" s="325"/>
    </row>
    <row r="713" spans="1:69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S713" s="325"/>
      <c r="AT713" s="325"/>
      <c r="AU713" s="325"/>
      <c r="AV713" s="325"/>
      <c r="AW713" s="325"/>
      <c r="AX713" s="325"/>
      <c r="AY713" s="325"/>
      <c r="AZ713" s="325"/>
      <c r="BA713" s="325"/>
      <c r="BB713" s="325"/>
      <c r="BC713" s="325"/>
      <c r="BD713" s="325"/>
      <c r="BE713" s="325"/>
      <c r="BF713" s="325"/>
      <c r="BG713" s="325"/>
      <c r="BH713" s="325"/>
      <c r="BI713" s="325"/>
      <c r="BJ713" s="325"/>
      <c r="BK713" s="325"/>
      <c r="BL713" s="325"/>
      <c r="BM713" s="325"/>
      <c r="BN713" s="325"/>
      <c r="BO713" s="325"/>
      <c r="BP713" s="325"/>
      <c r="BQ713" s="325"/>
    </row>
    <row r="714" spans="1:69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S714" s="325"/>
      <c r="AT714" s="325"/>
      <c r="AU714" s="325"/>
      <c r="AV714" s="325"/>
      <c r="AW714" s="325"/>
      <c r="AX714" s="325"/>
      <c r="AY714" s="325"/>
      <c r="AZ714" s="325"/>
      <c r="BA714" s="325"/>
      <c r="BB714" s="325"/>
      <c r="BC714" s="325"/>
      <c r="BD714" s="325"/>
      <c r="BE714" s="325"/>
      <c r="BF714" s="325"/>
      <c r="BG714" s="325"/>
      <c r="BH714" s="325"/>
      <c r="BI714" s="325"/>
      <c r="BJ714" s="325"/>
      <c r="BK714" s="325"/>
      <c r="BL714" s="325"/>
      <c r="BM714" s="325"/>
      <c r="BN714" s="325"/>
      <c r="BO714" s="325"/>
      <c r="BP714" s="325"/>
      <c r="BQ714" s="325"/>
    </row>
    <row r="715" spans="1:69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S715" s="325"/>
      <c r="AT715" s="325"/>
      <c r="AU715" s="325"/>
      <c r="AV715" s="325"/>
      <c r="AW715" s="325"/>
      <c r="AX715" s="325"/>
      <c r="AY715" s="325"/>
      <c r="AZ715" s="325"/>
      <c r="BA715" s="325"/>
      <c r="BB715" s="325"/>
      <c r="BC715" s="325"/>
      <c r="BD715" s="325"/>
      <c r="BE715" s="325"/>
      <c r="BF715" s="325"/>
      <c r="BG715" s="325"/>
      <c r="BH715" s="325"/>
      <c r="BI715" s="325"/>
      <c r="BJ715" s="325"/>
      <c r="BK715" s="325"/>
      <c r="BL715" s="325"/>
      <c r="BM715" s="325"/>
      <c r="BN715" s="325"/>
      <c r="BO715" s="325"/>
      <c r="BP715" s="325"/>
      <c r="BQ715" s="325"/>
    </row>
    <row r="716" spans="1:69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S716" s="325"/>
      <c r="AT716" s="325"/>
      <c r="AU716" s="325"/>
      <c r="AV716" s="325"/>
      <c r="AW716" s="325"/>
      <c r="AX716" s="325"/>
      <c r="AY716" s="325"/>
      <c r="AZ716" s="325"/>
      <c r="BA716" s="325"/>
      <c r="BB716" s="325"/>
      <c r="BC716" s="325"/>
      <c r="BD716" s="325"/>
      <c r="BE716" s="325"/>
      <c r="BF716" s="325"/>
      <c r="BG716" s="325"/>
      <c r="BH716" s="325"/>
      <c r="BI716" s="325"/>
      <c r="BJ716" s="325"/>
      <c r="BK716" s="325"/>
      <c r="BL716" s="325"/>
      <c r="BM716" s="325"/>
      <c r="BN716" s="325"/>
      <c r="BO716" s="325"/>
      <c r="BP716" s="325"/>
      <c r="BQ716" s="325"/>
    </row>
    <row r="717" spans="1:69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S717" s="325"/>
      <c r="AT717" s="325"/>
      <c r="AU717" s="325"/>
      <c r="AV717" s="325"/>
      <c r="AW717" s="325"/>
      <c r="AX717" s="325"/>
      <c r="AY717" s="325"/>
      <c r="AZ717" s="325"/>
      <c r="BA717" s="325"/>
      <c r="BB717" s="325"/>
      <c r="BC717" s="325"/>
      <c r="BD717" s="325"/>
      <c r="BE717" s="325"/>
      <c r="BF717" s="325"/>
      <c r="BG717" s="325"/>
      <c r="BH717" s="325"/>
      <c r="BI717" s="325"/>
      <c r="BJ717" s="325"/>
      <c r="BK717" s="325"/>
      <c r="BL717" s="325"/>
      <c r="BM717" s="325"/>
      <c r="BN717" s="325"/>
      <c r="BO717" s="325"/>
      <c r="BP717" s="325"/>
      <c r="BQ717" s="325"/>
    </row>
    <row r="718" spans="1:69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S718" s="325"/>
      <c r="AT718" s="325"/>
      <c r="AU718" s="325"/>
      <c r="AV718" s="325"/>
      <c r="AW718" s="325"/>
      <c r="AX718" s="325"/>
      <c r="AY718" s="325"/>
      <c r="AZ718" s="325"/>
      <c r="BA718" s="325"/>
      <c r="BB718" s="325"/>
      <c r="BC718" s="325"/>
      <c r="BD718" s="325"/>
      <c r="BE718" s="325"/>
      <c r="BF718" s="325"/>
      <c r="BG718" s="325"/>
      <c r="BH718" s="325"/>
      <c r="BI718" s="325"/>
      <c r="BJ718" s="325"/>
      <c r="BK718" s="325"/>
      <c r="BL718" s="325"/>
      <c r="BM718" s="325"/>
      <c r="BN718" s="325"/>
      <c r="BO718" s="325"/>
      <c r="BP718" s="325"/>
      <c r="BQ718" s="325"/>
    </row>
    <row r="719" spans="1:69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S719" s="325"/>
      <c r="AT719" s="325"/>
      <c r="AU719" s="325"/>
      <c r="AV719" s="325"/>
      <c r="AW719" s="325"/>
      <c r="AX719" s="325"/>
      <c r="AY719" s="325"/>
      <c r="AZ719" s="325"/>
      <c r="BA719" s="325"/>
      <c r="BB719" s="325"/>
      <c r="BC719" s="325"/>
      <c r="BD719" s="325"/>
      <c r="BE719" s="325"/>
      <c r="BF719" s="325"/>
      <c r="BG719" s="325"/>
      <c r="BH719" s="325"/>
      <c r="BI719" s="325"/>
      <c r="BJ719" s="325"/>
      <c r="BK719" s="325"/>
      <c r="BL719" s="325"/>
      <c r="BM719" s="325"/>
      <c r="BN719" s="325"/>
      <c r="BO719" s="325"/>
      <c r="BP719" s="325"/>
      <c r="BQ719" s="325"/>
    </row>
    <row r="720" spans="1:69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S720" s="325"/>
      <c r="AT720" s="325"/>
      <c r="AU720" s="325"/>
      <c r="AV720" s="325"/>
      <c r="AW720" s="325"/>
      <c r="AX720" s="325"/>
      <c r="AY720" s="325"/>
      <c r="AZ720" s="325"/>
      <c r="BA720" s="325"/>
      <c r="BB720" s="325"/>
      <c r="BC720" s="325"/>
      <c r="BD720" s="325"/>
      <c r="BE720" s="325"/>
      <c r="BF720" s="325"/>
      <c r="BG720" s="325"/>
      <c r="BH720" s="325"/>
      <c r="BI720" s="325"/>
      <c r="BJ720" s="325"/>
      <c r="BK720" s="325"/>
      <c r="BL720" s="325"/>
      <c r="BM720" s="325"/>
      <c r="BN720" s="325"/>
      <c r="BO720" s="325"/>
      <c r="BP720" s="325"/>
      <c r="BQ720" s="325"/>
    </row>
    <row r="721" spans="1:69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S721" s="325"/>
      <c r="AT721" s="325"/>
      <c r="AU721" s="325"/>
      <c r="AV721" s="325"/>
      <c r="AW721" s="325"/>
      <c r="AX721" s="325"/>
      <c r="AY721" s="325"/>
      <c r="AZ721" s="325"/>
      <c r="BA721" s="325"/>
      <c r="BB721" s="325"/>
      <c r="BC721" s="325"/>
      <c r="BD721" s="325"/>
      <c r="BE721" s="325"/>
      <c r="BF721" s="325"/>
      <c r="BG721" s="325"/>
      <c r="BH721" s="325"/>
      <c r="BI721" s="325"/>
      <c r="BJ721" s="325"/>
      <c r="BK721" s="325"/>
      <c r="BL721" s="325"/>
      <c r="BM721" s="325"/>
      <c r="BN721" s="325"/>
      <c r="BO721" s="325"/>
      <c r="BP721" s="325"/>
      <c r="BQ721" s="325"/>
    </row>
    <row r="722" spans="1:69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S722" s="325"/>
      <c r="AT722" s="325"/>
      <c r="AU722" s="325"/>
      <c r="AV722" s="325"/>
      <c r="AW722" s="325"/>
      <c r="AX722" s="325"/>
      <c r="AY722" s="325"/>
      <c r="AZ722" s="325"/>
      <c r="BA722" s="325"/>
      <c r="BB722" s="325"/>
      <c r="BC722" s="325"/>
      <c r="BD722" s="325"/>
      <c r="BE722" s="325"/>
      <c r="BF722" s="325"/>
      <c r="BG722" s="325"/>
      <c r="BH722" s="325"/>
      <c r="BI722" s="325"/>
      <c r="BJ722" s="325"/>
      <c r="BK722" s="325"/>
      <c r="BL722" s="325"/>
      <c r="BM722" s="325"/>
      <c r="BN722" s="325"/>
      <c r="BO722" s="325"/>
      <c r="BP722" s="325"/>
      <c r="BQ722" s="325"/>
    </row>
    <row r="723" spans="1:69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S723" s="325"/>
      <c r="AT723" s="325"/>
      <c r="AU723" s="325"/>
      <c r="AV723" s="325"/>
      <c r="AW723" s="325"/>
      <c r="AX723" s="325"/>
      <c r="AY723" s="325"/>
      <c r="AZ723" s="325"/>
      <c r="BA723" s="325"/>
      <c r="BB723" s="325"/>
      <c r="BC723" s="325"/>
      <c r="BD723" s="325"/>
      <c r="BE723" s="325"/>
      <c r="BF723" s="325"/>
      <c r="BG723" s="325"/>
      <c r="BH723" s="325"/>
      <c r="BI723" s="325"/>
      <c r="BJ723" s="325"/>
      <c r="BK723" s="325"/>
      <c r="BL723" s="325"/>
      <c r="BM723" s="325"/>
      <c r="BN723" s="325"/>
      <c r="BO723" s="325"/>
      <c r="BP723" s="325"/>
      <c r="BQ723" s="325"/>
    </row>
    <row r="724" spans="1:69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S724" s="325"/>
      <c r="AT724" s="325"/>
      <c r="AU724" s="325"/>
      <c r="AV724" s="325"/>
      <c r="AW724" s="325"/>
      <c r="AX724" s="325"/>
      <c r="AY724" s="325"/>
      <c r="AZ724" s="325"/>
      <c r="BA724" s="325"/>
      <c r="BB724" s="325"/>
      <c r="BC724" s="325"/>
      <c r="BD724" s="325"/>
      <c r="BE724" s="325"/>
      <c r="BF724" s="325"/>
      <c r="BG724" s="325"/>
      <c r="BH724" s="325"/>
      <c r="BI724" s="325"/>
      <c r="BJ724" s="325"/>
      <c r="BK724" s="325"/>
      <c r="BL724" s="325"/>
      <c r="BM724" s="325"/>
      <c r="BN724" s="325"/>
      <c r="BO724" s="325"/>
      <c r="BP724" s="325"/>
      <c r="BQ724" s="325"/>
    </row>
    <row r="725" spans="1:69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S725" s="325"/>
      <c r="AT725" s="325"/>
      <c r="AU725" s="325"/>
      <c r="AV725" s="325"/>
      <c r="AW725" s="325"/>
      <c r="AX725" s="325"/>
      <c r="AY725" s="325"/>
      <c r="AZ725" s="325"/>
      <c r="BA725" s="325"/>
      <c r="BB725" s="325"/>
      <c r="BC725" s="325"/>
      <c r="BD725" s="325"/>
      <c r="BE725" s="325"/>
      <c r="BF725" s="325"/>
      <c r="BG725" s="325"/>
      <c r="BH725" s="325"/>
      <c r="BI725" s="325"/>
      <c r="BJ725" s="325"/>
      <c r="BK725" s="325"/>
      <c r="BL725" s="325"/>
      <c r="BM725" s="325"/>
      <c r="BN725" s="325"/>
      <c r="BO725" s="325"/>
      <c r="BP725" s="325"/>
      <c r="BQ725" s="325"/>
    </row>
    <row r="726" spans="1:69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S726" s="325"/>
      <c r="AT726" s="325"/>
      <c r="AU726" s="325"/>
      <c r="AV726" s="325"/>
      <c r="AW726" s="325"/>
      <c r="AX726" s="325"/>
      <c r="AY726" s="325"/>
      <c r="AZ726" s="325"/>
      <c r="BA726" s="325"/>
      <c r="BB726" s="325"/>
      <c r="BC726" s="325"/>
      <c r="BD726" s="325"/>
      <c r="BE726" s="325"/>
      <c r="BF726" s="325"/>
      <c r="BG726" s="325"/>
      <c r="BH726" s="325"/>
      <c r="BI726" s="325"/>
      <c r="BJ726" s="325"/>
      <c r="BK726" s="325"/>
      <c r="BL726" s="325"/>
      <c r="BM726" s="325"/>
      <c r="BN726" s="325"/>
      <c r="BO726" s="325"/>
      <c r="BP726" s="325"/>
      <c r="BQ726" s="325"/>
    </row>
    <row r="727" spans="1:69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S727" s="325"/>
      <c r="AT727" s="325"/>
      <c r="AU727" s="325"/>
      <c r="AV727" s="325"/>
      <c r="AW727" s="325"/>
      <c r="AX727" s="325"/>
      <c r="AY727" s="325"/>
      <c r="AZ727" s="325"/>
      <c r="BA727" s="325"/>
      <c r="BB727" s="325"/>
      <c r="BC727" s="325"/>
      <c r="BD727" s="325"/>
      <c r="BE727" s="325"/>
      <c r="BF727" s="325"/>
      <c r="BG727" s="325"/>
      <c r="BH727" s="325"/>
      <c r="BI727" s="325"/>
      <c r="BJ727" s="325"/>
      <c r="BK727" s="325"/>
      <c r="BL727" s="325"/>
      <c r="BM727" s="325"/>
      <c r="BN727" s="325"/>
      <c r="BO727" s="325"/>
      <c r="BP727" s="325"/>
      <c r="BQ727" s="325"/>
    </row>
    <row r="728" spans="1:69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Z728" s="325"/>
      <c r="BA728" s="325"/>
      <c r="BB728" s="325"/>
      <c r="BC728" s="325"/>
      <c r="BD728" s="325"/>
      <c r="BE728" s="325"/>
      <c r="BF728" s="325"/>
      <c r="BG728" s="325"/>
      <c r="BH728" s="325"/>
      <c r="BI728" s="325"/>
      <c r="BJ728" s="325"/>
      <c r="BK728" s="325"/>
      <c r="BL728" s="325"/>
      <c r="BM728" s="325"/>
      <c r="BN728" s="325"/>
      <c r="BO728" s="325"/>
      <c r="BP728" s="325"/>
      <c r="BQ728" s="325"/>
    </row>
    <row r="729" spans="1:69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Z729" s="325"/>
      <c r="BA729" s="325"/>
      <c r="BB729" s="325"/>
      <c r="BC729" s="325"/>
      <c r="BD729" s="325"/>
      <c r="BE729" s="325"/>
      <c r="BF729" s="325"/>
      <c r="BG729" s="325"/>
      <c r="BH729" s="325"/>
      <c r="BI729" s="325"/>
      <c r="BJ729" s="325"/>
      <c r="BK729" s="325"/>
      <c r="BL729" s="325"/>
      <c r="BM729" s="325"/>
      <c r="BN729" s="325"/>
      <c r="BO729" s="325"/>
      <c r="BP729" s="325"/>
      <c r="BQ729" s="325"/>
    </row>
    <row r="730" spans="1:69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Z730" s="325"/>
      <c r="BA730" s="325"/>
      <c r="BB730" s="325"/>
      <c r="BC730" s="325"/>
      <c r="BD730" s="325"/>
      <c r="BE730" s="325"/>
      <c r="BF730" s="325"/>
      <c r="BG730" s="325"/>
      <c r="BH730" s="325"/>
      <c r="BI730" s="325"/>
      <c r="BJ730" s="325"/>
      <c r="BK730" s="325"/>
      <c r="BL730" s="325"/>
      <c r="BM730" s="325"/>
      <c r="BN730" s="325"/>
      <c r="BO730" s="325"/>
      <c r="BP730" s="325"/>
      <c r="BQ730" s="325"/>
    </row>
    <row r="731" spans="1:69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Z731" s="325"/>
      <c r="BA731" s="325"/>
      <c r="BB731" s="325"/>
      <c r="BC731" s="325"/>
      <c r="BD731" s="325"/>
      <c r="BE731" s="325"/>
      <c r="BF731" s="325"/>
      <c r="BG731" s="325"/>
      <c r="BH731" s="325"/>
      <c r="BI731" s="325"/>
      <c r="BJ731" s="325"/>
      <c r="BK731" s="325"/>
      <c r="BL731" s="325"/>
      <c r="BM731" s="325"/>
      <c r="BN731" s="325"/>
      <c r="BO731" s="325"/>
      <c r="BP731" s="325"/>
      <c r="BQ731" s="325"/>
    </row>
    <row r="732" spans="1:69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Z732" s="325"/>
      <c r="BA732" s="325"/>
      <c r="BB732" s="325"/>
      <c r="BC732" s="325"/>
      <c r="BD732" s="325"/>
      <c r="BE732" s="325"/>
      <c r="BF732" s="325"/>
      <c r="BG732" s="325"/>
      <c r="BH732" s="325"/>
      <c r="BI732" s="325"/>
      <c r="BJ732" s="325"/>
      <c r="BK732" s="325"/>
      <c r="BL732" s="325"/>
      <c r="BM732" s="325"/>
      <c r="BN732" s="325"/>
      <c r="BO732" s="325"/>
      <c r="BP732" s="325"/>
      <c r="BQ732" s="325"/>
    </row>
    <row r="733" spans="1:69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Z733" s="325"/>
      <c r="BA733" s="325"/>
      <c r="BB733" s="325"/>
      <c r="BC733" s="325"/>
      <c r="BD733" s="325"/>
      <c r="BE733" s="325"/>
      <c r="BF733" s="325"/>
      <c r="BG733" s="325"/>
      <c r="BH733" s="325"/>
      <c r="BI733" s="325"/>
      <c r="BJ733" s="325"/>
      <c r="BK733" s="325"/>
      <c r="BL733" s="325"/>
      <c r="BM733" s="325"/>
      <c r="BN733" s="325"/>
      <c r="BO733" s="325"/>
      <c r="BP733" s="325"/>
      <c r="BQ733" s="325"/>
    </row>
    <row r="734" spans="1:69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Z734" s="325"/>
      <c r="BA734" s="325"/>
      <c r="BB734" s="325"/>
      <c r="BC734" s="325"/>
      <c r="BD734" s="325"/>
      <c r="BE734" s="325"/>
      <c r="BF734" s="325"/>
      <c r="BG734" s="325"/>
      <c r="BH734" s="325"/>
      <c r="BI734" s="325"/>
      <c r="BJ734" s="325"/>
      <c r="BK734" s="325"/>
      <c r="BL734" s="325"/>
      <c r="BM734" s="325"/>
      <c r="BN734" s="325"/>
      <c r="BO734" s="325"/>
      <c r="BP734" s="325"/>
      <c r="BQ734" s="325"/>
    </row>
    <row r="735" spans="1:69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Z735" s="325"/>
      <c r="BA735" s="325"/>
      <c r="BB735" s="325"/>
      <c r="BC735" s="325"/>
      <c r="BD735" s="325"/>
      <c r="BE735" s="325"/>
      <c r="BF735" s="325"/>
      <c r="BG735" s="325"/>
      <c r="BH735" s="325"/>
      <c r="BI735" s="325"/>
      <c r="BJ735" s="325"/>
      <c r="BK735" s="325"/>
      <c r="BL735" s="325"/>
      <c r="BM735" s="325"/>
      <c r="BN735" s="325"/>
      <c r="BO735" s="325"/>
      <c r="BP735" s="325"/>
      <c r="BQ735" s="325"/>
    </row>
    <row r="736" spans="1:69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Z736" s="325"/>
      <c r="BA736" s="325"/>
      <c r="BB736" s="325"/>
      <c r="BC736" s="325"/>
      <c r="BD736" s="325"/>
      <c r="BE736" s="325"/>
      <c r="BF736" s="325"/>
      <c r="BG736" s="325"/>
      <c r="BH736" s="325"/>
      <c r="BI736" s="325"/>
      <c r="BJ736" s="325"/>
      <c r="BK736" s="325"/>
      <c r="BL736" s="325"/>
      <c r="BM736" s="325"/>
      <c r="BN736" s="325"/>
      <c r="BO736" s="325"/>
      <c r="BP736" s="325"/>
      <c r="BQ736" s="325"/>
    </row>
    <row r="737" spans="1:69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Z737" s="325"/>
      <c r="BA737" s="325"/>
      <c r="BB737" s="325"/>
      <c r="BC737" s="325"/>
      <c r="BD737" s="325"/>
      <c r="BE737" s="325"/>
      <c r="BF737" s="325"/>
      <c r="BG737" s="325"/>
      <c r="BH737" s="325"/>
      <c r="BI737" s="325"/>
      <c r="BJ737" s="325"/>
      <c r="BK737" s="325"/>
      <c r="BL737" s="325"/>
      <c r="BM737" s="325"/>
      <c r="BN737" s="325"/>
      <c r="BO737" s="325"/>
      <c r="BP737" s="325"/>
      <c r="BQ737" s="325"/>
    </row>
    <row r="738" spans="1:69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Z738" s="325"/>
      <c r="BA738" s="325"/>
      <c r="BB738" s="325"/>
      <c r="BC738" s="325"/>
      <c r="BD738" s="325"/>
      <c r="BE738" s="325"/>
      <c r="BF738" s="325"/>
      <c r="BG738" s="325"/>
      <c r="BH738" s="325"/>
      <c r="BI738" s="325"/>
      <c r="BJ738" s="325"/>
      <c r="BK738" s="325"/>
      <c r="BL738" s="325"/>
      <c r="BM738" s="325"/>
      <c r="BN738" s="325"/>
      <c r="BO738" s="325"/>
      <c r="BP738" s="325"/>
      <c r="BQ738" s="325"/>
    </row>
    <row r="739" spans="1:69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Z739" s="325"/>
      <c r="BA739" s="325"/>
      <c r="BB739" s="325"/>
      <c r="BC739" s="325"/>
      <c r="BD739" s="325"/>
      <c r="BE739" s="325"/>
      <c r="BF739" s="325"/>
      <c r="BG739" s="325"/>
      <c r="BH739" s="325"/>
      <c r="BI739" s="325"/>
      <c r="BJ739" s="325"/>
      <c r="BK739" s="325"/>
      <c r="BL739" s="325"/>
      <c r="BM739" s="325"/>
      <c r="BN739" s="325"/>
      <c r="BO739" s="325"/>
      <c r="BP739" s="325"/>
      <c r="BQ739" s="325"/>
    </row>
    <row r="740" spans="1:69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Z740" s="325"/>
      <c r="BA740" s="325"/>
      <c r="BB740" s="325"/>
      <c r="BC740" s="325"/>
      <c r="BD740" s="325"/>
      <c r="BE740" s="325"/>
      <c r="BF740" s="325"/>
      <c r="BG740" s="325"/>
      <c r="BH740" s="325"/>
      <c r="BI740" s="325"/>
      <c r="BJ740" s="325"/>
      <c r="BK740" s="325"/>
      <c r="BL740" s="325"/>
      <c r="BM740" s="325"/>
      <c r="BN740" s="325"/>
      <c r="BO740" s="325"/>
      <c r="BP740" s="325"/>
      <c r="BQ740" s="325"/>
    </row>
    <row r="741" spans="1:69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Z741" s="325"/>
      <c r="BA741" s="325"/>
      <c r="BB741" s="325"/>
      <c r="BC741" s="325"/>
      <c r="BD741" s="325"/>
      <c r="BE741" s="325"/>
      <c r="BF741" s="325"/>
      <c r="BG741" s="325"/>
      <c r="BH741" s="325"/>
      <c r="BI741" s="325"/>
      <c r="BJ741" s="325"/>
      <c r="BK741" s="325"/>
      <c r="BL741" s="325"/>
      <c r="BM741" s="325"/>
      <c r="BN741" s="325"/>
      <c r="BO741" s="325"/>
      <c r="BP741" s="325"/>
      <c r="BQ741" s="325"/>
    </row>
    <row r="742" spans="1:69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Z742" s="325"/>
      <c r="BA742" s="325"/>
      <c r="BB742" s="325"/>
      <c r="BC742" s="325"/>
      <c r="BD742" s="325"/>
      <c r="BE742" s="325"/>
      <c r="BF742" s="325"/>
      <c r="BG742" s="325"/>
      <c r="BH742" s="325"/>
      <c r="BI742" s="325"/>
      <c r="BJ742" s="325"/>
      <c r="BK742" s="325"/>
      <c r="BL742" s="325"/>
      <c r="BM742" s="325"/>
      <c r="BN742" s="325"/>
      <c r="BO742" s="325"/>
      <c r="BP742" s="325"/>
      <c r="BQ742" s="325"/>
    </row>
    <row r="743" spans="1:69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Z743" s="325"/>
      <c r="BA743" s="325"/>
      <c r="BB743" s="325"/>
      <c r="BC743" s="325"/>
      <c r="BD743" s="325"/>
      <c r="BE743" s="325"/>
      <c r="BF743" s="325"/>
      <c r="BG743" s="325"/>
      <c r="BH743" s="325"/>
      <c r="BI743" s="325"/>
      <c r="BJ743" s="325"/>
      <c r="BK743" s="325"/>
      <c r="BL743" s="325"/>
      <c r="BM743" s="325"/>
      <c r="BN743" s="325"/>
      <c r="BO743" s="325"/>
      <c r="BP743" s="325"/>
      <c r="BQ743" s="325"/>
    </row>
    <row r="744" spans="1:69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Z744" s="325"/>
      <c r="BA744" s="325"/>
      <c r="BB744" s="325"/>
      <c r="BC744" s="325"/>
      <c r="BD744" s="325"/>
      <c r="BE744" s="325"/>
      <c r="BF744" s="325"/>
      <c r="BG744" s="325"/>
      <c r="BH744" s="325"/>
      <c r="BI744" s="325"/>
      <c r="BJ744" s="325"/>
      <c r="BK744" s="325"/>
      <c r="BL744" s="325"/>
      <c r="BM744" s="325"/>
      <c r="BN744" s="325"/>
      <c r="BO744" s="325"/>
      <c r="BP744" s="325"/>
      <c r="BQ744" s="325"/>
    </row>
    <row r="745" spans="1:69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Z745" s="325"/>
      <c r="BA745" s="325"/>
      <c r="BB745" s="325"/>
      <c r="BC745" s="325"/>
      <c r="BD745" s="325"/>
      <c r="BE745" s="325"/>
      <c r="BF745" s="325"/>
      <c r="BG745" s="325"/>
      <c r="BH745" s="325"/>
      <c r="BI745" s="325"/>
      <c r="BJ745" s="325"/>
      <c r="BK745" s="325"/>
      <c r="BL745" s="325"/>
      <c r="BM745" s="325"/>
      <c r="BN745" s="325"/>
      <c r="BO745" s="325"/>
      <c r="BP745" s="325"/>
      <c r="BQ745" s="325"/>
    </row>
    <row r="746" spans="1:69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Z746" s="325"/>
      <c r="BA746" s="325"/>
      <c r="BB746" s="325"/>
      <c r="BC746" s="325"/>
      <c r="BD746" s="325"/>
      <c r="BE746" s="325"/>
      <c r="BF746" s="325"/>
      <c r="BG746" s="325"/>
      <c r="BH746" s="325"/>
      <c r="BI746" s="325"/>
      <c r="BJ746" s="325"/>
      <c r="BK746" s="325"/>
      <c r="BL746" s="325"/>
      <c r="BM746" s="325"/>
      <c r="BN746" s="325"/>
      <c r="BO746" s="325"/>
      <c r="BP746" s="325"/>
      <c r="BQ746" s="325"/>
    </row>
    <row r="747" spans="1:69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Z747" s="325"/>
      <c r="BA747" s="325"/>
      <c r="BB747" s="325"/>
      <c r="BC747" s="325"/>
      <c r="BD747" s="325"/>
      <c r="BE747" s="325"/>
      <c r="BF747" s="325"/>
      <c r="BG747" s="325"/>
      <c r="BH747" s="325"/>
      <c r="BI747" s="325"/>
      <c r="BJ747" s="325"/>
      <c r="BK747" s="325"/>
      <c r="BL747" s="325"/>
      <c r="BM747" s="325"/>
      <c r="BN747" s="325"/>
      <c r="BO747" s="325"/>
      <c r="BP747" s="325"/>
      <c r="BQ747" s="325"/>
    </row>
    <row r="748" spans="1:69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Z748" s="325"/>
      <c r="BA748" s="325"/>
      <c r="BB748" s="325"/>
      <c r="BC748" s="325"/>
      <c r="BD748" s="325"/>
      <c r="BE748" s="325"/>
      <c r="BF748" s="325"/>
      <c r="BG748" s="325"/>
      <c r="BH748" s="325"/>
      <c r="BI748" s="325"/>
      <c r="BJ748" s="325"/>
      <c r="BK748" s="325"/>
      <c r="BL748" s="325"/>
      <c r="BM748" s="325"/>
      <c r="BN748" s="325"/>
      <c r="BO748" s="325"/>
      <c r="BP748" s="325"/>
      <c r="BQ748" s="325"/>
    </row>
    <row r="749" spans="1:69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Z749" s="325"/>
      <c r="BA749" s="325"/>
      <c r="BB749" s="325"/>
      <c r="BC749" s="325"/>
      <c r="BD749" s="325"/>
      <c r="BE749" s="325"/>
      <c r="BF749" s="325"/>
      <c r="BG749" s="325"/>
      <c r="BH749" s="325"/>
      <c r="BI749" s="325"/>
      <c r="BJ749" s="325"/>
      <c r="BK749" s="325"/>
      <c r="BL749" s="325"/>
      <c r="BM749" s="325"/>
      <c r="BN749" s="325"/>
      <c r="BO749" s="325"/>
      <c r="BP749" s="325"/>
      <c r="BQ749" s="325"/>
    </row>
    <row r="750" spans="1:69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Z750" s="325"/>
      <c r="BA750" s="325"/>
      <c r="BB750" s="325"/>
      <c r="BC750" s="325"/>
      <c r="BD750" s="325"/>
      <c r="BE750" s="325"/>
      <c r="BF750" s="325"/>
      <c r="BG750" s="325"/>
      <c r="BH750" s="325"/>
      <c r="BI750" s="325"/>
      <c r="BJ750" s="325"/>
      <c r="BK750" s="325"/>
      <c r="BL750" s="325"/>
      <c r="BM750" s="325"/>
      <c r="BN750" s="325"/>
      <c r="BO750" s="325"/>
      <c r="BP750" s="325"/>
      <c r="BQ750" s="325"/>
    </row>
    <row r="751" spans="1:69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Z751" s="325"/>
      <c r="BA751" s="325"/>
      <c r="BB751" s="325"/>
      <c r="BC751" s="325"/>
      <c r="BD751" s="325"/>
      <c r="BE751" s="325"/>
      <c r="BF751" s="325"/>
      <c r="BG751" s="325"/>
      <c r="BH751" s="325"/>
      <c r="BI751" s="325"/>
      <c r="BJ751" s="325"/>
      <c r="BK751" s="325"/>
      <c r="BL751" s="325"/>
      <c r="BM751" s="325"/>
      <c r="BN751" s="325"/>
      <c r="BO751" s="325"/>
      <c r="BP751" s="325"/>
      <c r="BQ751" s="325"/>
    </row>
    <row r="752" spans="1:69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Z752" s="325"/>
      <c r="BA752" s="325"/>
      <c r="BB752" s="325"/>
      <c r="BC752" s="325"/>
      <c r="BD752" s="325"/>
      <c r="BE752" s="325"/>
      <c r="BF752" s="325"/>
      <c r="BG752" s="325"/>
      <c r="BH752" s="325"/>
      <c r="BI752" s="325"/>
      <c r="BJ752" s="325"/>
      <c r="BK752" s="325"/>
      <c r="BL752" s="325"/>
      <c r="BM752" s="325"/>
      <c r="BN752" s="325"/>
      <c r="BO752" s="325"/>
      <c r="BP752" s="325"/>
      <c r="BQ752" s="325"/>
    </row>
    <row r="753" spans="1:69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Z753" s="325"/>
      <c r="BA753" s="325"/>
      <c r="BB753" s="325"/>
      <c r="BC753" s="325"/>
      <c r="BD753" s="325"/>
      <c r="BE753" s="325"/>
      <c r="BF753" s="325"/>
      <c r="BG753" s="325"/>
      <c r="BH753" s="325"/>
      <c r="BI753" s="325"/>
      <c r="BJ753" s="325"/>
      <c r="BK753" s="325"/>
      <c r="BL753" s="325"/>
      <c r="BM753" s="325"/>
      <c r="BN753" s="325"/>
      <c r="BO753" s="325"/>
      <c r="BP753" s="325"/>
      <c r="BQ753" s="325"/>
    </row>
    <row r="754" spans="1:69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Z754" s="325"/>
      <c r="BA754" s="325"/>
      <c r="BB754" s="325"/>
      <c r="BC754" s="325"/>
      <c r="BD754" s="325"/>
      <c r="BE754" s="325"/>
      <c r="BF754" s="325"/>
      <c r="BG754" s="325"/>
      <c r="BH754" s="325"/>
      <c r="BI754" s="325"/>
      <c r="BJ754" s="325"/>
      <c r="BK754" s="325"/>
      <c r="BL754" s="325"/>
      <c r="BM754" s="325"/>
      <c r="BN754" s="325"/>
      <c r="BO754" s="325"/>
      <c r="BP754" s="325"/>
      <c r="BQ754" s="325"/>
    </row>
    <row r="755" spans="1:69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Z755" s="325"/>
      <c r="BA755" s="325"/>
      <c r="BB755" s="325"/>
      <c r="BC755" s="325"/>
      <c r="BD755" s="325"/>
      <c r="BE755" s="325"/>
      <c r="BF755" s="325"/>
      <c r="BG755" s="325"/>
      <c r="BH755" s="325"/>
      <c r="BI755" s="325"/>
      <c r="BJ755" s="325"/>
      <c r="BK755" s="325"/>
      <c r="BL755" s="325"/>
      <c r="BM755" s="325"/>
      <c r="BN755" s="325"/>
      <c r="BO755" s="325"/>
      <c r="BP755" s="325"/>
      <c r="BQ755" s="325"/>
    </row>
    <row r="756" spans="1:69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Z756" s="325"/>
      <c r="BA756" s="325"/>
      <c r="BB756" s="325"/>
      <c r="BC756" s="325"/>
      <c r="BD756" s="325"/>
      <c r="BE756" s="325"/>
      <c r="BF756" s="325"/>
      <c r="BG756" s="325"/>
      <c r="BH756" s="325"/>
      <c r="BI756" s="325"/>
      <c r="BJ756" s="325"/>
      <c r="BK756" s="325"/>
      <c r="BL756" s="325"/>
      <c r="BM756" s="325"/>
      <c r="BN756" s="325"/>
      <c r="BO756" s="325"/>
      <c r="BP756" s="325"/>
      <c r="BQ756" s="325"/>
    </row>
    <row r="757" spans="1:69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Z757" s="325"/>
      <c r="BA757" s="325"/>
      <c r="BB757" s="325"/>
      <c r="BC757" s="325"/>
      <c r="BD757" s="325"/>
      <c r="BE757" s="325"/>
      <c r="BF757" s="325"/>
      <c r="BG757" s="325"/>
      <c r="BH757" s="325"/>
      <c r="BI757" s="325"/>
      <c r="BJ757" s="325"/>
      <c r="BK757" s="325"/>
      <c r="BL757" s="325"/>
      <c r="BM757" s="325"/>
      <c r="BN757" s="325"/>
      <c r="BO757" s="325"/>
      <c r="BP757" s="325"/>
      <c r="BQ757" s="325"/>
    </row>
    <row r="758" spans="1:69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Z758" s="325"/>
      <c r="BA758" s="325"/>
      <c r="BB758" s="325"/>
      <c r="BC758" s="325"/>
      <c r="BD758" s="325"/>
      <c r="BE758" s="325"/>
      <c r="BF758" s="325"/>
      <c r="BG758" s="325"/>
      <c r="BH758" s="325"/>
      <c r="BI758" s="325"/>
      <c r="BJ758" s="325"/>
      <c r="BK758" s="325"/>
      <c r="BL758" s="325"/>
      <c r="BM758" s="325"/>
      <c r="BN758" s="325"/>
      <c r="BO758" s="325"/>
      <c r="BP758" s="325"/>
      <c r="BQ758" s="325"/>
    </row>
    <row r="759" spans="1:69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Z759" s="325"/>
      <c r="BA759" s="325"/>
      <c r="BB759" s="325"/>
      <c r="BC759" s="325"/>
      <c r="BD759" s="325"/>
      <c r="BE759" s="325"/>
      <c r="BF759" s="325"/>
      <c r="BG759" s="325"/>
      <c r="BH759" s="325"/>
      <c r="BI759" s="325"/>
      <c r="BJ759" s="325"/>
      <c r="BK759" s="325"/>
      <c r="BL759" s="325"/>
      <c r="BM759" s="325"/>
      <c r="BN759" s="325"/>
      <c r="BO759" s="325"/>
      <c r="BP759" s="325"/>
      <c r="BQ759" s="325"/>
    </row>
    <row r="760" spans="1:69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Z760" s="325"/>
      <c r="BA760" s="325"/>
      <c r="BB760" s="325"/>
      <c r="BC760" s="325"/>
      <c r="BD760" s="325"/>
      <c r="BE760" s="325"/>
      <c r="BF760" s="325"/>
      <c r="BG760" s="325"/>
      <c r="BH760" s="325"/>
      <c r="BI760" s="325"/>
      <c r="BJ760" s="325"/>
      <c r="BK760" s="325"/>
      <c r="BL760" s="325"/>
      <c r="BM760" s="325"/>
      <c r="BN760" s="325"/>
      <c r="BO760" s="325"/>
      <c r="BP760" s="325"/>
      <c r="BQ760" s="325"/>
    </row>
    <row r="761" spans="1:69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Z761" s="325"/>
      <c r="BA761" s="325"/>
      <c r="BB761" s="325"/>
      <c r="BC761" s="325"/>
      <c r="BD761" s="325"/>
      <c r="BE761" s="325"/>
      <c r="BF761" s="325"/>
      <c r="BG761" s="325"/>
      <c r="BH761" s="325"/>
      <c r="BI761" s="325"/>
      <c r="BJ761" s="325"/>
      <c r="BK761" s="325"/>
      <c r="BL761" s="325"/>
      <c r="BM761" s="325"/>
      <c r="BN761" s="325"/>
      <c r="BO761" s="325"/>
      <c r="BP761" s="325"/>
      <c r="BQ761" s="325"/>
    </row>
    <row r="762" spans="1:69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Z762" s="325"/>
      <c r="BA762" s="325"/>
      <c r="BB762" s="325"/>
      <c r="BC762" s="325"/>
      <c r="BD762" s="325"/>
      <c r="BE762" s="325"/>
      <c r="BF762" s="325"/>
      <c r="BG762" s="325"/>
    </row>
    <row r="763" spans="1:69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Z763" s="325"/>
      <c r="BA763" s="325"/>
      <c r="BB763" s="325"/>
      <c r="BC763" s="325"/>
      <c r="BD763" s="325"/>
      <c r="BE763" s="325"/>
      <c r="BF763" s="325"/>
      <c r="BG763" s="325"/>
    </row>
    <row r="764" spans="1:69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Z764" s="325"/>
      <c r="BA764" s="325"/>
      <c r="BB764" s="325"/>
      <c r="BC764" s="325"/>
      <c r="BD764" s="325"/>
      <c r="BE764" s="325"/>
      <c r="BF764" s="325"/>
      <c r="BG764" s="325"/>
    </row>
    <row r="765" spans="1:69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Z765" s="325"/>
      <c r="BA765" s="325"/>
      <c r="BB765" s="325"/>
      <c r="BC765" s="325"/>
      <c r="BD765" s="325"/>
      <c r="BE765" s="325"/>
      <c r="BF765" s="325"/>
      <c r="BG765" s="325"/>
    </row>
    <row r="766" spans="1:69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Z766" s="325"/>
      <c r="BA766" s="325"/>
      <c r="BB766" s="325"/>
      <c r="BC766" s="325"/>
      <c r="BD766" s="325"/>
      <c r="BE766" s="325"/>
      <c r="BF766" s="325"/>
      <c r="BG766" s="325"/>
    </row>
    <row r="767" spans="1:69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Z767" s="325"/>
      <c r="BA767" s="325"/>
      <c r="BB767" s="325"/>
      <c r="BC767" s="325"/>
      <c r="BD767" s="325"/>
      <c r="BE767" s="325"/>
      <c r="BF767" s="325"/>
      <c r="BG767" s="325"/>
    </row>
    <row r="768" spans="1:69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Z768" s="325"/>
      <c r="BA768" s="325"/>
      <c r="BB768" s="325"/>
      <c r="BC768" s="325"/>
      <c r="BD768" s="325"/>
      <c r="BE768" s="325"/>
      <c r="BF768" s="325"/>
      <c r="BG768" s="325"/>
    </row>
    <row r="769" spans="1:59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Z769" s="325"/>
      <c r="BA769" s="325"/>
      <c r="BB769" s="325"/>
      <c r="BC769" s="325"/>
      <c r="BD769" s="325"/>
      <c r="BE769" s="325"/>
      <c r="BF769" s="325"/>
      <c r="BG769" s="325"/>
    </row>
    <row r="770" spans="1:59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Z770" s="325"/>
      <c r="BA770" s="325"/>
      <c r="BB770" s="325"/>
      <c r="BC770" s="325"/>
      <c r="BD770" s="325"/>
      <c r="BE770" s="325"/>
      <c r="BF770" s="325"/>
      <c r="BG770" s="325"/>
    </row>
    <row r="771" spans="1:59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Z771" s="325"/>
      <c r="BA771" s="325"/>
      <c r="BB771" s="325"/>
      <c r="BC771" s="325"/>
      <c r="BD771" s="325"/>
      <c r="BE771" s="325"/>
      <c r="BF771" s="325"/>
      <c r="BG771" s="325"/>
    </row>
    <row r="772" spans="1:59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Z772" s="325"/>
      <c r="BA772" s="325"/>
      <c r="BB772" s="325"/>
      <c r="BC772" s="325"/>
      <c r="BD772" s="325"/>
      <c r="BE772" s="325"/>
      <c r="BF772" s="325"/>
      <c r="BG772" s="325"/>
    </row>
    <row r="773" spans="1:59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Z773" s="325"/>
      <c r="BA773" s="325"/>
      <c r="BB773" s="325"/>
      <c r="BC773" s="325"/>
      <c r="BD773" s="325"/>
      <c r="BE773" s="325"/>
      <c r="BF773" s="325"/>
      <c r="BG773" s="325"/>
    </row>
    <row r="774" spans="1:59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Z774" s="325"/>
      <c r="BA774" s="325"/>
      <c r="BB774" s="325"/>
      <c r="BC774" s="325"/>
      <c r="BD774" s="325"/>
      <c r="BE774" s="325"/>
      <c r="BF774" s="325"/>
      <c r="BG774" s="325"/>
    </row>
    <row r="775" spans="1:59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Z775" s="325"/>
      <c r="BA775" s="325"/>
      <c r="BB775" s="325"/>
      <c r="BC775" s="325"/>
      <c r="BD775" s="325"/>
      <c r="BE775" s="325"/>
      <c r="BF775" s="325"/>
      <c r="BG775" s="325"/>
    </row>
    <row r="776" spans="1:59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Z776" s="325"/>
      <c r="BA776" s="325"/>
      <c r="BB776" s="325"/>
      <c r="BC776" s="325"/>
      <c r="BD776" s="325"/>
      <c r="BE776" s="325"/>
      <c r="BF776" s="325"/>
      <c r="BG776" s="325"/>
    </row>
    <row r="777" spans="1:59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Z777" s="325"/>
      <c r="BA777" s="325"/>
      <c r="BB777" s="325"/>
      <c r="BC777" s="325"/>
      <c r="BD777" s="325"/>
      <c r="BE777" s="325"/>
      <c r="BF777" s="325"/>
      <c r="BG777" s="325"/>
    </row>
    <row r="778" spans="1:59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Z778" s="325"/>
      <c r="BA778" s="325"/>
      <c r="BB778" s="325"/>
      <c r="BC778" s="325"/>
      <c r="BD778" s="325"/>
      <c r="BE778" s="325"/>
      <c r="BF778" s="325"/>
      <c r="BG778" s="325"/>
    </row>
    <row r="779" spans="1:59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Z779" s="325"/>
      <c r="BA779" s="325"/>
      <c r="BB779" s="325"/>
      <c r="BC779" s="325"/>
      <c r="BD779" s="325"/>
      <c r="BE779" s="325"/>
      <c r="BF779" s="325"/>
      <c r="BG779" s="325"/>
    </row>
    <row r="780" spans="1:59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Z780" s="325"/>
      <c r="BA780" s="325"/>
      <c r="BB780" s="325"/>
      <c r="BC780" s="325"/>
      <c r="BD780" s="325"/>
      <c r="BE780" s="325"/>
      <c r="BF780" s="325"/>
      <c r="BG780" s="325"/>
    </row>
    <row r="781" spans="1:59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Z781" s="325"/>
      <c r="BA781" s="325"/>
      <c r="BB781" s="325"/>
      <c r="BC781" s="325"/>
      <c r="BD781" s="325"/>
      <c r="BE781" s="325"/>
      <c r="BF781" s="325"/>
      <c r="BG781" s="325"/>
    </row>
    <row r="782" spans="1:59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Z782" s="325"/>
      <c r="BA782" s="325"/>
      <c r="BB782" s="325"/>
      <c r="BC782" s="325"/>
      <c r="BD782" s="325"/>
      <c r="BE782" s="325"/>
      <c r="BF782" s="325"/>
      <c r="BG782" s="325"/>
    </row>
    <row r="783" spans="1:59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Z783" s="325"/>
      <c r="BA783" s="325"/>
      <c r="BB783" s="325"/>
      <c r="BC783" s="325"/>
      <c r="BD783" s="325"/>
      <c r="BE783" s="325"/>
      <c r="BF783" s="325"/>
      <c r="BG783" s="325"/>
    </row>
    <row r="784" spans="1:59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Z784" s="325"/>
      <c r="BA784" s="325"/>
      <c r="BB784" s="325"/>
      <c r="BC784" s="325"/>
      <c r="BD784" s="325"/>
      <c r="BE784" s="325"/>
      <c r="BF784" s="325"/>
      <c r="BG784" s="325"/>
    </row>
    <row r="785" spans="1:59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Z785" s="325"/>
      <c r="BA785" s="325"/>
      <c r="BB785" s="325"/>
      <c r="BC785" s="325"/>
      <c r="BD785" s="325"/>
      <c r="BE785" s="325"/>
      <c r="BF785" s="325"/>
      <c r="BG785" s="325"/>
    </row>
    <row r="786" spans="1:59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Z786" s="325"/>
      <c r="BA786" s="325"/>
      <c r="BB786" s="325"/>
      <c r="BC786" s="325"/>
      <c r="BD786" s="325"/>
      <c r="BE786" s="325"/>
      <c r="BF786" s="325"/>
      <c r="BG786" s="325"/>
    </row>
    <row r="787" spans="1:59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Z787" s="325"/>
      <c r="BA787" s="325"/>
      <c r="BB787" s="325"/>
      <c r="BC787" s="325"/>
      <c r="BD787" s="325"/>
      <c r="BE787" s="325"/>
      <c r="BF787" s="325"/>
      <c r="BG787" s="325"/>
    </row>
    <row r="788" spans="1:59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Z788" s="325"/>
      <c r="BA788" s="325"/>
      <c r="BB788" s="325"/>
      <c r="BC788" s="325"/>
      <c r="BD788" s="325"/>
      <c r="BE788" s="325"/>
      <c r="BF788" s="325"/>
      <c r="BG788" s="325"/>
    </row>
    <row r="789" spans="1:59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Z789" s="325"/>
      <c r="BA789" s="325"/>
      <c r="BB789" s="325"/>
      <c r="BC789" s="325"/>
      <c r="BD789" s="325"/>
      <c r="BE789" s="325"/>
      <c r="BF789" s="325"/>
      <c r="BG789" s="325"/>
    </row>
    <row r="790" spans="1:59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Z790" s="325"/>
      <c r="BA790" s="325"/>
      <c r="BB790" s="325"/>
      <c r="BC790" s="325"/>
      <c r="BD790" s="325"/>
      <c r="BE790" s="325"/>
      <c r="BF790" s="325"/>
      <c r="BG790" s="325"/>
    </row>
    <row r="791" spans="1:59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Z791" s="325"/>
      <c r="BA791" s="325"/>
      <c r="BB791" s="325"/>
      <c r="BC791" s="325"/>
      <c r="BD791" s="325"/>
      <c r="BE791" s="325"/>
      <c r="BF791" s="325"/>
      <c r="BG791" s="325"/>
    </row>
    <row r="792" spans="1:59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Z792" s="325"/>
      <c r="BA792" s="325"/>
      <c r="BB792" s="325"/>
      <c r="BC792" s="325"/>
      <c r="BD792" s="325"/>
      <c r="BE792" s="325"/>
      <c r="BF792" s="325"/>
      <c r="BG792" s="325"/>
    </row>
    <row r="793" spans="1:59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Z793" s="325"/>
      <c r="BA793" s="325"/>
      <c r="BB793" s="325"/>
      <c r="BC793" s="325"/>
      <c r="BD793" s="325"/>
      <c r="BE793" s="325"/>
      <c r="BF793" s="325"/>
      <c r="BG793" s="325"/>
    </row>
    <row r="794" spans="1:59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Z794" s="325"/>
      <c r="BA794" s="325"/>
      <c r="BB794" s="325"/>
      <c r="BC794" s="325"/>
      <c r="BD794" s="325"/>
      <c r="BE794" s="325"/>
      <c r="BF794" s="325"/>
      <c r="BG794" s="325"/>
    </row>
    <row r="795" spans="1:59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Z795" s="325"/>
      <c r="BA795" s="325"/>
      <c r="BB795" s="325"/>
      <c r="BC795" s="325"/>
      <c r="BD795" s="325"/>
      <c r="BE795" s="325"/>
      <c r="BF795" s="325"/>
      <c r="BG795" s="325"/>
    </row>
    <row r="796" spans="1:59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Z796" s="325"/>
      <c r="BA796" s="325"/>
      <c r="BB796" s="325"/>
      <c r="BC796" s="325"/>
      <c r="BD796" s="325"/>
      <c r="BE796" s="325"/>
      <c r="BF796" s="325"/>
      <c r="BG796" s="325"/>
    </row>
    <row r="797" spans="1:59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Z797" s="325"/>
      <c r="BA797" s="325"/>
      <c r="BB797" s="325"/>
      <c r="BC797" s="325"/>
      <c r="BD797" s="325"/>
      <c r="BE797" s="325"/>
      <c r="BF797" s="325"/>
      <c r="BG797" s="325"/>
    </row>
    <row r="798" spans="1:59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Z798" s="325"/>
      <c r="BA798" s="325"/>
      <c r="BB798" s="325"/>
      <c r="BC798" s="325"/>
      <c r="BD798" s="325"/>
      <c r="BE798" s="325"/>
      <c r="BF798" s="325"/>
      <c r="BG798" s="325"/>
    </row>
    <row r="799" spans="1:59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Z799" s="325"/>
      <c r="BA799" s="325"/>
      <c r="BB799" s="325"/>
      <c r="BC799" s="325"/>
      <c r="BD799" s="325"/>
      <c r="BE799" s="325"/>
      <c r="BF799" s="325"/>
      <c r="BG799" s="325"/>
    </row>
    <row r="800" spans="1:59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Z800" s="325"/>
      <c r="BA800" s="325"/>
      <c r="BB800" s="325"/>
      <c r="BC800" s="325"/>
      <c r="BD800" s="325"/>
      <c r="BE800" s="325"/>
      <c r="BF800" s="325"/>
      <c r="BG800" s="325"/>
    </row>
    <row r="801" spans="1:59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Z801" s="325"/>
      <c r="BA801" s="325"/>
      <c r="BB801" s="325"/>
      <c r="BC801" s="325"/>
      <c r="BD801" s="325"/>
      <c r="BE801" s="325"/>
      <c r="BF801" s="325"/>
      <c r="BG801" s="325"/>
    </row>
    <row r="802" spans="1:59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Z802" s="325"/>
      <c r="BA802" s="325"/>
      <c r="BB802" s="325"/>
      <c r="BC802" s="325"/>
      <c r="BD802" s="325"/>
      <c r="BE802" s="325"/>
      <c r="BF802" s="325"/>
      <c r="BG802" s="325"/>
    </row>
    <row r="803" spans="1:59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Z803" s="325"/>
      <c r="BA803" s="325"/>
      <c r="BB803" s="325"/>
      <c r="BC803" s="325"/>
      <c r="BD803" s="325"/>
      <c r="BE803" s="325"/>
      <c r="BF803" s="325"/>
      <c r="BG803" s="325"/>
    </row>
    <row r="804" spans="1:59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Z804" s="325"/>
      <c r="BA804" s="325"/>
      <c r="BB804" s="325"/>
      <c r="BC804" s="325"/>
      <c r="BD804" s="325"/>
      <c r="BE804" s="325"/>
      <c r="BF804" s="325"/>
      <c r="BG804" s="325"/>
    </row>
    <row r="805" spans="1:59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Z805" s="325"/>
      <c r="BA805" s="325"/>
      <c r="BB805" s="325"/>
      <c r="BC805" s="325"/>
      <c r="BD805" s="325"/>
      <c r="BE805" s="325"/>
      <c r="BF805" s="325"/>
      <c r="BG805" s="325"/>
    </row>
    <row r="806" spans="1:59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Z806" s="325"/>
      <c r="BA806" s="325"/>
      <c r="BB806" s="325"/>
      <c r="BC806" s="325"/>
      <c r="BD806" s="325"/>
      <c r="BE806" s="325"/>
      <c r="BF806" s="325"/>
      <c r="BG806" s="325"/>
    </row>
    <row r="807" spans="1:59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Z807" s="325"/>
      <c r="BA807" s="325"/>
      <c r="BB807" s="325"/>
      <c r="BC807" s="325"/>
      <c r="BD807" s="325"/>
      <c r="BE807" s="325"/>
      <c r="BF807" s="325"/>
      <c r="BG807" s="325"/>
    </row>
    <row r="808" spans="1:59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Z808" s="325"/>
      <c r="BA808" s="325"/>
      <c r="BB808" s="325"/>
      <c r="BC808" s="325"/>
      <c r="BD808" s="325"/>
      <c r="BE808" s="325"/>
      <c r="BF808" s="325"/>
      <c r="BG808" s="325"/>
    </row>
    <row r="809" spans="1:59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Z809" s="325"/>
      <c r="BA809" s="325"/>
      <c r="BB809" s="325"/>
      <c r="BC809" s="325"/>
      <c r="BD809" s="325"/>
      <c r="BE809" s="325"/>
      <c r="BF809" s="325"/>
      <c r="BG809" s="325"/>
    </row>
    <row r="810" spans="1:59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Z810" s="325"/>
      <c r="BA810" s="325"/>
      <c r="BB810" s="325"/>
      <c r="BC810" s="325"/>
      <c r="BD810" s="325"/>
      <c r="BE810" s="325"/>
      <c r="BF810" s="325"/>
      <c r="BG810" s="325"/>
    </row>
    <row r="811" spans="1:59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Z811" s="325"/>
      <c r="BA811" s="325"/>
      <c r="BB811" s="325"/>
      <c r="BC811" s="325"/>
      <c r="BD811" s="325"/>
      <c r="BE811" s="325"/>
      <c r="BF811" s="325"/>
      <c r="BG811" s="325"/>
    </row>
    <row r="812" spans="1:59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Z812" s="325"/>
      <c r="BA812" s="325"/>
      <c r="BB812" s="325"/>
      <c r="BC812" s="325"/>
      <c r="BD812" s="325"/>
      <c r="BE812" s="325"/>
      <c r="BF812" s="325"/>
      <c r="BG812" s="325"/>
    </row>
    <row r="813" spans="1:59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Z813" s="325"/>
      <c r="BA813" s="325"/>
      <c r="BB813" s="325"/>
      <c r="BC813" s="325"/>
      <c r="BD813" s="325"/>
      <c r="BE813" s="325"/>
      <c r="BF813" s="325"/>
      <c r="BG813" s="325"/>
    </row>
    <row r="814" spans="1:59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Z814" s="325"/>
      <c r="BA814" s="325"/>
      <c r="BB814" s="325"/>
      <c r="BC814" s="325"/>
      <c r="BD814" s="325"/>
      <c r="BE814" s="325"/>
      <c r="BF814" s="325"/>
      <c r="BG814" s="325"/>
    </row>
    <row r="815" spans="1:59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Z815" s="325"/>
      <c r="BA815" s="325"/>
      <c r="BB815" s="325"/>
      <c r="BC815" s="325"/>
      <c r="BD815" s="325"/>
      <c r="BE815" s="325"/>
      <c r="BF815" s="325"/>
      <c r="BG815" s="325"/>
    </row>
    <row r="816" spans="1:59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Z816" s="325"/>
      <c r="BA816" s="325"/>
      <c r="BB816" s="325"/>
      <c r="BC816" s="325"/>
      <c r="BD816" s="325"/>
      <c r="BE816" s="325"/>
      <c r="BF816" s="325"/>
      <c r="BG816" s="325"/>
    </row>
    <row r="817" spans="1:59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Z817" s="325"/>
      <c r="BA817" s="325"/>
      <c r="BB817" s="325"/>
      <c r="BC817" s="325"/>
      <c r="BD817" s="325"/>
      <c r="BE817" s="325"/>
      <c r="BF817" s="325"/>
      <c r="BG817" s="325"/>
    </row>
    <row r="818" spans="1:59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Z818" s="325"/>
      <c r="BA818" s="325"/>
      <c r="BB818" s="325"/>
      <c r="BC818" s="325"/>
      <c r="BD818" s="325"/>
      <c r="BE818" s="325"/>
      <c r="BF818" s="325"/>
      <c r="BG818" s="325"/>
    </row>
    <row r="819" spans="1:59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8"/>
      <c r="AB819" s="28"/>
      <c r="AZ819" s="325"/>
      <c r="BA819" s="325"/>
      <c r="BB819" s="325"/>
      <c r="BC819" s="325"/>
      <c r="BD819" s="325"/>
      <c r="BE819" s="325"/>
      <c r="BF819" s="325"/>
      <c r="BG819" s="325"/>
    </row>
    <row r="820" spans="1:59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8"/>
      <c r="AB820" s="28"/>
      <c r="AZ820" s="325"/>
      <c r="BA820" s="325"/>
      <c r="BB820" s="325"/>
      <c r="BC820" s="325"/>
      <c r="BD820" s="325"/>
      <c r="BE820" s="325"/>
      <c r="BF820" s="325"/>
      <c r="BG820" s="325"/>
    </row>
    <row r="821" spans="1:59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8"/>
      <c r="AB821" s="28"/>
      <c r="AZ821" s="325"/>
      <c r="BA821" s="325"/>
      <c r="BB821" s="325"/>
      <c r="BC821" s="325"/>
      <c r="BD821" s="325"/>
      <c r="BE821" s="325"/>
      <c r="BF821" s="325"/>
      <c r="BG821" s="325"/>
    </row>
    <row r="822" spans="1:59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8"/>
      <c r="AB822" s="28"/>
      <c r="AZ822" s="325"/>
      <c r="BA822" s="325"/>
      <c r="BB822" s="325"/>
      <c r="BC822" s="325"/>
      <c r="BD822" s="325"/>
      <c r="BE822" s="325"/>
      <c r="BF822" s="325"/>
      <c r="BG822" s="325"/>
    </row>
    <row r="823" spans="1:59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8"/>
      <c r="AB823" s="28"/>
      <c r="AZ823" s="325"/>
      <c r="BA823" s="325"/>
      <c r="BB823" s="325"/>
      <c r="BC823" s="325"/>
      <c r="BD823" s="325"/>
      <c r="BE823" s="325"/>
      <c r="BF823" s="325"/>
      <c r="BG823" s="325"/>
    </row>
    <row r="824" spans="1:59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8"/>
      <c r="AB824" s="28"/>
      <c r="AZ824" s="325"/>
      <c r="BA824" s="325"/>
      <c r="BB824" s="325"/>
      <c r="BC824" s="325"/>
      <c r="BD824" s="325"/>
      <c r="BE824" s="325"/>
      <c r="BF824" s="325"/>
      <c r="BG824" s="325"/>
    </row>
    <row r="825" spans="1:59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8"/>
      <c r="AB825" s="28"/>
      <c r="AZ825" s="325"/>
      <c r="BA825" s="325"/>
      <c r="BB825" s="325"/>
      <c r="BC825" s="325"/>
      <c r="BD825" s="325"/>
      <c r="BE825" s="325"/>
      <c r="BF825" s="325"/>
      <c r="BG825" s="325"/>
    </row>
    <row r="826" spans="1:59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8"/>
      <c r="AB826" s="28"/>
      <c r="AZ826" s="325"/>
      <c r="BA826" s="325"/>
      <c r="BB826" s="325"/>
      <c r="BC826" s="325"/>
      <c r="BD826" s="325"/>
      <c r="BE826" s="325"/>
      <c r="BF826" s="325"/>
      <c r="BG826" s="325"/>
    </row>
    <row r="827" spans="1:59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8"/>
      <c r="AB827" s="28"/>
      <c r="AZ827" s="325"/>
      <c r="BA827" s="325"/>
      <c r="BB827" s="325"/>
      <c r="BC827" s="325"/>
      <c r="BD827" s="325"/>
      <c r="BE827" s="325"/>
      <c r="BF827" s="325"/>
      <c r="BG827" s="325"/>
    </row>
    <row r="828" spans="1:59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8"/>
      <c r="AB828" s="28"/>
      <c r="AZ828" s="325"/>
      <c r="BA828" s="325"/>
      <c r="BB828" s="325"/>
      <c r="BC828" s="325"/>
      <c r="BD828" s="325"/>
      <c r="BE828" s="325"/>
      <c r="BF828" s="325"/>
      <c r="BG828" s="325"/>
    </row>
    <row r="829" spans="1:59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8"/>
      <c r="AB829" s="28"/>
      <c r="AZ829" s="325"/>
      <c r="BA829" s="325"/>
      <c r="BB829" s="325"/>
      <c r="BC829" s="325"/>
      <c r="BD829" s="325"/>
      <c r="BE829" s="325"/>
      <c r="BF829" s="325"/>
      <c r="BG829" s="325"/>
    </row>
    <row r="830" spans="1:59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8"/>
      <c r="AB830" s="28"/>
      <c r="AZ830" s="325"/>
      <c r="BA830" s="325"/>
      <c r="BB830" s="325"/>
      <c r="BC830" s="325"/>
      <c r="BD830" s="325"/>
      <c r="BE830" s="325"/>
      <c r="BF830" s="325"/>
      <c r="BG830" s="325"/>
    </row>
    <row r="831" spans="1:59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8"/>
      <c r="AB831" s="28"/>
      <c r="AZ831" s="325"/>
      <c r="BA831" s="325"/>
      <c r="BB831" s="325"/>
      <c r="BC831" s="325"/>
      <c r="BD831" s="325"/>
      <c r="BE831" s="325"/>
      <c r="BF831" s="325"/>
      <c r="BG831" s="325"/>
    </row>
    <row r="832" spans="1:59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8"/>
      <c r="AB832" s="28"/>
      <c r="AZ832" s="325"/>
      <c r="BA832" s="325"/>
      <c r="BB832" s="325"/>
      <c r="BC832" s="325"/>
      <c r="BD832" s="325"/>
      <c r="BE832" s="325"/>
      <c r="BF832" s="325"/>
      <c r="BG832" s="325"/>
    </row>
    <row r="833" spans="1:59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8"/>
      <c r="AB833" s="28"/>
      <c r="AZ833" s="325"/>
      <c r="BA833" s="325"/>
      <c r="BB833" s="325"/>
      <c r="BC833" s="325"/>
      <c r="BD833" s="325"/>
      <c r="BE833" s="325"/>
      <c r="BF833" s="325"/>
      <c r="BG833" s="325"/>
    </row>
    <row r="834" spans="1:59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8"/>
      <c r="AB834" s="28"/>
      <c r="AZ834" s="325"/>
      <c r="BA834" s="325"/>
      <c r="BB834" s="325"/>
      <c r="BC834" s="325"/>
      <c r="BD834" s="325"/>
      <c r="BE834" s="325"/>
      <c r="BF834" s="325"/>
      <c r="BG834" s="325"/>
    </row>
    <row r="835" spans="1:59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8"/>
      <c r="AB835" s="28"/>
      <c r="AZ835" s="325"/>
      <c r="BA835" s="325"/>
      <c r="BB835" s="325"/>
      <c r="BC835" s="325"/>
      <c r="BD835" s="325"/>
      <c r="BE835" s="325"/>
      <c r="BF835" s="325"/>
      <c r="BG835" s="325"/>
    </row>
    <row r="836" spans="1:59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8"/>
      <c r="AB836" s="28"/>
      <c r="AZ836" s="325"/>
      <c r="BA836" s="325"/>
      <c r="BB836" s="325"/>
      <c r="BC836" s="325"/>
      <c r="BD836" s="325"/>
      <c r="BE836" s="325"/>
      <c r="BF836" s="325"/>
      <c r="BG836" s="325"/>
    </row>
    <row r="837" spans="1:59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8"/>
      <c r="AB837" s="28"/>
      <c r="AZ837" s="325"/>
      <c r="BA837" s="325"/>
      <c r="BB837" s="325"/>
      <c r="BC837" s="325"/>
      <c r="BD837" s="325"/>
      <c r="BE837" s="325"/>
      <c r="BF837" s="325"/>
      <c r="BG837" s="325"/>
    </row>
    <row r="838" spans="1:59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8"/>
      <c r="AB838" s="28"/>
      <c r="AZ838" s="325"/>
      <c r="BA838" s="325"/>
      <c r="BB838" s="325"/>
      <c r="BC838" s="325"/>
      <c r="BD838" s="325"/>
      <c r="BE838" s="325"/>
      <c r="BF838" s="325"/>
      <c r="BG838" s="325"/>
    </row>
    <row r="839" spans="1:59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8"/>
      <c r="AB839" s="28"/>
      <c r="AZ839" s="325"/>
      <c r="BA839" s="325"/>
      <c r="BB839" s="325"/>
      <c r="BC839" s="325"/>
      <c r="BD839" s="325"/>
      <c r="BE839" s="325"/>
      <c r="BF839" s="325"/>
      <c r="BG839" s="325"/>
    </row>
    <row r="840" spans="1:59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8"/>
      <c r="AB840" s="28"/>
      <c r="AZ840" s="325"/>
      <c r="BA840" s="325"/>
      <c r="BB840" s="325"/>
      <c r="BC840" s="325"/>
      <c r="BD840" s="325"/>
      <c r="BE840" s="325"/>
      <c r="BF840" s="325"/>
      <c r="BG840" s="325"/>
    </row>
    <row r="841" spans="1:59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8"/>
      <c r="AB841" s="28"/>
      <c r="AZ841" s="325"/>
      <c r="BA841" s="325"/>
      <c r="BB841" s="325"/>
      <c r="BC841" s="325"/>
      <c r="BD841" s="325"/>
      <c r="BE841" s="325"/>
      <c r="BF841" s="325"/>
      <c r="BG841" s="325"/>
    </row>
    <row r="842" spans="1:59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8"/>
      <c r="AB842" s="28"/>
      <c r="AZ842" s="325"/>
      <c r="BA842" s="325"/>
      <c r="BB842" s="325"/>
      <c r="BC842" s="325"/>
      <c r="BD842" s="325"/>
      <c r="BE842" s="325"/>
      <c r="BF842" s="325"/>
      <c r="BG842" s="325"/>
    </row>
    <row r="843" spans="1:59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8"/>
      <c r="AB843" s="28"/>
      <c r="AZ843" s="325"/>
      <c r="BA843" s="325"/>
      <c r="BB843" s="325"/>
      <c r="BC843" s="325"/>
      <c r="BD843" s="325"/>
      <c r="BE843" s="325"/>
      <c r="BF843" s="325"/>
      <c r="BG843" s="325"/>
    </row>
    <row r="844" spans="1:59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8"/>
      <c r="AB844" s="28"/>
      <c r="AZ844" s="325"/>
      <c r="BA844" s="325"/>
      <c r="BB844" s="325"/>
      <c r="BC844" s="325"/>
      <c r="BD844" s="325"/>
      <c r="BE844" s="325"/>
      <c r="BF844" s="325"/>
      <c r="BG844" s="325"/>
    </row>
    <row r="845" spans="1:59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8"/>
      <c r="AB845" s="28"/>
      <c r="AZ845" s="325"/>
      <c r="BA845" s="325"/>
      <c r="BB845" s="325"/>
      <c r="BC845" s="325"/>
      <c r="BD845" s="325"/>
      <c r="BE845" s="325"/>
      <c r="BF845" s="325"/>
      <c r="BG845" s="325"/>
    </row>
    <row r="846" spans="1:59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8"/>
      <c r="AB846" s="28"/>
      <c r="AZ846" s="325"/>
      <c r="BA846" s="325"/>
      <c r="BB846" s="325"/>
      <c r="BC846" s="325"/>
      <c r="BD846" s="325"/>
      <c r="BE846" s="325"/>
      <c r="BF846" s="325"/>
      <c r="BG846" s="325"/>
    </row>
    <row r="847" spans="1:59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8"/>
      <c r="AB847" s="28"/>
      <c r="AZ847" s="325"/>
      <c r="BA847" s="325"/>
      <c r="BB847" s="325"/>
      <c r="BC847" s="325"/>
      <c r="BD847" s="325"/>
      <c r="BE847" s="325"/>
      <c r="BF847" s="325"/>
      <c r="BG847" s="325"/>
    </row>
    <row r="848" spans="1:59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8"/>
      <c r="AB848" s="28"/>
      <c r="AZ848" s="325"/>
      <c r="BA848" s="325"/>
      <c r="BB848" s="325"/>
      <c r="BC848" s="325"/>
      <c r="BD848" s="325"/>
      <c r="BE848" s="325"/>
      <c r="BF848" s="325"/>
      <c r="BG848" s="325"/>
    </row>
    <row r="849" spans="1:59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8"/>
      <c r="AB849" s="28"/>
      <c r="AZ849" s="325"/>
      <c r="BA849" s="325"/>
      <c r="BB849" s="325"/>
      <c r="BC849" s="325"/>
      <c r="BD849" s="325"/>
      <c r="BE849" s="325"/>
      <c r="BF849" s="325"/>
      <c r="BG849" s="325"/>
    </row>
    <row r="850" spans="1:59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8"/>
      <c r="AB850" s="28"/>
      <c r="AZ850" s="325"/>
      <c r="BA850" s="325"/>
      <c r="BB850" s="325"/>
      <c r="BC850" s="325"/>
      <c r="BD850" s="325"/>
      <c r="BE850" s="325"/>
      <c r="BF850" s="325"/>
      <c r="BG850" s="325"/>
    </row>
    <row r="851" spans="1:59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8"/>
      <c r="AB851" s="28"/>
      <c r="AZ851" s="325"/>
      <c r="BA851" s="325"/>
      <c r="BB851" s="325"/>
      <c r="BC851" s="325"/>
      <c r="BD851" s="325"/>
      <c r="BE851" s="325"/>
      <c r="BF851" s="325"/>
      <c r="BG851" s="325"/>
    </row>
    <row r="852" spans="1:59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8"/>
      <c r="AB852" s="28"/>
      <c r="AZ852" s="325"/>
      <c r="BA852" s="325"/>
      <c r="BB852" s="325"/>
      <c r="BC852" s="325"/>
      <c r="BD852" s="325"/>
      <c r="BE852" s="325"/>
      <c r="BF852" s="325"/>
      <c r="BG852" s="325"/>
    </row>
    <row r="853" spans="1:59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8"/>
      <c r="AB853" s="28"/>
      <c r="AZ853" s="325"/>
      <c r="BA853" s="325"/>
      <c r="BB853" s="325"/>
      <c r="BC853" s="325"/>
      <c r="BD853" s="325"/>
      <c r="BE853" s="325"/>
      <c r="BF853" s="325"/>
      <c r="BG853" s="325"/>
    </row>
    <row r="854" spans="1:59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8"/>
      <c r="AB854" s="28"/>
      <c r="AZ854" s="325"/>
      <c r="BA854" s="325"/>
      <c r="BB854" s="325"/>
      <c r="BC854" s="325"/>
      <c r="BD854" s="325"/>
      <c r="BE854" s="325"/>
      <c r="BF854" s="325"/>
      <c r="BG854" s="325"/>
    </row>
    <row r="855" spans="1:59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8"/>
      <c r="AB855" s="28"/>
      <c r="AZ855" s="325"/>
      <c r="BA855" s="325"/>
      <c r="BB855" s="325"/>
      <c r="BC855" s="325"/>
      <c r="BD855" s="325"/>
      <c r="BE855" s="325"/>
      <c r="BF855" s="325"/>
      <c r="BG855" s="325"/>
    </row>
    <row r="856" spans="1:59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8"/>
      <c r="AB856" s="28"/>
      <c r="AZ856" s="325"/>
      <c r="BA856" s="325"/>
      <c r="BB856" s="325"/>
      <c r="BC856" s="325"/>
      <c r="BD856" s="325"/>
      <c r="BE856" s="325"/>
      <c r="BF856" s="325"/>
      <c r="BG856" s="325"/>
    </row>
    <row r="857" spans="1:59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8"/>
      <c r="AB857" s="28"/>
      <c r="AZ857" s="325"/>
      <c r="BA857" s="325"/>
      <c r="BB857" s="325"/>
      <c r="BC857" s="325"/>
      <c r="BD857" s="325"/>
      <c r="BE857" s="325"/>
      <c r="BF857" s="325"/>
      <c r="BG857" s="325"/>
    </row>
    <row r="858" spans="1:59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8"/>
      <c r="AB858" s="28"/>
      <c r="AZ858" s="325"/>
      <c r="BA858" s="325"/>
      <c r="BB858" s="325"/>
      <c r="BC858" s="325"/>
      <c r="BD858" s="325"/>
      <c r="BE858" s="325"/>
      <c r="BF858" s="325"/>
      <c r="BG858" s="325"/>
    </row>
    <row r="859" spans="1:59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8"/>
      <c r="AB859" s="28"/>
      <c r="AZ859" s="325"/>
      <c r="BA859" s="325"/>
      <c r="BB859" s="325"/>
      <c r="BC859" s="325"/>
      <c r="BD859" s="325"/>
      <c r="BE859" s="325"/>
      <c r="BF859" s="325"/>
      <c r="BG859" s="325"/>
    </row>
    <row r="860" spans="1:59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8"/>
      <c r="AB860" s="28"/>
      <c r="AZ860" s="325"/>
      <c r="BA860" s="325"/>
      <c r="BB860" s="325"/>
      <c r="BC860" s="325"/>
      <c r="BD860" s="325"/>
      <c r="BE860" s="325"/>
      <c r="BF860" s="325"/>
      <c r="BG860" s="325"/>
    </row>
    <row r="861" spans="1:59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8"/>
      <c r="AB861" s="28"/>
      <c r="AZ861" s="325"/>
      <c r="BA861" s="325"/>
      <c r="BB861" s="325"/>
      <c r="BC861" s="325"/>
      <c r="BD861" s="325"/>
      <c r="BE861" s="325"/>
      <c r="BF861" s="325"/>
      <c r="BG861" s="325"/>
    </row>
    <row r="862" spans="1:59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8"/>
      <c r="AB862" s="28"/>
      <c r="AZ862" s="325"/>
      <c r="BA862" s="325"/>
      <c r="BB862" s="325"/>
      <c r="BC862" s="325"/>
      <c r="BD862" s="325"/>
      <c r="BE862" s="325"/>
      <c r="BF862" s="325"/>
      <c r="BG862" s="325"/>
    </row>
    <row r="863" spans="1:59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8"/>
      <c r="AB863" s="28"/>
      <c r="AZ863" s="325"/>
      <c r="BA863" s="325"/>
      <c r="BB863" s="325"/>
      <c r="BC863" s="325"/>
      <c r="BD863" s="325"/>
      <c r="BE863" s="325"/>
      <c r="BF863" s="325"/>
      <c r="BG863" s="325"/>
    </row>
    <row r="864" spans="1:59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8"/>
      <c r="AB864" s="28"/>
      <c r="AZ864" s="325"/>
      <c r="BA864" s="325"/>
      <c r="BB864" s="325"/>
      <c r="BC864" s="325"/>
      <c r="BD864" s="325"/>
      <c r="BE864" s="325"/>
      <c r="BF864" s="325"/>
      <c r="BG864" s="325"/>
    </row>
    <row r="865" spans="1:59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8"/>
      <c r="AB865" s="28"/>
      <c r="AZ865" s="325"/>
      <c r="BA865" s="325"/>
      <c r="BB865" s="325"/>
      <c r="BC865" s="325"/>
      <c r="BD865" s="325"/>
      <c r="BE865" s="325"/>
      <c r="BF865" s="325"/>
      <c r="BG865" s="325"/>
    </row>
    <row r="866" spans="1:59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8"/>
      <c r="AB866" s="28"/>
      <c r="AZ866" s="325"/>
      <c r="BA866" s="325"/>
      <c r="BB866" s="325"/>
      <c r="BC866" s="325"/>
      <c r="BD866" s="325"/>
      <c r="BE866" s="325"/>
      <c r="BF866" s="325"/>
      <c r="BG866" s="325"/>
    </row>
    <row r="867" spans="1:59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8"/>
      <c r="AB867" s="28"/>
      <c r="AZ867" s="325"/>
      <c r="BA867" s="325"/>
      <c r="BB867" s="325"/>
      <c r="BC867" s="325"/>
      <c r="BD867" s="325"/>
      <c r="BE867" s="325"/>
      <c r="BF867" s="325"/>
      <c r="BG867" s="325"/>
    </row>
    <row r="868" spans="1:59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8"/>
      <c r="AB868" s="28"/>
      <c r="AZ868" s="325"/>
      <c r="BA868" s="325"/>
      <c r="BB868" s="325"/>
      <c r="BC868" s="325"/>
      <c r="BD868" s="325"/>
      <c r="BE868" s="325"/>
      <c r="BF868" s="325"/>
      <c r="BG868" s="325"/>
    </row>
    <row r="869" spans="1:59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8"/>
      <c r="AB869" s="28"/>
      <c r="AZ869" s="325"/>
      <c r="BA869" s="325"/>
      <c r="BB869" s="325"/>
      <c r="BC869" s="325"/>
      <c r="BD869" s="325"/>
      <c r="BE869" s="325"/>
      <c r="BF869" s="325"/>
      <c r="BG869" s="325"/>
    </row>
    <row r="870" spans="1:59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8"/>
      <c r="AB870" s="28"/>
      <c r="AZ870" s="325"/>
      <c r="BA870" s="325"/>
      <c r="BB870" s="325"/>
      <c r="BC870" s="325"/>
      <c r="BD870" s="325"/>
      <c r="BE870" s="325"/>
      <c r="BF870" s="325"/>
      <c r="BG870" s="325"/>
    </row>
    <row r="871" spans="1:59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8"/>
      <c r="AB871" s="28"/>
      <c r="AZ871" s="325"/>
      <c r="BA871" s="325"/>
      <c r="BB871" s="325"/>
      <c r="BC871" s="325"/>
      <c r="BD871" s="325"/>
      <c r="BE871" s="325"/>
      <c r="BF871" s="325"/>
      <c r="BG871" s="325"/>
    </row>
    <row r="872" spans="1:59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8"/>
      <c r="AB872" s="28"/>
      <c r="AZ872" s="325"/>
      <c r="BA872" s="325"/>
      <c r="BB872" s="325"/>
      <c r="BC872" s="325"/>
      <c r="BD872" s="325"/>
      <c r="BE872" s="325"/>
      <c r="BF872" s="325"/>
      <c r="BG872" s="325"/>
    </row>
    <row r="873" spans="1:59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8"/>
      <c r="AB873" s="28"/>
      <c r="AZ873" s="325"/>
      <c r="BA873" s="325"/>
      <c r="BB873" s="325"/>
      <c r="BC873" s="325"/>
      <c r="BD873" s="325"/>
      <c r="BE873" s="325"/>
      <c r="BF873" s="325"/>
      <c r="BG873" s="325"/>
    </row>
    <row r="874" spans="1:59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8"/>
      <c r="AB874" s="28"/>
      <c r="AZ874" s="325"/>
      <c r="BA874" s="325"/>
      <c r="BB874" s="325"/>
      <c r="BC874" s="325"/>
      <c r="BD874" s="325"/>
      <c r="BE874" s="325"/>
      <c r="BF874" s="325"/>
      <c r="BG874" s="325"/>
    </row>
    <row r="875" spans="1:59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8"/>
      <c r="AB875" s="28"/>
      <c r="AZ875" s="325"/>
      <c r="BA875" s="325"/>
      <c r="BB875" s="325"/>
      <c r="BC875" s="325"/>
      <c r="BD875" s="325"/>
      <c r="BE875" s="325"/>
      <c r="BF875" s="325"/>
      <c r="BG875" s="325"/>
    </row>
    <row r="876" spans="1:59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8"/>
      <c r="AB876" s="28"/>
      <c r="AZ876" s="325"/>
      <c r="BA876" s="325"/>
      <c r="BB876" s="325"/>
      <c r="BC876" s="325"/>
      <c r="BD876" s="325"/>
      <c r="BE876" s="325"/>
      <c r="BF876" s="325"/>
      <c r="BG876" s="325"/>
    </row>
    <row r="877" spans="1:59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8"/>
      <c r="AB877" s="28"/>
      <c r="AZ877" s="325"/>
      <c r="BA877" s="325"/>
      <c r="BB877" s="325"/>
      <c r="BC877" s="325"/>
      <c r="BD877" s="325"/>
      <c r="BE877" s="325"/>
      <c r="BF877" s="325"/>
      <c r="BG877" s="325"/>
    </row>
    <row r="878" spans="1:59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8"/>
      <c r="AB878" s="28"/>
      <c r="AZ878" s="325"/>
      <c r="BA878" s="325"/>
      <c r="BB878" s="325"/>
      <c r="BC878" s="325"/>
      <c r="BD878" s="325"/>
      <c r="BE878" s="325"/>
      <c r="BF878" s="325"/>
      <c r="BG878" s="325"/>
    </row>
    <row r="879" spans="1:59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8"/>
      <c r="AB879" s="28"/>
      <c r="AZ879" s="325"/>
      <c r="BA879" s="325"/>
      <c r="BB879" s="325"/>
      <c r="BC879" s="325"/>
      <c r="BD879" s="325"/>
      <c r="BE879" s="325"/>
      <c r="BF879" s="325"/>
      <c r="BG879" s="325"/>
    </row>
    <row r="880" spans="1:59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8"/>
      <c r="AB880" s="28"/>
      <c r="AZ880" s="325"/>
      <c r="BA880" s="325"/>
      <c r="BB880" s="325"/>
      <c r="BC880" s="325"/>
      <c r="BD880" s="325"/>
      <c r="BE880" s="325"/>
      <c r="BF880" s="325"/>
      <c r="BG880" s="325"/>
    </row>
    <row r="881" spans="1:59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8"/>
      <c r="AB881" s="28"/>
      <c r="AZ881" s="325"/>
      <c r="BA881" s="325"/>
      <c r="BB881" s="325"/>
      <c r="BC881" s="325"/>
      <c r="BD881" s="325"/>
      <c r="BE881" s="325"/>
      <c r="BF881" s="325"/>
      <c r="BG881" s="325"/>
    </row>
    <row r="882" spans="1:59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8"/>
      <c r="AB882" s="28"/>
      <c r="AZ882" s="325"/>
      <c r="BA882" s="325"/>
      <c r="BB882" s="325"/>
      <c r="BC882" s="325"/>
      <c r="BD882" s="325"/>
      <c r="BE882" s="325"/>
      <c r="BF882" s="325"/>
      <c r="BG882" s="325"/>
    </row>
    <row r="883" spans="1:59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8"/>
      <c r="AB883" s="28"/>
      <c r="AZ883" s="325"/>
      <c r="BA883" s="325"/>
      <c r="BB883" s="325"/>
      <c r="BC883" s="325"/>
      <c r="BD883" s="325"/>
      <c r="BE883" s="325"/>
      <c r="BF883" s="325"/>
      <c r="BG883" s="325"/>
    </row>
    <row r="884" spans="1:59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8"/>
      <c r="AB884" s="28"/>
      <c r="AZ884" s="325"/>
      <c r="BA884" s="325"/>
      <c r="BB884" s="325"/>
      <c r="BC884" s="325"/>
      <c r="BD884" s="325"/>
      <c r="BE884" s="325"/>
      <c r="BF884" s="325"/>
      <c r="BG884" s="325"/>
    </row>
    <row r="885" spans="1:59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8"/>
      <c r="AB885" s="28"/>
      <c r="AZ885" s="325"/>
      <c r="BA885" s="325"/>
      <c r="BB885" s="325"/>
      <c r="BC885" s="325"/>
      <c r="BD885" s="325"/>
      <c r="BE885" s="325"/>
      <c r="BF885" s="325"/>
      <c r="BG885" s="325"/>
    </row>
    <row r="886" spans="1:59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8"/>
      <c r="AB886" s="28"/>
      <c r="AZ886" s="325"/>
      <c r="BA886" s="325"/>
      <c r="BB886" s="325"/>
      <c r="BC886" s="325"/>
      <c r="BD886" s="325"/>
      <c r="BE886" s="325"/>
      <c r="BF886" s="325"/>
      <c r="BG886" s="325"/>
    </row>
    <row r="887" spans="1:59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8"/>
      <c r="AB887" s="28"/>
      <c r="AZ887" s="325"/>
      <c r="BA887" s="325"/>
      <c r="BB887" s="325"/>
      <c r="BC887" s="325"/>
      <c r="BD887" s="325"/>
      <c r="BE887" s="325"/>
      <c r="BF887" s="325"/>
      <c r="BG887" s="325"/>
    </row>
    <row r="888" spans="1:59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8"/>
      <c r="AB888" s="28"/>
      <c r="AZ888" s="325"/>
      <c r="BA888" s="325"/>
      <c r="BB888" s="325"/>
      <c r="BC888" s="325"/>
      <c r="BD888" s="325"/>
      <c r="BE888" s="325"/>
      <c r="BF888" s="325"/>
      <c r="BG888" s="325"/>
    </row>
    <row r="889" spans="1:59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8"/>
      <c r="AB889" s="28"/>
      <c r="AZ889" s="325"/>
      <c r="BA889" s="325"/>
      <c r="BB889" s="325"/>
      <c r="BC889" s="325"/>
      <c r="BD889" s="325"/>
      <c r="BE889" s="325"/>
      <c r="BF889" s="325"/>
      <c r="BG889" s="325"/>
    </row>
    <row r="890" spans="1:59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8"/>
      <c r="AB890" s="28"/>
      <c r="AZ890" s="325"/>
      <c r="BA890" s="325"/>
      <c r="BB890" s="325"/>
      <c r="BC890" s="325"/>
      <c r="BD890" s="325"/>
      <c r="BE890" s="325"/>
      <c r="BF890" s="325"/>
      <c r="BG890" s="325"/>
    </row>
    <row r="891" spans="1:59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8"/>
      <c r="AB891" s="28"/>
      <c r="AZ891" s="325"/>
      <c r="BA891" s="325"/>
      <c r="BB891" s="325"/>
      <c r="BC891" s="325"/>
      <c r="BD891" s="325"/>
      <c r="BE891" s="325"/>
      <c r="BF891" s="325"/>
      <c r="BG891" s="325"/>
    </row>
    <row r="892" spans="1:59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8"/>
      <c r="AB892" s="28"/>
      <c r="AZ892" s="325"/>
      <c r="BA892" s="325"/>
      <c r="BB892" s="325"/>
      <c r="BC892" s="325"/>
      <c r="BD892" s="325"/>
      <c r="BE892" s="325"/>
      <c r="BF892" s="325"/>
      <c r="BG892" s="325"/>
    </row>
    <row r="893" spans="1:59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8"/>
      <c r="AB893" s="28"/>
      <c r="AZ893" s="325"/>
      <c r="BA893" s="325"/>
      <c r="BB893" s="325"/>
      <c r="BC893" s="325"/>
      <c r="BD893" s="325"/>
      <c r="BE893" s="325"/>
      <c r="BF893" s="325"/>
      <c r="BG893" s="325"/>
    </row>
    <row r="894" spans="1:59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8"/>
      <c r="AB894" s="28"/>
      <c r="AZ894" s="325"/>
      <c r="BA894" s="325"/>
      <c r="BB894" s="325"/>
      <c r="BC894" s="325"/>
      <c r="BD894" s="325"/>
      <c r="BE894" s="325"/>
      <c r="BF894" s="325"/>
      <c r="BG894" s="325"/>
    </row>
    <row r="895" spans="1:59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8"/>
      <c r="AB895" s="28"/>
      <c r="AZ895" s="325"/>
      <c r="BA895" s="325"/>
      <c r="BB895" s="325"/>
      <c r="BC895" s="325"/>
      <c r="BD895" s="325"/>
      <c r="BE895" s="325"/>
      <c r="BF895" s="325"/>
      <c r="BG895" s="325"/>
    </row>
    <row r="896" spans="1:59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8"/>
      <c r="AB896" s="28"/>
      <c r="AZ896" s="325"/>
      <c r="BA896" s="325"/>
      <c r="BB896" s="325"/>
      <c r="BC896" s="325"/>
      <c r="BD896" s="325"/>
      <c r="BE896" s="325"/>
      <c r="BF896" s="325"/>
      <c r="BG896" s="325"/>
    </row>
    <row r="897" spans="1:59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8"/>
      <c r="AB897" s="28"/>
      <c r="AZ897" s="325"/>
      <c r="BA897" s="325"/>
      <c r="BB897" s="325"/>
      <c r="BC897" s="325"/>
      <c r="BD897" s="325"/>
      <c r="BE897" s="325"/>
      <c r="BF897" s="325"/>
      <c r="BG897" s="325"/>
    </row>
    <row r="898" spans="1:59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8"/>
      <c r="AB898" s="28"/>
      <c r="AZ898" s="325"/>
      <c r="BA898" s="325"/>
      <c r="BB898" s="325"/>
      <c r="BC898" s="325"/>
      <c r="BD898" s="325"/>
      <c r="BE898" s="325"/>
      <c r="BF898" s="325"/>
      <c r="BG898" s="325"/>
    </row>
    <row r="899" spans="1:59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8"/>
      <c r="AB899" s="28"/>
      <c r="AZ899" s="325"/>
      <c r="BA899" s="325"/>
      <c r="BB899" s="325"/>
      <c r="BC899" s="325"/>
      <c r="BD899" s="325"/>
      <c r="BE899" s="325"/>
      <c r="BF899" s="325"/>
      <c r="BG899" s="325"/>
    </row>
    <row r="900" spans="1:59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8"/>
      <c r="AB900" s="28"/>
      <c r="AZ900" s="325"/>
      <c r="BA900" s="325"/>
      <c r="BB900" s="325"/>
      <c r="BC900" s="325"/>
      <c r="BD900" s="325"/>
      <c r="BE900" s="325"/>
      <c r="BF900" s="325"/>
      <c r="BG900" s="325"/>
    </row>
    <row r="901" spans="1:59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8"/>
      <c r="AB901" s="28"/>
      <c r="AZ901" s="325"/>
      <c r="BA901" s="325"/>
      <c r="BB901" s="325"/>
      <c r="BC901" s="325"/>
      <c r="BD901" s="325"/>
      <c r="BE901" s="325"/>
      <c r="BF901" s="325"/>
      <c r="BG901" s="325"/>
    </row>
    <row r="902" spans="1:59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8"/>
      <c r="AB902" s="28"/>
      <c r="AZ902" s="325"/>
      <c r="BA902" s="325"/>
      <c r="BB902" s="325"/>
      <c r="BC902" s="325"/>
      <c r="BD902" s="325"/>
      <c r="BE902" s="325"/>
      <c r="BF902" s="325"/>
      <c r="BG902" s="325"/>
    </row>
    <row r="903" spans="1:59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8"/>
      <c r="AB903" s="28"/>
      <c r="AZ903" s="325"/>
      <c r="BA903" s="325"/>
      <c r="BB903" s="325"/>
      <c r="BC903" s="325"/>
      <c r="BD903" s="325"/>
      <c r="BE903" s="325"/>
      <c r="BF903" s="325"/>
      <c r="BG903" s="325"/>
    </row>
    <row r="904" spans="1:59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8"/>
      <c r="AB904" s="28"/>
      <c r="AZ904" s="325"/>
      <c r="BA904" s="325"/>
      <c r="BB904" s="325"/>
      <c r="BC904" s="325"/>
      <c r="BD904" s="325"/>
      <c r="BE904" s="325"/>
      <c r="BF904" s="325"/>
      <c r="BG904" s="325"/>
    </row>
    <row r="905" spans="1:59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8"/>
      <c r="AB905" s="28"/>
      <c r="AZ905" s="325"/>
      <c r="BA905" s="325"/>
      <c r="BB905" s="325"/>
      <c r="BC905" s="325"/>
      <c r="BD905" s="325"/>
      <c r="BE905" s="325"/>
      <c r="BF905" s="325"/>
      <c r="BG905" s="325"/>
    </row>
    <row r="906" spans="1:59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8"/>
      <c r="AB906" s="28"/>
      <c r="AZ906" s="325"/>
      <c r="BA906" s="325"/>
      <c r="BB906" s="325"/>
      <c r="BC906" s="325"/>
      <c r="BD906" s="325"/>
      <c r="BE906" s="325"/>
      <c r="BF906" s="325"/>
      <c r="BG906" s="325"/>
    </row>
    <row r="907" spans="1:59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8"/>
      <c r="AB907" s="28"/>
      <c r="AZ907" s="325"/>
      <c r="BA907" s="325"/>
      <c r="BB907" s="325"/>
      <c r="BC907" s="325"/>
      <c r="BD907" s="325"/>
      <c r="BE907" s="325"/>
      <c r="BF907" s="325"/>
      <c r="BG907" s="325"/>
    </row>
    <row r="908" spans="1:59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8"/>
      <c r="AB908" s="28"/>
      <c r="AZ908" s="325"/>
      <c r="BA908" s="325"/>
      <c r="BB908" s="325"/>
      <c r="BC908" s="325"/>
      <c r="BD908" s="325"/>
      <c r="BE908" s="325"/>
      <c r="BF908" s="325"/>
      <c r="BG908" s="325"/>
    </row>
    <row r="909" spans="1:59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8"/>
      <c r="AB909" s="28"/>
      <c r="AZ909" s="325"/>
      <c r="BA909" s="325"/>
      <c r="BB909" s="325"/>
      <c r="BC909" s="325"/>
      <c r="BD909" s="325"/>
      <c r="BE909" s="325"/>
      <c r="BF909" s="325"/>
      <c r="BG909" s="325"/>
    </row>
    <row r="910" spans="1:59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8"/>
      <c r="AB910" s="28"/>
      <c r="AZ910" s="325"/>
      <c r="BA910" s="325"/>
      <c r="BB910" s="325"/>
      <c r="BC910" s="325"/>
      <c r="BD910" s="325"/>
      <c r="BE910" s="325"/>
      <c r="BF910" s="325"/>
      <c r="BG910" s="325"/>
    </row>
    <row r="911" spans="1:59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8"/>
      <c r="AB911" s="28"/>
      <c r="AZ911" s="325"/>
      <c r="BA911" s="325"/>
      <c r="BB911" s="325"/>
      <c r="BC911" s="325"/>
      <c r="BD911" s="325"/>
      <c r="BE911" s="325"/>
      <c r="BF911" s="325"/>
      <c r="BG911" s="325"/>
    </row>
    <row r="912" spans="1:59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8"/>
      <c r="AB912" s="28"/>
      <c r="AZ912" s="325"/>
      <c r="BA912" s="325"/>
      <c r="BB912" s="325"/>
      <c r="BC912" s="325"/>
      <c r="BD912" s="325"/>
      <c r="BE912" s="325"/>
      <c r="BF912" s="325"/>
      <c r="BG912" s="325"/>
    </row>
    <row r="913" spans="1:59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8"/>
      <c r="AB913" s="28"/>
      <c r="AZ913" s="325"/>
      <c r="BA913" s="325"/>
      <c r="BB913" s="325"/>
      <c r="BC913" s="325"/>
      <c r="BD913" s="325"/>
      <c r="BE913" s="325"/>
      <c r="BF913" s="325"/>
      <c r="BG913" s="325"/>
    </row>
    <row r="914" spans="1:59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8"/>
      <c r="AB914" s="28"/>
      <c r="AZ914" s="325"/>
      <c r="BA914" s="325"/>
      <c r="BB914" s="325"/>
      <c r="BC914" s="325"/>
      <c r="BD914" s="325"/>
      <c r="BE914" s="325"/>
      <c r="BF914" s="325"/>
      <c r="BG914" s="325"/>
    </row>
    <row r="915" spans="1:59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8"/>
      <c r="AB915" s="28"/>
      <c r="AZ915" s="325"/>
      <c r="BA915" s="325"/>
      <c r="BB915" s="325"/>
      <c r="BC915" s="325"/>
      <c r="BD915" s="325"/>
      <c r="BE915" s="325"/>
      <c r="BF915" s="325"/>
      <c r="BG915" s="325"/>
    </row>
    <row r="916" spans="1:59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8"/>
      <c r="AB916" s="28"/>
      <c r="AZ916" s="325"/>
      <c r="BA916" s="325"/>
      <c r="BB916" s="325"/>
      <c r="BC916" s="325"/>
      <c r="BD916" s="325"/>
      <c r="BE916" s="325"/>
      <c r="BF916" s="325"/>
      <c r="BG916" s="325"/>
    </row>
    <row r="917" spans="1:59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8"/>
      <c r="AB917" s="28"/>
      <c r="AZ917" s="325"/>
      <c r="BA917" s="325"/>
      <c r="BB917" s="325"/>
      <c r="BC917" s="325"/>
      <c r="BD917" s="325"/>
      <c r="BE917" s="325"/>
      <c r="BF917" s="325"/>
      <c r="BG917" s="325"/>
    </row>
    <row r="918" spans="1:59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8"/>
      <c r="AB918" s="28"/>
      <c r="AZ918" s="325"/>
      <c r="BA918" s="325"/>
      <c r="BB918" s="325"/>
      <c r="BC918" s="325"/>
      <c r="BD918" s="325"/>
      <c r="BE918" s="325"/>
      <c r="BF918" s="325"/>
      <c r="BG918" s="325"/>
    </row>
    <row r="919" spans="1:59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8"/>
      <c r="AB919" s="28"/>
      <c r="AZ919" s="325"/>
      <c r="BA919" s="325"/>
      <c r="BB919" s="325"/>
      <c r="BC919" s="325"/>
      <c r="BD919" s="325"/>
      <c r="BE919" s="325"/>
      <c r="BF919" s="325"/>
      <c r="BG919" s="325"/>
    </row>
    <row r="920" spans="1:59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8"/>
      <c r="AB920" s="28"/>
      <c r="AZ920" s="325"/>
      <c r="BA920" s="325"/>
      <c r="BB920" s="325"/>
      <c r="BC920" s="325"/>
      <c r="BD920" s="325"/>
      <c r="BE920" s="325"/>
      <c r="BF920" s="325"/>
      <c r="BG920" s="325"/>
    </row>
    <row r="921" spans="1:59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8"/>
      <c r="AB921" s="28"/>
      <c r="AZ921" s="325"/>
      <c r="BA921" s="325"/>
      <c r="BB921" s="325"/>
      <c r="BC921" s="325"/>
      <c r="BD921" s="325"/>
      <c r="BE921" s="325"/>
      <c r="BF921" s="325"/>
      <c r="BG921" s="325"/>
    </row>
    <row r="922" spans="1:59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8"/>
      <c r="AB922" s="28"/>
      <c r="AZ922" s="325"/>
      <c r="BA922" s="325"/>
      <c r="BB922" s="325"/>
      <c r="BC922" s="325"/>
      <c r="BD922" s="325"/>
      <c r="BE922" s="325"/>
      <c r="BF922" s="325"/>
      <c r="BG922" s="325"/>
    </row>
    <row r="923" spans="1:59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8"/>
      <c r="AB923" s="28"/>
      <c r="AZ923" s="325"/>
      <c r="BA923" s="325"/>
      <c r="BB923" s="325"/>
      <c r="BC923" s="325"/>
      <c r="BD923" s="325"/>
      <c r="BE923" s="325"/>
      <c r="BF923" s="325"/>
      <c r="BG923" s="325"/>
    </row>
    <row r="924" spans="1:59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8"/>
      <c r="AB924" s="28"/>
      <c r="AZ924" s="325"/>
      <c r="BA924" s="325"/>
      <c r="BB924" s="325"/>
      <c r="BC924" s="325"/>
      <c r="BD924" s="325"/>
      <c r="BE924" s="325"/>
      <c r="BF924" s="325"/>
      <c r="BG924" s="325"/>
    </row>
    <row r="925" spans="1:59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8"/>
      <c r="AB925" s="28"/>
      <c r="AZ925" s="325"/>
      <c r="BA925" s="325"/>
      <c r="BB925" s="325"/>
      <c r="BC925" s="325"/>
      <c r="BD925" s="325"/>
      <c r="BE925" s="325"/>
      <c r="BF925" s="325"/>
      <c r="BG925" s="325"/>
    </row>
    <row r="926" spans="1:59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8"/>
      <c r="AB926" s="28"/>
      <c r="AZ926" s="325"/>
      <c r="BA926" s="325"/>
      <c r="BB926" s="325"/>
      <c r="BC926" s="325"/>
      <c r="BD926" s="325"/>
      <c r="BE926" s="325"/>
      <c r="BF926" s="325"/>
      <c r="BG926" s="325"/>
    </row>
    <row r="927" spans="1:59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8"/>
      <c r="AB927" s="28"/>
      <c r="AZ927" s="325"/>
      <c r="BA927" s="325"/>
      <c r="BB927" s="325"/>
      <c r="BC927" s="325"/>
      <c r="BD927" s="325"/>
      <c r="BE927" s="325"/>
      <c r="BF927" s="325"/>
      <c r="BG927" s="325"/>
    </row>
    <row r="928" spans="1:59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8"/>
      <c r="AB928" s="28"/>
      <c r="AZ928" s="325"/>
      <c r="BA928" s="325"/>
      <c r="BB928" s="325"/>
      <c r="BC928" s="325"/>
      <c r="BD928" s="325"/>
      <c r="BE928" s="325"/>
      <c r="BF928" s="325"/>
      <c r="BG928" s="325"/>
    </row>
    <row r="929" spans="1:59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8"/>
      <c r="AB929" s="28"/>
      <c r="AZ929" s="325"/>
      <c r="BA929" s="325"/>
      <c r="BB929" s="325"/>
      <c r="BC929" s="325"/>
      <c r="BD929" s="325"/>
      <c r="BE929" s="325"/>
      <c r="BF929" s="325"/>
      <c r="BG929" s="325"/>
    </row>
    <row r="930" spans="1:59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8"/>
      <c r="AB930" s="28"/>
      <c r="AZ930" s="325"/>
      <c r="BA930" s="325"/>
      <c r="BB930" s="325"/>
      <c r="BC930" s="325"/>
      <c r="BD930" s="325"/>
      <c r="BE930" s="325"/>
      <c r="BF930" s="325"/>
      <c r="BG930" s="325"/>
    </row>
    <row r="931" spans="1:59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8"/>
      <c r="AB931" s="28"/>
      <c r="AZ931" s="325"/>
      <c r="BA931" s="325"/>
      <c r="BB931" s="325"/>
      <c r="BC931" s="325"/>
      <c r="BD931" s="325"/>
      <c r="BE931" s="325"/>
      <c r="BF931" s="325"/>
      <c r="BG931" s="325"/>
    </row>
    <row r="932" spans="1:59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8"/>
      <c r="AB932" s="28"/>
      <c r="AZ932" s="325"/>
      <c r="BA932" s="325"/>
      <c r="BB932" s="325"/>
      <c r="BC932" s="325"/>
      <c r="BD932" s="325"/>
      <c r="BE932" s="325"/>
      <c r="BF932" s="325"/>
      <c r="BG932" s="325"/>
    </row>
    <row r="933" spans="1:59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8"/>
      <c r="AB933" s="28"/>
      <c r="AZ933" s="325"/>
      <c r="BA933" s="325"/>
      <c r="BB933" s="325"/>
      <c r="BC933" s="325"/>
      <c r="BD933" s="325"/>
      <c r="BE933" s="325"/>
      <c r="BF933" s="325"/>
      <c r="BG933" s="325"/>
    </row>
    <row r="934" spans="1:59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8"/>
      <c r="AB934" s="28"/>
      <c r="AZ934" s="325"/>
      <c r="BA934" s="325"/>
      <c r="BB934" s="325"/>
      <c r="BC934" s="325"/>
      <c r="BD934" s="325"/>
      <c r="BE934" s="325"/>
      <c r="BF934" s="325"/>
      <c r="BG934" s="325"/>
    </row>
    <row r="935" spans="1:59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8"/>
      <c r="AB935" s="28"/>
      <c r="AZ935" s="325"/>
      <c r="BA935" s="325"/>
      <c r="BB935" s="325"/>
      <c r="BC935" s="325"/>
      <c r="BD935" s="325"/>
      <c r="BE935" s="325"/>
      <c r="BF935" s="325"/>
      <c r="BG935" s="325"/>
    </row>
    <row r="936" spans="1:59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8"/>
      <c r="AB936" s="28"/>
      <c r="AZ936" s="325"/>
      <c r="BA936" s="325"/>
      <c r="BB936" s="325"/>
      <c r="BC936" s="325"/>
      <c r="BD936" s="325"/>
      <c r="BE936" s="325"/>
      <c r="BF936" s="325"/>
      <c r="BG936" s="325"/>
    </row>
    <row r="937" spans="1:59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8"/>
      <c r="AB937" s="28"/>
      <c r="AZ937" s="325"/>
      <c r="BA937" s="325"/>
      <c r="BB937" s="325"/>
      <c r="BC937" s="325"/>
      <c r="BD937" s="325"/>
      <c r="BE937" s="325"/>
      <c r="BF937" s="325"/>
      <c r="BG937" s="325"/>
    </row>
    <row r="938" spans="1:59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8"/>
      <c r="AB938" s="28"/>
      <c r="AZ938" s="325"/>
      <c r="BA938" s="325"/>
      <c r="BB938" s="325"/>
      <c r="BC938" s="325"/>
      <c r="BD938" s="325"/>
      <c r="BE938" s="325"/>
      <c r="BF938" s="325"/>
      <c r="BG938" s="325"/>
    </row>
    <row r="939" spans="1:59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8"/>
      <c r="AB939" s="28"/>
      <c r="AZ939" s="325"/>
      <c r="BA939" s="325"/>
      <c r="BB939" s="325"/>
      <c r="BC939" s="325"/>
      <c r="BD939" s="325"/>
      <c r="BE939" s="325"/>
      <c r="BF939" s="325"/>
      <c r="BG939" s="325"/>
    </row>
    <row r="940" spans="1:59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8"/>
      <c r="AB940" s="28"/>
      <c r="AZ940" s="325"/>
      <c r="BA940" s="325"/>
      <c r="BB940" s="325"/>
      <c r="BC940" s="325"/>
      <c r="BD940" s="325"/>
      <c r="BE940" s="325"/>
      <c r="BF940" s="325"/>
      <c r="BG940" s="325"/>
    </row>
    <row r="941" spans="1:59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8"/>
      <c r="AB941" s="28"/>
      <c r="AZ941" s="325"/>
      <c r="BA941" s="325"/>
      <c r="BB941" s="325"/>
      <c r="BC941" s="325"/>
      <c r="BD941" s="325"/>
      <c r="BE941" s="325"/>
      <c r="BF941" s="325"/>
      <c r="BG941" s="325"/>
    </row>
    <row r="942" spans="1:59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8"/>
      <c r="AB942" s="28"/>
      <c r="AZ942" s="325"/>
      <c r="BA942" s="325"/>
      <c r="BB942" s="325"/>
      <c r="BC942" s="325"/>
      <c r="BD942" s="325"/>
      <c r="BE942" s="325"/>
      <c r="BF942" s="325"/>
      <c r="BG942" s="325"/>
    </row>
    <row r="943" spans="1:59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8"/>
      <c r="AB943" s="28"/>
      <c r="AZ943" s="325"/>
      <c r="BA943" s="325"/>
      <c r="BB943" s="325"/>
      <c r="BC943" s="325"/>
      <c r="BD943" s="325"/>
      <c r="BE943" s="325"/>
      <c r="BF943" s="325"/>
      <c r="BG943" s="325"/>
    </row>
    <row r="944" spans="1:59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8"/>
      <c r="AB944" s="28"/>
      <c r="AZ944" s="325"/>
      <c r="BA944" s="325"/>
      <c r="BB944" s="325"/>
      <c r="BC944" s="325"/>
      <c r="BD944" s="325"/>
      <c r="BE944" s="325"/>
      <c r="BF944" s="325"/>
      <c r="BG944" s="325"/>
    </row>
    <row r="945" spans="1:59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8"/>
      <c r="AB945" s="28"/>
      <c r="AZ945" s="325"/>
      <c r="BA945" s="325"/>
      <c r="BB945" s="325"/>
      <c r="BC945" s="325"/>
      <c r="BD945" s="325"/>
      <c r="BE945" s="325"/>
      <c r="BF945" s="325"/>
      <c r="BG945" s="325"/>
    </row>
    <row r="946" spans="1:59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8"/>
      <c r="AB946" s="28"/>
      <c r="AZ946" s="325"/>
      <c r="BA946" s="325"/>
      <c r="BB946" s="325"/>
      <c r="BC946" s="325"/>
      <c r="BD946" s="325"/>
      <c r="BE946" s="325"/>
      <c r="BF946" s="325"/>
      <c r="BG946" s="325"/>
    </row>
    <row r="947" spans="1:59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8"/>
      <c r="AB947" s="28"/>
      <c r="AZ947" s="325"/>
      <c r="BA947" s="325"/>
      <c r="BB947" s="325"/>
      <c r="BC947" s="325"/>
      <c r="BD947" s="325"/>
      <c r="BE947" s="325"/>
      <c r="BF947" s="325"/>
      <c r="BG947" s="325"/>
    </row>
    <row r="948" spans="1:59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8"/>
      <c r="AB948" s="28"/>
      <c r="AZ948" s="325"/>
      <c r="BA948" s="325"/>
      <c r="BB948" s="325"/>
      <c r="BC948" s="325"/>
      <c r="BD948" s="325"/>
      <c r="BE948" s="325"/>
      <c r="BF948" s="325"/>
      <c r="BG948" s="325"/>
    </row>
    <row r="949" spans="1:59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8"/>
      <c r="AB949" s="28"/>
      <c r="AZ949" s="325"/>
      <c r="BA949" s="325"/>
      <c r="BB949" s="325"/>
      <c r="BC949" s="325"/>
      <c r="BD949" s="325"/>
      <c r="BE949" s="325"/>
      <c r="BF949" s="325"/>
      <c r="BG949" s="325"/>
    </row>
    <row r="950" spans="1:59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8"/>
      <c r="AB950" s="28"/>
      <c r="AZ950" s="325"/>
      <c r="BA950" s="325"/>
      <c r="BB950" s="325"/>
      <c r="BC950" s="325"/>
      <c r="BD950" s="325"/>
      <c r="BE950" s="325"/>
      <c r="BF950" s="325"/>
      <c r="BG950" s="325"/>
    </row>
    <row r="951" spans="1:59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8"/>
      <c r="AB951" s="28"/>
      <c r="AZ951" s="325"/>
      <c r="BA951" s="325"/>
      <c r="BB951" s="325"/>
      <c r="BC951" s="325"/>
      <c r="BD951" s="325"/>
      <c r="BE951" s="325"/>
      <c r="BF951" s="325"/>
      <c r="BG951" s="325"/>
    </row>
    <row r="952" spans="1:59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8"/>
      <c r="AB952" s="28"/>
      <c r="AZ952" s="325"/>
      <c r="BA952" s="325"/>
      <c r="BB952" s="325"/>
      <c r="BC952" s="325"/>
      <c r="BD952" s="325"/>
      <c r="BE952" s="325"/>
      <c r="BF952" s="325"/>
      <c r="BG952" s="325"/>
    </row>
    <row r="953" spans="1:59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8"/>
      <c r="AB953" s="28"/>
      <c r="AZ953" s="325"/>
      <c r="BA953" s="325"/>
      <c r="BB953" s="325"/>
      <c r="BC953" s="325"/>
      <c r="BD953" s="325"/>
      <c r="BE953" s="325"/>
      <c r="BF953" s="325"/>
      <c r="BG953" s="325"/>
    </row>
    <row r="954" spans="1:59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8"/>
      <c r="AB954" s="28"/>
      <c r="AZ954" s="325"/>
      <c r="BA954" s="325"/>
      <c r="BB954" s="325"/>
      <c r="BC954" s="325"/>
      <c r="BD954" s="325"/>
      <c r="BE954" s="325"/>
      <c r="BF954" s="325"/>
      <c r="BG954" s="325"/>
    </row>
    <row r="955" spans="1:59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8"/>
      <c r="AB955" s="28"/>
      <c r="AZ955" s="325"/>
      <c r="BA955" s="325"/>
      <c r="BB955" s="325"/>
      <c r="BC955" s="325"/>
      <c r="BD955" s="325"/>
      <c r="BE955" s="325"/>
      <c r="BF955" s="325"/>
      <c r="BG955" s="325"/>
    </row>
    <row r="956" spans="1:59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8"/>
      <c r="AB956" s="28"/>
      <c r="AZ956" s="325"/>
      <c r="BA956" s="325"/>
      <c r="BB956" s="325"/>
      <c r="BC956" s="325"/>
      <c r="BD956" s="325"/>
      <c r="BE956" s="325"/>
      <c r="BF956" s="325"/>
      <c r="BG956" s="325"/>
    </row>
    <row r="957" spans="1:59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8"/>
      <c r="AB957" s="28"/>
      <c r="AZ957" s="325"/>
      <c r="BA957" s="325"/>
      <c r="BB957" s="325"/>
      <c r="BC957" s="325"/>
      <c r="BD957" s="325"/>
      <c r="BE957" s="325"/>
      <c r="BF957" s="325"/>
      <c r="BG957" s="325"/>
    </row>
    <row r="958" spans="1:59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8"/>
      <c r="AB958" s="28"/>
      <c r="AZ958" s="325"/>
      <c r="BA958" s="325"/>
      <c r="BB958" s="325"/>
      <c r="BC958" s="325"/>
      <c r="BD958" s="325"/>
      <c r="BE958" s="325"/>
      <c r="BF958" s="325"/>
      <c r="BG958" s="325"/>
    </row>
    <row r="959" spans="1:59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8"/>
      <c r="AB959" s="28"/>
      <c r="AZ959" s="325"/>
      <c r="BA959" s="325"/>
      <c r="BB959" s="325"/>
      <c r="BC959" s="325"/>
      <c r="BD959" s="325"/>
      <c r="BE959" s="325"/>
      <c r="BF959" s="325"/>
      <c r="BG959" s="325"/>
    </row>
    <row r="960" spans="1:59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8"/>
      <c r="AB960" s="28"/>
      <c r="AZ960" s="325"/>
      <c r="BA960" s="325"/>
      <c r="BB960" s="325"/>
      <c r="BC960" s="325"/>
      <c r="BD960" s="325"/>
      <c r="BE960" s="325"/>
      <c r="BF960" s="325"/>
      <c r="BG960" s="325"/>
    </row>
    <row r="961" spans="1:59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8"/>
      <c r="AB961" s="28"/>
      <c r="AZ961" s="325"/>
      <c r="BA961" s="325"/>
      <c r="BB961" s="325"/>
      <c r="BC961" s="325"/>
      <c r="BD961" s="325"/>
      <c r="BE961" s="325"/>
      <c r="BF961" s="325"/>
      <c r="BG961" s="325"/>
    </row>
    <row r="962" spans="1:59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8"/>
      <c r="AB962" s="28"/>
      <c r="AZ962" s="325"/>
      <c r="BA962" s="325"/>
      <c r="BB962" s="325"/>
      <c r="BC962" s="325"/>
      <c r="BD962" s="325"/>
      <c r="BE962" s="325"/>
      <c r="BF962" s="325"/>
      <c r="BG962" s="325"/>
    </row>
    <row r="963" spans="1:59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8"/>
      <c r="AB963" s="28"/>
      <c r="AZ963" s="325"/>
      <c r="BA963" s="325"/>
      <c r="BB963" s="325"/>
      <c r="BC963" s="325"/>
      <c r="BD963" s="325"/>
      <c r="BE963" s="325"/>
      <c r="BF963" s="325"/>
      <c r="BG963" s="325"/>
    </row>
    <row r="964" spans="1:59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8"/>
      <c r="AB964" s="28"/>
      <c r="AZ964" s="325"/>
      <c r="BA964" s="325"/>
      <c r="BB964" s="325"/>
      <c r="BC964" s="325"/>
      <c r="BD964" s="325"/>
      <c r="BE964" s="325"/>
      <c r="BF964" s="325"/>
      <c r="BG964" s="325"/>
    </row>
    <row r="965" spans="1:59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8"/>
      <c r="AB965" s="28"/>
      <c r="AZ965" s="325"/>
      <c r="BA965" s="325"/>
      <c r="BB965" s="325"/>
      <c r="BC965" s="325"/>
      <c r="BD965" s="325"/>
      <c r="BE965" s="325"/>
      <c r="BF965" s="325"/>
      <c r="BG965" s="325"/>
    </row>
    <row r="966" spans="1:59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8"/>
      <c r="AB966" s="28"/>
      <c r="AZ966" s="325"/>
      <c r="BA966" s="325"/>
      <c r="BB966" s="325"/>
      <c r="BC966" s="325"/>
      <c r="BD966" s="325"/>
      <c r="BE966" s="325"/>
      <c r="BF966" s="325"/>
      <c r="BG966" s="325"/>
    </row>
    <row r="967" spans="1:59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8"/>
      <c r="AB967" s="28"/>
      <c r="AZ967" s="325"/>
      <c r="BA967" s="325"/>
      <c r="BB967" s="325"/>
      <c r="BC967" s="325"/>
      <c r="BD967" s="325"/>
      <c r="BE967" s="325"/>
      <c r="BF967" s="325"/>
      <c r="BG967" s="325"/>
    </row>
    <row r="968" spans="1:59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8"/>
      <c r="AB968" s="28"/>
      <c r="AZ968" s="325"/>
      <c r="BA968" s="325"/>
      <c r="BB968" s="325"/>
      <c r="BC968" s="325"/>
      <c r="BD968" s="325"/>
      <c r="BE968" s="325"/>
      <c r="BF968" s="325"/>
      <c r="BG968" s="325"/>
    </row>
    <row r="969" spans="1:59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8"/>
      <c r="AB969" s="28"/>
      <c r="AZ969" s="325"/>
      <c r="BA969" s="325"/>
      <c r="BB969" s="325"/>
      <c r="BC969" s="325"/>
      <c r="BD969" s="325"/>
      <c r="BE969" s="325"/>
      <c r="BF969" s="325"/>
      <c r="BG969" s="325"/>
    </row>
    <row r="970" spans="1:59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8"/>
      <c r="AB970" s="28"/>
      <c r="AZ970" s="325"/>
      <c r="BA970" s="325"/>
      <c r="BB970" s="325"/>
      <c r="BC970" s="325"/>
      <c r="BD970" s="325"/>
      <c r="BE970" s="325"/>
      <c r="BF970" s="325"/>
      <c r="BG970" s="325"/>
    </row>
    <row r="971" spans="1:59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8"/>
      <c r="AB971" s="28"/>
      <c r="AZ971" s="325"/>
      <c r="BA971" s="325"/>
      <c r="BB971" s="325"/>
      <c r="BC971" s="325"/>
      <c r="BD971" s="325"/>
      <c r="BE971" s="325"/>
      <c r="BF971" s="325"/>
      <c r="BG971" s="325"/>
    </row>
    <row r="972" spans="1:59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8"/>
      <c r="AB972" s="28"/>
      <c r="AZ972" s="325"/>
      <c r="BA972" s="325"/>
      <c r="BB972" s="325"/>
      <c r="BC972" s="325"/>
      <c r="BD972" s="325"/>
      <c r="BE972" s="325"/>
      <c r="BF972" s="325"/>
      <c r="BG972" s="325"/>
    </row>
    <row r="973" spans="1:59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8"/>
      <c r="AB973" s="28"/>
      <c r="AZ973" s="325"/>
      <c r="BA973" s="325"/>
      <c r="BB973" s="325"/>
      <c r="BC973" s="325"/>
      <c r="BD973" s="325"/>
      <c r="BE973" s="325"/>
      <c r="BF973" s="325"/>
      <c r="BG973" s="325"/>
    </row>
    <row r="974" spans="1:59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8"/>
      <c r="AB974" s="28"/>
      <c r="AZ974" s="325"/>
      <c r="BA974" s="325"/>
      <c r="BB974" s="325"/>
      <c r="BC974" s="325"/>
      <c r="BD974" s="325"/>
      <c r="BE974" s="325"/>
      <c r="BF974" s="325"/>
      <c r="BG974" s="325"/>
    </row>
    <row r="975" spans="1:59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8"/>
      <c r="AB975" s="28"/>
      <c r="AZ975" s="325"/>
      <c r="BA975" s="325"/>
      <c r="BB975" s="325"/>
      <c r="BC975" s="325"/>
      <c r="BD975" s="325"/>
      <c r="BE975" s="325"/>
      <c r="BF975" s="325"/>
      <c r="BG975" s="325"/>
    </row>
    <row r="976" spans="1:59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8"/>
      <c r="AB976" s="28"/>
      <c r="AZ976" s="325"/>
      <c r="BA976" s="325"/>
      <c r="BB976" s="325"/>
      <c r="BC976" s="325"/>
      <c r="BD976" s="325"/>
      <c r="BE976" s="325"/>
      <c r="BF976" s="325"/>
      <c r="BG976" s="325"/>
    </row>
    <row r="977" spans="1:59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8"/>
      <c r="AB977" s="28"/>
      <c r="AZ977" s="325"/>
      <c r="BA977" s="325"/>
      <c r="BB977" s="325"/>
      <c r="BC977" s="325"/>
      <c r="BD977" s="325"/>
      <c r="BE977" s="325"/>
      <c r="BF977" s="325"/>
      <c r="BG977" s="325"/>
    </row>
    <row r="978" spans="1:59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8"/>
      <c r="AB978" s="28"/>
      <c r="AZ978" s="325"/>
      <c r="BA978" s="325"/>
      <c r="BB978" s="325"/>
      <c r="BC978" s="325"/>
      <c r="BD978" s="325"/>
      <c r="BE978" s="325"/>
      <c r="BF978" s="325"/>
      <c r="BG978" s="325"/>
    </row>
    <row r="979" spans="1:59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8"/>
      <c r="AB979" s="28"/>
      <c r="AZ979" s="325"/>
      <c r="BA979" s="325"/>
      <c r="BB979" s="325"/>
      <c r="BC979" s="325"/>
      <c r="BD979" s="325"/>
      <c r="BE979" s="325"/>
      <c r="BF979" s="325"/>
      <c r="BG979" s="325"/>
    </row>
    <row r="980" spans="1:59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8"/>
      <c r="AB980" s="28"/>
      <c r="AZ980" s="325"/>
      <c r="BA980" s="325"/>
      <c r="BB980" s="325"/>
      <c r="BC980" s="325"/>
      <c r="BD980" s="325"/>
      <c r="BE980" s="325"/>
      <c r="BF980" s="325"/>
      <c r="BG980" s="325"/>
    </row>
    <row r="981" spans="1:59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8"/>
      <c r="AB981" s="28"/>
      <c r="AZ981" s="325"/>
      <c r="BA981" s="325"/>
      <c r="BB981" s="325"/>
      <c r="BC981" s="325"/>
      <c r="BD981" s="325"/>
      <c r="BE981" s="325"/>
      <c r="BF981" s="325"/>
      <c r="BG981" s="325"/>
    </row>
    <row r="982" spans="1:59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8"/>
      <c r="AB982" s="28"/>
      <c r="AZ982" s="325"/>
      <c r="BA982" s="325"/>
      <c r="BB982" s="325"/>
      <c r="BC982" s="325"/>
      <c r="BD982" s="325"/>
      <c r="BE982" s="325"/>
      <c r="BF982" s="325"/>
      <c r="BG982" s="325"/>
    </row>
    <row r="983" spans="1:59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8"/>
      <c r="AB983" s="28"/>
      <c r="AZ983" s="325"/>
      <c r="BA983" s="325"/>
      <c r="BB983" s="325"/>
      <c r="BC983" s="325"/>
      <c r="BD983" s="325"/>
      <c r="BE983" s="325"/>
      <c r="BF983" s="325"/>
      <c r="BG983" s="325"/>
    </row>
    <row r="984" spans="1:59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8"/>
      <c r="AB984" s="28"/>
      <c r="AZ984" s="325"/>
      <c r="BA984" s="325"/>
      <c r="BB984" s="325"/>
      <c r="BC984" s="325"/>
      <c r="BD984" s="325"/>
      <c r="BE984" s="325"/>
      <c r="BF984" s="325"/>
      <c r="BG984" s="325"/>
    </row>
    <row r="985" spans="1:59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8"/>
      <c r="AB985" s="28"/>
      <c r="AZ985" s="325"/>
      <c r="BA985" s="325"/>
      <c r="BB985" s="325"/>
      <c r="BC985" s="325"/>
      <c r="BD985" s="325"/>
      <c r="BE985" s="325"/>
      <c r="BF985" s="325"/>
      <c r="BG985" s="325"/>
    </row>
    <row r="986" spans="1:59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8"/>
      <c r="AB986" s="28"/>
      <c r="AZ986" s="325"/>
      <c r="BA986" s="325"/>
      <c r="BB986" s="325"/>
      <c r="BC986" s="325"/>
      <c r="BD986" s="325"/>
      <c r="BE986" s="325"/>
      <c r="BF986" s="325"/>
      <c r="BG986" s="325"/>
    </row>
    <row r="987" spans="1:59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8"/>
      <c r="AB987" s="28"/>
      <c r="AZ987" s="325"/>
      <c r="BA987" s="325"/>
      <c r="BB987" s="325"/>
      <c r="BC987" s="325"/>
      <c r="BD987" s="325"/>
      <c r="BE987" s="325"/>
      <c r="BF987" s="325"/>
      <c r="BG987" s="325"/>
    </row>
    <row r="988" spans="1:59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8"/>
      <c r="AB988" s="28"/>
      <c r="AZ988" s="325"/>
      <c r="BA988" s="325"/>
      <c r="BB988" s="325"/>
      <c r="BC988" s="325"/>
      <c r="BD988" s="325"/>
      <c r="BE988" s="325"/>
      <c r="BF988" s="325"/>
      <c r="BG988" s="325"/>
    </row>
    <row r="989" spans="1:59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8"/>
      <c r="AB989" s="28"/>
      <c r="AZ989" s="325"/>
      <c r="BA989" s="325"/>
      <c r="BB989" s="325"/>
      <c r="BC989" s="325"/>
      <c r="BD989" s="325"/>
      <c r="BE989" s="325"/>
      <c r="BF989" s="325"/>
      <c r="BG989" s="325"/>
    </row>
    <row r="990" spans="1:59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8"/>
      <c r="AB990" s="28"/>
      <c r="AZ990" s="325"/>
      <c r="BA990" s="325"/>
      <c r="BB990" s="325"/>
      <c r="BC990" s="325"/>
      <c r="BD990" s="325"/>
      <c r="BE990" s="325"/>
      <c r="BF990" s="325"/>
      <c r="BG990" s="325"/>
    </row>
    <row r="991" spans="1:59" ht="14.25" customHeight="1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8"/>
      <c r="AB991" s="28"/>
      <c r="AZ991" s="325"/>
      <c r="BA991" s="325"/>
      <c r="BB991" s="325"/>
      <c r="BC991" s="325"/>
      <c r="BD991" s="325"/>
      <c r="BE991" s="325"/>
      <c r="BF991" s="325"/>
      <c r="BG991" s="325"/>
    </row>
    <row r="992" spans="1:59" ht="14.25" customHeight="1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8"/>
      <c r="AB992" s="28"/>
      <c r="AZ992" s="325"/>
      <c r="BA992" s="325"/>
      <c r="BB992" s="325"/>
      <c r="BC992" s="325"/>
      <c r="BD992" s="325"/>
      <c r="BE992" s="325"/>
      <c r="BF992" s="325"/>
      <c r="BG992" s="325"/>
    </row>
    <row r="993" spans="1:59" ht="14.25" customHeight="1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8"/>
      <c r="AB993" s="28"/>
      <c r="AZ993" s="325"/>
      <c r="BA993" s="325"/>
      <c r="BB993" s="325"/>
      <c r="BC993" s="325"/>
      <c r="BD993" s="325"/>
      <c r="BE993" s="325"/>
      <c r="BF993" s="325"/>
      <c r="BG993" s="325"/>
    </row>
    <row r="994" spans="1:59" ht="14.25" customHeight="1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8"/>
      <c r="AB994" s="28"/>
      <c r="AZ994" s="325"/>
      <c r="BA994" s="325"/>
      <c r="BB994" s="325"/>
      <c r="BC994" s="325"/>
      <c r="BD994" s="325"/>
      <c r="BE994" s="325"/>
      <c r="BF994" s="325"/>
      <c r="BG994" s="325"/>
    </row>
    <row r="995" spans="1:59" ht="14.25" customHeight="1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8"/>
      <c r="AB995" s="28"/>
      <c r="AZ995" s="325"/>
      <c r="BA995" s="325"/>
      <c r="BB995" s="325"/>
      <c r="BC995" s="325"/>
      <c r="BD995" s="325"/>
      <c r="BE995" s="325"/>
      <c r="BF995" s="325"/>
      <c r="BG995" s="325"/>
    </row>
    <row r="996" spans="1:59" ht="14.25" customHeight="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8"/>
      <c r="AB996" s="28"/>
      <c r="AZ996" s="325"/>
      <c r="BA996" s="325"/>
      <c r="BB996" s="325"/>
      <c r="BC996" s="325"/>
      <c r="BD996" s="325"/>
      <c r="BE996" s="325"/>
      <c r="BF996" s="325"/>
      <c r="BG996" s="325"/>
    </row>
    <row r="997" spans="1:59" ht="14.25" customHeight="1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8"/>
      <c r="AB997" s="28"/>
      <c r="AZ997" s="325"/>
      <c r="BA997" s="325"/>
      <c r="BB997" s="325"/>
      <c r="BC997" s="325"/>
      <c r="BD997" s="325"/>
      <c r="BE997" s="325"/>
      <c r="BF997" s="325"/>
      <c r="BG997" s="325"/>
    </row>
    <row r="998" spans="1:59" ht="14.25" customHeight="1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8"/>
      <c r="AB998" s="28"/>
    </row>
    <row r="999" spans="1:59" ht="14.25" customHeight="1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8"/>
      <c r="AB999" s="28"/>
    </row>
    <row r="1000" spans="1:59" ht="14.25" customHeight="1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8"/>
      <c r="AB1000" s="28"/>
    </row>
    <row r="1001" spans="1:59" ht="14.25" customHeight="1" x14ac:dyDescent="0.2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8"/>
      <c r="AB1001" s="28"/>
    </row>
    <row r="1002" spans="1:59" ht="14.25" customHeight="1" x14ac:dyDescent="0.2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8"/>
      <c r="AB1002" s="28"/>
    </row>
  </sheetData>
  <mergeCells count="15">
    <mergeCell ref="A4:I5"/>
    <mergeCell ref="R11:S11"/>
    <mergeCell ref="R12:S12"/>
    <mergeCell ref="R13:S13"/>
    <mergeCell ref="R14:S14"/>
    <mergeCell ref="AA20:AB20"/>
    <mergeCell ref="AC20:AD20"/>
    <mergeCell ref="AE20:AF20"/>
    <mergeCell ref="AG20:AH20"/>
    <mergeCell ref="R15:S15"/>
    <mergeCell ref="R16:S16"/>
    <mergeCell ref="R17:S17"/>
    <mergeCell ref="W20:X20"/>
    <mergeCell ref="Y20:Z20"/>
    <mergeCell ref="U20:V20"/>
  </mergeCells>
  <pageMargins left="0.7" right="0.7" top="0.75" bottom="0.75" header="0" footer="0"/>
  <pageSetup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T1000"/>
  <sheetViews>
    <sheetView workbookViewId="0">
      <selection activeCell="E28" sqref="E28"/>
    </sheetView>
  </sheetViews>
  <sheetFormatPr defaultColWidth="12.625" defaultRowHeight="15" customHeight="1" x14ac:dyDescent="0.2"/>
  <cols>
    <col min="1" max="1" width="6.375" customWidth="1"/>
    <col min="2" max="2" width="1.625" customWidth="1"/>
    <col min="3" max="3" width="10.125" customWidth="1"/>
    <col min="4" max="4" width="1.125" customWidth="1"/>
    <col min="5" max="5" width="12.125" customWidth="1"/>
    <col min="6" max="6" width="2.125" customWidth="1"/>
    <col min="7" max="8" width="13.125" customWidth="1"/>
    <col min="9" max="9" width="9.875" customWidth="1"/>
    <col min="10" max="10" width="13.625" customWidth="1"/>
    <col min="11" max="11" width="11.625" customWidth="1"/>
    <col min="12" max="12" width="2" customWidth="1"/>
    <col min="13" max="13" width="1.5" customWidth="1"/>
    <col min="14" max="14" width="2.375" customWidth="1"/>
    <col min="15" max="15" width="1.375" customWidth="1"/>
    <col min="16" max="16" width="16.375" customWidth="1"/>
    <col min="17" max="17" width="1.625" customWidth="1"/>
    <col min="18" max="18" width="1.5" customWidth="1"/>
    <col min="19" max="19" width="1.375" customWidth="1"/>
    <col min="20" max="20" width="16.375" customWidth="1"/>
    <col min="21" max="21" width="1.625" customWidth="1"/>
    <col min="22" max="22" width="14.875" customWidth="1"/>
    <col min="23" max="23" width="11" customWidth="1"/>
    <col min="24" max="24" width="10.625" customWidth="1"/>
    <col min="25" max="25" width="1.375" customWidth="1"/>
    <col min="26" max="28" width="8" customWidth="1"/>
    <col min="29" max="29" width="12.375" customWidth="1"/>
    <col min="30" max="31" width="8" customWidth="1"/>
    <col min="32" max="32" width="14.5" customWidth="1"/>
    <col min="33" max="33" width="14" customWidth="1"/>
    <col min="34" max="37" width="8" customWidth="1"/>
    <col min="38" max="38" width="2.625" customWidth="1"/>
    <col min="39" max="46" width="8" customWidth="1"/>
  </cols>
  <sheetData>
    <row r="1" spans="1:46" ht="14.25" customHeight="1" x14ac:dyDescent="0.2">
      <c r="A1" s="1"/>
      <c r="B1" s="1"/>
      <c r="C1" s="1"/>
      <c r="D1" s="1"/>
      <c r="E1" s="1"/>
      <c r="F1" s="1"/>
      <c r="G1" s="191"/>
      <c r="H1" s="444"/>
      <c r="I1" s="444"/>
      <c r="J1" s="445" t="s">
        <v>131</v>
      </c>
      <c r="K1" s="444">
        <v>0.58876933112968033</v>
      </c>
      <c r="L1" s="446"/>
      <c r="M1" s="444">
        <v>1.3939999999999999</v>
      </c>
      <c r="N1" s="444"/>
      <c r="O1" s="444"/>
      <c r="P1" s="444"/>
      <c r="Q1" s="444"/>
      <c r="R1" s="444"/>
      <c r="S1" s="444"/>
      <c r="T1" s="444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48.75" customHeight="1" x14ac:dyDescent="0.2">
      <c r="A2" s="1"/>
      <c r="B2" s="1"/>
      <c r="C2" s="1"/>
      <c r="D2" s="1"/>
      <c r="E2" s="1"/>
      <c r="F2" s="1"/>
      <c r="G2" s="191"/>
      <c r="H2" s="447"/>
      <c r="I2" s="444" t="s">
        <v>75</v>
      </c>
      <c r="J2" s="448" t="s">
        <v>167</v>
      </c>
      <c r="K2" s="449">
        <v>0.11825384309687363</v>
      </c>
      <c r="L2" s="446"/>
      <c r="M2" s="444"/>
      <c r="N2" s="444"/>
      <c r="O2" s="444"/>
      <c r="P2" s="444"/>
      <c r="Q2" s="444"/>
      <c r="R2" s="444"/>
      <c r="S2" s="444"/>
      <c r="T2" s="444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35.25" customHeight="1" x14ac:dyDescent="0.2">
      <c r="A3" s="1"/>
      <c r="B3" s="1"/>
      <c r="C3" s="1"/>
      <c r="D3" s="1"/>
      <c r="E3" s="1"/>
      <c r="F3" s="1"/>
      <c r="G3" s="191"/>
      <c r="H3" s="447"/>
      <c r="I3" s="444"/>
      <c r="J3" s="444"/>
      <c r="K3" s="450"/>
      <c r="L3" s="451" t="s">
        <v>313</v>
      </c>
      <c r="M3" s="444"/>
      <c r="N3" s="444"/>
      <c r="O3" s="444"/>
      <c r="P3" s="444"/>
      <c r="Q3" s="444"/>
      <c r="R3" s="444"/>
      <c r="S3" s="444"/>
      <c r="T3" s="444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</row>
    <row r="4" spans="1:46" ht="15" customHeight="1" x14ac:dyDescent="0.25">
      <c r="A4" s="2"/>
      <c r="B4" s="548" t="s">
        <v>314</v>
      </c>
      <c r="C4" s="535"/>
      <c r="D4" s="535"/>
      <c r="E4" s="535"/>
      <c r="F4" s="535"/>
      <c r="G4" s="536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</row>
    <row r="5" spans="1:46" ht="15" customHeight="1" x14ac:dyDescent="0.25">
      <c r="A5" s="2"/>
      <c r="B5" s="537"/>
      <c r="C5" s="538"/>
      <c r="D5" s="538"/>
      <c r="E5" s="538"/>
      <c r="F5" s="538"/>
      <c r="G5" s="53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</row>
    <row r="6" spans="1:46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27.75" customHeight="1" x14ac:dyDescent="0.25">
      <c r="A7" s="3"/>
      <c r="B7" s="82"/>
      <c r="C7" s="162" t="s">
        <v>315</v>
      </c>
      <c r="D7" s="163"/>
      <c r="E7" s="163"/>
      <c r="F7" s="163"/>
      <c r="G7" s="163"/>
      <c r="H7" s="163"/>
      <c r="I7" s="163"/>
      <c r="J7" s="163"/>
      <c r="K7" s="163"/>
      <c r="L7" s="163"/>
      <c r="M7" s="82"/>
      <c r="N7" s="3"/>
      <c r="O7" s="82"/>
      <c r="P7" s="163"/>
      <c r="Q7" s="82"/>
      <c r="R7" s="52"/>
      <c r="S7" s="82"/>
      <c r="T7" s="163"/>
      <c r="U7" s="82"/>
      <c r="V7" s="52"/>
      <c r="W7" s="52"/>
      <c r="X7" s="52"/>
      <c r="Y7" s="52"/>
      <c r="Z7" s="52"/>
      <c r="AA7" s="52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 t="s">
        <v>316</v>
      </c>
      <c r="AN7" s="3"/>
      <c r="AO7" s="3"/>
      <c r="AP7" s="3"/>
      <c r="AQ7" s="3"/>
      <c r="AR7" s="3"/>
      <c r="AS7" s="3"/>
      <c r="AT7" s="3"/>
    </row>
    <row r="8" spans="1:46" ht="16.5" customHeight="1" x14ac:dyDescent="0.2">
      <c r="A8" s="3"/>
      <c r="B8" s="164"/>
      <c r="C8" s="165" t="s">
        <v>235</v>
      </c>
      <c r="D8" s="165"/>
      <c r="E8" s="166" t="s">
        <v>236</v>
      </c>
      <c r="F8" s="81"/>
      <c r="G8" s="166" t="s">
        <v>237</v>
      </c>
      <c r="H8" s="166" t="s">
        <v>238</v>
      </c>
      <c r="I8" s="166" t="s">
        <v>239</v>
      </c>
      <c r="J8" s="166" t="s">
        <v>317</v>
      </c>
      <c r="K8" s="166"/>
      <c r="L8" s="166"/>
      <c r="M8" s="82"/>
      <c r="N8" s="3"/>
      <c r="O8" s="82"/>
      <c r="P8" s="166" t="s">
        <v>318</v>
      </c>
      <c r="Q8" s="82"/>
      <c r="R8" s="52"/>
      <c r="S8" s="82"/>
      <c r="T8" s="166" t="s">
        <v>319</v>
      </c>
      <c r="U8" s="82"/>
      <c r="V8" s="52"/>
      <c r="W8" s="52"/>
      <c r="X8" s="52"/>
      <c r="Y8" s="52"/>
      <c r="Z8" s="52"/>
      <c r="AA8" s="52"/>
      <c r="AB8" s="3"/>
      <c r="AC8" s="3"/>
      <c r="AD8" s="3"/>
      <c r="AE8" s="3"/>
      <c r="AF8" s="167"/>
      <c r="AG8" s="167"/>
      <c r="AH8" s="3"/>
      <c r="AI8" s="3"/>
      <c r="AJ8" s="3"/>
      <c r="AK8" s="3"/>
      <c r="AL8" s="3"/>
      <c r="AM8" s="3" t="s">
        <v>320</v>
      </c>
      <c r="AN8" s="3"/>
      <c r="AO8" s="3"/>
      <c r="AP8" s="3"/>
      <c r="AQ8" s="3"/>
      <c r="AR8" s="3"/>
      <c r="AS8" s="3"/>
      <c r="AT8" s="3"/>
    </row>
    <row r="9" spans="1:46" ht="5.25" customHeight="1" x14ac:dyDescent="0.2">
      <c r="A9" s="3"/>
      <c r="B9" s="82"/>
      <c r="C9" s="82"/>
      <c r="D9" s="82"/>
      <c r="E9" s="82"/>
      <c r="F9" s="82"/>
      <c r="G9" s="114"/>
      <c r="H9" s="114"/>
      <c r="I9" s="114"/>
      <c r="J9" s="114"/>
      <c r="K9" s="114"/>
      <c r="L9" s="114"/>
      <c r="M9" s="82"/>
      <c r="N9" s="3"/>
      <c r="O9" s="82"/>
      <c r="P9" s="114"/>
      <c r="Q9" s="82"/>
      <c r="R9" s="52"/>
      <c r="S9" s="82"/>
      <c r="T9" s="114"/>
      <c r="U9" s="82"/>
      <c r="V9" s="52"/>
      <c r="W9" s="52"/>
      <c r="X9" s="52"/>
      <c r="Y9" s="52"/>
      <c r="Z9" s="52"/>
      <c r="AA9" s="52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</row>
    <row r="10" spans="1:46" ht="15.75" customHeight="1" x14ac:dyDescent="0.2">
      <c r="A10" s="3"/>
      <c r="B10" s="82"/>
      <c r="C10" s="82"/>
      <c r="D10" s="82"/>
      <c r="E10" s="82"/>
      <c r="F10" s="82"/>
      <c r="G10" s="256">
        <v>1</v>
      </c>
      <c r="H10" s="257"/>
      <c r="I10" s="257"/>
      <c r="J10" s="257"/>
      <c r="K10" s="82"/>
      <c r="L10" s="82"/>
      <c r="M10" s="82"/>
      <c r="N10" s="3"/>
      <c r="O10" s="82"/>
      <c r="P10" s="82"/>
      <c r="Q10" s="82"/>
      <c r="R10" s="52"/>
      <c r="S10" s="82"/>
      <c r="T10" s="82"/>
      <c r="U10" s="82"/>
      <c r="V10" s="52"/>
      <c r="W10" s="52"/>
      <c r="X10" s="52"/>
      <c r="Y10" s="52"/>
      <c r="Z10" s="52"/>
      <c r="AA10" s="52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</row>
    <row r="11" spans="1:46" ht="14.25" customHeight="1" x14ac:dyDescent="0.25">
      <c r="A11" s="3"/>
      <c r="B11" s="82"/>
      <c r="C11" s="169">
        <v>0</v>
      </c>
      <c r="D11" s="168"/>
      <c r="E11" s="258">
        <f t="shared" ref="E11:E42" si="0">1-EXP(lambda*(C10^gamma-C11^gamma))</f>
        <v>0</v>
      </c>
      <c r="F11" s="82"/>
      <c r="G11" s="259">
        <f>G10</f>
        <v>1</v>
      </c>
      <c r="H11" s="260">
        <f>G10-G11</f>
        <v>0</v>
      </c>
      <c r="I11" s="261">
        <f t="shared" ref="I11:I123" si="1">SUM(G11:H11)</f>
        <v>1</v>
      </c>
      <c r="J11" s="261">
        <f t="shared" ref="J11:J123" si="2">I11-H11</f>
        <v>1</v>
      </c>
      <c r="K11" s="82"/>
      <c r="L11" s="82"/>
      <c r="M11" s="82"/>
      <c r="N11" s="3"/>
      <c r="O11" s="82"/>
      <c r="P11" s="262">
        <v>5.9940060000000003E-2</v>
      </c>
      <c r="Q11" s="82"/>
      <c r="R11" s="52"/>
      <c r="S11" s="82"/>
      <c r="T11" s="262">
        <v>1</v>
      </c>
      <c r="U11" s="82"/>
      <c r="V11" s="263"/>
      <c r="W11" s="52"/>
      <c r="X11" s="52"/>
      <c r="Y11" s="52"/>
      <c r="Z11" s="52"/>
      <c r="AA11" s="52"/>
      <c r="AB11" s="3"/>
      <c r="AC11" s="3"/>
      <c r="AD11" s="3"/>
      <c r="AE11" s="3"/>
      <c r="AF11" s="223"/>
      <c r="AG11" s="22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</row>
    <row r="12" spans="1:46" ht="14.25" customHeight="1" x14ac:dyDescent="0.25">
      <c r="A12" s="3"/>
      <c r="B12" s="82"/>
      <c r="C12" s="176">
        <v>1</v>
      </c>
      <c r="D12" s="168"/>
      <c r="E12" s="258">
        <f>1-EXP(lambda*(C11^gamma-C12^gamma))</f>
        <v>0.11152950811382956</v>
      </c>
      <c r="F12" s="82"/>
      <c r="G12" s="264">
        <f>G11-H12</f>
        <v>0.88847049188617044</v>
      </c>
      <c r="H12" s="265">
        <f>G11*E12</f>
        <v>0.11152950811382956</v>
      </c>
      <c r="I12" s="266">
        <f t="shared" si="1"/>
        <v>1</v>
      </c>
      <c r="J12" s="266">
        <f>I12-H12</f>
        <v>0.88847049188617044</v>
      </c>
      <c r="K12" s="82"/>
      <c r="L12" s="82"/>
      <c r="M12" s="82"/>
      <c r="N12" s="3"/>
      <c r="O12" s="82"/>
      <c r="P12" s="262">
        <v>1.0189810189999999</v>
      </c>
      <c r="Q12" s="82"/>
      <c r="R12" s="52"/>
      <c r="S12" s="82"/>
      <c r="T12" s="262">
        <v>0.99839999999999995</v>
      </c>
      <c r="U12" s="82"/>
      <c r="V12" s="452"/>
      <c r="W12" s="52"/>
      <c r="X12" s="52"/>
      <c r="Y12" s="52"/>
      <c r="Z12" s="52"/>
      <c r="AA12" s="52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</row>
    <row r="13" spans="1:46" ht="14.25" customHeight="1" x14ac:dyDescent="0.25">
      <c r="A13" s="3"/>
      <c r="B13" s="82"/>
      <c r="C13" s="176">
        <v>2</v>
      </c>
      <c r="D13" s="168"/>
      <c r="E13" s="258">
        <f t="shared" si="0"/>
        <v>5.7854533351919146E-2</v>
      </c>
      <c r="F13" s="82"/>
      <c r="G13" s="264">
        <f t="shared" ref="G13:G123" si="3">G12-(G12*E13)</f>
        <v>0.83706844618114595</v>
      </c>
      <c r="H13" s="265">
        <f t="shared" ref="H13:H123" si="4">H12+(G12*E13)</f>
        <v>0.16293155381885402</v>
      </c>
      <c r="I13" s="266">
        <f t="shared" si="1"/>
        <v>1</v>
      </c>
      <c r="J13" s="266">
        <f t="shared" si="2"/>
        <v>0.83706844618114595</v>
      </c>
      <c r="K13" s="82"/>
      <c r="L13" s="82"/>
      <c r="M13" s="82"/>
      <c r="N13" s="3"/>
      <c r="O13" s="82"/>
      <c r="P13" s="262">
        <v>1.258741259</v>
      </c>
      <c r="Q13" s="82"/>
      <c r="R13" s="52"/>
      <c r="S13" s="82"/>
      <c r="T13" s="262">
        <v>0.98080000000000001</v>
      </c>
      <c r="U13" s="82"/>
      <c r="V13" s="52"/>
      <c r="W13" s="52"/>
      <c r="X13" s="52"/>
      <c r="Y13" s="52"/>
      <c r="Z13" s="52"/>
      <c r="AA13" s="52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</row>
    <row r="14" spans="1:46" ht="14.25" customHeight="1" x14ac:dyDescent="0.25">
      <c r="A14" s="3"/>
      <c r="B14" s="82"/>
      <c r="C14" s="176">
        <v>3</v>
      </c>
      <c r="D14" s="168"/>
      <c r="E14" s="258">
        <f t="shared" si="0"/>
        <v>4.6821911330064081E-2</v>
      </c>
      <c r="F14" s="82"/>
      <c r="G14" s="264">
        <f t="shared" si="3"/>
        <v>0.79787530161685782</v>
      </c>
      <c r="H14" s="265">
        <f t="shared" si="4"/>
        <v>0.20212469838314215</v>
      </c>
      <c r="I14" s="266">
        <f t="shared" si="1"/>
        <v>1</v>
      </c>
      <c r="J14" s="266">
        <f t="shared" si="2"/>
        <v>0.79787530161685782</v>
      </c>
      <c r="K14" s="82"/>
      <c r="L14" s="82"/>
      <c r="M14" s="82"/>
      <c r="N14" s="3"/>
      <c r="O14" s="82"/>
      <c r="P14" s="262">
        <v>1.3786213789999999</v>
      </c>
      <c r="Q14" s="82"/>
      <c r="R14" s="52"/>
      <c r="S14" s="82"/>
      <c r="T14" s="262">
        <v>0.96640000000000004</v>
      </c>
      <c r="U14" s="82"/>
      <c r="V14" s="52"/>
      <c r="W14" s="52"/>
      <c r="X14" s="52"/>
      <c r="Y14" s="52"/>
      <c r="Z14" s="52"/>
      <c r="AA14" s="52"/>
      <c r="AB14" s="3"/>
      <c r="AC14" s="3"/>
      <c r="AD14" s="3"/>
      <c r="AE14" s="3"/>
      <c r="AF14" s="26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</row>
    <row r="15" spans="1:46" ht="14.25" customHeight="1" x14ac:dyDescent="0.25">
      <c r="A15" s="3"/>
      <c r="B15" s="82"/>
      <c r="C15" s="176">
        <v>4</v>
      </c>
      <c r="D15" s="168"/>
      <c r="E15" s="258">
        <f t="shared" si="0"/>
        <v>4.0819554576886574E-2</v>
      </c>
      <c r="F15" s="82"/>
      <c r="G15" s="264">
        <f t="shared" si="3"/>
        <v>0.76530638719695865</v>
      </c>
      <c r="H15" s="265">
        <f t="shared" si="4"/>
        <v>0.2346936128030413</v>
      </c>
      <c r="I15" s="266">
        <f t="shared" si="1"/>
        <v>1</v>
      </c>
      <c r="J15" s="266">
        <f t="shared" si="2"/>
        <v>0.76530638719695876</v>
      </c>
      <c r="K15" s="82"/>
      <c r="L15" s="82"/>
      <c r="M15" s="82"/>
      <c r="N15" s="3"/>
      <c r="O15" s="82"/>
      <c r="P15" s="262">
        <v>1.858141858</v>
      </c>
      <c r="Q15" s="82"/>
      <c r="R15" s="52"/>
      <c r="S15" s="82"/>
      <c r="T15" s="262">
        <v>0.95679999999999998</v>
      </c>
      <c r="U15" s="82"/>
      <c r="V15" s="52"/>
      <c r="W15" s="52"/>
      <c r="X15" s="52"/>
      <c r="Y15" s="52"/>
      <c r="Z15" s="52"/>
      <c r="AA15" s="52"/>
      <c r="AB15" s="52"/>
      <c r="AC15" s="3"/>
      <c r="AD15" s="3"/>
      <c r="AE15" s="3"/>
      <c r="AF15" s="26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</row>
    <row r="16" spans="1:46" ht="14.25" customHeight="1" x14ac:dyDescent="0.25">
      <c r="A16" s="3"/>
      <c r="B16" s="82"/>
      <c r="C16" s="176">
        <v>5</v>
      </c>
      <c r="D16" s="168"/>
      <c r="E16" s="258">
        <f t="shared" si="0"/>
        <v>3.6857939868220613E-2</v>
      </c>
      <c r="F16" s="82"/>
      <c r="G16" s="264">
        <f t="shared" si="3"/>
        <v>0.73709877039688798</v>
      </c>
      <c r="H16" s="265">
        <f t="shared" si="4"/>
        <v>0.26290122960311196</v>
      </c>
      <c r="I16" s="266">
        <f t="shared" si="1"/>
        <v>1</v>
      </c>
      <c r="J16" s="266">
        <f t="shared" si="2"/>
        <v>0.73709877039688809</v>
      </c>
      <c r="K16" s="82"/>
      <c r="L16" s="82"/>
      <c r="M16" s="82"/>
      <c r="N16" s="3"/>
      <c r="O16" s="82"/>
      <c r="P16" s="262">
        <v>2.1578421579999998</v>
      </c>
      <c r="Q16" s="82"/>
      <c r="R16" s="52"/>
      <c r="S16" s="82"/>
      <c r="T16" s="262">
        <v>0.94399999999999995</v>
      </c>
      <c r="U16" s="82"/>
      <c r="V16" s="52"/>
      <c r="W16" s="52"/>
      <c r="X16" s="52"/>
      <c r="Y16" s="52"/>
      <c r="Z16" s="52"/>
      <c r="AA16" s="52"/>
      <c r="AB16" s="52"/>
      <c r="AC16" s="3"/>
      <c r="AD16" s="3"/>
      <c r="AE16" s="3"/>
      <c r="AF16" s="71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</row>
    <row r="17" spans="1:46" ht="14.25" customHeight="1" x14ac:dyDescent="0.25">
      <c r="A17" s="3"/>
      <c r="B17" s="82"/>
      <c r="C17" s="176">
        <v>6</v>
      </c>
      <c r="D17" s="168"/>
      <c r="E17" s="258">
        <f t="shared" si="0"/>
        <v>3.397539549360562E-2</v>
      </c>
      <c r="F17" s="82"/>
      <c r="G17" s="264">
        <f t="shared" si="3"/>
        <v>0.71205554815480332</v>
      </c>
      <c r="H17" s="265">
        <f t="shared" si="4"/>
        <v>0.28794445184519663</v>
      </c>
      <c r="I17" s="266">
        <f t="shared" si="1"/>
        <v>1</v>
      </c>
      <c r="J17" s="266">
        <f t="shared" si="2"/>
        <v>0.71205554815480343</v>
      </c>
      <c r="K17" s="82"/>
      <c r="L17" s="82"/>
      <c r="M17" s="82"/>
      <c r="N17" s="3"/>
      <c r="O17" s="82"/>
      <c r="P17" s="262">
        <v>2.3976023980000001</v>
      </c>
      <c r="Q17" s="82"/>
      <c r="R17" s="52"/>
      <c r="S17" s="82"/>
      <c r="T17" s="262">
        <v>0.92800000000000005</v>
      </c>
      <c r="U17" s="82"/>
      <c r="V17" s="52"/>
      <c r="W17" s="52"/>
      <c r="X17" s="52"/>
      <c r="Y17" s="52"/>
      <c r="Z17" s="52"/>
      <c r="AA17" s="52"/>
      <c r="AB17" s="52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</row>
    <row r="18" spans="1:46" ht="14.25" customHeight="1" x14ac:dyDescent="0.25">
      <c r="A18" s="3"/>
      <c r="B18" s="82"/>
      <c r="C18" s="176">
        <v>7</v>
      </c>
      <c r="D18" s="168"/>
      <c r="E18" s="258">
        <f t="shared" si="0"/>
        <v>3.1748812794539116E-2</v>
      </c>
      <c r="F18" s="82"/>
      <c r="G18" s="264">
        <f t="shared" si="3"/>
        <v>0.68944862985712352</v>
      </c>
      <c r="H18" s="265">
        <f t="shared" si="4"/>
        <v>0.31055137014287643</v>
      </c>
      <c r="I18" s="266">
        <f t="shared" si="1"/>
        <v>1</v>
      </c>
      <c r="J18" s="266">
        <f t="shared" si="2"/>
        <v>0.68944862985712363</v>
      </c>
      <c r="K18" s="82"/>
      <c r="L18" s="82"/>
      <c r="M18" s="82"/>
      <c r="N18" s="3"/>
      <c r="O18" s="82"/>
      <c r="P18" s="262">
        <v>2.9370629369999999</v>
      </c>
      <c r="Q18" s="82"/>
      <c r="R18" s="52"/>
      <c r="S18" s="82"/>
      <c r="T18" s="262">
        <v>0.91839999999999999</v>
      </c>
      <c r="U18" s="82"/>
      <c r="V18" s="52"/>
      <c r="W18" s="52"/>
      <c r="X18" s="52"/>
      <c r="Y18" s="52"/>
      <c r="Z18" s="52"/>
      <c r="AA18" s="52"/>
      <c r="AB18" s="52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</row>
    <row r="19" spans="1:46" ht="14.25" customHeight="1" x14ac:dyDescent="0.25">
      <c r="A19" s="3"/>
      <c r="B19" s="82"/>
      <c r="C19" s="176">
        <v>8</v>
      </c>
      <c r="D19" s="168"/>
      <c r="E19" s="258">
        <f t="shared" si="0"/>
        <v>2.9957633508640114E-2</v>
      </c>
      <c r="F19" s="82"/>
      <c r="G19" s="264">
        <f t="shared" si="3"/>
        <v>0.66879438048082973</v>
      </c>
      <c r="H19" s="265">
        <f t="shared" si="4"/>
        <v>0.33120561951917021</v>
      </c>
      <c r="I19" s="266">
        <f t="shared" si="1"/>
        <v>1</v>
      </c>
      <c r="J19" s="266">
        <f t="shared" si="2"/>
        <v>0.66879438048082984</v>
      </c>
      <c r="K19" s="82"/>
      <c r="L19" s="82"/>
      <c r="M19" s="82"/>
      <c r="N19" s="3"/>
      <c r="O19" s="82"/>
      <c r="P19" s="262">
        <v>3.2367632369999999</v>
      </c>
      <c r="Q19" s="82"/>
      <c r="R19" s="52"/>
      <c r="S19" s="82"/>
      <c r="T19" s="262">
        <v>0.90559999999999996</v>
      </c>
      <c r="U19" s="82"/>
      <c r="V19" s="52"/>
      <c r="W19" s="52"/>
      <c r="X19" s="52"/>
      <c r="Y19" s="52"/>
      <c r="Z19" s="52"/>
      <c r="AA19" s="52"/>
      <c r="AB19" s="52"/>
      <c r="AC19" s="3"/>
      <c r="AD19" s="3"/>
      <c r="AE19" s="3"/>
      <c r="AF19" s="3"/>
      <c r="AG19" s="71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</row>
    <row r="20" spans="1:46" ht="14.25" customHeight="1" x14ac:dyDescent="0.25">
      <c r="A20" s="3"/>
      <c r="B20" s="82"/>
      <c r="C20" s="176">
        <v>9</v>
      </c>
      <c r="D20" s="168"/>
      <c r="E20" s="258">
        <f t="shared" si="0"/>
        <v>2.847362805491771E-2</v>
      </c>
      <c r="F20" s="82"/>
      <c r="G20" s="264">
        <f t="shared" si="3"/>
        <v>0.64975137804579952</v>
      </c>
      <c r="H20" s="265">
        <f t="shared" si="4"/>
        <v>0.35024862195420048</v>
      </c>
      <c r="I20" s="266">
        <f t="shared" si="1"/>
        <v>1</v>
      </c>
      <c r="J20" s="266">
        <f t="shared" si="2"/>
        <v>0.64975137804579952</v>
      </c>
      <c r="K20" s="82"/>
      <c r="L20" s="82"/>
      <c r="M20" s="82"/>
      <c r="N20" s="3"/>
      <c r="O20" s="82"/>
      <c r="P20" s="262">
        <v>3.3566433569999998</v>
      </c>
      <c r="Q20" s="82"/>
      <c r="R20" s="52"/>
      <c r="S20" s="82"/>
      <c r="T20" s="262">
        <v>0.88800000000000001</v>
      </c>
      <c r="U20" s="82"/>
      <c r="V20" s="52"/>
      <c r="W20" s="52"/>
      <c r="X20" s="52"/>
      <c r="Y20" s="52"/>
      <c r="Z20" s="52"/>
      <c r="AA20" s="52"/>
      <c r="AB20" s="52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</row>
    <row r="21" spans="1:46" ht="14.25" customHeight="1" x14ac:dyDescent="0.25">
      <c r="A21" s="3"/>
      <c r="B21" s="82"/>
      <c r="C21" s="176">
        <v>10</v>
      </c>
      <c r="D21" s="168"/>
      <c r="E21" s="258">
        <f t="shared" si="0"/>
        <v>2.7216289290619589E-2</v>
      </c>
      <c r="F21" s="82"/>
      <c r="G21" s="264">
        <f t="shared" si="3"/>
        <v>0.63206755657392633</v>
      </c>
      <c r="H21" s="265">
        <f t="shared" si="4"/>
        <v>0.36793244342607367</v>
      </c>
      <c r="I21" s="266">
        <f t="shared" si="1"/>
        <v>1</v>
      </c>
      <c r="J21" s="266">
        <f t="shared" si="2"/>
        <v>0.63206755657392633</v>
      </c>
      <c r="K21" s="82"/>
      <c r="L21" s="82"/>
      <c r="M21" s="82"/>
      <c r="N21" s="3"/>
      <c r="O21" s="82"/>
      <c r="P21" s="262">
        <v>3.6563436560000002</v>
      </c>
      <c r="Q21" s="82"/>
      <c r="R21" s="52"/>
      <c r="S21" s="82"/>
      <c r="T21" s="262">
        <v>0.87680000000000002</v>
      </c>
      <c r="U21" s="82"/>
      <c r="V21" s="52"/>
      <c r="W21" s="52"/>
      <c r="X21" s="52"/>
      <c r="Y21" s="52"/>
      <c r="Z21" s="52"/>
      <c r="AA21" s="52"/>
      <c r="AB21" s="52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</row>
    <row r="22" spans="1:46" ht="14.25" customHeight="1" x14ac:dyDescent="0.25">
      <c r="A22" s="3"/>
      <c r="B22" s="82"/>
      <c r="C22" s="176">
        <v>11</v>
      </c>
      <c r="D22" s="168"/>
      <c r="E22" s="258">
        <f t="shared" si="0"/>
        <v>2.6132089206990394E-2</v>
      </c>
      <c r="F22" s="82"/>
      <c r="G22" s="264">
        <f t="shared" si="3"/>
        <v>0.615550310800692</v>
      </c>
      <c r="H22" s="265">
        <f t="shared" si="4"/>
        <v>0.38444968919930794</v>
      </c>
      <c r="I22" s="266">
        <f t="shared" si="1"/>
        <v>1</v>
      </c>
      <c r="J22" s="266">
        <f t="shared" si="2"/>
        <v>0.61555031080069211</v>
      </c>
      <c r="K22" s="82"/>
      <c r="L22" s="82"/>
      <c r="M22" s="82"/>
      <c r="N22" s="3"/>
      <c r="O22" s="82"/>
      <c r="P22" s="262">
        <v>4.015984016</v>
      </c>
      <c r="Q22" s="82"/>
      <c r="R22" s="52"/>
      <c r="S22" s="82"/>
      <c r="T22" s="262">
        <v>0.85760000000000003</v>
      </c>
      <c r="U22" s="82"/>
      <c r="V22" s="52"/>
      <c r="W22" s="52"/>
      <c r="X22" s="52"/>
      <c r="Y22" s="52"/>
      <c r="Z22" s="52"/>
      <c r="AA22" s="52"/>
      <c r="AB22" s="52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</row>
    <row r="23" spans="1:46" ht="14.25" customHeight="1" x14ac:dyDescent="0.25">
      <c r="A23" s="3"/>
      <c r="B23" s="82"/>
      <c r="C23" s="176">
        <v>12</v>
      </c>
      <c r="D23" s="168"/>
      <c r="E23" s="258">
        <f t="shared" si="0"/>
        <v>2.5183817320057478E-2</v>
      </c>
      <c r="F23" s="82"/>
      <c r="G23" s="264">
        <f t="shared" si="3"/>
        <v>0.60004840422218275</v>
      </c>
      <c r="H23" s="265">
        <f t="shared" si="4"/>
        <v>0.39995159577781719</v>
      </c>
      <c r="I23" s="266">
        <f t="shared" si="1"/>
        <v>1</v>
      </c>
      <c r="J23" s="266">
        <f t="shared" si="2"/>
        <v>0.60004840422218275</v>
      </c>
      <c r="K23" s="82"/>
      <c r="L23" s="82"/>
      <c r="M23" s="82"/>
      <c r="N23" s="3"/>
      <c r="O23" s="82"/>
      <c r="P23" s="262">
        <v>4.5554445550000002</v>
      </c>
      <c r="Q23" s="82"/>
      <c r="R23" s="52"/>
      <c r="S23" s="82"/>
      <c r="T23" s="262">
        <v>0.85119999999999996</v>
      </c>
      <c r="U23" s="82"/>
      <c r="V23" s="52"/>
      <c r="W23" s="52"/>
      <c r="X23" s="52"/>
      <c r="Y23" s="52"/>
      <c r="Z23" s="52"/>
      <c r="AA23" s="52"/>
      <c r="AB23" s="52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</row>
    <row r="24" spans="1:46" ht="14.25" customHeight="1" x14ac:dyDescent="0.25">
      <c r="A24" s="3"/>
      <c r="B24" s="82"/>
      <c r="C24" s="176">
        <v>13</v>
      </c>
      <c r="D24" s="168"/>
      <c r="E24" s="258">
        <f t="shared" si="0"/>
        <v>2.4344668049628426E-2</v>
      </c>
      <c r="F24" s="82"/>
      <c r="G24" s="264">
        <f t="shared" si="3"/>
        <v>0.58544042500768445</v>
      </c>
      <c r="H24" s="265">
        <f t="shared" si="4"/>
        <v>0.41455957499231549</v>
      </c>
      <c r="I24" s="266">
        <f t="shared" si="1"/>
        <v>1</v>
      </c>
      <c r="J24" s="266">
        <f t="shared" si="2"/>
        <v>0.58544042500768456</v>
      </c>
      <c r="K24" s="82"/>
      <c r="L24" s="82"/>
      <c r="M24" s="82"/>
      <c r="N24" s="3"/>
      <c r="O24" s="82"/>
      <c r="P24" s="262">
        <v>4.9150849150000004</v>
      </c>
      <c r="Q24" s="82"/>
      <c r="R24" s="52"/>
      <c r="S24" s="82"/>
      <c r="T24" s="262">
        <v>0.83840000000000003</v>
      </c>
      <c r="U24" s="82"/>
      <c r="V24" s="52"/>
      <c r="W24" s="52"/>
      <c r="X24" s="52"/>
      <c r="Y24" s="52"/>
      <c r="Z24" s="52"/>
      <c r="AA24" s="52"/>
      <c r="AB24" s="52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</row>
    <row r="25" spans="1:46" ht="14.25" customHeight="1" x14ac:dyDescent="0.25">
      <c r="A25" s="3"/>
      <c r="B25" s="82"/>
      <c r="C25" s="176">
        <v>14</v>
      </c>
      <c r="D25" s="168"/>
      <c r="E25" s="258">
        <f t="shared" si="0"/>
        <v>2.3594759243175556E-2</v>
      </c>
      <c r="F25" s="82"/>
      <c r="G25" s="264">
        <f t="shared" si="3"/>
        <v>0.57162709912840581</v>
      </c>
      <c r="H25" s="265">
        <f t="shared" si="4"/>
        <v>0.42837290087159419</v>
      </c>
      <c r="I25" s="266">
        <f t="shared" si="1"/>
        <v>1</v>
      </c>
      <c r="J25" s="266">
        <f t="shared" si="2"/>
        <v>0.57162709912840581</v>
      </c>
      <c r="K25" s="82"/>
      <c r="L25" s="82"/>
      <c r="M25" s="82"/>
      <c r="N25" s="3"/>
      <c r="O25" s="82"/>
      <c r="P25" s="262">
        <v>5.0349650349999999</v>
      </c>
      <c r="Q25" s="82"/>
      <c r="R25" s="52"/>
      <c r="S25" s="82"/>
      <c r="T25" s="262">
        <v>0.82399999999999995</v>
      </c>
      <c r="U25" s="82"/>
      <c r="V25" s="52"/>
      <c r="W25" s="52"/>
      <c r="X25" s="52"/>
      <c r="Y25" s="52"/>
      <c r="Z25" s="52"/>
      <c r="AA25" s="52"/>
      <c r="AB25" s="52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</row>
    <row r="26" spans="1:46" ht="14.25" customHeight="1" x14ac:dyDescent="0.25">
      <c r="A26" s="3"/>
      <c r="B26" s="82"/>
      <c r="C26" s="176">
        <v>15</v>
      </c>
      <c r="D26" s="168"/>
      <c r="E26" s="258">
        <f>1-EXP(lambda*(C25^gamma-C26^gamma))</f>
        <v>2.291898017778915E-2</v>
      </c>
      <c r="F26" s="82"/>
      <c r="G26" s="264">
        <f t="shared" si="3"/>
        <v>0.55852598897439476</v>
      </c>
      <c r="H26" s="265">
        <f t="shared" si="4"/>
        <v>0.44147401102560524</v>
      </c>
      <c r="I26" s="266">
        <f t="shared" si="1"/>
        <v>1</v>
      </c>
      <c r="J26" s="266">
        <f t="shared" si="2"/>
        <v>0.55852598897439476</v>
      </c>
      <c r="K26" s="82"/>
      <c r="L26" s="82"/>
      <c r="M26" s="82"/>
      <c r="N26" s="3"/>
      <c r="O26" s="82"/>
      <c r="P26" s="262">
        <v>5.5744255740000002</v>
      </c>
      <c r="Q26" s="82"/>
      <c r="R26" s="52"/>
      <c r="S26" s="82"/>
      <c r="T26" s="262">
        <v>0.80959999999999999</v>
      </c>
      <c r="U26" s="82"/>
      <c r="V26" s="52"/>
      <c r="W26" s="52"/>
      <c r="X26" s="52"/>
      <c r="Y26" s="52"/>
      <c r="Z26" s="52"/>
      <c r="AA26" s="52"/>
      <c r="AB26" s="52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</row>
    <row r="27" spans="1:46" ht="14.25" customHeight="1" x14ac:dyDescent="0.25">
      <c r="A27" s="3"/>
      <c r="B27" s="82"/>
      <c r="C27" s="176">
        <v>16</v>
      </c>
      <c r="D27" s="168"/>
      <c r="E27" s="258">
        <f t="shared" si="0"/>
        <v>2.230560674585369E-2</v>
      </c>
      <c r="F27" s="82"/>
      <c r="G27" s="264">
        <f t="shared" si="3"/>
        <v>0.54606772790699287</v>
      </c>
      <c r="H27" s="265">
        <f t="shared" si="4"/>
        <v>0.45393227209300713</v>
      </c>
      <c r="I27" s="266">
        <f t="shared" si="1"/>
        <v>1</v>
      </c>
      <c r="J27" s="266">
        <f t="shared" si="2"/>
        <v>0.54606772790699287</v>
      </c>
      <c r="K27" s="82"/>
      <c r="L27" s="82"/>
      <c r="M27" s="82"/>
      <c r="N27" s="3"/>
      <c r="O27" s="82"/>
      <c r="P27" s="262">
        <v>5.9340659340000004</v>
      </c>
      <c r="Q27" s="82"/>
      <c r="R27" s="52"/>
      <c r="S27" s="82"/>
      <c r="T27" s="262">
        <v>0.79679999999999995</v>
      </c>
      <c r="U27" s="82"/>
      <c r="V27" s="52"/>
      <c r="W27" s="52"/>
      <c r="X27" s="52"/>
      <c r="Y27" s="52"/>
      <c r="Z27" s="52"/>
      <c r="AA27" s="52"/>
      <c r="AB27" s="52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</row>
    <row r="28" spans="1:46" ht="14.25" customHeight="1" x14ac:dyDescent="0.25">
      <c r="A28" s="3"/>
      <c r="B28" s="82"/>
      <c r="C28" s="176">
        <v>17</v>
      </c>
      <c r="D28" s="168"/>
      <c r="E28" s="258">
        <f t="shared" si="0"/>
        <v>2.1745379596769254E-2</v>
      </c>
      <c r="F28" s="82"/>
      <c r="G28" s="264">
        <f t="shared" si="3"/>
        <v>0.53419327787811</v>
      </c>
      <c r="H28" s="265">
        <f t="shared" si="4"/>
        <v>0.46580672212189</v>
      </c>
      <c r="I28" s="266">
        <f t="shared" si="1"/>
        <v>1</v>
      </c>
      <c r="J28" s="266">
        <f t="shared" si="2"/>
        <v>0.53419327787811</v>
      </c>
      <c r="K28" s="82"/>
      <c r="L28" s="82"/>
      <c r="M28" s="82"/>
      <c r="N28" s="3"/>
      <c r="O28" s="82"/>
      <c r="P28" s="262">
        <v>6.1738261740000002</v>
      </c>
      <c r="Q28" s="82"/>
      <c r="R28" s="52"/>
      <c r="S28" s="82"/>
      <c r="T28" s="262">
        <v>0.78400000000000003</v>
      </c>
      <c r="U28" s="82"/>
      <c r="V28" s="52"/>
      <c r="W28" s="52"/>
      <c r="X28" s="52"/>
      <c r="Y28" s="52"/>
      <c r="Z28" s="52"/>
      <c r="AA28" s="52"/>
      <c r="AB28" s="52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</row>
    <row r="29" spans="1:46" ht="14.25" customHeight="1" x14ac:dyDescent="0.25">
      <c r="A29" s="3"/>
      <c r="B29" s="82"/>
      <c r="C29" s="176">
        <v>18</v>
      </c>
      <c r="D29" s="168"/>
      <c r="E29" s="258">
        <f t="shared" si="0"/>
        <v>2.1230872420586855E-2</v>
      </c>
      <c r="F29" s="82"/>
      <c r="G29" s="264">
        <f t="shared" si="3"/>
        <v>0.52285188854754472</v>
      </c>
      <c r="H29" s="265">
        <f t="shared" si="4"/>
        <v>0.47714811145245528</v>
      </c>
      <c r="I29" s="266">
        <f t="shared" si="1"/>
        <v>1</v>
      </c>
      <c r="J29" s="266">
        <f t="shared" si="2"/>
        <v>0.52285188854754472</v>
      </c>
      <c r="K29" s="82"/>
      <c r="L29" s="82"/>
      <c r="M29" s="82"/>
      <c r="N29" s="3"/>
      <c r="O29" s="82"/>
      <c r="P29" s="262">
        <v>6.4735264739999998</v>
      </c>
      <c r="Q29" s="82"/>
      <c r="R29" s="52"/>
      <c r="S29" s="82"/>
      <c r="T29" s="262">
        <v>0.77280000000000004</v>
      </c>
      <c r="U29" s="82"/>
      <c r="V29" s="52"/>
      <c r="W29" s="52"/>
      <c r="X29" s="52"/>
      <c r="Y29" s="52"/>
      <c r="Z29" s="52"/>
      <c r="AA29" s="52"/>
      <c r="AB29" s="52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</row>
    <row r="30" spans="1:46" ht="14.25" customHeight="1" x14ac:dyDescent="0.25">
      <c r="A30" s="3"/>
      <c r="B30" s="82"/>
      <c r="C30" s="176">
        <v>19</v>
      </c>
      <c r="D30" s="168"/>
      <c r="E30" s="258">
        <f t="shared" si="0"/>
        <v>2.0756048065641686E-2</v>
      </c>
      <c r="F30" s="82"/>
      <c r="G30" s="264">
        <f t="shared" si="3"/>
        <v>0.51199954961764038</v>
      </c>
      <c r="H30" s="265">
        <f t="shared" si="4"/>
        <v>0.48800045038235967</v>
      </c>
      <c r="I30" s="266">
        <f t="shared" si="1"/>
        <v>1</v>
      </c>
      <c r="J30" s="266">
        <f t="shared" si="2"/>
        <v>0.51199954961764038</v>
      </c>
      <c r="K30" s="82"/>
      <c r="L30" s="82"/>
      <c r="M30" s="82"/>
      <c r="N30" s="3"/>
      <c r="O30" s="82"/>
      <c r="P30" s="262">
        <v>6.5334665330000004</v>
      </c>
      <c r="Q30" s="82"/>
      <c r="R30" s="52"/>
      <c r="S30" s="82"/>
      <c r="T30" s="262">
        <v>0.75680000000000003</v>
      </c>
      <c r="U30" s="82"/>
      <c r="V30" s="52"/>
      <c r="W30" s="52"/>
      <c r="X30" s="52"/>
      <c r="Y30" s="52"/>
      <c r="Z30" s="52"/>
      <c r="AA30" s="52"/>
      <c r="AB30" s="52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  <row r="31" spans="1:46" ht="14.25" customHeight="1" x14ac:dyDescent="0.25">
      <c r="A31" s="3"/>
      <c r="B31" s="82"/>
      <c r="C31" s="176">
        <v>20</v>
      </c>
      <c r="D31" s="168"/>
      <c r="E31" s="258">
        <f t="shared" si="0"/>
        <v>2.0315939730252586E-2</v>
      </c>
      <c r="F31" s="82"/>
      <c r="G31" s="264">
        <f t="shared" si="3"/>
        <v>0.5015977976256919</v>
      </c>
      <c r="H31" s="265">
        <f t="shared" si="4"/>
        <v>0.4984022023743081</v>
      </c>
      <c r="I31" s="266">
        <f t="shared" si="1"/>
        <v>1</v>
      </c>
      <c r="J31" s="266">
        <f t="shared" si="2"/>
        <v>0.5015977976256919</v>
      </c>
      <c r="K31" s="82"/>
      <c r="L31" s="82"/>
      <c r="M31" s="82"/>
      <c r="N31" s="3"/>
      <c r="O31" s="82"/>
      <c r="P31" s="262">
        <v>6.7732267730000002</v>
      </c>
      <c r="Q31" s="82"/>
      <c r="R31" s="52"/>
      <c r="S31" s="82"/>
      <c r="T31" s="262">
        <v>0.73919999999999997</v>
      </c>
      <c r="U31" s="82"/>
      <c r="V31" s="52"/>
      <c r="W31" s="52"/>
      <c r="X31" s="52"/>
      <c r="Y31" s="52"/>
      <c r="Z31" s="52"/>
      <c r="AA31" s="52"/>
      <c r="AB31" s="52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</row>
    <row r="32" spans="1:46" ht="14.25" customHeight="1" x14ac:dyDescent="0.25">
      <c r="A32" s="3"/>
      <c r="B32" s="82"/>
      <c r="C32" s="176">
        <v>21</v>
      </c>
      <c r="D32" s="168"/>
      <c r="E32" s="258">
        <f t="shared" si="0"/>
        <v>1.9906417519096387E-2</v>
      </c>
      <c r="F32" s="82"/>
      <c r="G32" s="264">
        <f t="shared" si="3"/>
        <v>0.49161278243949569</v>
      </c>
      <c r="H32" s="265">
        <f t="shared" si="4"/>
        <v>0.50838721756050431</v>
      </c>
      <c r="I32" s="266">
        <f t="shared" si="1"/>
        <v>1</v>
      </c>
      <c r="J32" s="266">
        <f t="shared" si="2"/>
        <v>0.49161278243949569</v>
      </c>
      <c r="K32" s="82"/>
      <c r="L32" s="82"/>
      <c r="M32" s="82"/>
      <c r="N32" s="3"/>
      <c r="O32" s="82"/>
      <c r="P32" s="262">
        <v>7.1328671330000004</v>
      </c>
      <c r="Q32" s="82"/>
      <c r="R32" s="52"/>
      <c r="S32" s="82"/>
      <c r="T32" s="262">
        <v>0.72319999999999995</v>
      </c>
      <c r="U32" s="82"/>
      <c r="V32" s="52"/>
      <c r="W32" s="52"/>
      <c r="X32" s="52"/>
      <c r="Y32" s="52"/>
      <c r="Z32" s="52"/>
      <c r="AA32" s="52"/>
      <c r="AB32" s="52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</row>
    <row r="33" spans="1:46" ht="14.25" customHeight="1" x14ac:dyDescent="0.25">
      <c r="A33" s="3"/>
      <c r="B33" s="82"/>
      <c r="C33" s="176">
        <v>22</v>
      </c>
      <c r="D33" s="168"/>
      <c r="E33" s="258">
        <f t="shared" si="0"/>
        <v>1.9524014546996038E-2</v>
      </c>
      <c r="F33" s="82"/>
      <c r="G33" s="264">
        <f t="shared" si="3"/>
        <v>0.48201452732365779</v>
      </c>
      <c r="H33" s="265">
        <f t="shared" si="4"/>
        <v>0.51798547267634221</v>
      </c>
      <c r="I33" s="266">
        <f t="shared" si="1"/>
        <v>1</v>
      </c>
      <c r="J33" s="266">
        <f t="shared" si="2"/>
        <v>0.48201452732365779</v>
      </c>
      <c r="K33" s="82"/>
      <c r="L33" s="82"/>
      <c r="M33" s="82"/>
      <c r="N33" s="3"/>
      <c r="O33" s="82"/>
      <c r="P33" s="262">
        <v>7.2527472529999999</v>
      </c>
      <c r="Q33" s="82"/>
      <c r="R33" s="52"/>
      <c r="S33" s="82"/>
      <c r="T33" s="262">
        <v>0.71040000000000003</v>
      </c>
      <c r="U33" s="82"/>
      <c r="V33" s="52"/>
      <c r="W33" s="52"/>
      <c r="X33" s="52"/>
      <c r="Y33" s="52"/>
      <c r="Z33" s="52"/>
      <c r="AA33" s="52"/>
      <c r="AB33" s="52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</row>
    <row r="34" spans="1:46" ht="14.25" customHeight="1" x14ac:dyDescent="0.25">
      <c r="A34" s="3"/>
      <c r="B34" s="82"/>
      <c r="C34" s="176">
        <v>23</v>
      </c>
      <c r="D34" s="168"/>
      <c r="E34" s="258">
        <f t="shared" si="0"/>
        <v>1.9165795395750029E-2</v>
      </c>
      <c r="F34" s="82"/>
      <c r="G34" s="264">
        <f t="shared" si="3"/>
        <v>0.47277633551519338</v>
      </c>
      <c r="H34" s="265">
        <f t="shared" si="4"/>
        <v>0.52722366448480662</v>
      </c>
      <c r="I34" s="266">
        <f t="shared" si="1"/>
        <v>1</v>
      </c>
      <c r="J34" s="266">
        <f t="shared" si="2"/>
        <v>0.47277633551519338</v>
      </c>
      <c r="K34" s="82"/>
      <c r="L34" s="82"/>
      <c r="M34" s="82"/>
      <c r="N34" s="3"/>
      <c r="O34" s="82"/>
      <c r="P34" s="262">
        <v>7.5524475520000003</v>
      </c>
      <c r="Q34" s="82"/>
      <c r="R34" s="52"/>
      <c r="S34" s="82"/>
      <c r="T34" s="262">
        <v>0.69279999999999997</v>
      </c>
      <c r="U34" s="82"/>
      <c r="V34" s="52"/>
      <c r="W34" s="52"/>
      <c r="X34" s="52"/>
      <c r="Y34" s="52"/>
      <c r="Z34" s="52"/>
      <c r="AA34" s="52"/>
      <c r="AB34" s="52"/>
      <c r="AC34" s="3"/>
      <c r="AD34" s="3"/>
      <c r="AE34" s="3"/>
      <c r="AF34" s="3"/>
      <c r="AG34" s="71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</row>
    <row r="35" spans="1:46" ht="14.25" customHeight="1" x14ac:dyDescent="0.25">
      <c r="A35" s="3"/>
      <c r="B35" s="82"/>
      <c r="C35" s="176">
        <v>24</v>
      </c>
      <c r="D35" s="168"/>
      <c r="E35" s="258">
        <f t="shared" si="0"/>
        <v>1.8829255223746122E-2</v>
      </c>
      <c r="F35" s="82"/>
      <c r="G35" s="264">
        <f t="shared" si="3"/>
        <v>0.46387430923003037</v>
      </c>
      <c r="H35" s="265">
        <f t="shared" si="4"/>
        <v>0.53612569076996963</v>
      </c>
      <c r="I35" s="266">
        <f t="shared" si="1"/>
        <v>1</v>
      </c>
      <c r="J35" s="266">
        <f t="shared" si="2"/>
        <v>0.46387430923003037</v>
      </c>
      <c r="K35" s="82"/>
      <c r="L35" s="82"/>
      <c r="M35" s="82"/>
      <c r="N35" s="3"/>
      <c r="O35" s="82"/>
      <c r="P35" s="262">
        <v>7.8521478519999999</v>
      </c>
      <c r="Q35" s="82"/>
      <c r="R35" s="52"/>
      <c r="S35" s="82"/>
      <c r="T35" s="262">
        <v>0.68320000000000003</v>
      </c>
      <c r="U35" s="82"/>
      <c r="V35" s="52"/>
      <c r="W35" s="52"/>
      <c r="X35" s="52"/>
      <c r="Y35" s="52"/>
      <c r="Z35" s="52"/>
      <c r="AA35" s="52"/>
      <c r="AB35" s="52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</row>
    <row r="36" spans="1:46" ht="14.25" customHeight="1" x14ac:dyDescent="0.25">
      <c r="A36" s="3"/>
      <c r="B36" s="82"/>
      <c r="C36" s="176">
        <v>25</v>
      </c>
      <c r="D36" s="168"/>
      <c r="E36" s="258">
        <f t="shared" si="0"/>
        <v>1.851224141148422E-2</v>
      </c>
      <c r="F36" s="82"/>
      <c r="G36" s="264">
        <f t="shared" si="3"/>
        <v>0.45528695603297858</v>
      </c>
      <c r="H36" s="265">
        <f t="shared" si="4"/>
        <v>0.54471304396702147</v>
      </c>
      <c r="I36" s="266">
        <f t="shared" si="1"/>
        <v>1</v>
      </c>
      <c r="J36" s="266">
        <f t="shared" si="2"/>
        <v>0.45528695603297853</v>
      </c>
      <c r="K36" s="82"/>
      <c r="L36" s="82"/>
      <c r="M36" s="82"/>
      <c r="N36" s="3"/>
      <c r="O36" s="82"/>
      <c r="P36" s="262">
        <v>7.8521478519999999</v>
      </c>
      <c r="Q36" s="82"/>
      <c r="R36" s="52"/>
      <c r="S36" s="82"/>
      <c r="T36" s="262">
        <v>0.66879999999999995</v>
      </c>
      <c r="U36" s="82"/>
      <c r="V36" s="52"/>
      <c r="W36" s="52"/>
      <c r="X36" s="52"/>
      <c r="Y36" s="52"/>
      <c r="Z36" s="52"/>
      <c r="AA36" s="52"/>
      <c r="AB36" s="52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</row>
    <row r="37" spans="1:46" ht="14.25" customHeight="1" x14ac:dyDescent="0.25">
      <c r="A37" s="3"/>
      <c r="B37" s="82"/>
      <c r="C37" s="176">
        <v>26</v>
      </c>
      <c r="D37" s="168"/>
      <c r="E37" s="258">
        <f t="shared" si="0"/>
        <v>1.8212892013046322E-2</v>
      </c>
      <c r="F37" s="82"/>
      <c r="G37" s="264">
        <f t="shared" si="3"/>
        <v>0.44699486386780135</v>
      </c>
      <c r="H37" s="265">
        <f t="shared" si="4"/>
        <v>0.5530051361321987</v>
      </c>
      <c r="I37" s="266">
        <f t="shared" si="1"/>
        <v>1</v>
      </c>
      <c r="J37" s="266">
        <f t="shared" si="2"/>
        <v>0.4469948638678013</v>
      </c>
      <c r="K37" s="82"/>
      <c r="L37" s="82"/>
      <c r="M37" s="82"/>
      <c r="N37" s="3"/>
      <c r="O37" s="82"/>
      <c r="P37" s="262">
        <v>8.4515484520000008</v>
      </c>
      <c r="Q37" s="82"/>
      <c r="R37" s="52"/>
      <c r="S37" s="82"/>
      <c r="T37" s="262">
        <v>0.66239999999999999</v>
      </c>
      <c r="U37" s="82"/>
      <c r="V37" s="52"/>
      <c r="W37" s="52"/>
      <c r="X37" s="52"/>
      <c r="Y37" s="52"/>
      <c r="Z37" s="52"/>
      <c r="AA37" s="52"/>
      <c r="AB37" s="52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</row>
    <row r="38" spans="1:46" ht="14.25" customHeight="1" x14ac:dyDescent="0.25">
      <c r="A38" s="3"/>
      <c r="B38" s="82"/>
      <c r="C38" s="176">
        <v>27</v>
      </c>
      <c r="D38" s="168"/>
      <c r="E38" s="258">
        <f t="shared" si="0"/>
        <v>1.7929586903970951E-2</v>
      </c>
      <c r="F38" s="82"/>
      <c r="G38" s="264">
        <f t="shared" si="3"/>
        <v>0.43898043061045494</v>
      </c>
      <c r="H38" s="265">
        <f t="shared" si="4"/>
        <v>0.56101956938954511</v>
      </c>
      <c r="I38" s="266">
        <f t="shared" si="1"/>
        <v>1</v>
      </c>
      <c r="J38" s="266">
        <f t="shared" si="2"/>
        <v>0.43898043061045489</v>
      </c>
      <c r="K38" s="82"/>
      <c r="L38" s="82"/>
      <c r="M38" s="82"/>
      <c r="N38" s="3"/>
      <c r="O38" s="82"/>
      <c r="P38" s="262">
        <v>9.0509490509999999</v>
      </c>
      <c r="Q38" s="82"/>
      <c r="R38" s="52"/>
      <c r="S38" s="82"/>
      <c r="T38" s="262">
        <v>0.65600000000000003</v>
      </c>
      <c r="U38" s="82"/>
      <c r="V38" s="52"/>
      <c r="W38" s="52"/>
      <c r="X38" s="52"/>
      <c r="Y38" s="52"/>
      <c r="Z38" s="52"/>
      <c r="AA38" s="52"/>
      <c r="AB38" s="52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</row>
    <row r="39" spans="1:46" ht="14.25" customHeight="1" x14ac:dyDescent="0.25">
      <c r="A39" s="3"/>
      <c r="B39" s="82"/>
      <c r="C39" s="176">
        <v>28</v>
      </c>
      <c r="D39" s="168"/>
      <c r="E39" s="258">
        <f t="shared" si="0"/>
        <v>1.7660908635339534E-2</v>
      </c>
      <c r="F39" s="82"/>
      <c r="G39" s="264">
        <f t="shared" si="3"/>
        <v>0.43122763733274166</v>
      </c>
      <c r="H39" s="265">
        <f t="shared" si="4"/>
        <v>0.56877236266725839</v>
      </c>
      <c r="I39" s="266">
        <f t="shared" si="1"/>
        <v>1</v>
      </c>
      <c r="J39" s="266">
        <f t="shared" si="2"/>
        <v>0.43122763733274161</v>
      </c>
      <c r="K39" s="82"/>
      <c r="L39" s="82"/>
      <c r="M39" s="82"/>
      <c r="N39" s="3"/>
      <c r="O39" s="82"/>
      <c r="P39" s="262">
        <v>9.4105894110000001</v>
      </c>
      <c r="Q39" s="82"/>
      <c r="R39" s="52"/>
      <c r="S39" s="82"/>
      <c r="T39" s="262">
        <v>0.64159999999999995</v>
      </c>
      <c r="U39" s="82"/>
      <c r="V39" s="52"/>
      <c r="W39" s="52"/>
      <c r="X39" s="52"/>
      <c r="Y39" s="52"/>
      <c r="Z39" s="52"/>
      <c r="AA39" s="52"/>
      <c r="AB39" s="52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</row>
    <row r="40" spans="1:46" ht="14.25" customHeight="1" x14ac:dyDescent="0.25">
      <c r="A40" s="3"/>
      <c r="B40" s="82"/>
      <c r="C40" s="176">
        <v>29</v>
      </c>
      <c r="D40" s="168"/>
      <c r="E40" s="258">
        <f t="shared" si="0"/>
        <v>1.7405610789336001E-2</v>
      </c>
      <c r="F40" s="82"/>
      <c r="G40" s="264">
        <f t="shared" si="3"/>
        <v>0.42372185691572301</v>
      </c>
      <c r="H40" s="265">
        <f t="shared" si="4"/>
        <v>0.57627814308427705</v>
      </c>
      <c r="I40" s="266">
        <f t="shared" si="1"/>
        <v>1</v>
      </c>
      <c r="J40" s="266">
        <f t="shared" si="2"/>
        <v>0.42372185691572295</v>
      </c>
      <c r="K40" s="82"/>
      <c r="L40" s="82"/>
      <c r="M40" s="82"/>
      <c r="N40" s="3"/>
      <c r="O40" s="82"/>
      <c r="P40" s="262">
        <v>9.8301698300000009</v>
      </c>
      <c r="Q40" s="82"/>
      <c r="R40" s="52"/>
      <c r="S40" s="82"/>
      <c r="T40" s="262">
        <v>0.62880000000000003</v>
      </c>
      <c r="U40" s="82"/>
      <c r="V40" s="52"/>
      <c r="W40" s="52"/>
      <c r="X40" s="52"/>
      <c r="Y40" s="52"/>
      <c r="Z40" s="52"/>
      <c r="AA40" s="52"/>
      <c r="AB40" s="52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</row>
    <row r="41" spans="1:46" ht="14.25" customHeight="1" x14ac:dyDescent="0.25">
      <c r="A41" s="3"/>
      <c r="B41" s="82"/>
      <c r="C41" s="176">
        <v>30</v>
      </c>
      <c r="D41" s="168"/>
      <c r="E41" s="258">
        <f t="shared" si="0"/>
        <v>1.7162592190825832E-2</v>
      </c>
      <c r="F41" s="82"/>
      <c r="G41" s="264">
        <f t="shared" si="3"/>
        <v>0.41644969148313898</v>
      </c>
      <c r="H41" s="265">
        <f t="shared" si="4"/>
        <v>0.58355030851686107</v>
      </c>
      <c r="I41" s="266">
        <f t="shared" si="1"/>
        <v>1</v>
      </c>
      <c r="J41" s="266">
        <f t="shared" si="2"/>
        <v>0.41644969148313893</v>
      </c>
      <c r="K41" s="82"/>
      <c r="L41" s="82"/>
      <c r="M41" s="82"/>
      <c r="N41" s="3"/>
      <c r="O41" s="82"/>
      <c r="P41" s="262">
        <v>10.06993007</v>
      </c>
      <c r="Q41" s="82"/>
      <c r="R41" s="52"/>
      <c r="S41" s="82"/>
      <c r="T41" s="262">
        <v>0.61599999999999999</v>
      </c>
      <c r="U41" s="82"/>
      <c r="V41" s="52"/>
      <c r="W41" s="52"/>
      <c r="X41" s="52"/>
      <c r="Y41" s="52"/>
      <c r="Z41" s="52"/>
      <c r="AA41" s="52"/>
      <c r="AB41" s="52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</row>
    <row r="42" spans="1:46" ht="14.25" customHeight="1" x14ac:dyDescent="0.25">
      <c r="A42" s="3"/>
      <c r="B42" s="82"/>
      <c r="C42" s="176">
        <v>31</v>
      </c>
      <c r="D42" s="168"/>
      <c r="E42" s="258">
        <f t="shared" si="0"/>
        <v>1.6930875733040307E-2</v>
      </c>
      <c r="F42" s="82"/>
      <c r="G42" s="264">
        <f t="shared" si="3"/>
        <v>0.409398833507575</v>
      </c>
      <c r="H42" s="265">
        <f t="shared" si="4"/>
        <v>0.59060116649242511</v>
      </c>
      <c r="I42" s="266">
        <f t="shared" si="1"/>
        <v>1</v>
      </c>
      <c r="J42" s="266">
        <f t="shared" si="2"/>
        <v>0.40939883350757489</v>
      </c>
      <c r="K42" s="82"/>
      <c r="L42" s="82"/>
      <c r="M42" s="82"/>
      <c r="N42" s="3"/>
      <c r="O42" s="82"/>
      <c r="P42" s="262">
        <v>10.42957043</v>
      </c>
      <c r="Q42" s="82"/>
      <c r="R42" s="52"/>
      <c r="S42" s="82"/>
      <c r="T42" s="262">
        <v>0.60319999999999996</v>
      </c>
      <c r="U42" s="82"/>
      <c r="V42" s="52"/>
      <c r="W42" s="52"/>
      <c r="X42" s="52"/>
      <c r="Y42" s="52"/>
      <c r="Z42" s="52"/>
      <c r="AA42" s="52"/>
      <c r="AB42" s="52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</row>
    <row r="43" spans="1:46" ht="14.25" customHeight="1" x14ac:dyDescent="0.25">
      <c r="A43" s="3"/>
      <c r="B43" s="82"/>
      <c r="C43" s="176">
        <v>32</v>
      </c>
      <c r="D43" s="168"/>
      <c r="E43" s="258">
        <f t="shared" ref="E43:E74" si="5">1-EXP(lambda*(C42^gamma-C43^gamma))</f>
        <v>1.6709590870235935E-2</v>
      </c>
      <c r="F43" s="82"/>
      <c r="G43" s="264">
        <f t="shared" si="3"/>
        <v>0.40255794649691157</v>
      </c>
      <c r="H43" s="265">
        <f t="shared" si="4"/>
        <v>0.59744205350308854</v>
      </c>
      <c r="I43" s="266">
        <f t="shared" si="1"/>
        <v>1</v>
      </c>
      <c r="J43" s="266">
        <f t="shared" si="2"/>
        <v>0.40255794649691146</v>
      </c>
      <c r="K43" s="82"/>
      <c r="L43" s="82"/>
      <c r="M43" s="82"/>
      <c r="N43" s="3"/>
      <c r="O43" s="82"/>
      <c r="P43" s="262">
        <v>10.96903097</v>
      </c>
      <c r="Q43" s="82"/>
      <c r="R43" s="52"/>
      <c r="S43" s="82"/>
      <c r="T43" s="262">
        <v>0.59519999999999995</v>
      </c>
      <c r="U43" s="82"/>
      <c r="V43" s="52"/>
      <c r="W43" s="52"/>
      <c r="X43" s="52"/>
      <c r="Y43" s="52"/>
      <c r="Z43" s="52"/>
      <c r="AA43" s="52"/>
      <c r="AB43" s="52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</row>
    <row r="44" spans="1:46" ht="14.25" customHeight="1" x14ac:dyDescent="0.25">
      <c r="A44" s="3"/>
      <c r="B44" s="82"/>
      <c r="C44" s="176">
        <v>33</v>
      </c>
      <c r="D44" s="168"/>
      <c r="E44" s="258">
        <f t="shared" si="5"/>
        <v>1.6497959048035082E-2</v>
      </c>
      <c r="F44" s="82"/>
      <c r="G44" s="264">
        <f t="shared" si="3"/>
        <v>0.39591656198114444</v>
      </c>
      <c r="H44" s="265">
        <f t="shared" si="4"/>
        <v>0.60408343801885567</v>
      </c>
      <c r="I44" s="266">
        <f t="shared" si="1"/>
        <v>1</v>
      </c>
      <c r="J44" s="266">
        <f t="shared" si="2"/>
        <v>0.39591656198114433</v>
      </c>
      <c r="K44" s="82"/>
      <c r="L44" s="82"/>
      <c r="M44" s="82"/>
      <c r="N44" s="3"/>
      <c r="O44" s="82"/>
      <c r="P44" s="262">
        <v>11.328671330000001</v>
      </c>
      <c r="Q44" s="82"/>
      <c r="R44" s="52"/>
      <c r="S44" s="82"/>
      <c r="T44" s="262">
        <v>0.58560000000000001</v>
      </c>
      <c r="U44" s="82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</row>
    <row r="45" spans="1:46" ht="14.25" customHeight="1" x14ac:dyDescent="0.25">
      <c r="A45" s="3"/>
      <c r="B45" s="82"/>
      <c r="C45" s="176">
        <v>34</v>
      </c>
      <c r="D45" s="168"/>
      <c r="E45" s="258">
        <f t="shared" si="5"/>
        <v>1.6295281504810633E-2</v>
      </c>
      <c r="F45" s="82"/>
      <c r="G45" s="264">
        <f t="shared" si="3"/>
        <v>0.38946499015124486</v>
      </c>
      <c r="H45" s="265">
        <f t="shared" si="4"/>
        <v>0.61053500984875519</v>
      </c>
      <c r="I45" s="266">
        <f t="shared" si="1"/>
        <v>1</v>
      </c>
      <c r="J45" s="266">
        <f t="shared" si="2"/>
        <v>0.38946499015124481</v>
      </c>
      <c r="K45" s="82"/>
      <c r="L45" s="82"/>
      <c r="M45" s="82"/>
      <c r="N45" s="3"/>
      <c r="O45" s="82"/>
      <c r="P45" s="262">
        <v>11.508491510000001</v>
      </c>
      <c r="Q45" s="82"/>
      <c r="R45" s="52"/>
      <c r="S45" s="82"/>
      <c r="T45" s="262">
        <v>0.56479999999999997</v>
      </c>
      <c r="U45" s="82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</row>
    <row r="46" spans="1:46" ht="14.25" customHeight="1" x14ac:dyDescent="0.25">
      <c r="A46" s="3"/>
      <c r="B46" s="82"/>
      <c r="C46" s="176">
        <v>35</v>
      </c>
      <c r="D46" s="168"/>
      <c r="E46" s="258">
        <f t="shared" si="5"/>
        <v>1.6100929000166575E-2</v>
      </c>
      <c r="F46" s="82"/>
      <c r="G46" s="264">
        <f t="shared" si="3"/>
        <v>0.3831942419967691</v>
      </c>
      <c r="H46" s="265">
        <f t="shared" si="4"/>
        <v>0.61680575800323101</v>
      </c>
      <c r="I46" s="266">
        <f t="shared" si="1"/>
        <v>1</v>
      </c>
      <c r="J46" s="266">
        <f t="shared" si="2"/>
        <v>0.38319424199676899</v>
      </c>
      <c r="K46" s="82"/>
      <c r="L46" s="82"/>
      <c r="M46" s="82"/>
      <c r="N46" s="3"/>
      <c r="O46" s="82"/>
      <c r="P46" s="262">
        <v>11.92807193</v>
      </c>
      <c r="Q46" s="82"/>
      <c r="R46" s="52"/>
      <c r="S46" s="82"/>
      <c r="T46" s="262">
        <v>0.5504</v>
      </c>
      <c r="U46" s="82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</row>
    <row r="47" spans="1:46" ht="14.25" customHeight="1" x14ac:dyDescent="0.25">
      <c r="A47" s="3"/>
      <c r="B47" s="82"/>
      <c r="C47" s="176">
        <v>36</v>
      </c>
      <c r="D47" s="168"/>
      <c r="E47" s="258">
        <f t="shared" si="5"/>
        <v>1.5914333119951385E-2</v>
      </c>
      <c r="F47" s="82"/>
      <c r="G47" s="264">
        <f t="shared" si="3"/>
        <v>0.37709596117998523</v>
      </c>
      <c r="H47" s="265">
        <f t="shared" si="4"/>
        <v>0.62290403882001488</v>
      </c>
      <c r="I47" s="266">
        <f t="shared" si="1"/>
        <v>1</v>
      </c>
      <c r="J47" s="266">
        <f t="shared" si="2"/>
        <v>0.37709596117998512</v>
      </c>
      <c r="K47" s="82"/>
      <c r="L47" s="82"/>
      <c r="M47" s="82"/>
      <c r="N47" s="3"/>
      <c r="O47" s="82"/>
      <c r="P47" s="262">
        <v>12.64735265</v>
      </c>
      <c r="Q47" s="82"/>
      <c r="R47" s="52"/>
      <c r="S47" s="82"/>
      <c r="T47" s="262">
        <v>0.53920000000000001</v>
      </c>
      <c r="U47" s="82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</row>
    <row r="48" spans="1:46" ht="14.25" customHeight="1" x14ac:dyDescent="0.25">
      <c r="A48" s="3"/>
      <c r="B48" s="82"/>
      <c r="C48" s="176">
        <v>37</v>
      </c>
      <c r="D48" s="168"/>
      <c r="E48" s="258">
        <f t="shared" si="5"/>
        <v>1.5734978878933936E-2</v>
      </c>
      <c r="F48" s="82"/>
      <c r="G48" s="264">
        <f t="shared" si="3"/>
        <v>0.37116236419548687</v>
      </c>
      <c r="H48" s="265">
        <f t="shared" si="4"/>
        <v>0.62883763580451324</v>
      </c>
      <c r="I48" s="266">
        <f t="shared" si="1"/>
        <v>1</v>
      </c>
      <c r="J48" s="266">
        <f t="shared" si="2"/>
        <v>0.37116236419548676</v>
      </c>
      <c r="K48" s="82"/>
      <c r="L48" s="82"/>
      <c r="M48" s="82"/>
      <c r="N48" s="3"/>
      <c r="O48" s="82"/>
      <c r="P48" s="262">
        <v>13.366633370000001</v>
      </c>
      <c r="Q48" s="82"/>
      <c r="R48" s="52"/>
      <c r="S48" s="82"/>
      <c r="T48" s="262">
        <v>0.54239999999999999</v>
      </c>
      <c r="U48" s="82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</row>
    <row r="49" spans="1:46" ht="14.25" customHeight="1" x14ac:dyDescent="0.25">
      <c r="A49" s="3"/>
      <c r="B49" s="82"/>
      <c r="C49" s="176">
        <v>38</v>
      </c>
      <c r="D49" s="168"/>
      <c r="E49" s="258">
        <f t="shared" si="5"/>
        <v>1.5562398397790833E-2</v>
      </c>
      <c r="F49" s="82"/>
      <c r="G49" s="264">
        <f t="shared" si="3"/>
        <v>0.36538618761361075</v>
      </c>
      <c r="H49" s="265">
        <f t="shared" si="4"/>
        <v>0.63461381238638936</v>
      </c>
      <c r="I49" s="266">
        <f t="shared" si="1"/>
        <v>1</v>
      </c>
      <c r="J49" s="266">
        <f t="shared" si="2"/>
        <v>0.36538618761361064</v>
      </c>
      <c r="K49" s="82"/>
      <c r="L49" s="82"/>
      <c r="M49" s="82"/>
      <c r="N49" s="3"/>
      <c r="O49" s="82"/>
      <c r="P49" s="262">
        <v>13.60639361</v>
      </c>
      <c r="Q49" s="82"/>
      <c r="R49" s="52"/>
      <c r="S49" s="82"/>
      <c r="T49" s="262">
        <v>0.52480000000000004</v>
      </c>
      <c r="U49" s="82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</row>
    <row r="50" spans="1:46" ht="14.25" customHeight="1" x14ac:dyDescent="0.25">
      <c r="A50" s="3"/>
      <c r="B50" s="82"/>
      <c r="C50" s="176">
        <v>39</v>
      </c>
      <c r="D50" s="168"/>
      <c r="E50" s="258">
        <f t="shared" si="5"/>
        <v>1.5396165474337531E-2</v>
      </c>
      <c r="F50" s="82"/>
      <c r="G50" s="264">
        <f t="shared" si="3"/>
        <v>0.35976064140707426</v>
      </c>
      <c r="H50" s="265">
        <f t="shared" si="4"/>
        <v>0.6402393585929258</v>
      </c>
      <c r="I50" s="266">
        <f t="shared" si="1"/>
        <v>1</v>
      </c>
      <c r="J50" s="266">
        <f t="shared" si="2"/>
        <v>0.3597606414070742</v>
      </c>
      <c r="K50" s="82"/>
      <c r="L50" s="82"/>
      <c r="M50" s="82"/>
      <c r="N50" s="3"/>
      <c r="O50" s="82"/>
      <c r="P50" s="262">
        <v>13.84615385</v>
      </c>
      <c r="Q50" s="82"/>
      <c r="R50" s="52"/>
      <c r="S50" s="82"/>
      <c r="T50" s="262">
        <v>0.50880000000000003</v>
      </c>
      <c r="U50" s="82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</row>
    <row r="51" spans="1:46" ht="14.25" customHeight="1" x14ac:dyDescent="0.25">
      <c r="A51" s="3"/>
      <c r="B51" s="82"/>
      <c r="C51" s="176">
        <v>40</v>
      </c>
      <c r="D51" s="168"/>
      <c r="E51" s="258">
        <f t="shared" si="5"/>
        <v>1.5235890902922433E-2</v>
      </c>
      <c r="F51" s="82"/>
      <c r="G51" s="264">
        <f t="shared" si="3"/>
        <v>0.3542793675234307</v>
      </c>
      <c r="H51" s="265">
        <f t="shared" si="4"/>
        <v>0.64572063247656941</v>
      </c>
      <c r="I51" s="266">
        <f t="shared" si="1"/>
        <v>1</v>
      </c>
      <c r="J51" s="266">
        <f t="shared" si="2"/>
        <v>0.35427936752343059</v>
      </c>
      <c r="K51" s="82"/>
      <c r="L51" s="82"/>
      <c r="M51" s="82"/>
      <c r="N51" s="3"/>
      <c r="O51" s="82"/>
      <c r="P51" s="262">
        <v>14.50549451</v>
      </c>
      <c r="Q51" s="82"/>
      <c r="R51" s="52"/>
      <c r="S51" s="82"/>
      <c r="T51" s="262">
        <v>0.49759999999999999</v>
      </c>
      <c r="U51" s="82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</row>
    <row r="52" spans="1:46" ht="14.25" customHeight="1" x14ac:dyDescent="0.25">
      <c r="A52" s="3"/>
      <c r="B52" s="82"/>
      <c r="C52" s="176">
        <v>41</v>
      </c>
      <c r="D52" s="168"/>
      <c r="E52" s="258">
        <f t="shared" si="5"/>
        <v>1.5081218422849041E-2</v>
      </c>
      <c r="F52" s="82"/>
      <c r="G52" s="264">
        <f t="shared" si="3"/>
        <v>0.348936402999101</v>
      </c>
      <c r="H52" s="265">
        <f t="shared" si="4"/>
        <v>0.65106359700089911</v>
      </c>
      <c r="I52" s="266">
        <f t="shared" si="1"/>
        <v>1</v>
      </c>
      <c r="J52" s="266">
        <f t="shared" si="2"/>
        <v>0.34893640299910089</v>
      </c>
      <c r="K52" s="82"/>
      <c r="L52" s="82"/>
      <c r="M52" s="82"/>
      <c r="N52" s="3"/>
      <c r="O52" s="82"/>
      <c r="P52" s="262">
        <v>15.04495504</v>
      </c>
      <c r="Q52" s="82"/>
      <c r="R52" s="52"/>
      <c r="S52" s="82"/>
      <c r="T52" s="262">
        <v>0.4864</v>
      </c>
      <c r="U52" s="82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</row>
    <row r="53" spans="1:46" ht="14.25" customHeight="1" x14ac:dyDescent="0.25">
      <c r="A53" s="3"/>
      <c r="B53" s="82"/>
      <c r="C53" s="176">
        <v>42</v>
      </c>
      <c r="D53" s="168"/>
      <c r="E53" s="258">
        <f t="shared" si="5"/>
        <v>1.4931821198050255E-2</v>
      </c>
      <c r="F53" s="82"/>
      <c r="G53" s="264">
        <f t="shared" si="3"/>
        <v>0.34372614702002763</v>
      </c>
      <c r="H53" s="265">
        <f t="shared" si="4"/>
        <v>0.65627385297997254</v>
      </c>
      <c r="I53" s="266">
        <f t="shared" si="1"/>
        <v>1.0000000000000002</v>
      </c>
      <c r="J53" s="266">
        <f t="shared" si="2"/>
        <v>0.34372614702002768</v>
      </c>
      <c r="K53" s="82"/>
      <c r="L53" s="82"/>
      <c r="M53" s="82"/>
      <c r="N53" s="3"/>
      <c r="O53" s="82"/>
      <c r="P53" s="262">
        <v>15.824175820000001</v>
      </c>
      <c r="Q53" s="82"/>
      <c r="R53" s="52"/>
      <c r="S53" s="82"/>
      <c r="T53" s="262">
        <v>0.4864</v>
      </c>
      <c r="U53" s="82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</row>
    <row r="54" spans="1:46" ht="14.25" customHeight="1" x14ac:dyDescent="0.25">
      <c r="A54" s="3"/>
      <c r="B54" s="82"/>
      <c r="C54" s="176">
        <v>43</v>
      </c>
      <c r="D54" s="168"/>
      <c r="E54" s="258">
        <f t="shared" si="5"/>
        <v>1.4787398747433733E-2</v>
      </c>
      <c r="F54" s="82"/>
      <c r="G54" s="264">
        <f t="shared" si="3"/>
        <v>0.33864333142412345</v>
      </c>
      <c r="H54" s="265">
        <f t="shared" si="4"/>
        <v>0.66135666857587672</v>
      </c>
      <c r="I54" s="266">
        <f t="shared" si="1"/>
        <v>1.0000000000000002</v>
      </c>
      <c r="J54" s="266">
        <f t="shared" si="2"/>
        <v>0.33864333142412351</v>
      </c>
      <c r="K54" s="82"/>
      <c r="L54" s="82"/>
      <c r="M54" s="82"/>
      <c r="N54" s="3"/>
      <c r="O54" s="82"/>
      <c r="P54" s="262">
        <v>16.543456540000001</v>
      </c>
      <c r="Q54" s="82"/>
      <c r="R54" s="52"/>
      <c r="S54" s="82"/>
      <c r="T54" s="262">
        <v>0.48159999999999997</v>
      </c>
      <c r="U54" s="82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71"/>
      <c r="AS54" s="3"/>
      <c r="AT54" s="3"/>
    </row>
    <row r="55" spans="1:46" ht="14.25" customHeight="1" x14ac:dyDescent="0.25">
      <c r="A55" s="3"/>
      <c r="B55" s="82"/>
      <c r="C55" s="176">
        <v>44</v>
      </c>
      <c r="D55" s="168"/>
      <c r="E55" s="258">
        <f t="shared" si="5"/>
        <v>1.4647674259085863E-2</v>
      </c>
      <c r="F55" s="82"/>
      <c r="G55" s="264">
        <f t="shared" si="3"/>
        <v>0.33368299421541125</v>
      </c>
      <c r="H55" s="265">
        <f t="shared" si="4"/>
        <v>0.66631700578458897</v>
      </c>
      <c r="I55" s="266">
        <f t="shared" si="1"/>
        <v>1.0000000000000002</v>
      </c>
      <c r="J55" s="266">
        <f t="shared" si="2"/>
        <v>0.33368299421541125</v>
      </c>
      <c r="K55" s="82"/>
      <c r="L55" s="82"/>
      <c r="M55" s="82"/>
      <c r="N55" s="3"/>
      <c r="O55" s="82"/>
      <c r="P55" s="262">
        <v>17.382617379999999</v>
      </c>
      <c r="Q55" s="82"/>
      <c r="R55" s="52"/>
      <c r="S55" s="82"/>
      <c r="T55" s="262">
        <v>0.4768</v>
      </c>
      <c r="U55" s="82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</row>
    <row r="56" spans="1:46" ht="14.25" customHeight="1" x14ac:dyDescent="0.25">
      <c r="A56" s="3"/>
      <c r="B56" s="82"/>
      <c r="C56" s="176">
        <v>45</v>
      </c>
      <c r="D56" s="168"/>
      <c r="E56" s="258">
        <f t="shared" si="5"/>
        <v>1.4512392232756799E-2</v>
      </c>
      <c r="F56" s="82"/>
      <c r="G56" s="264">
        <f t="shared" si="3"/>
        <v>0.32884045572195647</v>
      </c>
      <c r="H56" s="265">
        <f t="shared" si="4"/>
        <v>0.6711595442780437</v>
      </c>
      <c r="I56" s="266">
        <f t="shared" si="1"/>
        <v>1.0000000000000002</v>
      </c>
      <c r="J56" s="266">
        <f t="shared" si="2"/>
        <v>0.32884045572195653</v>
      </c>
      <c r="K56" s="82"/>
      <c r="L56" s="82"/>
      <c r="M56" s="82"/>
      <c r="N56" s="3"/>
      <c r="O56" s="82"/>
      <c r="P56" s="262">
        <v>18.341658339999999</v>
      </c>
      <c r="Q56" s="82"/>
      <c r="R56" s="52"/>
      <c r="S56" s="82"/>
      <c r="T56" s="262">
        <v>0.47360000000000002</v>
      </c>
      <c r="U56" s="82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</row>
    <row r="57" spans="1:46" ht="14.25" customHeight="1" x14ac:dyDescent="0.25">
      <c r="A57" s="3"/>
      <c r="B57" s="82"/>
      <c r="C57" s="176">
        <v>46</v>
      </c>
      <c r="D57" s="168"/>
      <c r="E57" s="258">
        <f t="shared" si="5"/>
        <v>1.4381316404102451E-2</v>
      </c>
      <c r="F57" s="82"/>
      <c r="G57" s="264">
        <f t="shared" si="3"/>
        <v>0.32411129708174979</v>
      </c>
      <c r="H57" s="265">
        <f t="shared" si="4"/>
        <v>0.67588870291825043</v>
      </c>
      <c r="I57" s="266">
        <f t="shared" si="1"/>
        <v>1.0000000000000002</v>
      </c>
      <c r="J57" s="266">
        <f t="shared" si="2"/>
        <v>0.32411129708174979</v>
      </c>
      <c r="K57" s="82"/>
      <c r="L57" s="82"/>
      <c r="M57" s="82"/>
      <c r="N57" s="3"/>
      <c r="O57" s="82"/>
      <c r="P57" s="262">
        <v>19.240759239999999</v>
      </c>
      <c r="Q57" s="82"/>
      <c r="R57" s="52"/>
      <c r="S57" s="82"/>
      <c r="T57" s="262">
        <v>0.47520000000000001</v>
      </c>
      <c r="U57" s="82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</row>
    <row r="58" spans="1:46" ht="14.25" customHeight="1" x14ac:dyDescent="0.25">
      <c r="A58" s="3"/>
      <c r="B58" s="82"/>
      <c r="C58" s="176">
        <v>47</v>
      </c>
      <c r="D58" s="168"/>
      <c r="E58" s="258">
        <f t="shared" si="5"/>
        <v>1.4254227911655648E-2</v>
      </c>
      <c r="F58" s="82"/>
      <c r="G58" s="264">
        <f t="shared" si="3"/>
        <v>0.31949134078440422</v>
      </c>
      <c r="H58" s="265">
        <f t="shared" si="4"/>
        <v>0.680508659215596</v>
      </c>
      <c r="I58" s="266">
        <f t="shared" si="1"/>
        <v>1.0000000000000002</v>
      </c>
      <c r="J58" s="266">
        <f t="shared" si="2"/>
        <v>0.31949134078440422</v>
      </c>
      <c r="K58" s="82"/>
      <c r="L58" s="82"/>
      <c r="M58" s="82"/>
      <c r="N58" s="3"/>
      <c r="O58" s="82"/>
      <c r="P58" s="262">
        <v>19.96003996</v>
      </c>
      <c r="Q58" s="82"/>
      <c r="R58" s="52"/>
      <c r="S58" s="82"/>
      <c r="T58" s="262">
        <v>0.4672</v>
      </c>
      <c r="U58" s="82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</row>
    <row r="59" spans="1:46" ht="14.25" customHeight="1" x14ac:dyDescent="0.25">
      <c r="A59" s="3"/>
      <c r="B59" s="82"/>
      <c r="C59" s="176">
        <v>48</v>
      </c>
      <c r="D59" s="168"/>
      <c r="E59" s="258">
        <f t="shared" si="5"/>
        <v>1.4130923673598583E-2</v>
      </c>
      <c r="F59" s="82"/>
      <c r="G59" s="264">
        <f t="shared" si="3"/>
        <v>0.31497663303340412</v>
      </c>
      <c r="H59" s="265">
        <f t="shared" si="4"/>
        <v>0.68502336696659605</v>
      </c>
      <c r="I59" s="266">
        <f t="shared" si="1"/>
        <v>1.0000000000000002</v>
      </c>
      <c r="J59" s="266">
        <f t="shared" si="2"/>
        <v>0.31497663303340417</v>
      </c>
      <c r="K59" s="82"/>
      <c r="L59" s="82"/>
      <c r="M59" s="82"/>
      <c r="N59" s="3"/>
      <c r="O59" s="82"/>
      <c r="P59" s="262">
        <v>20.67932068</v>
      </c>
      <c r="Q59" s="82"/>
      <c r="R59" s="52"/>
      <c r="S59" s="82"/>
      <c r="T59" s="262">
        <v>0.45440000000000003</v>
      </c>
      <c r="U59" s="82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</row>
    <row r="60" spans="1:46" ht="14.25" customHeight="1" x14ac:dyDescent="0.25">
      <c r="A60" s="3"/>
      <c r="B60" s="82"/>
      <c r="C60" s="176">
        <v>49</v>
      </c>
      <c r="D60" s="168"/>
      <c r="E60" s="258">
        <f t="shared" si="5"/>
        <v>1.4011214946455963E-2</v>
      </c>
      <c r="F60" s="82"/>
      <c r="G60" s="264">
        <f t="shared" si="3"/>
        <v>0.31056342772486212</v>
      </c>
      <c r="H60" s="265">
        <f t="shared" si="4"/>
        <v>0.6894365722751381</v>
      </c>
      <c r="I60" s="266">
        <f t="shared" si="1"/>
        <v>1.0000000000000002</v>
      </c>
      <c r="J60" s="266">
        <f t="shared" si="2"/>
        <v>0.31056342772486212</v>
      </c>
      <c r="K60" s="82"/>
      <c r="L60" s="82"/>
      <c r="M60" s="82"/>
      <c r="N60" s="3"/>
      <c r="O60" s="82"/>
      <c r="P60" s="262">
        <v>21.578421580000001</v>
      </c>
      <c r="Q60" s="82"/>
      <c r="R60" s="52"/>
      <c r="S60" s="82"/>
      <c r="T60" s="262">
        <v>0.45279999999999998</v>
      </c>
      <c r="U60" s="82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</row>
    <row r="61" spans="1:46" ht="14.25" customHeight="1" x14ac:dyDescent="0.25">
      <c r="A61" s="3"/>
      <c r="B61" s="82"/>
      <c r="C61" s="176">
        <v>50</v>
      </c>
      <c r="D61" s="168"/>
      <c r="E61" s="258">
        <f t="shared" si="5"/>
        <v>1.3894926042065991E-2</v>
      </c>
      <c r="F61" s="82"/>
      <c r="G61" s="264">
        <f t="shared" si="3"/>
        <v>0.30624817186525466</v>
      </c>
      <c r="H61" s="265">
        <f t="shared" si="4"/>
        <v>0.69375182813474556</v>
      </c>
      <c r="I61" s="265">
        <f t="shared" si="1"/>
        <v>1.0000000000000002</v>
      </c>
      <c r="J61" s="266">
        <f t="shared" si="2"/>
        <v>0.30624817186525466</v>
      </c>
      <c r="K61" s="82"/>
      <c r="L61" s="82"/>
      <c r="M61" s="82"/>
      <c r="N61" s="3"/>
      <c r="O61" s="82"/>
      <c r="P61" s="262">
        <v>21.878121879999998</v>
      </c>
      <c r="Q61" s="82"/>
      <c r="R61" s="52"/>
      <c r="S61" s="82"/>
      <c r="T61" s="262">
        <v>0.44159999999999999</v>
      </c>
      <c r="U61" s="82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</row>
    <row r="62" spans="1:46" ht="14.25" customHeight="1" x14ac:dyDescent="0.25">
      <c r="A62" s="3"/>
      <c r="B62" s="82"/>
      <c r="C62" s="176">
        <v>51</v>
      </c>
      <c r="D62" s="82"/>
      <c r="E62" s="258">
        <f t="shared" si="5"/>
        <v>1.3781893182600924E-2</v>
      </c>
      <c r="F62" s="82"/>
      <c r="G62" s="264">
        <f t="shared" si="3"/>
        <v>0.30202749227324088</v>
      </c>
      <c r="H62" s="265">
        <f t="shared" si="4"/>
        <v>0.69797250772675934</v>
      </c>
      <c r="I62" s="265">
        <f t="shared" si="1"/>
        <v>1.0000000000000002</v>
      </c>
      <c r="J62" s="266">
        <f t="shared" si="2"/>
        <v>0.30202749227324088</v>
      </c>
      <c r="K62" s="82"/>
      <c r="L62" s="82"/>
      <c r="M62" s="82"/>
      <c r="N62" s="3"/>
      <c r="O62" s="82"/>
      <c r="P62" s="262">
        <v>22.71728272</v>
      </c>
      <c r="Q62" s="82"/>
      <c r="R62" s="52"/>
      <c r="S62" s="82"/>
      <c r="T62" s="262">
        <v>0.43840000000000001</v>
      </c>
      <c r="U62" s="82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</row>
    <row r="63" spans="1:46" ht="14.25" customHeight="1" x14ac:dyDescent="0.25">
      <c r="A63" s="3"/>
      <c r="B63" s="82"/>
      <c r="C63" s="176">
        <v>52</v>
      </c>
      <c r="D63" s="82"/>
      <c r="E63" s="258">
        <f t="shared" si="5"/>
        <v>1.3671963476422411E-2</v>
      </c>
      <c r="F63" s="82"/>
      <c r="G63" s="264">
        <f t="shared" si="3"/>
        <v>0.29789818343000568</v>
      </c>
      <c r="H63" s="265">
        <f t="shared" si="4"/>
        <v>0.70210181656999449</v>
      </c>
      <c r="I63" s="265">
        <f t="shared" si="1"/>
        <v>1.0000000000000002</v>
      </c>
      <c r="J63" s="266">
        <f t="shared" si="2"/>
        <v>0.29789818343000574</v>
      </c>
      <c r="K63" s="82"/>
      <c r="L63" s="82"/>
      <c r="M63" s="82"/>
      <c r="N63" s="3"/>
      <c r="O63" s="82"/>
      <c r="P63" s="262">
        <v>23.556443560000002</v>
      </c>
      <c r="Q63" s="82"/>
      <c r="R63" s="3"/>
      <c r="S63" s="82"/>
      <c r="T63" s="262">
        <v>0.43359999999999999</v>
      </c>
      <c r="U63" s="82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</row>
    <row r="64" spans="1:46" ht="14.25" customHeight="1" x14ac:dyDescent="0.25">
      <c r="A64" s="3"/>
      <c r="B64" s="82"/>
      <c r="C64" s="176">
        <v>53</v>
      </c>
      <c r="D64" s="82"/>
      <c r="E64" s="258">
        <f t="shared" si="5"/>
        <v>1.3564993999910735E-2</v>
      </c>
      <c r="F64" s="82"/>
      <c r="G64" s="264">
        <f t="shared" si="3"/>
        <v>0.29385719635919333</v>
      </c>
      <c r="H64" s="265">
        <f t="shared" si="4"/>
        <v>0.70614280364080684</v>
      </c>
      <c r="I64" s="265">
        <f t="shared" si="1"/>
        <v>1.0000000000000002</v>
      </c>
      <c r="J64" s="266">
        <f t="shared" si="2"/>
        <v>0.29385719635919338</v>
      </c>
      <c r="K64" s="82"/>
      <c r="L64" s="82"/>
      <c r="M64" s="82"/>
      <c r="N64" s="3"/>
      <c r="O64" s="82"/>
      <c r="P64" s="262">
        <v>24.455544459999999</v>
      </c>
      <c r="Q64" s="82"/>
      <c r="R64" s="3"/>
      <c r="S64" s="82"/>
      <c r="T64" s="262">
        <v>0.43519999999999998</v>
      </c>
      <c r="U64" s="82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</row>
    <row r="65" spans="1:46" ht="14.25" customHeight="1" x14ac:dyDescent="0.25">
      <c r="A65" s="3"/>
      <c r="B65" s="82"/>
      <c r="C65" s="176">
        <v>54</v>
      </c>
      <c r="D65" s="82"/>
      <c r="E65" s="258">
        <f t="shared" si="5"/>
        <v>1.3460850972541127E-2</v>
      </c>
      <c r="F65" s="82"/>
      <c r="G65" s="264">
        <f t="shared" si="3"/>
        <v>0.28990162843179346</v>
      </c>
      <c r="H65" s="265">
        <f t="shared" si="4"/>
        <v>0.71009837156820665</v>
      </c>
      <c r="I65" s="265">
        <f t="shared" si="1"/>
        <v>1</v>
      </c>
      <c r="J65" s="266">
        <f t="shared" si="2"/>
        <v>0.28990162843179335</v>
      </c>
      <c r="K65" s="82"/>
      <c r="L65" s="82"/>
      <c r="M65" s="82"/>
      <c r="N65" s="3"/>
      <c r="O65" s="82"/>
      <c r="P65" s="262">
        <v>25.234765230000001</v>
      </c>
      <c r="Q65" s="82"/>
      <c r="R65" s="3"/>
      <c r="S65" s="82"/>
      <c r="T65" s="262">
        <v>0.432</v>
      </c>
      <c r="U65" s="82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</row>
    <row r="66" spans="1:46" ht="14.25" customHeight="1" x14ac:dyDescent="0.25">
      <c r="A66" s="3"/>
      <c r="B66" s="82"/>
      <c r="C66" s="176">
        <v>55</v>
      </c>
      <c r="D66" s="82"/>
      <c r="E66" s="258">
        <f t="shared" si="5"/>
        <v>1.3359409014179757E-2</v>
      </c>
      <c r="F66" s="82"/>
      <c r="G66" s="264">
        <f t="shared" si="3"/>
        <v>0.28602871400369634</v>
      </c>
      <c r="H66" s="265">
        <f t="shared" si="4"/>
        <v>0.71397128599630377</v>
      </c>
      <c r="I66" s="265">
        <f t="shared" si="1"/>
        <v>1</v>
      </c>
      <c r="J66" s="266">
        <f t="shared" si="2"/>
        <v>0.28602871400369623</v>
      </c>
      <c r="K66" s="82"/>
      <c r="L66" s="82"/>
      <c r="M66" s="82"/>
      <c r="N66" s="3"/>
      <c r="O66" s="82"/>
      <c r="P66" s="262">
        <v>26.01398601</v>
      </c>
      <c r="Q66" s="82"/>
      <c r="R66" s="3"/>
      <c r="S66" s="82"/>
      <c r="T66" s="262">
        <v>0.42559999999999998</v>
      </c>
      <c r="U66" s="82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</row>
    <row r="67" spans="1:46" ht="14.25" customHeight="1" x14ac:dyDescent="0.25">
      <c r="A67" s="3"/>
      <c r="B67" s="82"/>
      <c r="C67" s="176">
        <v>56</v>
      </c>
      <c r="D67" s="82"/>
      <c r="E67" s="258">
        <f t="shared" si="5"/>
        <v>1.3260550475069466E-2</v>
      </c>
      <c r="F67" s="82"/>
      <c r="G67" s="264">
        <f t="shared" si="3"/>
        <v>0.2822358158043311</v>
      </c>
      <c r="H67" s="265">
        <f t="shared" si="4"/>
        <v>0.71776418419566901</v>
      </c>
      <c r="I67" s="265">
        <f t="shared" si="1"/>
        <v>1</v>
      </c>
      <c r="J67" s="266">
        <f t="shared" si="2"/>
        <v>0.28223581580433099</v>
      </c>
      <c r="K67" s="82"/>
      <c r="L67" s="82"/>
      <c r="M67" s="82"/>
      <c r="N67" s="3"/>
      <c r="O67" s="82"/>
      <c r="P67" s="262">
        <v>26.913086910000001</v>
      </c>
      <c r="Q67" s="82"/>
      <c r="R67" s="3"/>
      <c r="S67" s="82"/>
      <c r="T67" s="262">
        <v>0.41920000000000002</v>
      </c>
      <c r="U67" s="82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</row>
    <row r="68" spans="1:46" ht="14.25" customHeight="1" x14ac:dyDescent="0.25">
      <c r="A68" s="3"/>
      <c r="B68" s="82"/>
      <c r="C68" s="176">
        <v>57</v>
      </c>
      <c r="D68" s="82"/>
      <c r="E68" s="258">
        <f t="shared" si="5"/>
        <v>1.3164164830219316E-2</v>
      </c>
      <c r="F68" s="82"/>
      <c r="G68" s="264">
        <f t="shared" si="3"/>
        <v>0.27852041700409147</v>
      </c>
      <c r="H68" s="265">
        <f t="shared" si="4"/>
        <v>0.72147958299590864</v>
      </c>
      <c r="I68" s="265">
        <f t="shared" si="1"/>
        <v>1</v>
      </c>
      <c r="J68" s="266">
        <f t="shared" si="2"/>
        <v>0.27852041700409136</v>
      </c>
      <c r="K68" s="82"/>
      <c r="L68" s="82"/>
      <c r="M68" s="82"/>
      <c r="N68" s="3"/>
      <c r="O68" s="82"/>
      <c r="P68" s="262">
        <v>27.87212787</v>
      </c>
      <c r="Q68" s="82"/>
      <c r="R68" s="3"/>
      <c r="S68" s="82"/>
      <c r="T68" s="262">
        <v>0.41920000000000002</v>
      </c>
      <c r="U68" s="82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</row>
    <row r="69" spans="1:46" ht="14.25" customHeight="1" x14ac:dyDescent="0.25">
      <c r="A69" s="3"/>
      <c r="B69" s="82"/>
      <c r="C69" s="176">
        <v>58</v>
      </c>
      <c r="D69" s="82"/>
      <c r="E69" s="258">
        <f t="shared" si="5"/>
        <v>1.3070148131000825E-2</v>
      </c>
      <c r="F69" s="82"/>
      <c r="G69" s="264">
        <f t="shared" si="3"/>
        <v>0.27488011389633987</v>
      </c>
      <c r="H69" s="265">
        <f t="shared" si="4"/>
        <v>0.72511988610366018</v>
      </c>
      <c r="I69" s="265">
        <f t="shared" si="1"/>
        <v>1</v>
      </c>
      <c r="J69" s="266">
        <f t="shared" si="2"/>
        <v>0.27488011389633982</v>
      </c>
      <c r="K69" s="82"/>
      <c r="L69" s="82"/>
      <c r="M69" s="82"/>
      <c r="N69" s="3"/>
      <c r="O69" s="82"/>
      <c r="P69" s="262">
        <v>28.77122877</v>
      </c>
      <c r="Q69" s="82"/>
      <c r="R69" s="3"/>
      <c r="S69" s="82"/>
      <c r="T69" s="262">
        <v>0.41599999999999998</v>
      </c>
      <c r="U69" s="82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ht="14.25" customHeight="1" x14ac:dyDescent="0.25">
      <c r="A70" s="3"/>
      <c r="B70" s="82"/>
      <c r="C70" s="176">
        <v>59</v>
      </c>
      <c r="D70" s="82"/>
      <c r="E70" s="258">
        <f t="shared" si="5"/>
        <v>1.2978402507636044E-2</v>
      </c>
      <c r="F70" s="82"/>
      <c r="G70" s="264">
        <f t="shared" si="3"/>
        <v>0.27131260913684835</v>
      </c>
      <c r="H70" s="265">
        <f t="shared" si="4"/>
        <v>0.72868739086315171</v>
      </c>
      <c r="I70" s="265">
        <f t="shared" si="1"/>
        <v>1</v>
      </c>
      <c r="J70" s="266">
        <f t="shared" si="2"/>
        <v>0.27131260913684829</v>
      </c>
      <c r="K70" s="82"/>
      <c r="L70" s="82"/>
      <c r="M70" s="82"/>
      <c r="N70" s="3"/>
      <c r="O70" s="82"/>
      <c r="P70" s="262">
        <v>29.310689310000001</v>
      </c>
      <c r="Q70" s="82"/>
      <c r="R70" s="3"/>
      <c r="S70" s="82"/>
      <c r="T70" s="262">
        <v>0.40639999999999998</v>
      </c>
      <c r="U70" s="82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</row>
    <row r="71" spans="1:46" ht="14.25" customHeight="1" x14ac:dyDescent="0.25">
      <c r="A71" s="3"/>
      <c r="B71" s="82"/>
      <c r="C71" s="176">
        <v>60</v>
      </c>
      <c r="D71" s="82"/>
      <c r="E71" s="258">
        <f t="shared" si="5"/>
        <v>1.2888835717097646E-2</v>
      </c>
      <c r="F71" s="82"/>
      <c r="G71" s="264">
        <f t="shared" si="3"/>
        <v>0.2678157054897064</v>
      </c>
      <c r="H71" s="265">
        <f t="shared" si="4"/>
        <v>0.73218429451029365</v>
      </c>
      <c r="I71" s="265">
        <f t="shared" si="1"/>
        <v>1</v>
      </c>
      <c r="J71" s="265">
        <f t="shared" si="2"/>
        <v>0.26781570548970635</v>
      </c>
      <c r="K71" s="82"/>
      <c r="L71" s="82"/>
      <c r="M71" s="82"/>
      <c r="N71" s="3"/>
      <c r="O71" s="82"/>
      <c r="P71" s="262">
        <v>30.149850149999999</v>
      </c>
      <c r="Q71" s="82"/>
      <c r="R71" s="3"/>
      <c r="S71" s="82"/>
      <c r="T71" s="262">
        <v>0.4</v>
      </c>
      <c r="U71" s="82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</row>
    <row r="72" spans="1:46" ht="14.25" customHeight="1" x14ac:dyDescent="0.25">
      <c r="A72" s="3"/>
      <c r="B72" s="82"/>
      <c r="C72" s="176">
        <v>61</v>
      </c>
      <c r="D72" s="82"/>
      <c r="E72" s="258">
        <f t="shared" si="5"/>
        <v>1.2801360731586886E-2</v>
      </c>
      <c r="F72" s="82"/>
      <c r="G72" s="264">
        <f t="shared" si="3"/>
        <v>0.26438730003414823</v>
      </c>
      <c r="H72" s="265">
        <f t="shared" si="4"/>
        <v>0.73561269996585177</v>
      </c>
      <c r="I72" s="265">
        <f t="shared" si="1"/>
        <v>1</v>
      </c>
      <c r="J72" s="265">
        <f t="shared" si="2"/>
        <v>0.26438730003414823</v>
      </c>
      <c r="K72" s="82"/>
      <c r="L72" s="82"/>
      <c r="M72" s="82"/>
      <c r="N72" s="3"/>
      <c r="O72" s="82"/>
      <c r="P72" s="262">
        <v>30.62937063</v>
      </c>
      <c r="Q72" s="82"/>
      <c r="R72" s="3"/>
      <c r="S72" s="82"/>
      <c r="T72" s="262">
        <v>0.3952</v>
      </c>
      <c r="U72" s="82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</row>
    <row r="73" spans="1:46" ht="14.25" customHeight="1" x14ac:dyDescent="0.25">
      <c r="A73" s="3"/>
      <c r="B73" s="82"/>
      <c r="C73" s="176">
        <v>62</v>
      </c>
      <c r="D73" s="82"/>
      <c r="E73" s="258">
        <f t="shared" si="5"/>
        <v>1.2715895363317853E-2</v>
      </c>
      <c r="F73" s="82"/>
      <c r="G73" s="264">
        <f t="shared" si="3"/>
        <v>0.26102537879152388</v>
      </c>
      <c r="H73" s="265">
        <f t="shared" si="4"/>
        <v>0.73897462120847612</v>
      </c>
      <c r="I73" s="265">
        <f t="shared" si="1"/>
        <v>1</v>
      </c>
      <c r="J73" s="265">
        <f t="shared" si="2"/>
        <v>0.26102537879152388</v>
      </c>
      <c r="K73" s="82"/>
      <c r="L73" s="82"/>
      <c r="M73" s="82"/>
      <c r="N73" s="3"/>
      <c r="O73" s="82"/>
      <c r="P73" s="262">
        <v>31.40859141</v>
      </c>
      <c r="Q73" s="82"/>
      <c r="R73" s="3"/>
      <c r="S73" s="82"/>
      <c r="T73" s="262">
        <v>0.39200000000000002</v>
      </c>
      <c r="U73" s="82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</row>
    <row r="74" spans="1:46" ht="14.25" customHeight="1" x14ac:dyDescent="0.25">
      <c r="A74" s="3"/>
      <c r="B74" s="82"/>
      <c r="C74" s="176">
        <v>63</v>
      </c>
      <c r="D74" s="82"/>
      <c r="E74" s="258">
        <f t="shared" si="5"/>
        <v>1.2632361921914526E-2</v>
      </c>
      <c r="F74" s="82"/>
      <c r="G74" s="264">
        <f t="shared" si="3"/>
        <v>0.25772801173582449</v>
      </c>
      <c r="H74" s="265">
        <f t="shared" si="4"/>
        <v>0.74227198826417551</v>
      </c>
      <c r="I74" s="265">
        <f t="shared" si="1"/>
        <v>1</v>
      </c>
      <c r="J74" s="265">
        <f t="shared" si="2"/>
        <v>0.25772801173582449</v>
      </c>
      <c r="K74" s="82"/>
      <c r="L74" s="82"/>
      <c r="M74" s="82"/>
      <c r="N74" s="3"/>
      <c r="O74" s="82"/>
      <c r="P74" s="262">
        <v>32.427572429999998</v>
      </c>
      <c r="Q74" s="82"/>
      <c r="R74" s="3"/>
      <c r="S74" s="82"/>
      <c r="T74" s="262">
        <v>0.39360000000000001</v>
      </c>
      <c r="U74" s="82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</row>
    <row r="75" spans="1:46" ht="14.25" customHeight="1" x14ac:dyDescent="0.25">
      <c r="A75" s="3"/>
      <c r="B75" s="82"/>
      <c r="C75" s="176">
        <v>64</v>
      </c>
      <c r="D75" s="82"/>
      <c r="E75" s="258">
        <f t="shared" ref="E75:E106" si="6">1-EXP(lambda*(C74^gamma-C75^gamma))</f>
        <v>1.2550686901084074E-2</v>
      </c>
      <c r="F75" s="82"/>
      <c r="G75" s="264">
        <f t="shared" si="3"/>
        <v>0.25449334815488922</v>
      </c>
      <c r="H75" s="265">
        <f t="shared" si="4"/>
        <v>0.74550665184511078</v>
      </c>
      <c r="I75" s="265">
        <f t="shared" si="1"/>
        <v>1</v>
      </c>
      <c r="J75" s="265">
        <f t="shared" si="2"/>
        <v>0.25449334815488922</v>
      </c>
      <c r="K75" s="82"/>
      <c r="L75" s="82"/>
      <c r="M75" s="82"/>
      <c r="N75" s="3"/>
      <c r="O75" s="82"/>
      <c r="P75" s="262">
        <v>33.626373630000003</v>
      </c>
      <c r="Q75" s="82"/>
      <c r="R75" s="3"/>
      <c r="S75" s="82"/>
      <c r="T75" s="262">
        <v>0.39360000000000001</v>
      </c>
      <c r="U75" s="82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</row>
    <row r="76" spans="1:46" ht="14.25" customHeight="1" x14ac:dyDescent="0.25">
      <c r="A76" s="3"/>
      <c r="B76" s="82"/>
      <c r="C76" s="176">
        <v>65</v>
      </c>
      <c r="D76" s="82"/>
      <c r="E76" s="258">
        <f t="shared" si="6"/>
        <v>1.2470800691655737E-2</v>
      </c>
      <c r="F76" s="82"/>
      <c r="G76" s="264">
        <f t="shared" si="3"/>
        <v>0.25131961233269745</v>
      </c>
      <c r="H76" s="265">
        <f t="shared" si="4"/>
        <v>0.7486803876673026</v>
      </c>
      <c r="I76" s="265">
        <f t="shared" si="1"/>
        <v>1</v>
      </c>
      <c r="J76" s="265">
        <f t="shared" si="2"/>
        <v>0.2513196123326974</v>
      </c>
      <c r="K76" s="82"/>
      <c r="L76" s="82"/>
      <c r="M76" s="82"/>
      <c r="N76" s="3"/>
      <c r="O76" s="82"/>
      <c r="P76" s="262">
        <v>34.585414589999999</v>
      </c>
      <c r="Q76" s="82"/>
      <c r="R76" s="3"/>
      <c r="S76" s="82"/>
      <c r="T76" s="262">
        <v>0.39200000000000002</v>
      </c>
      <c r="U76" s="82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</row>
    <row r="77" spans="1:46" ht="14.25" customHeight="1" x14ac:dyDescent="0.25">
      <c r="A77" s="3"/>
      <c r="B77" s="82"/>
      <c r="C77" s="176">
        <v>66</v>
      </c>
      <c r="D77" s="82"/>
      <c r="E77" s="258">
        <f t="shared" si="6"/>
        <v>1.2392637318402455E-2</v>
      </c>
      <c r="F77" s="82"/>
      <c r="G77" s="264">
        <f t="shared" si="3"/>
        <v>0.24820509952605682</v>
      </c>
      <c r="H77" s="265">
        <f t="shared" si="4"/>
        <v>0.75179490047394326</v>
      </c>
      <c r="I77" s="265">
        <f t="shared" si="1"/>
        <v>1</v>
      </c>
      <c r="J77" s="265">
        <f t="shared" si="2"/>
        <v>0.24820509952605674</v>
      </c>
      <c r="K77" s="82"/>
      <c r="L77" s="82"/>
      <c r="M77" s="82"/>
      <c r="N77" s="3"/>
      <c r="O77" s="82"/>
      <c r="P77" s="262">
        <v>35.304695299999999</v>
      </c>
      <c r="Q77" s="82"/>
      <c r="R77" s="3"/>
      <c r="S77" s="82"/>
      <c r="T77" s="262">
        <v>0.39360000000000001</v>
      </c>
      <c r="U77" s="82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</row>
    <row r="78" spans="1:46" ht="14.25" customHeight="1" x14ac:dyDescent="0.25">
      <c r="A78" s="3"/>
      <c r="B78" s="82"/>
      <c r="C78" s="176">
        <v>67</v>
      </c>
      <c r="D78" s="82"/>
      <c r="E78" s="258">
        <f t="shared" si="6"/>
        <v>1.2316134198339879E-2</v>
      </c>
      <c r="F78" s="82"/>
      <c r="G78" s="264">
        <f t="shared" si="3"/>
        <v>0.24514817221158161</v>
      </c>
      <c r="H78" s="265">
        <f t="shared" si="4"/>
        <v>0.75485182778841853</v>
      </c>
      <c r="I78" s="265">
        <f t="shared" si="1"/>
        <v>1.0000000000000002</v>
      </c>
      <c r="J78" s="265">
        <f t="shared" si="2"/>
        <v>0.24514817221158169</v>
      </c>
      <c r="K78" s="82"/>
      <c r="L78" s="82"/>
      <c r="M78" s="82"/>
      <c r="N78" s="3"/>
      <c r="O78" s="82"/>
      <c r="P78" s="262">
        <v>35.964035959999997</v>
      </c>
      <c r="Q78" s="82"/>
      <c r="R78" s="3"/>
      <c r="S78" s="82"/>
      <c r="T78" s="262">
        <v>0.3856</v>
      </c>
      <c r="U78" s="82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71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</row>
    <row r="79" spans="1:46" ht="14.25" customHeight="1" x14ac:dyDescent="0.25">
      <c r="A79" s="3"/>
      <c r="B79" s="82"/>
      <c r="C79" s="176">
        <v>68</v>
      </c>
      <c r="D79" s="82"/>
      <c r="E79" s="258">
        <f t="shared" si="6"/>
        <v>1.2241231918456497E-2</v>
      </c>
      <c r="F79" s="82"/>
      <c r="G79" s="264">
        <f t="shared" si="3"/>
        <v>0.24214725658115394</v>
      </c>
      <c r="H79" s="265">
        <f t="shared" si="4"/>
        <v>0.75785274341884623</v>
      </c>
      <c r="I79" s="265">
        <f t="shared" si="1"/>
        <v>1.0000000000000002</v>
      </c>
      <c r="J79" s="265">
        <f t="shared" si="2"/>
        <v>0.24214725658115399</v>
      </c>
      <c r="K79" s="82"/>
      <c r="L79" s="82"/>
      <c r="M79" s="82"/>
      <c r="N79" s="3"/>
      <c r="O79" s="82"/>
      <c r="P79" s="262">
        <v>37.1028971</v>
      </c>
      <c r="Q79" s="82"/>
      <c r="R79" s="3"/>
      <c r="S79" s="82"/>
      <c r="T79" s="262">
        <v>0.38719999999999999</v>
      </c>
      <c r="U79" s="82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71"/>
      <c r="AR79" s="3"/>
      <c r="AS79" s="3"/>
      <c r="AT79" s="3"/>
    </row>
    <row r="80" spans="1:46" ht="14.25" customHeight="1" x14ac:dyDescent="0.25">
      <c r="A80" s="3"/>
      <c r="B80" s="82"/>
      <c r="C80" s="176">
        <v>69</v>
      </c>
      <c r="D80" s="82"/>
      <c r="E80" s="258">
        <f t="shared" si="6"/>
        <v>1.2167874031046355E-2</v>
      </c>
      <c r="F80" s="82"/>
      <c r="G80" s="264">
        <f t="shared" si="3"/>
        <v>0.23920083926611099</v>
      </c>
      <c r="H80" s="265">
        <f t="shared" si="4"/>
        <v>0.7607991607338892</v>
      </c>
      <c r="I80" s="265">
        <f t="shared" si="1"/>
        <v>1.0000000000000002</v>
      </c>
      <c r="J80" s="265">
        <f t="shared" si="2"/>
        <v>0.23920083926611102</v>
      </c>
      <c r="K80" s="82"/>
      <c r="L80" s="82"/>
      <c r="M80" s="82"/>
      <c r="N80" s="3"/>
      <c r="O80" s="82"/>
      <c r="P80" s="262">
        <v>38.121878119999998</v>
      </c>
      <c r="Q80" s="82"/>
      <c r="R80" s="3"/>
      <c r="S80" s="82"/>
      <c r="T80" s="262">
        <v>0.3856</v>
      </c>
      <c r="U80" s="82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</row>
    <row r="81" spans="1:46" ht="14.25" customHeight="1" x14ac:dyDescent="0.25">
      <c r="A81" s="3"/>
      <c r="B81" s="82"/>
      <c r="C81" s="176">
        <v>70</v>
      </c>
      <c r="D81" s="82"/>
      <c r="E81" s="258">
        <f t="shared" si="6"/>
        <v>1.2096006865035092E-2</v>
      </c>
      <c r="F81" s="82"/>
      <c r="G81" s="264">
        <f t="shared" si="3"/>
        <v>0.23630746427222596</v>
      </c>
      <c r="H81" s="265">
        <f t="shared" si="4"/>
        <v>0.76369253572777418</v>
      </c>
      <c r="I81" s="265">
        <f t="shared" si="1"/>
        <v>1.0000000000000002</v>
      </c>
      <c r="J81" s="265">
        <f t="shared" si="2"/>
        <v>0.23630746427222604</v>
      </c>
      <c r="K81" s="82"/>
      <c r="L81" s="82"/>
      <c r="M81" s="82"/>
      <c r="N81" s="3"/>
      <c r="O81" s="82"/>
      <c r="P81" s="262">
        <v>39.080919080000001</v>
      </c>
      <c r="Q81" s="82"/>
      <c r="R81" s="3"/>
      <c r="S81" s="82"/>
      <c r="T81" s="262">
        <v>0.38719999999999999</v>
      </c>
      <c r="U81" s="82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</row>
    <row r="82" spans="1:46" ht="14.25" customHeight="1" x14ac:dyDescent="0.25">
      <c r="A82" s="3"/>
      <c r="B82" s="82"/>
      <c r="C82" s="176">
        <v>71</v>
      </c>
      <c r="D82" s="82"/>
      <c r="E82" s="258">
        <f t="shared" si="6"/>
        <v>1.2025579351809923E-2</v>
      </c>
      <c r="F82" s="82"/>
      <c r="G82" s="264">
        <f t="shared" si="3"/>
        <v>0.23346573010919533</v>
      </c>
      <c r="H82" s="265">
        <f t="shared" si="4"/>
        <v>0.76653426989080486</v>
      </c>
      <c r="I82" s="265">
        <f t="shared" si="1"/>
        <v>1.0000000000000002</v>
      </c>
      <c r="J82" s="265">
        <f t="shared" si="2"/>
        <v>0.23346573010919536</v>
      </c>
      <c r="K82" s="82"/>
      <c r="L82" s="82"/>
      <c r="M82" s="82"/>
      <c r="N82" s="3"/>
      <c r="O82" s="82"/>
      <c r="P82" s="262">
        <v>39.740259739999999</v>
      </c>
      <c r="Q82" s="82"/>
      <c r="R82" s="3"/>
      <c r="S82" s="82"/>
      <c r="T82" s="262">
        <v>0.38400000000000001</v>
      </c>
      <c r="U82" s="82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</row>
    <row r="83" spans="1:46" ht="14.25" customHeight="1" x14ac:dyDescent="0.25">
      <c r="A83" s="3"/>
      <c r="B83" s="82"/>
      <c r="C83" s="176">
        <v>72</v>
      </c>
      <c r="D83" s="82"/>
      <c r="E83" s="258">
        <f t="shared" si="6"/>
        <v>1.1956542864277608E-2</v>
      </c>
      <c r="F83" s="82"/>
      <c r="G83" s="264">
        <f t="shared" si="3"/>
        <v>0.23067428709980486</v>
      </c>
      <c r="H83" s="265">
        <f t="shared" si="4"/>
        <v>0.76932571290019536</v>
      </c>
      <c r="I83" s="265">
        <f t="shared" si="1"/>
        <v>1.0000000000000002</v>
      </c>
      <c r="J83" s="265">
        <f t="shared" si="2"/>
        <v>0.23067428709980486</v>
      </c>
      <c r="K83" s="82"/>
      <c r="L83" s="82"/>
      <c r="M83" s="82"/>
      <c r="N83" s="3"/>
      <c r="O83" s="82"/>
      <c r="P83" s="262">
        <v>40.219780219999997</v>
      </c>
      <c r="Q83" s="82"/>
      <c r="R83" s="3"/>
      <c r="S83" s="82"/>
      <c r="T83" s="262">
        <v>0.37280000000000002</v>
      </c>
      <c r="U83" s="82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</row>
    <row r="84" spans="1:46" ht="14.25" customHeight="1" x14ac:dyDescent="0.25">
      <c r="A84" s="3"/>
      <c r="B84" s="82"/>
      <c r="C84" s="176">
        <v>73</v>
      </c>
      <c r="D84" s="82"/>
      <c r="E84" s="258">
        <f t="shared" si="6"/>
        <v>1.188885106796056E-2</v>
      </c>
      <c r="F84" s="82"/>
      <c r="G84" s="264">
        <f t="shared" si="3"/>
        <v>0.2279318348552673</v>
      </c>
      <c r="H84" s="265">
        <f t="shared" si="4"/>
        <v>0.77206816514473287</v>
      </c>
      <c r="I84" s="265">
        <f t="shared" si="1"/>
        <v>1.0000000000000002</v>
      </c>
      <c r="J84" s="265">
        <f t="shared" si="2"/>
        <v>0.22793183485526736</v>
      </c>
      <c r="K84" s="82"/>
      <c r="L84" s="82"/>
      <c r="M84" s="82"/>
      <c r="N84" s="3"/>
      <c r="O84" s="82"/>
      <c r="P84" s="262">
        <v>40.81918082</v>
      </c>
      <c r="Q84" s="82"/>
      <c r="R84" s="3"/>
      <c r="S84" s="82"/>
      <c r="T84" s="262">
        <v>0.3664</v>
      </c>
      <c r="U84" s="82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71"/>
      <c r="AT84" s="3"/>
    </row>
    <row r="85" spans="1:46" ht="14.25" customHeight="1" x14ac:dyDescent="0.25">
      <c r="A85" s="3"/>
      <c r="B85" s="82"/>
      <c r="C85" s="176">
        <v>74</v>
      </c>
      <c r="D85" s="82"/>
      <c r="E85" s="258">
        <f t="shared" si="6"/>
        <v>1.1822459783086936E-2</v>
      </c>
      <c r="F85" s="82"/>
      <c r="G85" s="264">
        <f t="shared" si="3"/>
        <v>0.2252371199044057</v>
      </c>
      <c r="H85" s="265">
        <f t="shared" si="4"/>
        <v>0.77476288009559446</v>
      </c>
      <c r="I85" s="265">
        <f t="shared" si="1"/>
        <v>1.0000000000000002</v>
      </c>
      <c r="J85" s="265">
        <f t="shared" si="2"/>
        <v>0.22523711990440576</v>
      </c>
      <c r="K85" s="82"/>
      <c r="L85" s="82"/>
      <c r="M85" s="82"/>
      <c r="N85" s="3"/>
      <c r="O85" s="82"/>
      <c r="P85" s="262">
        <v>41.35864136</v>
      </c>
      <c r="Q85" s="82"/>
      <c r="R85" s="3"/>
      <c r="S85" s="82"/>
      <c r="T85" s="262">
        <v>0.36480000000000001</v>
      </c>
      <c r="U85" s="82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</row>
    <row r="86" spans="1:46" ht="14.25" customHeight="1" x14ac:dyDescent="0.25">
      <c r="A86" s="3"/>
      <c r="B86" s="82"/>
      <c r="C86" s="176">
        <v>75</v>
      </c>
      <c r="D86" s="82"/>
      <c r="E86" s="258">
        <f t="shared" si="6"/>
        <v>1.1757326856711825E-2</v>
      </c>
      <c r="F86" s="82"/>
      <c r="G86" s="264">
        <f t="shared" si="3"/>
        <v>0.22258893346542521</v>
      </c>
      <c r="H86" s="265">
        <f t="shared" si="4"/>
        <v>0.77741106653457492</v>
      </c>
      <c r="I86" s="265">
        <f t="shared" si="1"/>
        <v>1.0000000000000002</v>
      </c>
      <c r="J86" s="265">
        <f t="shared" si="2"/>
        <v>0.2225889334654253</v>
      </c>
      <c r="K86" s="82"/>
      <c r="L86" s="82"/>
      <c r="M86" s="82"/>
      <c r="N86" s="3"/>
      <c r="O86" s="82"/>
      <c r="P86" s="262">
        <v>41.658341659999998</v>
      </c>
      <c r="Q86" s="82"/>
      <c r="R86" s="3"/>
      <c r="S86" s="82"/>
      <c r="T86" s="262">
        <v>0.35680000000000001</v>
      </c>
      <c r="U86" s="82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</row>
    <row r="87" spans="1:46" ht="14.25" customHeight="1" x14ac:dyDescent="0.25">
      <c r="A87" s="3"/>
      <c r="B87" s="82"/>
      <c r="C87" s="176">
        <v>76</v>
      </c>
      <c r="D87" s="82"/>
      <c r="E87" s="258">
        <f t="shared" si="6"/>
        <v>1.1693412044052609E-2</v>
      </c>
      <c r="F87" s="82"/>
      <c r="G87" s="264">
        <f t="shared" si="3"/>
        <v>0.21998610934996779</v>
      </c>
      <c r="H87" s="265">
        <f t="shared" si="4"/>
        <v>0.78001389065003235</v>
      </c>
      <c r="I87" s="265">
        <f t="shared" si="1"/>
        <v>1.0000000000000002</v>
      </c>
      <c r="J87" s="265">
        <f t="shared" si="2"/>
        <v>0.21998610934996787</v>
      </c>
      <c r="K87" s="82"/>
      <c r="L87" s="82"/>
      <c r="M87" s="82"/>
      <c r="N87" s="3"/>
      <c r="O87" s="82"/>
      <c r="P87" s="262">
        <v>42.557442559999998</v>
      </c>
      <c r="Q87" s="82"/>
      <c r="R87" s="3"/>
      <c r="S87" s="82"/>
      <c r="T87" s="262">
        <v>0.35520000000000002</v>
      </c>
      <c r="U87" s="82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</row>
    <row r="88" spans="1:46" ht="14.25" customHeight="1" x14ac:dyDescent="0.25">
      <c r="A88" s="3"/>
      <c r="B88" s="82"/>
      <c r="C88" s="176">
        <v>77</v>
      </c>
      <c r="D88" s="82"/>
      <c r="E88" s="258">
        <f t="shared" si="6"/>
        <v>1.1630676898198966E-2</v>
      </c>
      <c r="F88" s="82"/>
      <c r="G88" s="264">
        <f t="shared" si="3"/>
        <v>0.21742752199002643</v>
      </c>
      <c r="H88" s="265">
        <f t="shared" si="4"/>
        <v>0.78257247800997365</v>
      </c>
      <c r="I88" s="265">
        <f t="shared" si="1"/>
        <v>1</v>
      </c>
      <c r="J88" s="265">
        <f t="shared" si="2"/>
        <v>0.21742752199002635</v>
      </c>
      <c r="K88" s="82"/>
      <c r="L88" s="82"/>
      <c r="M88" s="82"/>
      <c r="N88" s="3"/>
      <c r="O88" s="82"/>
      <c r="P88" s="262">
        <v>43.456543459999999</v>
      </c>
      <c r="Q88" s="82"/>
      <c r="R88" s="3"/>
      <c r="S88" s="82"/>
      <c r="T88" s="262">
        <v>0.35680000000000001</v>
      </c>
      <c r="U88" s="82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</row>
    <row r="89" spans="1:46" ht="14.25" customHeight="1" x14ac:dyDescent="0.25">
      <c r="A89" s="3"/>
      <c r="B89" s="82"/>
      <c r="C89" s="176">
        <v>78</v>
      </c>
      <c r="D89" s="82"/>
      <c r="E89" s="258">
        <f t="shared" si="6"/>
        <v>1.1569084667577889E-2</v>
      </c>
      <c r="F89" s="82"/>
      <c r="G89" s="264">
        <f t="shared" si="3"/>
        <v>0.21491208457906216</v>
      </c>
      <c r="H89" s="265">
        <f t="shared" si="4"/>
        <v>0.78508791542093792</v>
      </c>
      <c r="I89" s="265">
        <f t="shared" si="1"/>
        <v>1</v>
      </c>
      <c r="J89" s="265">
        <f t="shared" si="2"/>
        <v>0.21491208457906208</v>
      </c>
      <c r="K89" s="82"/>
      <c r="L89" s="82"/>
      <c r="M89" s="82"/>
      <c r="N89" s="3"/>
      <c r="O89" s="82"/>
      <c r="P89" s="262">
        <v>43.936063939999997</v>
      </c>
      <c r="Q89" s="82"/>
      <c r="R89" s="3"/>
      <c r="S89" s="82"/>
      <c r="T89" s="262">
        <v>0.35520000000000002</v>
      </c>
      <c r="U89" s="82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</row>
    <row r="90" spans="1:46" ht="14.25" customHeight="1" x14ac:dyDescent="0.25">
      <c r="A90" s="3"/>
      <c r="B90" s="82"/>
      <c r="C90" s="176">
        <v>79</v>
      </c>
      <c r="D90" s="82"/>
      <c r="E90" s="258">
        <f t="shared" si="6"/>
        <v>1.1508600200482832E-2</v>
      </c>
      <c r="F90" s="82"/>
      <c r="G90" s="264">
        <f t="shared" si="3"/>
        <v>0.21243874731938939</v>
      </c>
      <c r="H90" s="265">
        <f t="shared" si="4"/>
        <v>0.78756125268061072</v>
      </c>
      <c r="I90" s="265">
        <f t="shared" si="1"/>
        <v>1</v>
      </c>
      <c r="J90" s="265">
        <f t="shared" si="2"/>
        <v>0.21243874731938928</v>
      </c>
      <c r="K90" s="82"/>
      <c r="L90" s="82"/>
      <c r="M90" s="82"/>
      <c r="N90" s="3"/>
      <c r="O90" s="82"/>
      <c r="P90" s="262">
        <v>44.71528472</v>
      </c>
      <c r="Q90" s="82"/>
      <c r="R90" s="3"/>
      <c r="S90" s="82"/>
      <c r="T90" s="262">
        <v>0.35520000000000002</v>
      </c>
      <c r="U90" s="82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</row>
    <row r="91" spans="1:46" ht="14.25" customHeight="1" x14ac:dyDescent="0.25">
      <c r="A91" s="3"/>
      <c r="B91" s="82"/>
      <c r="C91" s="176">
        <v>80</v>
      </c>
      <c r="D91" s="82"/>
      <c r="E91" s="258">
        <f t="shared" si="6"/>
        <v>1.14491898561212E-2</v>
      </c>
      <c r="F91" s="82"/>
      <c r="G91" s="264">
        <f t="shared" si="3"/>
        <v>0.21000649576853314</v>
      </c>
      <c r="H91" s="265">
        <f t="shared" si="4"/>
        <v>0.78999350423146697</v>
      </c>
      <c r="I91" s="265">
        <f t="shared" si="1"/>
        <v>1</v>
      </c>
      <c r="J91" s="265">
        <f t="shared" si="2"/>
        <v>0.21000649576853303</v>
      </c>
      <c r="K91" s="82"/>
      <c r="L91" s="82"/>
      <c r="M91" s="82"/>
      <c r="N91" s="3"/>
      <c r="O91" s="82"/>
      <c r="P91" s="262">
        <v>45.254745249999999</v>
      </c>
      <c r="Q91" s="82"/>
      <c r="R91" s="3"/>
      <c r="S91" s="82"/>
      <c r="T91" s="262">
        <v>0.35680000000000001</v>
      </c>
      <c r="U91" s="82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</row>
    <row r="92" spans="1:46" ht="14.25" customHeight="1" x14ac:dyDescent="0.25">
      <c r="A92" s="3"/>
      <c r="B92" s="82"/>
      <c r="C92" s="176">
        <v>81</v>
      </c>
      <c r="D92" s="82"/>
      <c r="E92" s="258">
        <f t="shared" si="6"/>
        <v>1.1390821421653818E-2</v>
      </c>
      <c r="F92" s="82"/>
      <c r="G92" s="264">
        <f t="shared" si="3"/>
        <v>0.20761434927784647</v>
      </c>
      <c r="H92" s="265">
        <f t="shared" si="4"/>
        <v>0.79238565072215361</v>
      </c>
      <c r="I92" s="265">
        <f t="shared" si="1"/>
        <v>1</v>
      </c>
      <c r="J92" s="265">
        <f t="shared" si="2"/>
        <v>0.20761434927784639</v>
      </c>
      <c r="K92" s="82"/>
      <c r="L92" s="82"/>
      <c r="M92" s="82"/>
      <c r="N92" s="3"/>
      <c r="O92" s="82"/>
      <c r="P92" s="262">
        <v>45.854145850000002</v>
      </c>
      <c r="Q92" s="82"/>
      <c r="R92" s="3"/>
      <c r="S92" s="82"/>
      <c r="T92" s="262">
        <v>0.3488</v>
      </c>
      <c r="U92" s="82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</row>
    <row r="93" spans="1:46" ht="14.25" customHeight="1" x14ac:dyDescent="0.25">
      <c r="A93" s="3"/>
      <c r="B93" s="82"/>
      <c r="C93" s="176">
        <v>82</v>
      </c>
      <c r="D93" s="82"/>
      <c r="E93" s="258">
        <f t="shared" si="6"/>
        <v>1.133346403475588E-2</v>
      </c>
      <c r="F93" s="82"/>
      <c r="G93" s="264">
        <f t="shared" si="3"/>
        <v>0.20526135951720675</v>
      </c>
      <c r="H93" s="265">
        <f t="shared" si="4"/>
        <v>0.7947386404827933</v>
      </c>
      <c r="I93" s="265">
        <f t="shared" si="1"/>
        <v>1</v>
      </c>
      <c r="J93" s="265">
        <f t="shared" si="2"/>
        <v>0.2052613595172067</v>
      </c>
      <c r="K93" s="82"/>
      <c r="L93" s="82"/>
      <c r="M93" s="82"/>
      <c r="N93" s="3"/>
      <c r="O93" s="82"/>
      <c r="P93" s="262">
        <v>46.393606390000002</v>
      </c>
      <c r="Q93" s="82"/>
      <c r="R93" s="3"/>
      <c r="S93" s="82"/>
      <c r="T93" s="262">
        <v>0.35039999999999999</v>
      </c>
      <c r="U93" s="82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</row>
    <row r="94" spans="1:46" ht="14.25" customHeight="1" x14ac:dyDescent="0.25">
      <c r="A94" s="3"/>
      <c r="B94" s="82"/>
      <c r="C94" s="176">
        <v>83</v>
      </c>
      <c r="D94" s="82"/>
      <c r="E94" s="258">
        <f t="shared" si="6"/>
        <v>1.1277088111269595E-2</v>
      </c>
      <c r="F94" s="82"/>
      <c r="G94" s="264">
        <f t="shared" si="3"/>
        <v>0.20294660908009224</v>
      </c>
      <c r="H94" s="265">
        <f t="shared" si="4"/>
        <v>0.79705339091990779</v>
      </c>
      <c r="I94" s="265">
        <f t="shared" si="1"/>
        <v>1</v>
      </c>
      <c r="J94" s="265">
        <f t="shared" si="2"/>
        <v>0.20294660908009221</v>
      </c>
      <c r="K94" s="82"/>
      <c r="L94" s="82"/>
      <c r="M94" s="82"/>
      <c r="N94" s="3"/>
      <c r="O94" s="82"/>
      <c r="P94" s="262">
        <v>47.112887110000003</v>
      </c>
      <c r="Q94" s="82"/>
      <c r="R94" s="3"/>
      <c r="S94" s="82"/>
      <c r="T94" s="262">
        <v>0.3488</v>
      </c>
      <c r="U94" s="82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</row>
    <row r="95" spans="1:46" ht="14.25" customHeight="1" x14ac:dyDescent="0.25">
      <c r="A95" s="3"/>
      <c r="B95" s="82"/>
      <c r="C95" s="176">
        <v>84</v>
      </c>
      <c r="D95" s="82"/>
      <c r="E95" s="258">
        <f t="shared" si="6"/>
        <v>1.1221665277547421E-2</v>
      </c>
      <c r="F95" s="82"/>
      <c r="G95" s="264">
        <f t="shared" si="3"/>
        <v>0.20066921016378217</v>
      </c>
      <c r="H95" s="265">
        <f t="shared" si="4"/>
        <v>0.79933078983621786</v>
      </c>
      <c r="I95" s="265">
        <f t="shared" si="1"/>
        <v>1</v>
      </c>
      <c r="J95" s="265">
        <f t="shared" si="2"/>
        <v>0.20066921016378214</v>
      </c>
      <c r="K95" s="82"/>
      <c r="L95" s="82"/>
      <c r="M95" s="82"/>
      <c r="N95" s="3"/>
      <c r="O95" s="82"/>
      <c r="P95" s="262">
        <v>47.892107889999998</v>
      </c>
      <c r="Q95" s="82"/>
      <c r="R95" s="3"/>
      <c r="S95" s="82"/>
      <c r="T95" s="262">
        <v>0.34720000000000001</v>
      </c>
      <c r="U95" s="82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</row>
    <row r="96" spans="1:46" ht="14.25" customHeight="1" x14ac:dyDescent="0.25">
      <c r="A96" s="3"/>
      <c r="B96" s="82"/>
      <c r="C96" s="176">
        <v>85</v>
      </c>
      <c r="D96" s="82"/>
      <c r="E96" s="258">
        <f t="shared" si="6"/>
        <v>1.1167168307149367E-2</v>
      </c>
      <c r="F96" s="82"/>
      <c r="G96" s="264">
        <f t="shared" si="3"/>
        <v>0.19842830331982048</v>
      </c>
      <c r="H96" s="265">
        <f t="shared" si="4"/>
        <v>0.80157169668017958</v>
      </c>
      <c r="I96" s="265">
        <f t="shared" si="1"/>
        <v>1</v>
      </c>
      <c r="J96" s="265">
        <f t="shared" si="2"/>
        <v>0.19842830331982042</v>
      </c>
      <c r="K96" s="82"/>
      <c r="L96" s="82"/>
      <c r="M96" s="82"/>
      <c r="N96" s="3"/>
      <c r="O96" s="82"/>
      <c r="P96" s="262">
        <v>48.431568429999999</v>
      </c>
      <c r="Q96" s="82"/>
      <c r="R96" s="3"/>
      <c r="S96" s="82"/>
      <c r="T96" s="262">
        <v>0.3392</v>
      </c>
      <c r="U96" s="82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</row>
    <row r="97" spans="1:46" ht="14.25" customHeight="1" x14ac:dyDescent="0.25">
      <c r="A97" s="3"/>
      <c r="B97" s="82"/>
      <c r="C97" s="176">
        <v>86</v>
      </c>
      <c r="D97" s="82"/>
      <c r="E97" s="258">
        <f t="shared" si="6"/>
        <v>1.1113571061536875E-2</v>
      </c>
      <c r="F97" s="82"/>
      <c r="G97" s="264">
        <f t="shared" si="3"/>
        <v>0.19622305627025546</v>
      </c>
      <c r="H97" s="265">
        <f t="shared" si="4"/>
        <v>0.80377694372974462</v>
      </c>
      <c r="I97" s="265">
        <f t="shared" si="1"/>
        <v>1</v>
      </c>
      <c r="J97" s="265">
        <f t="shared" si="2"/>
        <v>0.19622305627025538</v>
      </c>
      <c r="K97" s="82"/>
      <c r="L97" s="82"/>
      <c r="M97" s="82"/>
      <c r="N97" s="3"/>
      <c r="O97" s="82"/>
      <c r="P97" s="262">
        <v>49.510489509999999</v>
      </c>
      <c r="Q97" s="82"/>
      <c r="R97" s="3"/>
      <c r="S97" s="82"/>
      <c r="T97" s="262">
        <v>0.34079999999999999</v>
      </c>
      <c r="U97" s="82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</row>
    <row r="98" spans="1:46" ht="14.25" customHeight="1" x14ac:dyDescent="0.25">
      <c r="A98" s="3"/>
      <c r="B98" s="82"/>
      <c r="C98" s="176">
        <v>87</v>
      </c>
      <c r="D98" s="82"/>
      <c r="E98" s="258">
        <f t="shared" si="6"/>
        <v>1.1060848434510051E-2</v>
      </c>
      <c r="F98" s="82"/>
      <c r="G98" s="264">
        <f t="shared" si="3"/>
        <v>0.19405266278549382</v>
      </c>
      <c r="H98" s="265">
        <f t="shared" si="4"/>
        <v>0.80594733721450629</v>
      </c>
      <c r="I98" s="265">
        <f t="shared" si="1"/>
        <v>1</v>
      </c>
      <c r="J98" s="265">
        <f t="shared" si="2"/>
        <v>0.19405266278549371</v>
      </c>
      <c r="K98" s="82"/>
      <c r="L98" s="82"/>
      <c r="M98" s="82"/>
      <c r="N98" s="3"/>
      <c r="O98" s="82"/>
      <c r="P98" s="262">
        <v>50.04995005</v>
      </c>
      <c r="Q98" s="82"/>
      <c r="R98" s="3"/>
      <c r="S98" s="82"/>
      <c r="T98" s="262">
        <v>0.3392</v>
      </c>
      <c r="U98" s="82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</row>
    <row r="99" spans="1:46" ht="14.25" customHeight="1" x14ac:dyDescent="0.25">
      <c r="A99" s="3"/>
      <c r="B99" s="82"/>
      <c r="C99" s="176">
        <v>88</v>
      </c>
      <c r="D99" s="82"/>
      <c r="E99" s="258">
        <f t="shared" si="6"/>
        <v>1.1008976300059703E-2</v>
      </c>
      <c r="F99" s="82"/>
      <c r="G99" s="264">
        <f t="shared" si="3"/>
        <v>0.19191634161992485</v>
      </c>
      <c r="H99" s="265">
        <f t="shared" si="4"/>
        <v>0.80808365838007523</v>
      </c>
      <c r="I99" s="265">
        <f t="shared" si="1"/>
        <v>1</v>
      </c>
      <c r="J99" s="265">
        <f t="shared" si="2"/>
        <v>0.19191634161992477</v>
      </c>
      <c r="K99" s="82"/>
      <c r="L99" s="82"/>
      <c r="M99" s="82"/>
      <c r="N99" s="3"/>
      <c r="O99" s="82"/>
      <c r="P99" s="262">
        <v>49.210789210000002</v>
      </c>
      <c r="Q99" s="82"/>
      <c r="R99" s="3"/>
      <c r="S99" s="82"/>
      <c r="T99" s="262">
        <v>0.34079999999999999</v>
      </c>
      <c r="U99" s="82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</row>
    <row r="100" spans="1:46" ht="14.25" customHeight="1" x14ac:dyDescent="0.25">
      <c r="A100" s="3"/>
      <c r="B100" s="82"/>
      <c r="C100" s="176">
        <v>89</v>
      </c>
      <c r="D100" s="82"/>
      <c r="E100" s="258">
        <f t="shared" si="6"/>
        <v>1.0957931463428716E-2</v>
      </c>
      <c r="F100" s="82"/>
      <c r="G100" s="264">
        <f t="shared" si="3"/>
        <v>0.18981333550174173</v>
      </c>
      <c r="H100" s="265">
        <f t="shared" si="4"/>
        <v>0.81018666449825838</v>
      </c>
      <c r="I100" s="265">
        <f t="shared" si="1"/>
        <v>1</v>
      </c>
      <c r="J100" s="265">
        <f t="shared" si="2"/>
        <v>0.18981333550174162</v>
      </c>
      <c r="K100" s="82"/>
      <c r="L100" s="82"/>
      <c r="M100" s="82"/>
      <c r="N100" s="3"/>
      <c r="O100" s="82"/>
      <c r="P100" s="262">
        <v>50.829170830000002</v>
      </c>
      <c r="Q100" s="82"/>
      <c r="R100" s="3"/>
      <c r="S100" s="82"/>
      <c r="T100" s="262">
        <v>0.33600000000000002</v>
      </c>
      <c r="U100" s="82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</row>
    <row r="101" spans="1:46" ht="14.25" customHeight="1" x14ac:dyDescent="0.25">
      <c r="A101" s="3"/>
      <c r="B101" s="82"/>
      <c r="C101" s="176">
        <v>90</v>
      </c>
      <c r="D101" s="82"/>
      <c r="E101" s="258">
        <f t="shared" si="6"/>
        <v>1.0907691615147042E-2</v>
      </c>
      <c r="F101" s="82"/>
      <c r="G101" s="264">
        <f t="shared" si="3"/>
        <v>0.1877429101736463</v>
      </c>
      <c r="H101" s="265">
        <f t="shared" si="4"/>
        <v>0.81225708982635381</v>
      </c>
      <c r="I101" s="265">
        <f t="shared" si="1"/>
        <v>1</v>
      </c>
      <c r="J101" s="265">
        <f t="shared" si="2"/>
        <v>0.18774291017364619</v>
      </c>
      <c r="K101" s="82"/>
      <c r="L101" s="82"/>
      <c r="M101" s="82"/>
      <c r="N101" s="3"/>
      <c r="O101" s="82"/>
      <c r="P101" s="262">
        <v>51.608391609999998</v>
      </c>
      <c r="Q101" s="82"/>
      <c r="R101" s="3"/>
      <c r="S101" s="82"/>
      <c r="T101" s="262">
        <v>0.33279999999999998</v>
      </c>
      <c r="U101" s="82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</row>
    <row r="102" spans="1:46" ht="14.25" customHeight="1" x14ac:dyDescent="0.25">
      <c r="A102" s="3"/>
      <c r="B102" s="82"/>
      <c r="C102" s="176">
        <v>91</v>
      </c>
      <c r="D102" s="82"/>
      <c r="E102" s="258">
        <f t="shared" si="6"/>
        <v>1.0858235287793283E-2</v>
      </c>
      <c r="F102" s="82"/>
      <c r="G102" s="264">
        <f t="shared" si="3"/>
        <v>0.18570435348136582</v>
      </c>
      <c r="H102" s="265">
        <f t="shared" si="4"/>
        <v>0.81429564651863429</v>
      </c>
      <c r="I102" s="265">
        <f t="shared" si="1"/>
        <v>1</v>
      </c>
      <c r="J102" s="265">
        <f t="shared" si="2"/>
        <v>0.18570435348136571</v>
      </c>
      <c r="K102" s="82"/>
      <c r="L102" s="82"/>
      <c r="M102" s="82"/>
      <c r="N102" s="3"/>
      <c r="O102" s="82"/>
      <c r="P102" s="262">
        <v>52.207792210000001</v>
      </c>
      <c r="Q102" s="82"/>
      <c r="R102" s="3"/>
      <c r="S102" s="82"/>
      <c r="T102" s="262">
        <v>0.33279999999999998</v>
      </c>
      <c r="U102" s="82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</row>
    <row r="103" spans="1:46" ht="14.25" customHeight="1" x14ac:dyDescent="0.25">
      <c r="A103" s="3"/>
      <c r="B103" s="82"/>
      <c r="C103" s="176">
        <v>92</v>
      </c>
      <c r="D103" s="82"/>
      <c r="E103" s="258">
        <f t="shared" si="6"/>
        <v>1.080954181534588E-2</v>
      </c>
      <c r="F103" s="82"/>
      <c r="G103" s="264">
        <f t="shared" si="3"/>
        <v>0.18369697450711722</v>
      </c>
      <c r="H103" s="265">
        <f t="shared" si="4"/>
        <v>0.81630302549288292</v>
      </c>
      <c r="I103" s="265">
        <f t="shared" si="1"/>
        <v>1.0000000000000002</v>
      </c>
      <c r="J103" s="265">
        <f t="shared" si="2"/>
        <v>0.18369697450711731</v>
      </c>
      <c r="K103" s="82"/>
      <c r="L103" s="82"/>
      <c r="M103" s="82"/>
      <c r="N103" s="3"/>
      <c r="O103" s="82"/>
      <c r="P103" s="262">
        <v>53.106893110000001</v>
      </c>
      <c r="Q103" s="82"/>
      <c r="R103" s="3"/>
      <c r="S103" s="82"/>
      <c r="T103" s="262">
        <v>0.33439999999999998</v>
      </c>
      <c r="U103" s="82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</row>
    <row r="104" spans="1:46" ht="14.25" customHeight="1" x14ac:dyDescent="0.25">
      <c r="A104" s="3"/>
      <c r="B104" s="82"/>
      <c r="C104" s="176">
        <v>93</v>
      </c>
      <c r="D104" s="82"/>
      <c r="E104" s="258">
        <f t="shared" si="6"/>
        <v>1.0761591294898287E-2</v>
      </c>
      <c r="F104" s="82"/>
      <c r="G104" s="264">
        <f t="shared" si="3"/>
        <v>0.18172010274536227</v>
      </c>
      <c r="H104" s="265">
        <f t="shared" si="4"/>
        <v>0.8182798972546379</v>
      </c>
      <c r="I104" s="265">
        <f t="shared" si="1"/>
        <v>1.0000000000000002</v>
      </c>
      <c r="J104" s="265">
        <f t="shared" si="2"/>
        <v>0.18172010274536232</v>
      </c>
      <c r="K104" s="82"/>
      <c r="L104" s="82"/>
      <c r="M104" s="82"/>
      <c r="N104" s="3"/>
      <c r="O104" s="82"/>
      <c r="P104" s="262">
        <v>53.886113889999997</v>
      </c>
      <c r="Q104" s="82"/>
      <c r="R104" s="3"/>
      <c r="S104" s="82"/>
      <c r="T104" s="262">
        <v>0.33439999999999998</v>
      </c>
      <c r="U104" s="82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</row>
    <row r="105" spans="1:46" ht="14.25" customHeight="1" x14ac:dyDescent="0.25">
      <c r="A105" s="3"/>
      <c r="B105" s="82"/>
      <c r="C105" s="176">
        <v>94</v>
      </c>
      <c r="D105" s="82"/>
      <c r="E105" s="258">
        <f t="shared" si="6"/>
        <v>1.0714364550602706E-2</v>
      </c>
      <c r="F105" s="82"/>
      <c r="G105" s="264">
        <f t="shared" si="3"/>
        <v>0.17977308731837546</v>
      </c>
      <c r="H105" s="265">
        <f t="shared" si="4"/>
        <v>0.82022691268162473</v>
      </c>
      <c r="I105" s="265">
        <f t="shared" si="1"/>
        <v>1.0000000000000002</v>
      </c>
      <c r="J105" s="265">
        <f t="shared" si="2"/>
        <v>0.17977308731837549</v>
      </c>
      <c r="K105" s="82"/>
      <c r="L105" s="82"/>
      <c r="M105" s="82"/>
      <c r="N105" s="3"/>
      <c r="O105" s="82"/>
      <c r="P105" s="262">
        <v>54.66533467</v>
      </c>
      <c r="Q105" s="82"/>
      <c r="R105" s="3"/>
      <c r="S105" s="82"/>
      <c r="T105" s="262">
        <v>0.33279999999999998</v>
      </c>
      <c r="U105" s="82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</row>
    <row r="106" spans="1:46" ht="14.25" customHeight="1" x14ac:dyDescent="0.25">
      <c r="A106" s="3"/>
      <c r="B106" s="82"/>
      <c r="C106" s="176">
        <v>95</v>
      </c>
      <c r="D106" s="82"/>
      <c r="E106" s="258">
        <f t="shared" si="6"/>
        <v>1.0667843099680496E-2</v>
      </c>
      <c r="F106" s="82"/>
      <c r="G106" s="264">
        <f t="shared" si="3"/>
        <v>0.17785529622931787</v>
      </c>
      <c r="H106" s="265">
        <f t="shared" si="4"/>
        <v>0.82214470377068227</v>
      </c>
      <c r="I106" s="265">
        <f t="shared" si="1"/>
        <v>1.0000000000000002</v>
      </c>
      <c r="J106" s="265">
        <f t="shared" si="2"/>
        <v>0.17785529622931795</v>
      </c>
      <c r="K106" s="82"/>
      <c r="L106" s="82"/>
      <c r="M106" s="82"/>
      <c r="N106" s="3"/>
      <c r="O106" s="82"/>
      <c r="P106" s="262">
        <v>55.38461538</v>
      </c>
      <c r="Q106" s="82"/>
      <c r="R106" s="3"/>
      <c r="S106" s="82"/>
      <c r="T106" s="262">
        <v>0.33279999999999998</v>
      </c>
      <c r="U106" s="82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</row>
    <row r="107" spans="1:46" ht="14.25" customHeight="1" x14ac:dyDescent="0.25">
      <c r="A107" s="3"/>
      <c r="B107" s="82"/>
      <c r="C107" s="176">
        <v>96</v>
      </c>
      <c r="D107" s="82"/>
      <c r="E107" s="258">
        <f t="shared" ref="E107:E123" si="7">1-EXP(lambda*(C106^gamma-C107^gamma))</f>
        <v>1.0622009120356046E-2</v>
      </c>
      <c r="F107" s="82"/>
      <c r="G107" s="264">
        <f t="shared" si="3"/>
        <v>0.17596611565066642</v>
      </c>
      <c r="H107" s="265">
        <f t="shared" si="4"/>
        <v>0.82403388434933367</v>
      </c>
      <c r="I107" s="265">
        <f t="shared" si="1"/>
        <v>1</v>
      </c>
      <c r="J107" s="265">
        <f t="shared" si="2"/>
        <v>0.17596611565066633</v>
      </c>
      <c r="K107" s="82"/>
      <c r="L107" s="82"/>
      <c r="M107" s="82"/>
      <c r="N107" s="3"/>
      <c r="O107" s="82"/>
      <c r="P107" s="262">
        <v>56.1038961</v>
      </c>
      <c r="Q107" s="82"/>
      <c r="R107" s="3"/>
      <c r="S107" s="82"/>
      <c r="T107" s="262">
        <v>0.33279999999999998</v>
      </c>
      <c r="U107" s="82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</row>
    <row r="108" spans="1:46" ht="14.25" customHeight="1" x14ac:dyDescent="0.25">
      <c r="A108" s="3"/>
      <c r="B108" s="82"/>
      <c r="C108" s="176">
        <v>97</v>
      </c>
      <c r="D108" s="82"/>
      <c r="E108" s="258">
        <f t="shared" si="7"/>
        <v>1.0576845421601089E-2</v>
      </c>
      <c r="F108" s="82"/>
      <c r="G108" s="264">
        <f t="shared" si="3"/>
        <v>0.17410494924598974</v>
      </c>
      <c r="H108" s="265">
        <f t="shared" si="4"/>
        <v>0.82589505075401037</v>
      </c>
      <c r="I108" s="265">
        <f t="shared" si="1"/>
        <v>1</v>
      </c>
      <c r="J108" s="265">
        <f t="shared" si="2"/>
        <v>0.17410494924598963</v>
      </c>
      <c r="K108" s="82"/>
      <c r="L108" s="82"/>
      <c r="M108" s="82"/>
      <c r="N108" s="3"/>
      <c r="O108" s="82"/>
      <c r="P108" s="262">
        <v>56.943056939999998</v>
      </c>
      <c r="Q108" s="82"/>
      <c r="R108" s="3"/>
      <c r="S108" s="82"/>
      <c r="T108" s="262">
        <v>0.33279999999999998</v>
      </c>
      <c r="U108" s="82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</row>
    <row r="109" spans="1:46" ht="14.25" customHeight="1" x14ac:dyDescent="0.25">
      <c r="A109" s="3"/>
      <c r="B109" s="82"/>
      <c r="C109" s="176">
        <v>98</v>
      </c>
      <c r="D109" s="82"/>
      <c r="E109" s="258">
        <f t="shared" si="7"/>
        <v>1.0532335414553229E-2</v>
      </c>
      <c r="F109" s="82"/>
      <c r="G109" s="264">
        <f t="shared" si="3"/>
        <v>0.17227121752319721</v>
      </c>
      <c r="H109" s="265">
        <f t="shared" si="4"/>
        <v>0.82772878247680293</v>
      </c>
      <c r="I109" s="265">
        <f t="shared" si="1"/>
        <v>1.0000000000000002</v>
      </c>
      <c r="J109" s="265">
        <f t="shared" si="2"/>
        <v>0.1722712175231973</v>
      </c>
      <c r="K109" s="82"/>
      <c r="L109" s="82"/>
      <c r="M109" s="82"/>
      <c r="N109" s="3"/>
      <c r="O109" s="82"/>
      <c r="P109" s="262">
        <v>57.482517479999998</v>
      </c>
      <c r="Q109" s="82"/>
      <c r="R109" s="3"/>
      <c r="S109" s="82"/>
      <c r="T109" s="262">
        <v>0.33439999999999998</v>
      </c>
      <c r="U109" s="82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</row>
    <row r="110" spans="1:46" ht="14.25" customHeight="1" x14ac:dyDescent="0.25">
      <c r="A110" s="3"/>
      <c r="B110" s="82"/>
      <c r="C110" s="176">
        <v>99</v>
      </c>
      <c r="D110" s="82"/>
      <c r="E110" s="258">
        <f t="shared" si="7"/>
        <v>1.0488463085511879E-2</v>
      </c>
      <c r="F110" s="82"/>
      <c r="G110" s="264">
        <f t="shared" si="3"/>
        <v>0.17046435721750897</v>
      </c>
      <c r="H110" s="265">
        <f t="shared" si="4"/>
        <v>0.82953564278249114</v>
      </c>
      <c r="I110" s="265">
        <f t="shared" si="1"/>
        <v>1</v>
      </c>
      <c r="J110" s="265">
        <f t="shared" si="2"/>
        <v>0.17046435721750886</v>
      </c>
      <c r="K110" s="82"/>
      <c r="L110" s="82"/>
      <c r="M110" s="82"/>
      <c r="N110" s="3"/>
      <c r="O110" s="82"/>
      <c r="P110" s="262">
        <v>58.381618379999999</v>
      </c>
      <c r="Q110" s="82"/>
      <c r="R110" s="3"/>
      <c r="S110" s="82"/>
      <c r="T110" s="262">
        <v>0.33439999999999998</v>
      </c>
      <c r="U110" s="82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</row>
    <row r="111" spans="1:46" ht="14.25" customHeight="1" x14ac:dyDescent="0.25">
      <c r="A111" s="3"/>
      <c r="B111" s="82"/>
      <c r="C111" s="176">
        <v>100</v>
      </c>
      <c r="D111" s="82"/>
      <c r="E111" s="258">
        <f t="shared" si="7"/>
        <v>1.0445212970402573E-2</v>
      </c>
      <c r="F111" s="82"/>
      <c r="G111" s="264">
        <f t="shared" si="3"/>
        <v>0.16868382070250931</v>
      </c>
      <c r="H111" s="265">
        <f t="shared" si="4"/>
        <v>0.8313161792974908</v>
      </c>
      <c r="I111" s="265">
        <f t="shared" si="1"/>
        <v>1</v>
      </c>
      <c r="J111" s="265">
        <f t="shared" si="2"/>
        <v>0.1686838207025092</v>
      </c>
      <c r="K111" s="82"/>
      <c r="L111" s="82"/>
      <c r="M111" s="82"/>
      <c r="N111" s="3"/>
      <c r="O111" s="82"/>
      <c r="P111" s="262">
        <v>59.100899099999999</v>
      </c>
      <c r="Q111" s="82"/>
      <c r="R111" s="3"/>
      <c r="S111" s="82"/>
      <c r="T111" s="262">
        <v>0.33279999999999998</v>
      </c>
      <c r="U111" s="82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</row>
    <row r="112" spans="1:46" ht="14.25" customHeight="1" x14ac:dyDescent="0.25">
      <c r="A112" s="3"/>
      <c r="B112" s="82"/>
      <c r="C112" s="176">
        <v>101</v>
      </c>
      <c r="D112" s="82"/>
      <c r="E112" s="258">
        <f t="shared" si="7"/>
        <v>1.0402570130618849E-2</v>
      </c>
      <c r="F112" s="82"/>
      <c r="G112" s="264">
        <f t="shared" si="3"/>
        <v>0.16692907542775073</v>
      </c>
      <c r="H112" s="265">
        <f t="shared" si="4"/>
        <v>0.8330709245722494</v>
      </c>
      <c r="I112" s="265">
        <f t="shared" si="1"/>
        <v>1.0000000000000002</v>
      </c>
      <c r="J112" s="265">
        <f t="shared" si="2"/>
        <v>0.16692907542775082</v>
      </c>
      <c r="K112" s="82"/>
      <c r="L112" s="82"/>
      <c r="M112" s="82"/>
      <c r="N112" s="3"/>
      <c r="O112" s="82"/>
      <c r="P112" s="262">
        <v>59.760239759999997</v>
      </c>
      <c r="Q112" s="82"/>
      <c r="R112" s="3"/>
      <c r="S112" s="82"/>
      <c r="T112" s="262">
        <v>0.33119999999999999</v>
      </c>
      <c r="U112" s="82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</row>
    <row r="113" spans="1:46" ht="14.25" customHeight="1" x14ac:dyDescent="0.25">
      <c r="A113" s="3"/>
      <c r="B113" s="82"/>
      <c r="C113" s="176">
        <v>102</v>
      </c>
      <c r="D113" s="82"/>
      <c r="E113" s="258">
        <f t="shared" si="7"/>
        <v>1.0360520130156758E-2</v>
      </c>
      <c r="F113" s="82"/>
      <c r="G113" s="264">
        <f t="shared" si="3"/>
        <v>0.16519960338147308</v>
      </c>
      <c r="H113" s="265">
        <f t="shared" si="4"/>
        <v>0.83480039661852712</v>
      </c>
      <c r="I113" s="265">
        <f t="shared" si="1"/>
        <v>1.0000000000000002</v>
      </c>
      <c r="J113" s="265">
        <f t="shared" si="2"/>
        <v>0.1651996033814731</v>
      </c>
      <c r="K113" s="82"/>
      <c r="L113" s="82"/>
      <c r="M113" s="82"/>
      <c r="N113" s="3"/>
      <c r="O113" s="82"/>
      <c r="P113" s="262">
        <v>59.940059939999998</v>
      </c>
      <c r="Q113" s="82"/>
      <c r="R113" s="3"/>
      <c r="S113" s="82"/>
      <c r="T113" s="262">
        <v>0.32</v>
      </c>
      <c r="U113" s="82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</row>
    <row r="114" spans="1:46" ht="14.25" customHeight="1" x14ac:dyDescent="0.2">
      <c r="A114" s="3"/>
      <c r="B114" s="82"/>
      <c r="C114" s="176">
        <v>103</v>
      </c>
      <c r="D114" s="82"/>
      <c r="E114" s="258">
        <f>1-EXP(lambda*(C113^gamma-C114^gamma))</f>
        <v>1.0319049013952086E-2</v>
      </c>
      <c r="F114" s="82"/>
      <c r="G114" s="264">
        <f t="shared" si="3"/>
        <v>0.1634949005770942</v>
      </c>
      <c r="H114" s="265">
        <f t="shared" si="4"/>
        <v>0.83650509942290596</v>
      </c>
      <c r="I114" s="265">
        <f t="shared" si="1"/>
        <v>1.0000000000000002</v>
      </c>
      <c r="J114" s="265">
        <f t="shared" si="2"/>
        <v>0.16349490057709426</v>
      </c>
      <c r="K114" s="82"/>
      <c r="L114" s="82"/>
      <c r="M114" s="82"/>
      <c r="N114" s="3"/>
      <c r="O114" s="82"/>
      <c r="P114" s="82"/>
      <c r="Q114" s="82"/>
      <c r="R114" s="82"/>
      <c r="S114" s="82"/>
      <c r="T114" s="82"/>
      <c r="U114" s="82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</row>
    <row r="115" spans="1:46" ht="14.25" customHeight="1" x14ac:dyDescent="0.2">
      <c r="A115" s="3"/>
      <c r="B115" s="82"/>
      <c r="C115" s="176">
        <v>104</v>
      </c>
      <c r="D115" s="82"/>
      <c r="E115" s="258">
        <f t="shared" si="7"/>
        <v>1.0278143287359209E-2</v>
      </c>
      <c r="F115" s="82"/>
      <c r="G115" s="264">
        <f t="shared" si="3"/>
        <v>0.16181447656221029</v>
      </c>
      <c r="H115" s="265">
        <f t="shared" si="4"/>
        <v>0.83818552343778985</v>
      </c>
      <c r="I115" s="265">
        <f t="shared" si="1"/>
        <v>1.0000000000000002</v>
      </c>
      <c r="J115" s="265">
        <f t="shared" si="2"/>
        <v>0.16181447656221037</v>
      </c>
      <c r="K115" s="82"/>
      <c r="L115" s="82"/>
      <c r="M115" s="82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</row>
    <row r="116" spans="1:46" ht="14.25" customHeight="1" x14ac:dyDescent="0.2">
      <c r="A116" s="3"/>
      <c r="B116" s="82"/>
      <c r="C116" s="176">
        <v>105</v>
      </c>
      <c r="D116" s="82"/>
      <c r="E116" s="258">
        <f>1-EXP(lambda*(C115^gamma-C116^gamma))</f>
        <v>1.0237789896689109E-2</v>
      </c>
      <c r="F116" s="82"/>
      <c r="G116" s="264">
        <f t="shared" si="3"/>
        <v>0.16015785394892365</v>
      </c>
      <c r="H116" s="265">
        <f t="shared" si="4"/>
        <v>0.83984214605107643</v>
      </c>
      <c r="I116" s="265">
        <f t="shared" si="1"/>
        <v>1</v>
      </c>
      <c r="J116" s="265">
        <f t="shared" si="2"/>
        <v>0.16015785394892357</v>
      </c>
      <c r="K116" s="82"/>
      <c r="L116" s="82"/>
      <c r="M116" s="82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</row>
    <row r="117" spans="1:46" ht="14.25" customHeight="1" x14ac:dyDescent="0.2">
      <c r="A117" s="3"/>
      <c r="B117" s="82"/>
      <c r="C117" s="176">
        <v>106</v>
      </c>
      <c r="D117" s="82"/>
      <c r="E117" s="258">
        <f t="shared" si="7"/>
        <v>1.0197976210747917E-2</v>
      </c>
      <c r="F117" s="82"/>
      <c r="G117" s="264">
        <f t="shared" si="3"/>
        <v>0.15852456796438807</v>
      </c>
      <c r="H117" s="265">
        <f t="shared" si="4"/>
        <v>0.84147543203561204</v>
      </c>
      <c r="I117" s="265">
        <f t="shared" si="1"/>
        <v>1</v>
      </c>
      <c r="J117" s="265">
        <f t="shared" si="2"/>
        <v>0.15852456796438796</v>
      </c>
      <c r="K117" s="82"/>
      <c r="L117" s="82"/>
      <c r="M117" s="82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</row>
    <row r="118" spans="1:46" ht="14.25" customHeight="1" x14ac:dyDescent="0.2">
      <c r="A118" s="3"/>
      <c r="B118" s="82"/>
      <c r="C118" s="176">
        <v>107</v>
      </c>
      <c r="D118" s="82"/>
      <c r="E118" s="258">
        <f t="shared" si="7"/>
        <v>1.0158690003319371E-2</v>
      </c>
      <c r="F118" s="82"/>
      <c r="G118" s="264">
        <f t="shared" si="3"/>
        <v>0.15691416602052771</v>
      </c>
      <c r="H118" s="265">
        <f t="shared" si="4"/>
        <v>0.84308583397947234</v>
      </c>
      <c r="I118" s="265">
        <f t="shared" si="1"/>
        <v>1</v>
      </c>
      <c r="J118" s="265">
        <f t="shared" si="2"/>
        <v>0.15691416602052766</v>
      </c>
      <c r="K118" s="257"/>
      <c r="L118" s="82"/>
      <c r="M118" s="82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</row>
    <row r="119" spans="1:46" ht="14.25" customHeight="1" x14ac:dyDescent="0.2">
      <c r="A119" s="3"/>
      <c r="B119" s="82"/>
      <c r="C119" s="176">
        <v>108</v>
      </c>
      <c r="D119" s="82"/>
      <c r="E119" s="258">
        <f t="shared" si="7"/>
        <v>1.0119919436520908E-2</v>
      </c>
      <c r="F119" s="82"/>
      <c r="G119" s="264">
        <f t="shared" si="3"/>
        <v>0.1553262073019511</v>
      </c>
      <c r="H119" s="265">
        <f t="shared" si="4"/>
        <v>0.84467379269804899</v>
      </c>
      <c r="I119" s="265">
        <f t="shared" si="1"/>
        <v>1</v>
      </c>
      <c r="J119" s="265">
        <f t="shared" si="2"/>
        <v>0.15532620730195101</v>
      </c>
      <c r="K119" s="82"/>
      <c r="L119" s="82"/>
      <c r="M119" s="82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</row>
    <row r="120" spans="1:46" ht="14.25" customHeight="1" x14ac:dyDescent="0.2">
      <c r="A120" s="3"/>
      <c r="B120" s="82"/>
      <c r="C120" s="176">
        <v>109</v>
      </c>
      <c r="D120" s="82"/>
      <c r="E120" s="258">
        <f t="shared" si="7"/>
        <v>1.0081653044996863E-2</v>
      </c>
      <c r="F120" s="82"/>
      <c r="G120" s="264">
        <f t="shared" si="3"/>
        <v>0.15376026237113757</v>
      </c>
      <c r="H120" s="265">
        <f t="shared" si="4"/>
        <v>0.84623973762886251</v>
      </c>
      <c r="I120" s="265">
        <f t="shared" si="1"/>
        <v>1</v>
      </c>
      <c r="J120" s="265">
        <f t="shared" si="2"/>
        <v>0.15376026237113749</v>
      </c>
      <c r="K120" s="82"/>
      <c r="L120" s="82"/>
      <c r="M120" s="82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</row>
    <row r="121" spans="1:46" ht="14.25" customHeight="1" x14ac:dyDescent="0.2">
      <c r="A121" s="3"/>
      <c r="B121" s="82"/>
      <c r="C121" s="176">
        <v>110</v>
      </c>
      <c r="D121" s="82"/>
      <c r="E121" s="258">
        <f t="shared" si="7"/>
        <v>1.004387972090659E-2</v>
      </c>
      <c r="F121" s="82"/>
      <c r="G121" s="264">
        <f t="shared" si="3"/>
        <v>0.15221591279002683</v>
      </c>
      <c r="H121" s="265">
        <f t="shared" si="4"/>
        <v>0.84778408720997323</v>
      </c>
      <c r="I121" s="265">
        <f t="shared" si="1"/>
        <v>1</v>
      </c>
      <c r="J121" s="265">
        <f t="shared" si="2"/>
        <v>0.15221591279002677</v>
      </c>
      <c r="K121" s="82"/>
      <c r="L121" s="82"/>
      <c r="M121" s="82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</row>
    <row r="122" spans="1:46" ht="14.25" customHeight="1" x14ac:dyDescent="0.2">
      <c r="A122" s="3"/>
      <c r="B122" s="82"/>
      <c r="C122" s="176">
        <v>111</v>
      </c>
      <c r="D122" s="82"/>
      <c r="E122" s="258">
        <f t="shared" si="7"/>
        <v>1.0006588699608465E-2</v>
      </c>
      <c r="F122" s="82"/>
      <c r="G122" s="264">
        <f t="shared" si="3"/>
        <v>0.15069275075720157</v>
      </c>
      <c r="H122" s="265">
        <f t="shared" si="4"/>
        <v>0.84930724924279855</v>
      </c>
      <c r="I122" s="265">
        <f t="shared" si="1"/>
        <v>1</v>
      </c>
      <c r="J122" s="265">
        <f t="shared" si="2"/>
        <v>0.15069275075720145</v>
      </c>
      <c r="K122" s="82"/>
      <c r="L122" s="82"/>
      <c r="M122" s="82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</row>
    <row r="123" spans="1:46" ht="14.25" customHeight="1" x14ac:dyDescent="0.2">
      <c r="A123" s="3"/>
      <c r="B123" s="82"/>
      <c r="C123" s="176">
        <v>112</v>
      </c>
      <c r="D123" s="82"/>
      <c r="E123" s="258">
        <f t="shared" si="7"/>
        <v>9.9697695461001823E-3</v>
      </c>
      <c r="F123" s="82"/>
      <c r="G123" s="264">
        <f t="shared" si="3"/>
        <v>0.14919037875988436</v>
      </c>
      <c r="H123" s="265">
        <f t="shared" si="4"/>
        <v>0.85080962124011572</v>
      </c>
      <c r="I123" s="265">
        <f t="shared" si="1"/>
        <v>1</v>
      </c>
      <c r="J123" s="265">
        <f t="shared" si="2"/>
        <v>0.14919037875988428</v>
      </c>
      <c r="K123" s="82"/>
      <c r="L123" s="82"/>
      <c r="M123" s="82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</row>
    <row r="124" spans="1:46" ht="14.25" customHeight="1" x14ac:dyDescent="0.2">
      <c r="A124" s="3"/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</row>
    <row r="125" spans="1:46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</row>
    <row r="126" spans="1:46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</row>
    <row r="127" spans="1:46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</row>
    <row r="128" spans="1:46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</row>
    <row r="129" spans="1:46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</row>
    <row r="130" spans="1:46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</row>
    <row r="131" spans="1:46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</row>
    <row r="132" spans="1:46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</row>
    <row r="133" spans="1:46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</row>
    <row r="134" spans="1:46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</row>
    <row r="135" spans="1:46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</row>
    <row r="136" spans="1:46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</row>
    <row r="137" spans="1:46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</row>
    <row r="138" spans="1:46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</row>
    <row r="139" spans="1:46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</row>
    <row r="140" spans="1:46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</row>
    <row r="141" spans="1:46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</row>
    <row r="142" spans="1:46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</row>
    <row r="143" spans="1:46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</row>
    <row r="144" spans="1:46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</row>
    <row r="145" spans="1:46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</row>
    <row r="146" spans="1:46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</row>
    <row r="147" spans="1:46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</row>
    <row r="148" spans="1:46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</row>
    <row r="149" spans="1:46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</row>
    <row r="150" spans="1:46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</row>
    <row r="151" spans="1:46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</row>
    <row r="152" spans="1:46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</row>
    <row r="153" spans="1:46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</row>
    <row r="154" spans="1:46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</row>
    <row r="155" spans="1:46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</row>
    <row r="156" spans="1:46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</row>
    <row r="157" spans="1:46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</row>
    <row r="158" spans="1:46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</row>
    <row r="159" spans="1:46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</row>
    <row r="160" spans="1:46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</row>
    <row r="161" spans="1:46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</row>
    <row r="162" spans="1:46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</row>
    <row r="163" spans="1:46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</row>
    <row r="164" spans="1:46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</row>
    <row r="165" spans="1:46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</row>
    <row r="166" spans="1:46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</row>
    <row r="167" spans="1:46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</row>
    <row r="168" spans="1:46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</row>
    <row r="169" spans="1:46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</row>
    <row r="170" spans="1:46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</row>
    <row r="171" spans="1:46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</row>
    <row r="172" spans="1:46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</row>
    <row r="173" spans="1:46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</row>
    <row r="174" spans="1:46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</row>
    <row r="175" spans="1:46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</row>
    <row r="176" spans="1:46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</row>
    <row r="177" spans="1:46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</row>
    <row r="178" spans="1:46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</row>
    <row r="179" spans="1:46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</row>
    <row r="180" spans="1:46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</row>
    <row r="181" spans="1:46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</row>
    <row r="182" spans="1:46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</row>
    <row r="183" spans="1:46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</row>
    <row r="184" spans="1:46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</row>
    <row r="185" spans="1:46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</row>
    <row r="186" spans="1:46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</row>
    <row r="187" spans="1:46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</row>
    <row r="188" spans="1:46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</row>
    <row r="189" spans="1:46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</row>
    <row r="190" spans="1:46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</row>
    <row r="191" spans="1:46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</row>
    <row r="192" spans="1:46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</row>
    <row r="193" spans="1:46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</row>
    <row r="194" spans="1:46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</row>
    <row r="195" spans="1:46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</row>
    <row r="196" spans="1:46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</row>
    <row r="197" spans="1:46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</row>
    <row r="198" spans="1:46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</row>
    <row r="199" spans="1:46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</row>
    <row r="200" spans="1:46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</row>
    <row r="201" spans="1:46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</row>
    <row r="202" spans="1:46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</row>
    <row r="203" spans="1:46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</row>
    <row r="204" spans="1:46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</row>
    <row r="205" spans="1:46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</row>
    <row r="206" spans="1:46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</row>
    <row r="207" spans="1:46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</row>
    <row r="208" spans="1:46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</row>
    <row r="209" spans="1:46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</row>
    <row r="210" spans="1:46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</row>
    <row r="211" spans="1:46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</row>
    <row r="212" spans="1:46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</row>
    <row r="213" spans="1:46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</row>
    <row r="214" spans="1:46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</row>
    <row r="215" spans="1:46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</row>
    <row r="216" spans="1:46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</row>
    <row r="217" spans="1:46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</row>
    <row r="218" spans="1:46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</row>
    <row r="219" spans="1:46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</row>
    <row r="220" spans="1:46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</row>
    <row r="221" spans="1:46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</row>
    <row r="222" spans="1:46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</row>
    <row r="223" spans="1:46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</row>
    <row r="224" spans="1:46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</row>
    <row r="225" spans="1:46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</row>
    <row r="226" spans="1:46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</row>
    <row r="227" spans="1:46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</row>
    <row r="228" spans="1:46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</row>
    <row r="229" spans="1:46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</row>
    <row r="230" spans="1:46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</row>
    <row r="231" spans="1:46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</row>
    <row r="232" spans="1:46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</row>
    <row r="233" spans="1:46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</row>
    <row r="234" spans="1:46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</row>
    <row r="235" spans="1:46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</row>
    <row r="236" spans="1:46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</row>
    <row r="237" spans="1:46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</row>
    <row r="238" spans="1:46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</row>
    <row r="239" spans="1:46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</row>
    <row r="240" spans="1:46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</row>
    <row r="241" spans="1:46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</row>
    <row r="242" spans="1:46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</row>
    <row r="243" spans="1:46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</row>
    <row r="244" spans="1:46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</row>
    <row r="245" spans="1:46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</row>
    <row r="246" spans="1:46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</row>
    <row r="247" spans="1:46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</row>
    <row r="248" spans="1:46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</row>
    <row r="249" spans="1:46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</row>
    <row r="250" spans="1:46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</row>
    <row r="251" spans="1:46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</row>
    <row r="252" spans="1:46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</row>
    <row r="253" spans="1:46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</row>
    <row r="254" spans="1:46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</row>
    <row r="255" spans="1:46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</row>
    <row r="256" spans="1:46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</row>
    <row r="257" spans="1:46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</row>
    <row r="258" spans="1:46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</row>
    <row r="259" spans="1:46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</row>
    <row r="260" spans="1:46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</row>
    <row r="261" spans="1:46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</row>
    <row r="262" spans="1:46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</row>
    <row r="263" spans="1:46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</row>
    <row r="264" spans="1:46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</row>
    <row r="265" spans="1:46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</row>
    <row r="266" spans="1:46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</row>
    <row r="267" spans="1:46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</row>
    <row r="268" spans="1:46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</row>
    <row r="269" spans="1:46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</row>
    <row r="270" spans="1:46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</row>
    <row r="271" spans="1:46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</row>
    <row r="272" spans="1:46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</row>
    <row r="273" spans="1:46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</row>
    <row r="274" spans="1:46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</row>
    <row r="275" spans="1:46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</row>
    <row r="276" spans="1:46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</row>
    <row r="277" spans="1:46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</row>
    <row r="278" spans="1:46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</row>
    <row r="279" spans="1:46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</row>
    <row r="280" spans="1:46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</row>
    <row r="281" spans="1:46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</row>
    <row r="282" spans="1:46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</row>
    <row r="283" spans="1:46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</row>
    <row r="284" spans="1:46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</row>
    <row r="285" spans="1:46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</row>
    <row r="286" spans="1:46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</row>
    <row r="287" spans="1:46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</row>
    <row r="288" spans="1:46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</row>
    <row r="289" spans="1:46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</row>
    <row r="290" spans="1:46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</row>
    <row r="291" spans="1:46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</row>
    <row r="292" spans="1:46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</row>
    <row r="293" spans="1:46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</row>
    <row r="294" spans="1:46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</row>
    <row r="295" spans="1:46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</row>
    <row r="296" spans="1:46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</row>
    <row r="297" spans="1:46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</row>
    <row r="298" spans="1:46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</row>
    <row r="299" spans="1:46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</row>
    <row r="300" spans="1:46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</row>
    <row r="301" spans="1:46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</row>
    <row r="302" spans="1:46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</row>
    <row r="303" spans="1:46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</row>
    <row r="304" spans="1:46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</row>
    <row r="305" spans="1:46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</row>
    <row r="306" spans="1:46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</row>
    <row r="307" spans="1:46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</row>
    <row r="308" spans="1:46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</row>
    <row r="309" spans="1:46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</row>
    <row r="310" spans="1:46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</row>
    <row r="311" spans="1:46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</row>
    <row r="312" spans="1:46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</row>
    <row r="313" spans="1:46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</row>
    <row r="314" spans="1:46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</row>
    <row r="315" spans="1:46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</row>
    <row r="316" spans="1:46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</row>
    <row r="317" spans="1:46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</row>
    <row r="318" spans="1:46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</row>
    <row r="319" spans="1:46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</row>
    <row r="320" spans="1:46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</row>
    <row r="321" spans="1:46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</row>
    <row r="322" spans="1:46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</row>
    <row r="323" spans="1:46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</row>
    <row r="324" spans="1:46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</row>
    <row r="325" spans="1:46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</row>
    <row r="326" spans="1:46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</row>
    <row r="327" spans="1:46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</row>
    <row r="328" spans="1:46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</row>
    <row r="329" spans="1:46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</row>
    <row r="330" spans="1:46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</row>
    <row r="331" spans="1:46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</row>
    <row r="332" spans="1:46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</row>
    <row r="333" spans="1:46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</row>
    <row r="334" spans="1:46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</row>
    <row r="335" spans="1:46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</row>
    <row r="336" spans="1:46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</row>
    <row r="337" spans="1:46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</row>
    <row r="338" spans="1:46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</row>
    <row r="339" spans="1:46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</row>
    <row r="340" spans="1:46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</row>
    <row r="341" spans="1:46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</row>
    <row r="342" spans="1:46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</row>
    <row r="343" spans="1:46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</row>
    <row r="344" spans="1:46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</row>
    <row r="345" spans="1:46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</row>
    <row r="346" spans="1:46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</row>
    <row r="347" spans="1:46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</row>
    <row r="348" spans="1:46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</row>
    <row r="349" spans="1:46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</row>
    <row r="350" spans="1:46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</row>
    <row r="351" spans="1:46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</row>
    <row r="352" spans="1:46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</row>
    <row r="353" spans="1:46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</row>
    <row r="354" spans="1:46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</row>
    <row r="355" spans="1:46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</row>
    <row r="356" spans="1:46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</row>
    <row r="357" spans="1:46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</row>
    <row r="358" spans="1:46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</row>
    <row r="359" spans="1:46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</row>
    <row r="360" spans="1:46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</row>
    <row r="361" spans="1:46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</row>
    <row r="362" spans="1:46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</row>
    <row r="363" spans="1:46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</row>
    <row r="364" spans="1:46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</row>
    <row r="365" spans="1:46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</row>
    <row r="366" spans="1:46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</row>
    <row r="367" spans="1:46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</row>
    <row r="368" spans="1:46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</row>
    <row r="369" spans="1:46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</row>
    <row r="370" spans="1:46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</row>
    <row r="371" spans="1:46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</row>
    <row r="372" spans="1:46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</row>
    <row r="373" spans="1:46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</row>
    <row r="374" spans="1:46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</row>
    <row r="375" spans="1:46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</row>
    <row r="376" spans="1:46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</row>
    <row r="377" spans="1:46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</row>
    <row r="378" spans="1:46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</row>
    <row r="379" spans="1:46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</row>
    <row r="380" spans="1:46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</row>
    <row r="381" spans="1:46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</row>
    <row r="382" spans="1:46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</row>
    <row r="383" spans="1:46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</row>
    <row r="384" spans="1:46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</row>
    <row r="385" spans="1:46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</row>
    <row r="386" spans="1:46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</row>
    <row r="387" spans="1:46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</row>
    <row r="388" spans="1:46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</row>
    <row r="389" spans="1:46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</row>
    <row r="390" spans="1:46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</row>
    <row r="391" spans="1:46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</row>
    <row r="392" spans="1:46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</row>
    <row r="393" spans="1:46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</row>
    <row r="394" spans="1:46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</row>
    <row r="395" spans="1:46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</row>
    <row r="396" spans="1:46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</row>
    <row r="397" spans="1:46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</row>
    <row r="398" spans="1:46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</row>
    <row r="399" spans="1:46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</row>
    <row r="400" spans="1:46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</row>
    <row r="401" spans="1:46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</row>
    <row r="402" spans="1:46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</row>
    <row r="403" spans="1:46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</row>
    <row r="404" spans="1:46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</row>
    <row r="405" spans="1:46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</row>
    <row r="406" spans="1:46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</row>
    <row r="407" spans="1:46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</row>
    <row r="408" spans="1:46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</row>
    <row r="409" spans="1:46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</row>
    <row r="410" spans="1:46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</row>
    <row r="411" spans="1:46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</row>
    <row r="412" spans="1:46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</row>
    <row r="413" spans="1:46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</row>
    <row r="414" spans="1:46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</row>
    <row r="415" spans="1:46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</row>
    <row r="416" spans="1:46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</row>
    <row r="417" spans="1:46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</row>
    <row r="418" spans="1:46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</row>
    <row r="419" spans="1:46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</row>
    <row r="420" spans="1:46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</row>
    <row r="421" spans="1:46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</row>
    <row r="422" spans="1:46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</row>
    <row r="423" spans="1:46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</row>
    <row r="424" spans="1:46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</row>
    <row r="425" spans="1:46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</row>
    <row r="426" spans="1:46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</row>
    <row r="427" spans="1:46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</row>
    <row r="428" spans="1:46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</row>
    <row r="429" spans="1:46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</row>
    <row r="430" spans="1:46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</row>
    <row r="431" spans="1:46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</row>
    <row r="432" spans="1:46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</row>
    <row r="433" spans="1:46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</row>
    <row r="434" spans="1:46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</row>
    <row r="435" spans="1:46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</row>
    <row r="436" spans="1:46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</row>
    <row r="437" spans="1:46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</row>
    <row r="438" spans="1:46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</row>
    <row r="439" spans="1:46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</row>
    <row r="440" spans="1:46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</row>
    <row r="441" spans="1:46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</row>
    <row r="442" spans="1:46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</row>
    <row r="443" spans="1:46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</row>
    <row r="444" spans="1:46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</row>
    <row r="445" spans="1:46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</row>
    <row r="446" spans="1:46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</row>
    <row r="447" spans="1:46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</row>
    <row r="448" spans="1:46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</row>
    <row r="449" spans="1:46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</row>
    <row r="450" spans="1:46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</row>
    <row r="451" spans="1:46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</row>
    <row r="452" spans="1:46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</row>
    <row r="453" spans="1:46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</row>
    <row r="454" spans="1:46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</row>
    <row r="455" spans="1:46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</row>
    <row r="456" spans="1:46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</row>
    <row r="457" spans="1:46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</row>
    <row r="458" spans="1:46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</row>
    <row r="459" spans="1:46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</row>
    <row r="460" spans="1:46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</row>
    <row r="461" spans="1:46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</row>
    <row r="462" spans="1:46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</row>
    <row r="463" spans="1:46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</row>
    <row r="464" spans="1:46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</row>
    <row r="465" spans="1:46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</row>
    <row r="466" spans="1:46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</row>
    <row r="467" spans="1:46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</row>
    <row r="468" spans="1:46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</row>
    <row r="469" spans="1:46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</row>
    <row r="470" spans="1:46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</row>
    <row r="471" spans="1:46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</row>
    <row r="472" spans="1:46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</row>
    <row r="473" spans="1:46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</row>
    <row r="474" spans="1:46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</row>
    <row r="475" spans="1:46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</row>
    <row r="476" spans="1:46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</row>
    <row r="477" spans="1:46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</row>
    <row r="478" spans="1:46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</row>
    <row r="479" spans="1:46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</row>
    <row r="480" spans="1:46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</row>
    <row r="481" spans="1:46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</row>
    <row r="482" spans="1:46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</row>
    <row r="483" spans="1:46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</row>
    <row r="484" spans="1:46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</row>
    <row r="485" spans="1:46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</row>
    <row r="486" spans="1:46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</row>
    <row r="487" spans="1:46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</row>
    <row r="488" spans="1:46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</row>
    <row r="489" spans="1:46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</row>
    <row r="490" spans="1:46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</row>
    <row r="491" spans="1:46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</row>
    <row r="492" spans="1:46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</row>
    <row r="493" spans="1:46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</row>
    <row r="494" spans="1:46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</row>
    <row r="495" spans="1:46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</row>
    <row r="496" spans="1:46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</row>
    <row r="497" spans="1:46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</row>
    <row r="498" spans="1:46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</row>
    <row r="499" spans="1:46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</row>
    <row r="500" spans="1:46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</row>
    <row r="501" spans="1:46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</row>
    <row r="502" spans="1:46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</row>
    <row r="503" spans="1:46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</row>
    <row r="504" spans="1:46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</row>
    <row r="505" spans="1:46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</row>
    <row r="506" spans="1:46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</row>
    <row r="507" spans="1:46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</row>
    <row r="508" spans="1:46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</row>
    <row r="509" spans="1:46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</row>
    <row r="510" spans="1:46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</row>
    <row r="511" spans="1:46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</row>
    <row r="512" spans="1:46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</row>
    <row r="513" spans="1:46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</row>
    <row r="514" spans="1:46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</row>
    <row r="515" spans="1:46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</row>
    <row r="516" spans="1:46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</row>
    <row r="517" spans="1:46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</row>
    <row r="518" spans="1:46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</row>
    <row r="519" spans="1:46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</row>
    <row r="520" spans="1:46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</row>
    <row r="521" spans="1:46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</row>
    <row r="522" spans="1:46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</row>
    <row r="523" spans="1:46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</row>
    <row r="524" spans="1:46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</row>
    <row r="525" spans="1:46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</row>
    <row r="526" spans="1:46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</row>
    <row r="527" spans="1:46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</row>
    <row r="528" spans="1:46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</row>
    <row r="529" spans="1:46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</row>
    <row r="530" spans="1:46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</row>
    <row r="531" spans="1:46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</row>
    <row r="532" spans="1:46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</row>
    <row r="533" spans="1:46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</row>
    <row r="534" spans="1:46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</row>
    <row r="535" spans="1:46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</row>
    <row r="536" spans="1:46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</row>
    <row r="537" spans="1:46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</row>
    <row r="538" spans="1:46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</row>
    <row r="539" spans="1:46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</row>
    <row r="540" spans="1:46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</row>
    <row r="541" spans="1:46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</row>
    <row r="542" spans="1:46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</row>
    <row r="543" spans="1:46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</row>
    <row r="544" spans="1:46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</row>
    <row r="545" spans="1:46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</row>
    <row r="546" spans="1:46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</row>
    <row r="547" spans="1:46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</row>
    <row r="548" spans="1:46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</row>
    <row r="549" spans="1:46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</row>
    <row r="550" spans="1:46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</row>
    <row r="551" spans="1:46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</row>
    <row r="552" spans="1:46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</row>
    <row r="553" spans="1:46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</row>
    <row r="554" spans="1:46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</row>
    <row r="555" spans="1:46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</row>
    <row r="556" spans="1:46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</row>
    <row r="557" spans="1:46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</row>
    <row r="558" spans="1:46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</row>
    <row r="559" spans="1:46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</row>
    <row r="560" spans="1:46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</row>
    <row r="561" spans="1:46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</row>
    <row r="562" spans="1:46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</row>
    <row r="563" spans="1:46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</row>
    <row r="564" spans="1:46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</row>
    <row r="565" spans="1:46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</row>
    <row r="566" spans="1:46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</row>
    <row r="567" spans="1:46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</row>
    <row r="568" spans="1:46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</row>
    <row r="569" spans="1:46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</row>
    <row r="570" spans="1:46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</row>
    <row r="571" spans="1:46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</row>
    <row r="572" spans="1:46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</row>
    <row r="573" spans="1:46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</row>
    <row r="574" spans="1:46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</row>
    <row r="575" spans="1:46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</row>
    <row r="576" spans="1:46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</row>
    <row r="577" spans="1:46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</row>
    <row r="578" spans="1:46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</row>
    <row r="579" spans="1:46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</row>
    <row r="580" spans="1:46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</row>
    <row r="581" spans="1:46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</row>
    <row r="582" spans="1:46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</row>
    <row r="583" spans="1:46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</row>
    <row r="584" spans="1:46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</row>
    <row r="585" spans="1:46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</row>
    <row r="586" spans="1:46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</row>
    <row r="587" spans="1:46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</row>
    <row r="588" spans="1:46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</row>
    <row r="589" spans="1:46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</row>
    <row r="590" spans="1:46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</row>
    <row r="591" spans="1:46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</row>
    <row r="592" spans="1:46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</row>
    <row r="593" spans="1:46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</row>
    <row r="594" spans="1:46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</row>
    <row r="595" spans="1:46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</row>
    <row r="596" spans="1:46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</row>
    <row r="597" spans="1:46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</row>
    <row r="598" spans="1:46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</row>
    <row r="599" spans="1:46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</row>
    <row r="600" spans="1:46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</row>
    <row r="601" spans="1:46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</row>
    <row r="602" spans="1:46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</row>
    <row r="603" spans="1:46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</row>
    <row r="604" spans="1:46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</row>
    <row r="605" spans="1:46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</row>
    <row r="606" spans="1:46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</row>
    <row r="607" spans="1:46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</row>
    <row r="608" spans="1:46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</row>
    <row r="609" spans="1:46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</row>
    <row r="610" spans="1:46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</row>
    <row r="611" spans="1:46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</row>
    <row r="612" spans="1:46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</row>
    <row r="613" spans="1:46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</row>
    <row r="614" spans="1:46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</row>
    <row r="615" spans="1:46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</row>
    <row r="616" spans="1:46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</row>
    <row r="617" spans="1:46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</row>
    <row r="618" spans="1:46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</row>
    <row r="619" spans="1:46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</row>
    <row r="620" spans="1:46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</row>
    <row r="621" spans="1:46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</row>
    <row r="622" spans="1:46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</row>
    <row r="623" spans="1:46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</row>
    <row r="624" spans="1:46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</row>
    <row r="625" spans="1:46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</row>
    <row r="626" spans="1:46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</row>
    <row r="627" spans="1:46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</row>
    <row r="628" spans="1:46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</row>
    <row r="629" spans="1:46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</row>
    <row r="630" spans="1:46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</row>
    <row r="631" spans="1:46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</row>
    <row r="632" spans="1:46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</row>
    <row r="633" spans="1:46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</row>
    <row r="634" spans="1:46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</row>
    <row r="635" spans="1:46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</row>
    <row r="636" spans="1:46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</row>
    <row r="637" spans="1:46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</row>
    <row r="638" spans="1:46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</row>
    <row r="639" spans="1:46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</row>
    <row r="640" spans="1:46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</row>
    <row r="641" spans="1:46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</row>
    <row r="642" spans="1:46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</row>
    <row r="643" spans="1:46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</row>
    <row r="644" spans="1:46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</row>
    <row r="645" spans="1:46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</row>
    <row r="646" spans="1:46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</row>
    <row r="647" spans="1:46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</row>
    <row r="648" spans="1:46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</row>
    <row r="649" spans="1:46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</row>
    <row r="650" spans="1:46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</row>
    <row r="651" spans="1:46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</row>
    <row r="652" spans="1:46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</row>
    <row r="653" spans="1:46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</row>
    <row r="654" spans="1:46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</row>
    <row r="655" spans="1:46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</row>
    <row r="656" spans="1:46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</row>
    <row r="657" spans="1:46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</row>
    <row r="658" spans="1:46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</row>
    <row r="659" spans="1:46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</row>
    <row r="660" spans="1:46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</row>
    <row r="661" spans="1:46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</row>
    <row r="662" spans="1:46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</row>
    <row r="663" spans="1:46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</row>
    <row r="664" spans="1:46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</row>
    <row r="665" spans="1:46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</row>
    <row r="666" spans="1:46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</row>
    <row r="667" spans="1:46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</row>
    <row r="668" spans="1:46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</row>
    <row r="669" spans="1:46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</row>
    <row r="670" spans="1:46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</row>
    <row r="671" spans="1:46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</row>
    <row r="672" spans="1:46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</row>
    <row r="673" spans="1:46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</row>
    <row r="674" spans="1:46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</row>
    <row r="675" spans="1:46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</row>
    <row r="676" spans="1:46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</row>
    <row r="677" spans="1:46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</row>
    <row r="678" spans="1:46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</row>
    <row r="679" spans="1:46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</row>
    <row r="680" spans="1:46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</row>
    <row r="681" spans="1:46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</row>
    <row r="682" spans="1:46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</row>
    <row r="683" spans="1:46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</row>
    <row r="684" spans="1:46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</row>
    <row r="685" spans="1:46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</row>
    <row r="686" spans="1:46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</row>
    <row r="687" spans="1:46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</row>
    <row r="688" spans="1:46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</row>
    <row r="689" spans="1:46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</row>
    <row r="690" spans="1:46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</row>
    <row r="691" spans="1:46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</row>
    <row r="692" spans="1:46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</row>
    <row r="693" spans="1:46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</row>
    <row r="694" spans="1:46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</row>
    <row r="695" spans="1:46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</row>
    <row r="696" spans="1:46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</row>
    <row r="697" spans="1:46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</row>
    <row r="698" spans="1:46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</row>
    <row r="699" spans="1:46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</row>
    <row r="700" spans="1:46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</row>
    <row r="701" spans="1:46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</row>
    <row r="702" spans="1:46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</row>
    <row r="703" spans="1:46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</row>
    <row r="704" spans="1:46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</row>
    <row r="705" spans="1:46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</row>
    <row r="706" spans="1:46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</row>
    <row r="707" spans="1:46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</row>
    <row r="708" spans="1:46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</row>
    <row r="709" spans="1:46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</row>
    <row r="710" spans="1:46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</row>
    <row r="711" spans="1:46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</row>
    <row r="712" spans="1:46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</row>
    <row r="713" spans="1:46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</row>
    <row r="714" spans="1:46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</row>
    <row r="715" spans="1:46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</row>
    <row r="716" spans="1:46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</row>
    <row r="717" spans="1:46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</row>
    <row r="718" spans="1:46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</row>
    <row r="719" spans="1:46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</row>
    <row r="720" spans="1:46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</row>
    <row r="721" spans="1:46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</row>
    <row r="722" spans="1:46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</row>
    <row r="723" spans="1:46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</row>
    <row r="724" spans="1:46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</row>
    <row r="725" spans="1:46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</row>
    <row r="726" spans="1:46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</row>
    <row r="727" spans="1:46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</row>
    <row r="728" spans="1:46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</row>
    <row r="729" spans="1:46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</row>
    <row r="730" spans="1:46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</row>
    <row r="731" spans="1:46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</row>
    <row r="732" spans="1:46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</row>
    <row r="733" spans="1:46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</row>
    <row r="734" spans="1:46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</row>
    <row r="735" spans="1:46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</row>
    <row r="736" spans="1:46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</row>
    <row r="737" spans="1:46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</row>
    <row r="738" spans="1:46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</row>
    <row r="739" spans="1:46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</row>
    <row r="740" spans="1:46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</row>
    <row r="741" spans="1:46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</row>
    <row r="742" spans="1:46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</row>
    <row r="743" spans="1:46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</row>
    <row r="744" spans="1:46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</row>
    <row r="745" spans="1:46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</row>
    <row r="746" spans="1:46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</row>
    <row r="747" spans="1:46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</row>
    <row r="748" spans="1:46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</row>
    <row r="749" spans="1:46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</row>
    <row r="750" spans="1:46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</row>
    <row r="751" spans="1:46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</row>
    <row r="752" spans="1:46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</row>
    <row r="753" spans="1:46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</row>
    <row r="754" spans="1:46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</row>
    <row r="755" spans="1:46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</row>
    <row r="756" spans="1:46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</row>
    <row r="757" spans="1:46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</row>
    <row r="758" spans="1:46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</row>
    <row r="759" spans="1:46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</row>
    <row r="760" spans="1:46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</row>
    <row r="761" spans="1:46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</row>
    <row r="762" spans="1:46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</row>
    <row r="763" spans="1:46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</row>
    <row r="764" spans="1:46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</row>
    <row r="765" spans="1:46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</row>
    <row r="766" spans="1:46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</row>
    <row r="767" spans="1:46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</row>
    <row r="768" spans="1:46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</row>
    <row r="769" spans="1:46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</row>
    <row r="770" spans="1:46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</row>
    <row r="771" spans="1:46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</row>
    <row r="772" spans="1:46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</row>
    <row r="773" spans="1:46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</row>
    <row r="774" spans="1:46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</row>
    <row r="775" spans="1:46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</row>
    <row r="776" spans="1:46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</row>
    <row r="777" spans="1:46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</row>
    <row r="778" spans="1:46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</row>
    <row r="779" spans="1:46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</row>
    <row r="780" spans="1:46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</row>
    <row r="781" spans="1:46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</row>
    <row r="782" spans="1:46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</row>
    <row r="783" spans="1:46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</row>
    <row r="784" spans="1:46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</row>
    <row r="785" spans="1:46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</row>
    <row r="786" spans="1:46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</row>
    <row r="787" spans="1:46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</row>
    <row r="788" spans="1:46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</row>
    <row r="789" spans="1:46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</row>
    <row r="790" spans="1:46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</row>
    <row r="791" spans="1:46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</row>
    <row r="792" spans="1:46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</row>
    <row r="793" spans="1:46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</row>
    <row r="794" spans="1:46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</row>
    <row r="795" spans="1:46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</row>
    <row r="796" spans="1:46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</row>
    <row r="797" spans="1:46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</row>
    <row r="798" spans="1:46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</row>
    <row r="799" spans="1:46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</row>
    <row r="800" spans="1:46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</row>
    <row r="801" spans="1:46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</row>
    <row r="802" spans="1:46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</row>
    <row r="803" spans="1:46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</row>
    <row r="804" spans="1:46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</row>
    <row r="805" spans="1:46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</row>
    <row r="806" spans="1:46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</row>
    <row r="807" spans="1:46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</row>
    <row r="808" spans="1:46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</row>
    <row r="809" spans="1:46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</row>
    <row r="810" spans="1:46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</row>
    <row r="811" spans="1:46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</row>
    <row r="812" spans="1:46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</row>
    <row r="813" spans="1:46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</row>
    <row r="814" spans="1:46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</row>
    <row r="815" spans="1:46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</row>
    <row r="816" spans="1:46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</row>
    <row r="817" spans="1:46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</row>
    <row r="818" spans="1:46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</row>
    <row r="819" spans="1:46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</row>
    <row r="820" spans="1:46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</row>
    <row r="821" spans="1:46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</row>
    <row r="822" spans="1:46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</row>
    <row r="823" spans="1:46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</row>
    <row r="824" spans="1:46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</row>
    <row r="825" spans="1:46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</row>
    <row r="826" spans="1:46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</row>
    <row r="827" spans="1:46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</row>
    <row r="828" spans="1:46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</row>
    <row r="829" spans="1:46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</row>
    <row r="830" spans="1:46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</row>
    <row r="831" spans="1:46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</row>
    <row r="832" spans="1:46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</row>
    <row r="833" spans="1:46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</row>
    <row r="834" spans="1:46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</row>
    <row r="835" spans="1:46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</row>
    <row r="836" spans="1:46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</row>
    <row r="837" spans="1:46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</row>
    <row r="838" spans="1:46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</row>
    <row r="839" spans="1:46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</row>
    <row r="840" spans="1:46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</row>
    <row r="841" spans="1:46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</row>
    <row r="842" spans="1:46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</row>
    <row r="843" spans="1:46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</row>
    <row r="844" spans="1:46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</row>
    <row r="845" spans="1:46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</row>
    <row r="846" spans="1:46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</row>
    <row r="847" spans="1:46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</row>
    <row r="848" spans="1:46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</row>
    <row r="849" spans="1:46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</row>
    <row r="850" spans="1:46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</row>
    <row r="851" spans="1:46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</row>
    <row r="852" spans="1:46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</row>
    <row r="853" spans="1:46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</row>
    <row r="854" spans="1:46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</row>
    <row r="855" spans="1:46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</row>
    <row r="856" spans="1:46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</row>
    <row r="857" spans="1:46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</row>
    <row r="858" spans="1:46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</row>
    <row r="859" spans="1:46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</row>
    <row r="860" spans="1:46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</row>
    <row r="861" spans="1:46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</row>
    <row r="862" spans="1:46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</row>
    <row r="863" spans="1:46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</row>
    <row r="864" spans="1:46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</row>
    <row r="865" spans="1:46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</row>
    <row r="866" spans="1:46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</row>
    <row r="867" spans="1:46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</row>
    <row r="868" spans="1:46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</row>
    <row r="869" spans="1:46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</row>
    <row r="870" spans="1:46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</row>
    <row r="871" spans="1:46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</row>
    <row r="872" spans="1:46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</row>
    <row r="873" spans="1:46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</row>
    <row r="874" spans="1:46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</row>
    <row r="875" spans="1:46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</row>
    <row r="876" spans="1:46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</row>
    <row r="877" spans="1:46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</row>
    <row r="878" spans="1:46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</row>
    <row r="879" spans="1:46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</row>
    <row r="880" spans="1:46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</row>
    <row r="881" spans="1:46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</row>
    <row r="882" spans="1:46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</row>
    <row r="883" spans="1:46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</row>
    <row r="884" spans="1:46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</row>
    <row r="885" spans="1:46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</row>
    <row r="886" spans="1:46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</row>
    <row r="887" spans="1:46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</row>
    <row r="888" spans="1:46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</row>
    <row r="889" spans="1:46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</row>
    <row r="890" spans="1:46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</row>
    <row r="891" spans="1:46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</row>
    <row r="892" spans="1:46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</row>
    <row r="893" spans="1:46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</row>
    <row r="894" spans="1:46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</row>
    <row r="895" spans="1:46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</row>
    <row r="896" spans="1:46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</row>
    <row r="897" spans="1:46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</row>
    <row r="898" spans="1:46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</row>
    <row r="899" spans="1:46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</row>
    <row r="900" spans="1:46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</row>
    <row r="901" spans="1:46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</row>
    <row r="902" spans="1:46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</row>
    <row r="903" spans="1:46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</row>
    <row r="904" spans="1:46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</row>
    <row r="905" spans="1:46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</row>
    <row r="906" spans="1:46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</row>
    <row r="907" spans="1:46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</row>
    <row r="908" spans="1:46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</row>
    <row r="909" spans="1:46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</row>
    <row r="910" spans="1:46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</row>
    <row r="911" spans="1:46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</row>
    <row r="912" spans="1:46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</row>
    <row r="913" spans="1:46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</row>
    <row r="914" spans="1:46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</row>
    <row r="915" spans="1:46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</row>
    <row r="916" spans="1:46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</row>
    <row r="917" spans="1:46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</row>
    <row r="918" spans="1:46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</row>
    <row r="919" spans="1:46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</row>
    <row r="920" spans="1:46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</row>
    <row r="921" spans="1:46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</row>
    <row r="922" spans="1:46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</row>
    <row r="923" spans="1:46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</row>
    <row r="924" spans="1:46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</row>
    <row r="925" spans="1:46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</row>
    <row r="926" spans="1:46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</row>
    <row r="927" spans="1:46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</row>
    <row r="928" spans="1:46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</row>
    <row r="929" spans="1:46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</row>
    <row r="930" spans="1:46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</row>
    <row r="931" spans="1:46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</row>
    <row r="932" spans="1:46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</row>
    <row r="933" spans="1:46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</row>
    <row r="934" spans="1:46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</row>
    <row r="935" spans="1:46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</row>
    <row r="936" spans="1:46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</row>
    <row r="937" spans="1:46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</row>
    <row r="938" spans="1:46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</row>
    <row r="939" spans="1:46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</row>
    <row r="940" spans="1:46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</row>
    <row r="941" spans="1:46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</row>
    <row r="942" spans="1:46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</row>
    <row r="943" spans="1:46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</row>
    <row r="944" spans="1:46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</row>
    <row r="945" spans="1:46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</row>
    <row r="946" spans="1:46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</row>
    <row r="947" spans="1:46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</row>
    <row r="948" spans="1:46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</row>
    <row r="949" spans="1:46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</row>
    <row r="950" spans="1:46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</row>
    <row r="951" spans="1:46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</row>
    <row r="952" spans="1:46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</row>
    <row r="953" spans="1:46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</row>
    <row r="954" spans="1:46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</row>
    <row r="955" spans="1:46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</row>
    <row r="956" spans="1:46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</row>
    <row r="957" spans="1:46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</row>
    <row r="958" spans="1:46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</row>
    <row r="959" spans="1:46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</row>
    <row r="960" spans="1:46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</row>
    <row r="961" spans="1:46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</row>
    <row r="962" spans="1:46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</row>
    <row r="963" spans="1:46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</row>
    <row r="964" spans="1:46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</row>
    <row r="965" spans="1:46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</row>
    <row r="966" spans="1:46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</row>
    <row r="967" spans="1:46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</row>
    <row r="968" spans="1:46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</row>
    <row r="969" spans="1:46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</row>
    <row r="970" spans="1:46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</row>
    <row r="971" spans="1:46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</row>
    <row r="972" spans="1:46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</row>
    <row r="973" spans="1:46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</row>
    <row r="974" spans="1:46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</row>
    <row r="975" spans="1:46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</row>
    <row r="976" spans="1:46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</row>
    <row r="977" spans="1:46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</row>
    <row r="978" spans="1:46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</row>
    <row r="979" spans="1:46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</row>
    <row r="980" spans="1:46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</row>
    <row r="981" spans="1:46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</row>
    <row r="982" spans="1:46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</row>
    <row r="983" spans="1:46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</row>
    <row r="984" spans="1:46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</row>
    <row r="985" spans="1:46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</row>
    <row r="986" spans="1:46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</row>
    <row r="987" spans="1:46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</row>
    <row r="988" spans="1:46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</row>
    <row r="989" spans="1:46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</row>
    <row r="990" spans="1:46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</row>
    <row r="991" spans="1:46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</row>
    <row r="992" spans="1:46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</row>
    <row r="993" spans="1:46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</row>
    <row r="994" spans="1:46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</row>
    <row r="995" spans="1:46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</row>
    <row r="996" spans="1:46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</row>
    <row r="997" spans="1:46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</row>
    <row r="998" spans="1:46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</row>
    <row r="999" spans="1:46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</row>
    <row r="1000" spans="1:46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</row>
  </sheetData>
  <mergeCells count="1">
    <mergeCell ref="B4:G5"/>
  </mergeCells>
  <pageMargins left="0.7" right="0.7" top="0.75" bottom="0.75" header="0" footer="0"/>
  <pageSetup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G1000"/>
  <sheetViews>
    <sheetView workbookViewId="0"/>
  </sheetViews>
  <sheetFormatPr defaultColWidth="12.625" defaultRowHeight="15" customHeight="1" x14ac:dyDescent="0.2"/>
  <cols>
    <col min="1" max="1" width="18.625" customWidth="1"/>
    <col min="2" max="2" width="22.125" customWidth="1"/>
    <col min="3" max="3" width="24.875" customWidth="1"/>
    <col min="4" max="4" width="30.5" customWidth="1"/>
    <col min="5" max="5" width="20.625" customWidth="1"/>
    <col min="6" max="6" width="12" customWidth="1"/>
    <col min="7" max="7" width="9.875" customWidth="1"/>
    <col min="8" max="8" width="39.125" customWidth="1"/>
    <col min="9" max="10" width="7.625" customWidth="1"/>
    <col min="11" max="11" width="12.125" customWidth="1"/>
    <col min="12" max="14" width="7.625" customWidth="1"/>
    <col min="15" max="16" width="10.625" customWidth="1"/>
    <col min="18" max="18" width="10.625" customWidth="1"/>
    <col min="19" max="20" width="7.625" customWidth="1"/>
    <col min="21" max="21" width="14.125" customWidth="1"/>
    <col min="22" max="22" width="13.875" customWidth="1"/>
    <col min="23" max="23" width="22.375" customWidth="1"/>
    <col min="24" max="24" width="14.375" customWidth="1"/>
    <col min="25" max="26" width="7.625" customWidth="1"/>
    <col min="27" max="27" width="12.125" customWidth="1"/>
    <col min="28" max="32" width="7.625" customWidth="1"/>
    <col min="33" max="33" width="11.375" customWidth="1"/>
  </cols>
  <sheetData>
    <row r="1" spans="1:17" x14ac:dyDescent="0.25">
      <c r="N1" s="267" t="s">
        <v>321</v>
      </c>
    </row>
    <row r="2" spans="1:17" x14ac:dyDescent="0.25">
      <c r="A2" s="267" t="s">
        <v>322</v>
      </c>
      <c r="O2" s="267" t="s">
        <v>323</v>
      </c>
      <c r="P2" s="267" t="s">
        <v>324</v>
      </c>
    </row>
    <row r="3" spans="1:17" x14ac:dyDescent="0.25">
      <c r="F3" s="268"/>
      <c r="G3" s="268"/>
      <c r="N3" s="267" t="s">
        <v>40</v>
      </c>
      <c r="O3" s="269">
        <v>0.04</v>
      </c>
      <c r="P3" s="269">
        <v>0.05</v>
      </c>
      <c r="Q3" s="267">
        <f>9%</f>
        <v>0.09</v>
      </c>
    </row>
    <row r="4" spans="1:17" x14ac:dyDescent="0.25">
      <c r="A4" s="267" t="s">
        <v>325</v>
      </c>
      <c r="N4" s="267" t="s">
        <v>17</v>
      </c>
      <c r="O4" s="269">
        <v>0.11</v>
      </c>
      <c r="P4" s="269">
        <v>0.02</v>
      </c>
      <c r="Q4" s="267">
        <f>13%</f>
        <v>0.13</v>
      </c>
    </row>
    <row r="5" spans="1:17" x14ac:dyDescent="0.25">
      <c r="A5" s="573"/>
      <c r="B5" s="574"/>
      <c r="C5" s="574"/>
      <c r="E5" s="271" t="s">
        <v>326</v>
      </c>
      <c r="F5" s="272">
        <f>4017+2895+930+619+2171</f>
        <v>10632</v>
      </c>
      <c r="G5" s="272"/>
    </row>
    <row r="6" spans="1:17" x14ac:dyDescent="0.25">
      <c r="A6" s="573" t="s">
        <v>327</v>
      </c>
      <c r="B6" s="574"/>
      <c r="C6" s="574"/>
      <c r="D6" s="574"/>
      <c r="H6" s="267" t="s">
        <v>328</v>
      </c>
    </row>
    <row r="7" spans="1:17" x14ac:dyDescent="0.25">
      <c r="A7" s="273" t="s">
        <v>329</v>
      </c>
      <c r="B7" s="274" t="s">
        <v>330</v>
      </c>
      <c r="C7" s="275" t="s">
        <v>331</v>
      </c>
      <c r="D7" s="275" t="s">
        <v>332</v>
      </c>
      <c r="E7" s="271" t="s">
        <v>333</v>
      </c>
      <c r="F7" s="271" t="s">
        <v>334</v>
      </c>
      <c r="G7" s="276" t="s">
        <v>329</v>
      </c>
      <c r="H7" s="277" t="s">
        <v>335</v>
      </c>
    </row>
    <row r="8" spans="1:17" x14ac:dyDescent="0.25">
      <c r="A8" s="278">
        <v>2</v>
      </c>
      <c r="B8" s="279">
        <v>10.5</v>
      </c>
      <c r="C8" s="279">
        <v>9</v>
      </c>
      <c r="D8" s="279">
        <v>12.3</v>
      </c>
      <c r="E8" s="279">
        <v>4017</v>
      </c>
      <c r="F8" s="268">
        <f>E8/F5</f>
        <v>0.37782167042889392</v>
      </c>
      <c r="G8" s="280">
        <v>2</v>
      </c>
      <c r="H8" s="281">
        <f>(B8*F8)+(B25*F25)+(B42*F42)+(B59*F59)+(B76*F76)</f>
        <v>11.965951843491347</v>
      </c>
    </row>
    <row r="9" spans="1:17" x14ac:dyDescent="0.25">
      <c r="A9" s="278">
        <v>3</v>
      </c>
      <c r="B9" s="279">
        <v>17.600000000000001</v>
      </c>
      <c r="C9" s="279">
        <v>15.3</v>
      </c>
      <c r="D9" s="279">
        <v>19.7</v>
      </c>
      <c r="E9" s="267"/>
      <c r="F9" s="267"/>
      <c r="G9" s="280">
        <v>3</v>
      </c>
      <c r="H9" s="281">
        <f>(B9*F8)+(B26*F25)+(B42*F42)+(B59*F59)+(B76*F76)</f>
        <v>18.10658389766742</v>
      </c>
    </row>
    <row r="10" spans="1:17" x14ac:dyDescent="0.25">
      <c r="A10" s="278">
        <v>4</v>
      </c>
      <c r="B10" s="279">
        <v>15.5</v>
      </c>
      <c r="C10" s="279">
        <v>13.3</v>
      </c>
      <c r="D10" s="279">
        <v>17.5</v>
      </c>
      <c r="E10" s="267"/>
      <c r="F10" s="267"/>
      <c r="G10" s="280">
        <v>4</v>
      </c>
      <c r="H10" s="281">
        <f t="shared" ref="H10:H21" si="0">(B10*$F$8)+(B27*$F$25)+(B44*$F$42)+(B61*$F$59)+(B78*$F$76)</f>
        <v>17.802379608728366</v>
      </c>
    </row>
    <row r="11" spans="1:17" x14ac:dyDescent="0.25">
      <c r="A11" s="278">
        <v>5</v>
      </c>
      <c r="B11" s="279">
        <v>11.9</v>
      </c>
      <c r="C11" s="279">
        <v>10.3</v>
      </c>
      <c r="D11" s="279">
        <v>13.4</v>
      </c>
      <c r="E11" s="267"/>
      <c r="F11" s="267"/>
      <c r="G11" s="280">
        <v>5</v>
      </c>
      <c r="H11" s="281">
        <f t="shared" si="0"/>
        <v>14.444968021068474</v>
      </c>
    </row>
    <row r="12" spans="1:17" x14ac:dyDescent="0.25">
      <c r="A12" s="278">
        <v>6</v>
      </c>
      <c r="B12" s="279">
        <v>10.8</v>
      </c>
      <c r="C12" s="279">
        <v>9.1</v>
      </c>
      <c r="D12" s="279">
        <v>12.7</v>
      </c>
      <c r="E12" s="267"/>
      <c r="F12" s="267"/>
      <c r="G12" s="280">
        <v>6</v>
      </c>
      <c r="H12" s="281">
        <f t="shared" si="0"/>
        <v>12.397159518434915</v>
      </c>
    </row>
    <row r="13" spans="1:17" x14ac:dyDescent="0.25">
      <c r="A13" s="278">
        <v>7</v>
      </c>
      <c r="B13" s="279">
        <v>10.5</v>
      </c>
      <c r="C13" s="279">
        <v>8.5</v>
      </c>
      <c r="D13" s="279">
        <v>12.4</v>
      </c>
      <c r="E13" s="267"/>
      <c r="F13" s="267"/>
      <c r="G13" s="280">
        <v>7</v>
      </c>
      <c r="H13" s="281">
        <f t="shared" si="0"/>
        <v>11.308972911963883</v>
      </c>
    </row>
    <row r="14" spans="1:17" x14ac:dyDescent="0.25">
      <c r="A14" s="278">
        <v>8</v>
      </c>
      <c r="B14" s="279">
        <v>9.1</v>
      </c>
      <c r="C14" s="279">
        <v>7.5</v>
      </c>
      <c r="D14" s="279">
        <v>11.1</v>
      </c>
      <c r="E14" s="267"/>
      <c r="F14" s="267"/>
      <c r="G14" s="280">
        <v>8</v>
      </c>
      <c r="H14" s="281">
        <f t="shared" si="0"/>
        <v>10.699623777276146</v>
      </c>
    </row>
    <row r="15" spans="1:17" x14ac:dyDescent="0.25">
      <c r="A15" s="278">
        <v>9</v>
      </c>
      <c r="B15" s="279">
        <v>8.1</v>
      </c>
      <c r="C15" s="279">
        <v>6.2</v>
      </c>
      <c r="D15" s="279">
        <v>9.9</v>
      </c>
      <c r="E15" s="267"/>
      <c r="F15" s="267"/>
      <c r="G15" s="280">
        <v>9</v>
      </c>
      <c r="H15" s="281">
        <f t="shared" si="0"/>
        <v>9.9863713318284422</v>
      </c>
      <c r="I15" s="267" t="s">
        <v>336</v>
      </c>
    </row>
    <row r="16" spans="1:17" x14ac:dyDescent="0.25">
      <c r="A16" s="278">
        <v>10</v>
      </c>
      <c r="B16" s="279">
        <v>7</v>
      </c>
      <c r="C16" s="279">
        <v>5</v>
      </c>
      <c r="D16" s="279">
        <v>9.1</v>
      </c>
      <c r="E16" s="267"/>
      <c r="F16" s="267"/>
      <c r="G16" s="280">
        <v>10</v>
      </c>
      <c r="H16" s="281">
        <f t="shared" si="0"/>
        <v>9.1609010534236255</v>
      </c>
      <c r="I16" s="267">
        <f>(SUM(H16:H21)/6)</f>
        <v>10.780861236518687</v>
      </c>
    </row>
    <row r="17" spans="1:33" x14ac:dyDescent="0.25">
      <c r="A17" s="278">
        <v>11</v>
      </c>
      <c r="B17" s="279">
        <v>7.8</v>
      </c>
      <c r="C17" s="279">
        <v>5.2</v>
      </c>
      <c r="D17" s="279">
        <v>10.1</v>
      </c>
      <c r="E17" s="267"/>
      <c r="F17" s="267"/>
      <c r="G17" s="280">
        <v>11</v>
      </c>
      <c r="H17" s="281">
        <f t="shared" si="0"/>
        <v>9.146566967644846</v>
      </c>
      <c r="L17" s="267" t="s">
        <v>337</v>
      </c>
      <c r="N17" s="271"/>
      <c r="O17" s="271" t="s">
        <v>338</v>
      </c>
      <c r="P17" s="271"/>
      <c r="Y17" s="271" t="s">
        <v>338</v>
      </c>
      <c r="Z17" s="271"/>
      <c r="AE17" s="271"/>
    </row>
    <row r="18" spans="1:33" x14ac:dyDescent="0.25">
      <c r="A18" s="278">
        <v>12</v>
      </c>
      <c r="B18" s="279">
        <v>9.8000000000000007</v>
      </c>
      <c r="C18" s="279">
        <v>6.4</v>
      </c>
      <c r="D18" s="279">
        <v>12.8</v>
      </c>
      <c r="E18" s="267"/>
      <c r="F18" s="267"/>
      <c r="G18" s="280">
        <v>12</v>
      </c>
      <c r="H18" s="281">
        <f t="shared" si="0"/>
        <v>10.258295711060949</v>
      </c>
      <c r="K18" s="271" t="s">
        <v>339</v>
      </c>
      <c r="L18" s="271"/>
      <c r="M18" s="271"/>
      <c r="O18" s="271" t="s">
        <v>340</v>
      </c>
      <c r="P18" s="271"/>
      <c r="Y18" s="271" t="s">
        <v>340</v>
      </c>
      <c r="Z18" s="271"/>
      <c r="AE18" s="271"/>
    </row>
    <row r="19" spans="1:33" x14ac:dyDescent="0.25">
      <c r="A19" s="278">
        <v>13</v>
      </c>
      <c r="B19" s="279">
        <v>10.199999999999999</v>
      </c>
      <c r="C19" s="279">
        <v>6.6</v>
      </c>
      <c r="D19" s="279">
        <v>14.1</v>
      </c>
      <c r="E19" s="267"/>
      <c r="F19" s="267"/>
      <c r="G19" s="280">
        <v>13</v>
      </c>
      <c r="H19" s="281">
        <f t="shared" si="0"/>
        <v>11.42400300978179</v>
      </c>
      <c r="K19" s="271" t="s">
        <v>341</v>
      </c>
      <c r="L19" s="271" t="s">
        <v>342</v>
      </c>
      <c r="M19" s="271" t="s">
        <v>343</v>
      </c>
      <c r="O19" s="270" t="s">
        <v>344</v>
      </c>
      <c r="P19" s="270" t="s">
        <v>345</v>
      </c>
      <c r="Q19" s="270" t="s">
        <v>346</v>
      </c>
      <c r="R19" s="270" t="s">
        <v>347</v>
      </c>
      <c r="T19" s="270" t="s">
        <v>329</v>
      </c>
      <c r="U19" s="270" t="s">
        <v>348</v>
      </c>
      <c r="V19" s="270" t="s">
        <v>349</v>
      </c>
      <c r="W19" s="270" t="s">
        <v>350</v>
      </c>
      <c r="X19" s="270"/>
      <c r="Y19" s="270" t="s">
        <v>344</v>
      </c>
      <c r="Z19" s="270" t="s">
        <v>345</v>
      </c>
      <c r="AA19" s="270" t="s">
        <v>351</v>
      </c>
      <c r="AE19" s="270"/>
      <c r="AF19" s="270"/>
      <c r="AG19" s="270"/>
    </row>
    <row r="20" spans="1:33" x14ac:dyDescent="0.25">
      <c r="A20" s="278">
        <v>14</v>
      </c>
      <c r="B20" s="279">
        <v>9.8000000000000007</v>
      </c>
      <c r="C20" s="279">
        <v>5.7</v>
      </c>
      <c r="D20" s="279">
        <v>13.8</v>
      </c>
      <c r="E20" s="267"/>
      <c r="F20" s="267"/>
      <c r="G20" s="280">
        <v>14</v>
      </c>
      <c r="H20" s="281">
        <f t="shared" si="0"/>
        <v>12.035618886380739</v>
      </c>
      <c r="K20" s="282">
        <v>12</v>
      </c>
      <c r="L20" s="267">
        <f>LN(K20)</f>
        <v>2.4849066497880004</v>
      </c>
      <c r="M20" s="267">
        <f>(LN(14)-LN(9.7))/(1.96*2)</f>
        <v>9.3604960231102416E-2</v>
      </c>
      <c r="O20" s="262" t="s">
        <v>352</v>
      </c>
      <c r="P20" s="262">
        <v>40</v>
      </c>
      <c r="Q20" s="283">
        <v>2.0869999999999999E-3</v>
      </c>
      <c r="R20" s="262">
        <v>1.276E-3</v>
      </c>
      <c r="T20" s="262">
        <v>2</v>
      </c>
      <c r="U20" s="282">
        <f t="shared" ref="U20:W20" si="1">AVERAGE(B8,B25,B42,B59,B76)</f>
        <v>10.98</v>
      </c>
      <c r="V20" s="282">
        <f t="shared" si="1"/>
        <v>8.42</v>
      </c>
      <c r="W20" s="282">
        <f t="shared" si="1"/>
        <v>12.88</v>
      </c>
      <c r="X20" s="282"/>
      <c r="Y20" s="262" t="s">
        <v>352</v>
      </c>
      <c r="Z20" s="262">
        <v>40</v>
      </c>
      <c r="AA20" s="267">
        <v>1.6800000000000001E-3</v>
      </c>
      <c r="AE20" s="262"/>
      <c r="AF20" s="262"/>
    </row>
    <row r="21" spans="1:33" ht="15.75" customHeight="1" x14ac:dyDescent="0.25">
      <c r="A21" s="278">
        <v>15</v>
      </c>
      <c r="B21" s="279">
        <v>11.6</v>
      </c>
      <c r="C21" s="279">
        <v>6.6</v>
      </c>
      <c r="D21" s="279">
        <v>16.899999999999999</v>
      </c>
      <c r="E21" s="267"/>
      <c r="F21" s="267"/>
      <c r="G21" s="280">
        <v>15</v>
      </c>
      <c r="H21" s="281">
        <f t="shared" si="0"/>
        <v>12.659781790820166</v>
      </c>
      <c r="K21" s="271" t="s">
        <v>353</v>
      </c>
      <c r="O21" s="262" t="s">
        <v>354</v>
      </c>
      <c r="P21" s="262">
        <v>41</v>
      </c>
      <c r="Q21" s="262">
        <v>2.2269999999999998E-3</v>
      </c>
      <c r="R21" s="262">
        <v>1.3810000000000001E-3</v>
      </c>
      <c r="T21" s="262">
        <v>3</v>
      </c>
      <c r="U21" s="282">
        <f t="shared" ref="U21:W21" si="2">AVERAGE(B9,B26,B43,B60,B77)</f>
        <v>17.46</v>
      </c>
      <c r="V21" s="282">
        <f t="shared" si="2"/>
        <v>14.24</v>
      </c>
      <c r="W21" s="282">
        <f t="shared" si="2"/>
        <v>20.260000000000002</v>
      </c>
      <c r="X21" s="282"/>
      <c r="Y21" s="262" t="s">
        <v>354</v>
      </c>
      <c r="Z21" s="262">
        <v>41</v>
      </c>
      <c r="AA21" s="267">
        <v>1.802E-3</v>
      </c>
      <c r="AE21" s="262"/>
      <c r="AF21" s="262"/>
    </row>
    <row r="22" spans="1:33" ht="15.75" customHeight="1" x14ac:dyDescent="0.25">
      <c r="B22" s="267"/>
      <c r="C22" s="284"/>
      <c r="D22" s="279"/>
      <c r="E22" s="267"/>
      <c r="F22" s="267"/>
      <c r="G22" s="267"/>
      <c r="K22" s="267">
        <v>10.7</v>
      </c>
      <c r="L22" s="267">
        <f>LN(K22)</f>
        <v>2.3702437414678603</v>
      </c>
      <c r="M22" s="267">
        <f>(LN(5.2)-LN(15.9))/(19.6*2)</f>
        <v>-2.8511747031602152E-2</v>
      </c>
      <c r="O22" s="262" t="s">
        <v>355</v>
      </c>
      <c r="P22" s="262">
        <v>42</v>
      </c>
      <c r="Q22" s="262">
        <v>2.398E-3</v>
      </c>
      <c r="R22" s="262">
        <v>1.506E-3</v>
      </c>
      <c r="T22" s="262">
        <v>4</v>
      </c>
      <c r="U22" s="282">
        <f t="shared" ref="U22:W22" si="3">AVERAGE(B10,B27,B44,B61,B78)</f>
        <v>16.220000000000002</v>
      </c>
      <c r="V22" s="282">
        <f t="shared" si="3"/>
        <v>13.180000000000001</v>
      </c>
      <c r="W22" s="282">
        <f t="shared" si="3"/>
        <v>18.98</v>
      </c>
      <c r="X22" s="282"/>
      <c r="Y22" s="262" t="s">
        <v>355</v>
      </c>
      <c r="Z22" s="262">
        <v>42</v>
      </c>
      <c r="AA22" s="267">
        <v>1.9499999999999999E-3</v>
      </c>
      <c r="AE22" s="262"/>
      <c r="AF22" s="262"/>
    </row>
    <row r="23" spans="1:33" ht="15.75" customHeight="1" x14ac:dyDescent="0.25">
      <c r="A23" s="573" t="s">
        <v>356</v>
      </c>
      <c r="B23" s="574"/>
      <c r="C23" s="574"/>
      <c r="D23" s="574"/>
      <c r="E23" s="267"/>
      <c r="F23" s="267"/>
      <c r="G23" s="276" t="s">
        <v>329</v>
      </c>
      <c r="H23" s="277" t="s">
        <v>357</v>
      </c>
      <c r="O23" s="262" t="s">
        <v>358</v>
      </c>
      <c r="P23" s="262">
        <v>43</v>
      </c>
      <c r="Q23" s="262">
        <v>2.6090000000000002E-3</v>
      </c>
      <c r="R23" s="262">
        <v>1.6570000000000001E-3</v>
      </c>
      <c r="T23" s="262">
        <v>5</v>
      </c>
      <c r="U23" s="282">
        <f t="shared" ref="U23:W23" si="4">AVERAGE(B11,B28,B45,B62,B79)</f>
        <v>13.5</v>
      </c>
      <c r="V23" s="282">
        <f t="shared" si="4"/>
        <v>10.440000000000001</v>
      </c>
      <c r="W23" s="282">
        <f t="shared" si="4"/>
        <v>16.16</v>
      </c>
      <c r="X23" s="282"/>
      <c r="Y23" s="262" t="s">
        <v>358</v>
      </c>
      <c r="Z23" s="262">
        <v>43</v>
      </c>
      <c r="AA23" s="267">
        <v>2.1299999999999999E-3</v>
      </c>
      <c r="AE23" s="262"/>
      <c r="AF23" s="262"/>
    </row>
    <row r="24" spans="1:33" ht="15.75" customHeight="1" x14ac:dyDescent="0.25">
      <c r="A24" s="273" t="s">
        <v>329</v>
      </c>
      <c r="B24" s="274" t="s">
        <v>330</v>
      </c>
      <c r="C24" s="275" t="s">
        <v>331</v>
      </c>
      <c r="D24" s="275" t="s">
        <v>332</v>
      </c>
      <c r="E24" s="271" t="s">
        <v>359</v>
      </c>
      <c r="F24" s="271" t="s">
        <v>334</v>
      </c>
      <c r="G24" s="280">
        <v>2</v>
      </c>
      <c r="H24" s="281">
        <f t="shared" ref="H24:H37" si="5">(C8*$F$8)+(C25*$F$25)+(C42*$F$42)+(C59*$F$59)+(C76*$F$76)</f>
        <v>9.7145221971407061</v>
      </c>
      <c r="K24" s="267" t="s">
        <v>360</v>
      </c>
      <c r="O24" s="262" t="s">
        <v>361</v>
      </c>
      <c r="P24" s="262">
        <v>44</v>
      </c>
      <c r="Q24" s="262">
        <v>2.862E-3</v>
      </c>
      <c r="R24" s="262">
        <v>1.8339999999999999E-3</v>
      </c>
      <c r="T24" s="262">
        <v>6</v>
      </c>
      <c r="U24" s="282">
        <f t="shared" ref="U24:W24" si="6">AVERAGE(B12,B29,B46,B63,B80)</f>
        <v>11.319999999999999</v>
      </c>
      <c r="V24" s="282">
        <f t="shared" si="6"/>
        <v>8.34</v>
      </c>
      <c r="W24" s="282">
        <f t="shared" si="6"/>
        <v>13.940000000000001</v>
      </c>
      <c r="X24" s="282"/>
      <c r="Y24" s="262" t="s">
        <v>361</v>
      </c>
      <c r="Z24" s="262">
        <v>44</v>
      </c>
      <c r="AA24" s="267">
        <v>2.6440000000000001E-3</v>
      </c>
      <c r="AE24" s="262"/>
      <c r="AF24" s="262"/>
    </row>
    <row r="25" spans="1:33" ht="15.75" customHeight="1" x14ac:dyDescent="0.25">
      <c r="A25" s="278">
        <v>2</v>
      </c>
      <c r="B25" s="279">
        <v>18.399999999999999</v>
      </c>
      <c r="C25" s="279">
        <v>15.5</v>
      </c>
      <c r="D25" s="279">
        <v>20.8</v>
      </c>
      <c r="E25" s="279">
        <v>2895</v>
      </c>
      <c r="F25" s="268">
        <f>E25/F5</f>
        <v>0.27229119638826182</v>
      </c>
      <c r="G25" s="280">
        <v>3</v>
      </c>
      <c r="H25" s="281">
        <f t="shared" si="5"/>
        <v>16.432214070729874</v>
      </c>
      <c r="O25" s="262" t="s">
        <v>362</v>
      </c>
      <c r="P25" s="262">
        <v>45</v>
      </c>
      <c r="Q25" s="262">
        <v>3.1359999999999999E-3</v>
      </c>
      <c r="R25" s="262">
        <v>2.0219999999999999E-3</v>
      </c>
      <c r="T25" s="262">
        <v>7</v>
      </c>
      <c r="U25" s="282">
        <f t="shared" ref="U25:W25" si="7">AVERAGE(B13,B30,B47,B64,B81)</f>
        <v>9.84</v>
      </c>
      <c r="V25" s="282">
        <f t="shared" si="7"/>
        <v>6.9799999999999995</v>
      </c>
      <c r="W25" s="282">
        <f t="shared" si="7"/>
        <v>12.419999999999998</v>
      </c>
      <c r="X25" s="282"/>
      <c r="Y25" s="262" t="s">
        <v>362</v>
      </c>
      <c r="Z25" s="262">
        <v>45</v>
      </c>
      <c r="AA25" s="267">
        <v>2.575E-3</v>
      </c>
      <c r="AE25" s="262"/>
      <c r="AF25" s="262"/>
    </row>
    <row r="26" spans="1:33" ht="15.75" customHeight="1" x14ac:dyDescent="0.25">
      <c r="A26" s="278">
        <v>3</v>
      </c>
      <c r="B26" s="279">
        <v>31.1</v>
      </c>
      <c r="C26" s="279">
        <v>26.9</v>
      </c>
      <c r="D26" s="279">
        <v>35.4</v>
      </c>
      <c r="E26" s="267"/>
      <c r="F26" s="267"/>
      <c r="G26" s="280">
        <v>4</v>
      </c>
      <c r="H26" s="281">
        <f t="shared" si="5"/>
        <v>14.962735139202408</v>
      </c>
      <c r="O26" s="262" t="s">
        <v>363</v>
      </c>
      <c r="P26" s="262">
        <v>46</v>
      </c>
      <c r="Q26" s="262">
        <v>3.4380000000000001E-3</v>
      </c>
      <c r="R26" s="262">
        <v>2.222E-3</v>
      </c>
      <c r="T26" s="262">
        <v>8</v>
      </c>
      <c r="U26" s="282">
        <f t="shared" ref="U26:W26" si="8">AVERAGE(B14,B31,B48,B65,B82)</f>
        <v>9.02</v>
      </c>
      <c r="V26" s="282">
        <f t="shared" si="8"/>
        <v>5.9799999999999995</v>
      </c>
      <c r="W26" s="282">
        <f t="shared" si="8"/>
        <v>11.679999999999998</v>
      </c>
      <c r="X26" s="282"/>
      <c r="Y26" s="262" t="s">
        <v>363</v>
      </c>
      <c r="Z26" s="262">
        <v>46</v>
      </c>
      <c r="AA26" s="267">
        <v>2.8240000000000001E-3</v>
      </c>
      <c r="AE26" s="262"/>
      <c r="AF26" s="262"/>
    </row>
    <row r="27" spans="1:33" ht="15.75" customHeight="1" x14ac:dyDescent="0.25">
      <c r="A27" s="278">
        <v>4</v>
      </c>
      <c r="B27" s="279">
        <v>30.2</v>
      </c>
      <c r="C27" s="279">
        <v>26.1</v>
      </c>
      <c r="D27" s="279">
        <v>34.6</v>
      </c>
      <c r="E27" s="267"/>
      <c r="F27" s="267"/>
      <c r="G27" s="280">
        <v>5</v>
      </c>
      <c r="H27" s="281">
        <f t="shared" si="5"/>
        <v>11.722178329571106</v>
      </c>
      <c r="O27" s="262" t="s">
        <v>364</v>
      </c>
      <c r="P27" s="262">
        <v>47</v>
      </c>
      <c r="Q27" s="262">
        <v>3.7929999999999999E-3</v>
      </c>
      <c r="R27" s="262">
        <v>2.444E-3</v>
      </c>
      <c r="T27" s="262">
        <v>9</v>
      </c>
      <c r="U27" s="282">
        <f t="shared" ref="U27:W27" si="9">AVERAGE(B15,B32,B49,B66,B83)</f>
        <v>8.6399999999999988</v>
      </c>
      <c r="V27" s="282">
        <f t="shared" si="9"/>
        <v>5.3599999999999994</v>
      </c>
      <c r="W27" s="282">
        <f t="shared" si="9"/>
        <v>11.36</v>
      </c>
      <c r="X27" s="282"/>
      <c r="Y27" s="262" t="s">
        <v>364</v>
      </c>
      <c r="Z27" s="262">
        <v>47</v>
      </c>
      <c r="AA27" s="267">
        <v>3.1120000000000002E-3</v>
      </c>
      <c r="AE27" s="262"/>
      <c r="AF27" s="262"/>
    </row>
    <row r="28" spans="1:33" ht="15.75" customHeight="1" x14ac:dyDescent="0.25">
      <c r="A28" s="278">
        <v>5</v>
      </c>
      <c r="B28" s="279">
        <v>24.9</v>
      </c>
      <c r="C28" s="279">
        <v>20.6</v>
      </c>
      <c r="D28" s="279">
        <v>29.2</v>
      </c>
      <c r="E28" s="267"/>
      <c r="F28" s="267"/>
      <c r="G28" s="280">
        <v>6</v>
      </c>
      <c r="H28" s="281">
        <f t="shared" si="5"/>
        <v>9.6520598194130915</v>
      </c>
      <c r="O28" s="262" t="s">
        <v>365</v>
      </c>
      <c r="P28" s="262">
        <v>48</v>
      </c>
      <c r="Q28" s="262">
        <v>4.2050000000000004E-3</v>
      </c>
      <c r="R28" s="262">
        <v>2.6870000000000002E-3</v>
      </c>
      <c r="T28" s="262">
        <v>10</v>
      </c>
      <c r="U28" s="282">
        <f t="shared" ref="U28:W28" si="10">AVERAGE(B16,B33,B50,B67,B84)</f>
        <v>8.98</v>
      </c>
      <c r="V28" s="282">
        <f t="shared" si="10"/>
        <v>4.8600000000000003</v>
      </c>
      <c r="W28" s="282">
        <f t="shared" si="10"/>
        <v>12.64</v>
      </c>
      <c r="X28" s="282"/>
      <c r="Y28" s="262" t="s">
        <v>365</v>
      </c>
      <c r="Z28" s="262">
        <v>48</v>
      </c>
      <c r="AA28" s="267">
        <v>3.437E-3</v>
      </c>
      <c r="AE28" s="262"/>
      <c r="AF28" s="262"/>
    </row>
    <row r="29" spans="1:33" ht="15.75" customHeight="1" x14ac:dyDescent="0.25">
      <c r="A29" s="278">
        <v>6</v>
      </c>
      <c r="B29" s="279">
        <v>20.5</v>
      </c>
      <c r="C29" s="279">
        <v>16.3</v>
      </c>
      <c r="D29" s="279">
        <v>24.4</v>
      </c>
      <c r="E29" s="267"/>
      <c r="F29" s="267"/>
      <c r="G29" s="280">
        <v>7</v>
      </c>
      <c r="H29" s="281">
        <f t="shared" si="5"/>
        <v>8.6255267118133929</v>
      </c>
      <c r="O29" s="262" t="s">
        <v>366</v>
      </c>
      <c r="P29" s="262">
        <v>49</v>
      </c>
      <c r="Q29" s="262">
        <v>4.6540000000000002E-3</v>
      </c>
      <c r="R29" s="262">
        <v>2.9420000000000002E-3</v>
      </c>
      <c r="T29" s="262">
        <v>11</v>
      </c>
      <c r="U29" s="282">
        <f t="shared" ref="U29:W29" si="11">AVERAGE(B17,B34,B51,B68,B85)</f>
        <v>9.6</v>
      </c>
      <c r="V29" s="282">
        <f t="shared" si="11"/>
        <v>4.5</v>
      </c>
      <c r="W29" s="282">
        <f t="shared" si="11"/>
        <v>14.319999999999999</v>
      </c>
      <c r="X29" s="282"/>
      <c r="Y29" s="262" t="s">
        <v>366</v>
      </c>
      <c r="Z29" s="262">
        <v>49</v>
      </c>
      <c r="AA29" s="267">
        <v>3.787E-3</v>
      </c>
      <c r="AE29" s="262"/>
      <c r="AF29" s="262"/>
    </row>
    <row r="30" spans="1:33" ht="15.75" customHeight="1" x14ac:dyDescent="0.25">
      <c r="A30" s="278">
        <v>7</v>
      </c>
      <c r="B30" s="279">
        <v>18</v>
      </c>
      <c r="C30" s="279">
        <v>13.8</v>
      </c>
      <c r="D30" s="279">
        <v>22</v>
      </c>
      <c r="E30" s="267"/>
      <c r="F30" s="267"/>
      <c r="G30" s="280">
        <v>8</v>
      </c>
      <c r="H30" s="281">
        <f t="shared" si="5"/>
        <v>7.7977426636568845</v>
      </c>
      <c r="O30" s="262" t="s">
        <v>367</v>
      </c>
      <c r="P30" s="262">
        <v>50</v>
      </c>
      <c r="Q30" s="262">
        <v>5.1149999999999998E-3</v>
      </c>
      <c r="R30" s="262">
        <v>3.2049999999999999E-3</v>
      </c>
      <c r="T30" s="262">
        <v>12</v>
      </c>
      <c r="U30" s="282">
        <f t="shared" ref="U30:W30" si="12">AVERAGE(B18,B35,B52,B69,B86)</f>
        <v>11.219999999999999</v>
      </c>
      <c r="V30" s="282">
        <f t="shared" si="12"/>
        <v>4.84</v>
      </c>
      <c r="W30" s="282">
        <f t="shared" si="12"/>
        <v>17.059999999999999</v>
      </c>
      <c r="X30" s="282"/>
      <c r="Y30" s="262" t="s">
        <v>367</v>
      </c>
      <c r="Z30" s="262">
        <v>50</v>
      </c>
      <c r="AA30" s="267">
        <v>4.1460000000000004E-3</v>
      </c>
      <c r="AE30" s="262"/>
      <c r="AF30" s="262"/>
    </row>
    <row r="31" spans="1:33" ht="15.75" customHeight="1" x14ac:dyDescent="0.25">
      <c r="A31" s="278">
        <v>8</v>
      </c>
      <c r="B31" s="279">
        <v>18.399999999999999</v>
      </c>
      <c r="C31" s="279">
        <v>13.7</v>
      </c>
      <c r="D31" s="279">
        <v>22.9</v>
      </c>
      <c r="E31" s="267"/>
      <c r="F31" s="267"/>
      <c r="G31" s="280">
        <v>9</v>
      </c>
      <c r="H31" s="281">
        <f t="shared" si="5"/>
        <v>6.8787716328066217</v>
      </c>
      <c r="I31" s="267" t="s">
        <v>368</v>
      </c>
      <c r="O31" s="262" t="s">
        <v>369</v>
      </c>
      <c r="P31" s="262">
        <v>51</v>
      </c>
      <c r="Q31" s="262">
        <v>5.581E-3</v>
      </c>
      <c r="R31" s="262">
        <v>3.47E-3</v>
      </c>
      <c r="T31" s="262">
        <v>13</v>
      </c>
      <c r="U31" s="282">
        <f t="shared" ref="U31:W31" si="13">AVERAGE(B19,B36,B53,B70,B87)</f>
        <v>12.940000000000001</v>
      </c>
      <c r="V31" s="282">
        <f t="shared" si="13"/>
        <v>4.58</v>
      </c>
      <c r="W31" s="282">
        <f t="shared" si="13"/>
        <v>20.919999999999998</v>
      </c>
      <c r="X31" s="282"/>
      <c r="Y31" s="262" t="s">
        <v>369</v>
      </c>
      <c r="Z31" s="262">
        <v>51</v>
      </c>
      <c r="AA31" s="267">
        <v>4.509E-3</v>
      </c>
      <c r="AE31" s="262"/>
      <c r="AF31" s="262"/>
    </row>
    <row r="32" spans="1:33" ht="15.75" customHeight="1" x14ac:dyDescent="0.25">
      <c r="A32" s="278">
        <v>9</v>
      </c>
      <c r="B32" s="279">
        <v>17.5</v>
      </c>
      <c r="C32" s="279">
        <v>12.6</v>
      </c>
      <c r="D32" s="279">
        <v>22.2</v>
      </c>
      <c r="E32" s="267"/>
      <c r="F32" s="267"/>
      <c r="G32" s="280">
        <v>10</v>
      </c>
      <c r="H32" s="281">
        <f t="shared" si="5"/>
        <v>5.645325432656132</v>
      </c>
      <c r="I32" s="282">
        <f>AVERAGE(H32:H37)</f>
        <v>5.2151915600702283</v>
      </c>
      <c r="O32" s="262" t="s">
        <v>370</v>
      </c>
      <c r="P32" s="262">
        <v>52</v>
      </c>
      <c r="Q32" s="262">
        <v>6.0720000000000001E-3</v>
      </c>
      <c r="R32" s="262">
        <v>3.738E-3</v>
      </c>
      <c r="T32" s="262">
        <v>14</v>
      </c>
      <c r="U32" s="282">
        <f t="shared" ref="U32:W32" si="14">AVERAGE(B20,B37,B54,B71,B88)</f>
        <v>13.2</v>
      </c>
      <c r="V32" s="282">
        <f t="shared" si="14"/>
        <v>3.38</v>
      </c>
      <c r="W32" s="282">
        <f t="shared" si="14"/>
        <v>22.82</v>
      </c>
      <c r="X32" s="282"/>
      <c r="Y32" s="262" t="s">
        <v>370</v>
      </c>
      <c r="Z32" s="262">
        <v>52</v>
      </c>
      <c r="AA32" s="267">
        <v>4.8840000000000003E-3</v>
      </c>
      <c r="AE32" s="262"/>
      <c r="AF32" s="262"/>
    </row>
    <row r="33" spans="1:32" ht="15.75" customHeight="1" x14ac:dyDescent="0.25">
      <c r="A33" s="278">
        <v>10</v>
      </c>
      <c r="B33" s="279">
        <v>14.4</v>
      </c>
      <c r="C33" s="279">
        <v>9.5</v>
      </c>
      <c r="D33" s="279">
        <v>19</v>
      </c>
      <c r="E33" s="267"/>
      <c r="F33" s="267"/>
      <c r="G33" s="280">
        <v>11</v>
      </c>
      <c r="H33" s="281">
        <f t="shared" si="5"/>
        <v>5.1354119638826177</v>
      </c>
      <c r="O33" s="262" t="s">
        <v>371</v>
      </c>
      <c r="P33" s="262">
        <v>53</v>
      </c>
      <c r="Q33" s="262">
        <v>6.6E-3</v>
      </c>
      <c r="R33" s="262">
        <v>4.0140000000000002E-3</v>
      </c>
      <c r="T33" s="262">
        <v>15</v>
      </c>
      <c r="U33" s="282">
        <f t="shared" ref="U33:W33" si="15">AVERAGE(B21,B38,B55,B72,B89)</f>
        <v>13.9</v>
      </c>
      <c r="V33" s="282">
        <f t="shared" si="15"/>
        <v>2.8</v>
      </c>
      <c r="W33" s="282">
        <f t="shared" si="15"/>
        <v>20.5</v>
      </c>
      <c r="X33" s="282"/>
      <c r="Y33" s="262" t="s">
        <v>371</v>
      </c>
      <c r="Z33" s="262">
        <v>53</v>
      </c>
      <c r="AA33" s="267">
        <v>5.2820000000000002E-3</v>
      </c>
      <c r="AE33" s="262"/>
      <c r="AF33" s="262"/>
    </row>
    <row r="34" spans="1:32" ht="15.75" customHeight="1" x14ac:dyDescent="0.25">
      <c r="A34" s="278">
        <v>11</v>
      </c>
      <c r="B34" s="279">
        <v>12.5</v>
      </c>
      <c r="C34" s="279">
        <v>7.5</v>
      </c>
      <c r="D34" s="279">
        <v>17.2</v>
      </c>
      <c r="E34" s="267"/>
      <c r="F34" s="267"/>
      <c r="G34" s="280">
        <v>12</v>
      </c>
      <c r="H34" s="281">
        <f t="shared" si="5"/>
        <v>5.416365688487585</v>
      </c>
      <c r="O34" s="262" t="s">
        <v>372</v>
      </c>
      <c r="P34" s="262">
        <v>54</v>
      </c>
      <c r="Q34" s="262">
        <v>7.1729999999999997E-3</v>
      </c>
      <c r="R34" s="262">
        <v>4.3059999999999999E-3</v>
      </c>
      <c r="T34" s="262"/>
      <c r="U34" s="282"/>
      <c r="Y34" s="262" t="s">
        <v>372</v>
      </c>
      <c r="Z34" s="262">
        <v>54</v>
      </c>
      <c r="AA34" s="267">
        <v>5.7080000000000004E-3</v>
      </c>
      <c r="AE34" s="262"/>
      <c r="AF34" s="262"/>
    </row>
    <row r="35" spans="1:32" ht="15.75" customHeight="1" x14ac:dyDescent="0.25">
      <c r="A35" s="278">
        <v>12</v>
      </c>
      <c r="B35" s="279">
        <v>11.1</v>
      </c>
      <c r="C35" s="279">
        <v>6</v>
      </c>
      <c r="D35" s="279">
        <v>16.3</v>
      </c>
      <c r="E35" s="267"/>
      <c r="F35" s="267"/>
      <c r="G35" s="280">
        <v>13</v>
      </c>
      <c r="H35" s="281">
        <f t="shared" si="5"/>
        <v>5.5767024078254321</v>
      </c>
      <c r="O35" s="262" t="s">
        <v>373</v>
      </c>
      <c r="P35" s="262">
        <v>55</v>
      </c>
      <c r="Q35" s="262">
        <v>7.7910000000000002E-3</v>
      </c>
      <c r="R35" s="262">
        <v>4.6220000000000002E-3</v>
      </c>
      <c r="U35" s="267" t="s">
        <v>374</v>
      </c>
      <c r="Y35" s="262" t="s">
        <v>373</v>
      </c>
      <c r="Z35" s="262">
        <v>55</v>
      </c>
      <c r="AA35" s="267">
        <v>6.1669999999999997E-3</v>
      </c>
      <c r="AE35" s="262"/>
      <c r="AF35" s="262"/>
    </row>
    <row r="36" spans="1:32" ht="15.75" customHeight="1" x14ac:dyDescent="0.25">
      <c r="A36" s="278">
        <v>13</v>
      </c>
      <c r="B36" s="279">
        <v>12.6</v>
      </c>
      <c r="C36" s="279">
        <v>6.9</v>
      </c>
      <c r="D36" s="279">
        <v>18.100000000000001</v>
      </c>
      <c r="E36" s="267"/>
      <c r="F36" s="267"/>
      <c r="G36" s="280">
        <v>14</v>
      </c>
      <c r="H36" s="281">
        <f t="shared" si="5"/>
        <v>4.9921933784800601</v>
      </c>
      <c r="O36" s="262" t="s">
        <v>375</v>
      </c>
      <c r="P36" s="262">
        <v>56</v>
      </c>
      <c r="Q36" s="262">
        <v>8.4379999999999993E-3</v>
      </c>
      <c r="R36" s="262">
        <v>4.9610000000000001E-3</v>
      </c>
      <c r="U36" s="282">
        <f>AVERAGE(U28:U33)</f>
        <v>11.64</v>
      </c>
      <c r="Y36" s="262" t="s">
        <v>375</v>
      </c>
      <c r="Z36" s="262">
        <v>56</v>
      </c>
      <c r="AA36" s="267">
        <v>6.6509999999999998E-3</v>
      </c>
      <c r="AE36" s="262"/>
      <c r="AF36" s="262"/>
    </row>
    <row r="37" spans="1:32" ht="15.75" customHeight="1" x14ac:dyDescent="0.25">
      <c r="A37" s="278">
        <v>14</v>
      </c>
      <c r="B37" s="279">
        <v>16</v>
      </c>
      <c r="C37" s="279">
        <v>7.8</v>
      </c>
      <c r="D37" s="279">
        <v>24.2</v>
      </c>
      <c r="E37" s="267"/>
      <c r="F37" s="267"/>
      <c r="G37" s="280">
        <v>15</v>
      </c>
      <c r="H37" s="281">
        <f t="shared" si="5"/>
        <v>4.5251504890895404</v>
      </c>
      <c r="O37" s="262" t="s">
        <v>376</v>
      </c>
      <c r="P37" s="262">
        <v>57</v>
      </c>
      <c r="Q37" s="262">
        <v>9.1000000000000004E-3</v>
      </c>
      <c r="R37" s="262">
        <v>5.3239999999999997E-3</v>
      </c>
      <c r="U37" s="267" t="s">
        <v>377</v>
      </c>
      <c r="Y37" s="262" t="s">
        <v>376</v>
      </c>
      <c r="Z37" s="262">
        <v>57</v>
      </c>
      <c r="AA37" s="267">
        <v>7.156E-3</v>
      </c>
      <c r="AE37" s="262"/>
      <c r="AF37" s="262"/>
    </row>
    <row r="38" spans="1:32" ht="15.75" customHeight="1" x14ac:dyDescent="0.25">
      <c r="A38" s="278">
        <v>15</v>
      </c>
      <c r="B38" s="279">
        <v>13.2</v>
      </c>
      <c r="C38" s="279">
        <v>5.8</v>
      </c>
      <c r="D38" s="279">
        <v>23.8</v>
      </c>
      <c r="E38" s="267"/>
      <c r="F38" s="267"/>
      <c r="G38" s="267"/>
      <c r="O38" s="262" t="s">
        <v>378</v>
      </c>
      <c r="P38" s="262">
        <v>58</v>
      </c>
      <c r="Q38" s="262">
        <v>9.7649999999999994E-3</v>
      </c>
      <c r="R38" s="262">
        <v>5.7120000000000001E-3</v>
      </c>
      <c r="U38" s="282">
        <f>AVERAGE(V28:V33)</f>
        <v>4.16</v>
      </c>
      <c r="Y38" s="262" t="s">
        <v>378</v>
      </c>
      <c r="Z38" s="262">
        <v>58</v>
      </c>
      <c r="AA38" s="267">
        <v>7.6730000000000001E-3</v>
      </c>
      <c r="AE38" s="262"/>
      <c r="AF38" s="262"/>
    </row>
    <row r="39" spans="1:32" ht="15.75" customHeight="1" x14ac:dyDescent="0.25">
      <c r="B39" s="267"/>
      <c r="C39" s="284"/>
      <c r="D39" s="279"/>
      <c r="E39" s="267"/>
      <c r="F39" s="267"/>
      <c r="G39" s="276" t="s">
        <v>329</v>
      </c>
      <c r="H39" s="277" t="s">
        <v>379</v>
      </c>
      <c r="O39" s="262" t="s">
        <v>380</v>
      </c>
      <c r="P39" s="262">
        <v>59</v>
      </c>
      <c r="Q39" s="262">
        <v>1.0439E-2</v>
      </c>
      <c r="R39" s="262">
        <v>6.1289999999999999E-3</v>
      </c>
      <c r="U39" s="267" t="s">
        <v>381</v>
      </c>
      <c r="Y39" s="262" t="s">
        <v>380</v>
      </c>
      <c r="Z39" s="262">
        <v>59</v>
      </c>
      <c r="AA39" s="267">
        <v>8.2100000000000003E-3</v>
      </c>
      <c r="AE39" s="262"/>
      <c r="AF39" s="262"/>
    </row>
    <row r="40" spans="1:32" ht="15.75" customHeight="1" x14ac:dyDescent="0.25">
      <c r="A40" s="573" t="s">
        <v>382</v>
      </c>
      <c r="B40" s="574"/>
      <c r="C40" s="574"/>
      <c r="D40" s="574"/>
      <c r="E40" s="267"/>
      <c r="F40" s="267"/>
      <c r="G40" s="280">
        <v>2</v>
      </c>
      <c r="H40" s="281">
        <f t="shared" ref="H40:H53" si="16">(D8*$F$8)+(D25*$F$25)+(D42*$F$42)+(D59*$F$59)+(D76*$F$76)</f>
        <v>13.978912716328065</v>
      </c>
      <c r="O40" s="262" t="s">
        <v>383</v>
      </c>
      <c r="P40" s="262">
        <v>60</v>
      </c>
      <c r="Q40" s="262">
        <v>1.1155999999999999E-2</v>
      </c>
      <c r="R40" s="262">
        <v>6.5789999999999998E-3</v>
      </c>
      <c r="U40" s="282">
        <f>AVERAGE(W28:W33)</f>
        <v>18.043333333333333</v>
      </c>
      <c r="Y40" s="262" t="s">
        <v>383</v>
      </c>
      <c r="Z40" s="262">
        <v>60</v>
      </c>
      <c r="AA40" s="267">
        <v>8.7840000000000001E-3</v>
      </c>
      <c r="AE40" s="262"/>
      <c r="AF40" s="262"/>
    </row>
    <row r="41" spans="1:32" ht="15.75" customHeight="1" x14ac:dyDescent="0.25">
      <c r="A41" s="273" t="s">
        <v>329</v>
      </c>
      <c r="B41" s="274" t="s">
        <v>330</v>
      </c>
      <c r="C41" s="275" t="s">
        <v>331</v>
      </c>
      <c r="D41" s="275" t="s">
        <v>332</v>
      </c>
      <c r="E41" s="271" t="s">
        <v>359</v>
      </c>
      <c r="F41" s="271" t="s">
        <v>334</v>
      </c>
      <c r="G41" s="280">
        <v>3</v>
      </c>
      <c r="H41" s="281">
        <f t="shared" si="16"/>
        <v>22.315848382242287</v>
      </c>
      <c r="O41" s="262" t="s">
        <v>384</v>
      </c>
      <c r="P41" s="262">
        <v>61</v>
      </c>
      <c r="Q41" s="262">
        <v>1.1929E-2</v>
      </c>
      <c r="R41" s="262">
        <v>7.0749999999999997E-3</v>
      </c>
      <c r="Y41" s="262" t="s">
        <v>384</v>
      </c>
      <c r="Z41" s="262">
        <v>61</v>
      </c>
      <c r="AA41" s="267">
        <v>9.4079999999999997E-3</v>
      </c>
      <c r="AE41" s="262"/>
      <c r="AF41" s="262"/>
    </row>
    <row r="42" spans="1:32" ht="15.75" customHeight="1" x14ac:dyDescent="0.25">
      <c r="A42" s="278">
        <v>2</v>
      </c>
      <c r="B42" s="279">
        <v>7.5</v>
      </c>
      <c r="C42" s="279">
        <v>4.5999999999999996</v>
      </c>
      <c r="D42" s="279">
        <v>9.6999999999999993</v>
      </c>
      <c r="E42" s="279">
        <v>619</v>
      </c>
      <c r="F42" s="268">
        <f>E42/F5</f>
        <v>5.8220466516177578E-2</v>
      </c>
      <c r="G42" s="280">
        <v>4</v>
      </c>
      <c r="H42" s="281">
        <f t="shared" si="16"/>
        <v>20.554881489841986</v>
      </c>
      <c r="O42" s="262" t="s">
        <v>385</v>
      </c>
      <c r="P42" s="262">
        <v>62</v>
      </c>
      <c r="Q42" s="262">
        <v>1.274E-2</v>
      </c>
      <c r="R42" s="262">
        <v>7.6340000000000002E-3</v>
      </c>
      <c r="Y42" s="262" t="s">
        <v>385</v>
      </c>
      <c r="Z42" s="262">
        <v>62</v>
      </c>
      <c r="AA42" s="267">
        <v>1.0083E-2</v>
      </c>
      <c r="AE42" s="262"/>
      <c r="AF42" s="262"/>
    </row>
    <row r="43" spans="1:32" ht="15.75" customHeight="1" x14ac:dyDescent="0.25">
      <c r="A43" s="278">
        <v>3</v>
      </c>
      <c r="B43" s="279">
        <v>11.4</v>
      </c>
      <c r="C43" s="279">
        <v>8.1</v>
      </c>
      <c r="D43" s="279">
        <v>14.7</v>
      </c>
      <c r="E43" s="267"/>
      <c r="F43" s="267"/>
      <c r="G43" s="280">
        <v>5</v>
      </c>
      <c r="H43" s="281">
        <f t="shared" si="16"/>
        <v>16.984198645598191</v>
      </c>
      <c r="O43" s="262" t="s">
        <v>386</v>
      </c>
      <c r="P43" s="262">
        <v>63</v>
      </c>
      <c r="Q43" s="262">
        <v>1.3592999999999999E-2</v>
      </c>
      <c r="R43" s="262">
        <v>8.2740000000000001E-3</v>
      </c>
      <c r="Y43" s="262" t="s">
        <v>386</v>
      </c>
      <c r="Z43" s="262">
        <v>63</v>
      </c>
      <c r="AA43" s="267">
        <v>1.0819E-2</v>
      </c>
      <c r="AE43" s="262"/>
      <c r="AF43" s="262"/>
    </row>
    <row r="44" spans="1:32" ht="15.75" customHeight="1" x14ac:dyDescent="0.25">
      <c r="A44" s="278">
        <v>4</v>
      </c>
      <c r="B44" s="279">
        <v>13.3</v>
      </c>
      <c r="C44" s="279">
        <v>9.6</v>
      </c>
      <c r="D44" s="279">
        <v>16.899999999999999</v>
      </c>
      <c r="E44" s="267"/>
      <c r="F44" s="267"/>
      <c r="G44" s="280">
        <v>6</v>
      </c>
      <c r="H44" s="281">
        <f t="shared" si="16"/>
        <v>14.949463882618508</v>
      </c>
      <c r="O44" s="262" t="s">
        <v>387</v>
      </c>
      <c r="P44" s="262">
        <v>64</v>
      </c>
      <c r="Q44" s="262">
        <v>1.4505000000000001E-2</v>
      </c>
      <c r="R44" s="262">
        <v>8.9980000000000008E-3</v>
      </c>
      <c r="Y44" s="262" t="s">
        <v>387</v>
      </c>
      <c r="Z44" s="262">
        <v>64</v>
      </c>
      <c r="AA44" s="267">
        <v>1.1627999999999999E-2</v>
      </c>
      <c r="AE44" s="262"/>
      <c r="AF44" s="262"/>
    </row>
    <row r="45" spans="1:32" ht="15.75" customHeight="1" x14ac:dyDescent="0.25">
      <c r="A45" s="278">
        <v>5</v>
      </c>
      <c r="B45" s="279">
        <v>13.4</v>
      </c>
      <c r="C45" s="279">
        <v>9.3000000000000007</v>
      </c>
      <c r="D45" s="279">
        <v>17.600000000000001</v>
      </c>
      <c r="E45" s="267"/>
      <c r="F45" s="267"/>
      <c r="G45" s="280">
        <v>7</v>
      </c>
      <c r="H45" s="281">
        <f t="shared" si="16"/>
        <v>13.93528028592927</v>
      </c>
      <c r="O45" s="262" t="s">
        <v>388</v>
      </c>
      <c r="P45" s="262">
        <v>65</v>
      </c>
      <c r="Q45" s="262">
        <v>1.5500999999999999E-2</v>
      </c>
      <c r="R45" s="262">
        <v>9.8259999999999997E-3</v>
      </c>
      <c r="Y45" s="262" t="s">
        <v>388</v>
      </c>
      <c r="Z45" s="262">
        <v>65</v>
      </c>
      <c r="AA45" s="267">
        <v>1.2529999999999999E-2</v>
      </c>
      <c r="AE45" s="262"/>
      <c r="AF45" s="262"/>
    </row>
    <row r="46" spans="1:32" ht="15.75" customHeight="1" x14ac:dyDescent="0.25">
      <c r="A46" s="278">
        <v>6</v>
      </c>
      <c r="B46" s="279">
        <v>9.3000000000000007</v>
      </c>
      <c r="C46" s="279">
        <v>6</v>
      </c>
      <c r="D46" s="279">
        <v>13.1</v>
      </c>
      <c r="E46" s="267"/>
      <c r="F46" s="267"/>
      <c r="G46" s="280">
        <v>8</v>
      </c>
      <c r="H46" s="281">
        <f t="shared" si="16"/>
        <v>13.537829194883372</v>
      </c>
      <c r="O46" s="262" t="s">
        <v>389</v>
      </c>
      <c r="P46" s="262">
        <v>66</v>
      </c>
      <c r="Q46" s="262">
        <v>1.6614E-2</v>
      </c>
      <c r="R46" s="262">
        <v>1.0744999999999999E-2</v>
      </c>
      <c r="Y46" s="262" t="s">
        <v>389</v>
      </c>
      <c r="Z46" s="262">
        <v>66</v>
      </c>
      <c r="AA46" s="267">
        <v>1.3533999999999999E-2</v>
      </c>
      <c r="AE46" s="262"/>
      <c r="AF46" s="262"/>
    </row>
    <row r="47" spans="1:32" ht="15.75" customHeight="1" x14ac:dyDescent="0.25">
      <c r="A47" s="278">
        <v>7</v>
      </c>
      <c r="B47" s="279">
        <v>5.2</v>
      </c>
      <c r="C47" s="279">
        <v>2.2000000000000002</v>
      </c>
      <c r="D47" s="279">
        <v>8.1</v>
      </c>
      <c r="E47" s="267"/>
      <c r="F47" s="267"/>
      <c r="G47" s="280">
        <v>9</v>
      </c>
      <c r="H47" s="281">
        <f t="shared" si="16"/>
        <v>12.800573739653874</v>
      </c>
      <c r="O47" s="262" t="s">
        <v>390</v>
      </c>
      <c r="P47" s="262">
        <v>67</v>
      </c>
      <c r="Q47" s="262">
        <v>1.7888000000000001E-2</v>
      </c>
      <c r="R47" s="262">
        <v>1.1748E-2</v>
      </c>
      <c r="Y47" s="262" t="s">
        <v>390</v>
      </c>
      <c r="Z47" s="262">
        <v>67</v>
      </c>
      <c r="AA47" s="267">
        <v>1.4657999999999999E-2</v>
      </c>
      <c r="AE47" s="262"/>
      <c r="AF47" s="262"/>
    </row>
    <row r="48" spans="1:32" ht="15.75" customHeight="1" x14ac:dyDescent="0.25">
      <c r="A48" s="278">
        <v>8</v>
      </c>
      <c r="B48" s="279">
        <v>3.2</v>
      </c>
      <c r="C48" s="279">
        <v>0.6</v>
      </c>
      <c r="D48" s="279">
        <v>5.8</v>
      </c>
      <c r="E48" s="267"/>
      <c r="F48" s="267"/>
      <c r="G48" s="280">
        <v>10</v>
      </c>
      <c r="H48" s="281">
        <f t="shared" si="16"/>
        <v>12.448880737396538</v>
      </c>
      <c r="O48" s="262" t="s">
        <v>391</v>
      </c>
      <c r="P48" s="262">
        <v>68</v>
      </c>
      <c r="Q48" s="262">
        <v>1.9327E-2</v>
      </c>
      <c r="R48" s="262">
        <v>1.2810999999999999E-2</v>
      </c>
      <c r="Y48" s="262" t="s">
        <v>391</v>
      </c>
      <c r="Z48" s="262">
        <v>68</v>
      </c>
      <c r="AA48" s="267">
        <v>1.5887999999999999E-2</v>
      </c>
      <c r="AE48" s="262"/>
      <c r="AF48" s="262"/>
    </row>
    <row r="49" spans="1:32" ht="15.75" customHeight="1" x14ac:dyDescent="0.25">
      <c r="A49" s="278">
        <v>9</v>
      </c>
      <c r="B49" s="279">
        <v>1.9</v>
      </c>
      <c r="C49" s="279">
        <v>-0.3</v>
      </c>
      <c r="D49" s="279">
        <v>3.9</v>
      </c>
      <c r="E49" s="267"/>
      <c r="F49" s="267"/>
      <c r="G49" s="280">
        <v>11</v>
      </c>
      <c r="H49" s="281">
        <f t="shared" si="16"/>
        <v>12.869394281414596</v>
      </c>
      <c r="I49" s="267" t="s">
        <v>392</v>
      </c>
      <c r="O49" s="262" t="s">
        <v>393</v>
      </c>
      <c r="P49" s="262">
        <v>69</v>
      </c>
      <c r="Q49" s="262">
        <v>2.0930000000000001E-2</v>
      </c>
      <c r="R49" s="262">
        <v>1.396E-2</v>
      </c>
      <c r="Y49" s="262" t="s">
        <v>393</v>
      </c>
      <c r="Z49" s="262">
        <v>69</v>
      </c>
      <c r="AA49" s="267">
        <v>1.7236000000000001E-2</v>
      </c>
      <c r="AE49" s="262"/>
      <c r="AF49" s="262"/>
    </row>
    <row r="50" spans="1:32" ht="15.75" customHeight="1" x14ac:dyDescent="0.25">
      <c r="A50" s="278">
        <v>10</v>
      </c>
      <c r="B50" s="279">
        <v>3.9</v>
      </c>
      <c r="C50" s="279">
        <v>0.1</v>
      </c>
      <c r="D50" s="279">
        <v>7.7</v>
      </c>
      <c r="E50" s="267"/>
      <c r="F50" s="267"/>
      <c r="G50" s="280">
        <v>12</v>
      </c>
      <c r="H50" s="281">
        <f t="shared" si="16"/>
        <v>14.783944695259592</v>
      </c>
      <c r="I50" s="282">
        <f>AVERAGE(H48:H53)</f>
        <v>15.94144406822172</v>
      </c>
      <c r="O50" s="262" t="s">
        <v>394</v>
      </c>
      <c r="P50" s="262">
        <v>70</v>
      </c>
      <c r="Q50" s="262">
        <v>2.2834E-2</v>
      </c>
      <c r="R50" s="262">
        <v>1.5317000000000001E-2</v>
      </c>
      <c r="Y50" s="262" t="s">
        <v>394</v>
      </c>
      <c r="Z50" s="262">
        <v>70</v>
      </c>
      <c r="AA50" s="267">
        <v>1.8831000000000001E-2</v>
      </c>
      <c r="AE50" s="262"/>
      <c r="AF50" s="262"/>
    </row>
    <row r="51" spans="1:32" ht="15.75" customHeight="1" x14ac:dyDescent="0.25">
      <c r="A51" s="278">
        <v>11</v>
      </c>
      <c r="B51" s="279">
        <v>8</v>
      </c>
      <c r="C51" s="279">
        <v>0.7</v>
      </c>
      <c r="D51" s="279">
        <v>15.4</v>
      </c>
      <c r="G51" s="280">
        <v>13</v>
      </c>
      <c r="H51" s="281">
        <f t="shared" si="16"/>
        <v>17.166948833709554</v>
      </c>
      <c r="O51" s="262" t="s">
        <v>395</v>
      </c>
      <c r="P51" s="262">
        <v>71</v>
      </c>
      <c r="Q51" s="262">
        <v>2.5024999999999999E-2</v>
      </c>
      <c r="R51" s="262">
        <v>1.6934999999999999E-2</v>
      </c>
      <c r="Y51" s="262" t="s">
        <v>395</v>
      </c>
      <c r="Z51" s="262">
        <v>71</v>
      </c>
      <c r="AA51" s="267">
        <v>2.0693E-2</v>
      </c>
      <c r="AE51" s="262"/>
      <c r="AF51" s="262"/>
    </row>
    <row r="52" spans="1:32" ht="15.75" customHeight="1" x14ac:dyDescent="0.25">
      <c r="A52" s="278">
        <v>12</v>
      </c>
      <c r="B52" s="279">
        <v>14.4</v>
      </c>
      <c r="C52" s="279">
        <v>3.8</v>
      </c>
      <c r="D52" s="279">
        <v>24.4</v>
      </c>
      <c r="G52" s="280">
        <v>14</v>
      </c>
      <c r="H52" s="281">
        <f t="shared" si="16"/>
        <v>18.92158577878104</v>
      </c>
      <c r="O52" s="262" t="s">
        <v>396</v>
      </c>
      <c r="P52" s="262">
        <v>72</v>
      </c>
      <c r="Q52" s="262">
        <v>2.7449000000000001E-2</v>
      </c>
      <c r="R52" s="262">
        <v>1.8674E-2</v>
      </c>
      <c r="Y52" s="262" t="s">
        <v>396</v>
      </c>
      <c r="Z52" s="262">
        <v>72</v>
      </c>
      <c r="AA52" s="267">
        <v>2.2723E-2</v>
      </c>
      <c r="AE52" s="262"/>
      <c r="AF52" s="262"/>
    </row>
    <row r="53" spans="1:32" ht="15.75" customHeight="1" x14ac:dyDescent="0.25">
      <c r="A53" s="278">
        <v>13</v>
      </c>
      <c r="B53" s="279">
        <v>19.3</v>
      </c>
      <c r="C53" s="279">
        <v>3.3</v>
      </c>
      <c r="D53" s="279">
        <v>34.9</v>
      </c>
      <c r="G53" s="280">
        <v>15</v>
      </c>
      <c r="H53" s="281">
        <f t="shared" si="16"/>
        <v>19.457910082769001</v>
      </c>
      <c r="O53" s="262" t="s">
        <v>397</v>
      </c>
      <c r="P53" s="262">
        <v>73</v>
      </c>
      <c r="Q53" s="262">
        <v>3.0016999999999999E-2</v>
      </c>
      <c r="R53" s="262">
        <v>2.0539000000000002E-2</v>
      </c>
      <c r="Y53" s="262" t="s">
        <v>397</v>
      </c>
      <c r="Z53" s="262">
        <v>73</v>
      </c>
      <c r="AA53" s="267">
        <v>2.4884E-2</v>
      </c>
      <c r="AE53" s="262"/>
      <c r="AF53" s="262"/>
    </row>
    <row r="54" spans="1:32" ht="15.75" customHeight="1" x14ac:dyDescent="0.25">
      <c r="A54" s="278">
        <v>14</v>
      </c>
      <c r="B54" s="279">
        <v>15.8</v>
      </c>
      <c r="C54" s="279">
        <v>-0.7</v>
      </c>
      <c r="D54" s="279">
        <v>33.700000000000003</v>
      </c>
      <c r="O54" s="262" t="s">
        <v>398</v>
      </c>
      <c r="P54" s="262">
        <v>74</v>
      </c>
      <c r="Q54" s="262">
        <v>3.2687000000000001E-2</v>
      </c>
      <c r="R54" s="262">
        <v>2.2641999999999999E-2</v>
      </c>
      <c r="Y54" s="262" t="s">
        <v>398</v>
      </c>
      <c r="Z54" s="262">
        <v>74</v>
      </c>
      <c r="AA54" s="267">
        <v>2.7216000000000001E-2</v>
      </c>
      <c r="AE54" s="262"/>
      <c r="AF54" s="262"/>
    </row>
    <row r="55" spans="1:32" ht="15.75" customHeight="1" x14ac:dyDescent="0.25">
      <c r="A55" s="278">
        <v>15</v>
      </c>
      <c r="B55" s="279">
        <v>6.7</v>
      </c>
      <c r="C55" s="279">
        <v>-0.7</v>
      </c>
      <c r="D55" s="279">
        <v>17.3</v>
      </c>
      <c r="O55" s="262" t="s">
        <v>399</v>
      </c>
      <c r="P55" s="262">
        <v>75</v>
      </c>
      <c r="Q55" s="262">
        <v>3.5636000000000001E-2</v>
      </c>
      <c r="R55" s="262">
        <v>2.5028000000000002E-2</v>
      </c>
      <c r="Y55" s="262" t="s">
        <v>399</v>
      </c>
      <c r="Z55" s="262">
        <v>75</v>
      </c>
      <c r="AA55" s="267">
        <v>2.9822000000000001E-2</v>
      </c>
      <c r="AE55" s="262"/>
      <c r="AF55" s="262"/>
    </row>
    <row r="56" spans="1:32" ht="15.75" customHeight="1" x14ac:dyDescent="0.25">
      <c r="O56" s="262" t="s">
        <v>400</v>
      </c>
      <c r="P56" s="262">
        <v>76</v>
      </c>
      <c r="Q56" s="262">
        <v>3.9102999999999999E-2</v>
      </c>
      <c r="R56" s="262">
        <v>2.7826E-2</v>
      </c>
      <c r="Y56" s="262" t="s">
        <v>400</v>
      </c>
      <c r="Z56" s="262">
        <v>76</v>
      </c>
      <c r="AA56" s="267">
        <v>3.2876000000000002E-2</v>
      </c>
      <c r="AE56" s="262"/>
      <c r="AF56" s="262"/>
    </row>
    <row r="57" spans="1:32" ht="15.75" customHeight="1" x14ac:dyDescent="0.25">
      <c r="A57" s="573" t="s">
        <v>401</v>
      </c>
      <c r="B57" s="574"/>
      <c r="C57" s="574"/>
      <c r="D57" s="574"/>
      <c r="O57" s="262" t="s">
        <v>402</v>
      </c>
      <c r="P57" s="262">
        <v>77</v>
      </c>
      <c r="Q57" s="262">
        <v>4.3132999999999998E-2</v>
      </c>
      <c r="R57" s="262">
        <v>3.0908000000000001E-2</v>
      </c>
      <c r="Y57" s="262" t="s">
        <v>402</v>
      </c>
      <c r="Z57" s="262">
        <v>77</v>
      </c>
      <c r="AA57" s="267">
        <v>3.6327999999999999E-2</v>
      </c>
      <c r="AE57" s="262"/>
      <c r="AF57" s="262"/>
    </row>
    <row r="58" spans="1:32" ht="15.75" customHeight="1" x14ac:dyDescent="0.25">
      <c r="A58" s="273" t="s">
        <v>329</v>
      </c>
      <c r="B58" s="274" t="s">
        <v>330</v>
      </c>
      <c r="C58" s="275" t="s">
        <v>331</v>
      </c>
      <c r="D58" s="275" t="s">
        <v>332</v>
      </c>
      <c r="E58" s="271" t="s">
        <v>359</v>
      </c>
      <c r="F58" s="271" t="s">
        <v>334</v>
      </c>
      <c r="G58" s="271"/>
      <c r="O58" s="262" t="s">
        <v>403</v>
      </c>
      <c r="P58" s="262">
        <v>78</v>
      </c>
      <c r="Q58" s="262">
        <v>4.7638E-2</v>
      </c>
      <c r="R58" s="262">
        <v>3.4320999999999997E-2</v>
      </c>
      <c r="Y58" s="262" t="s">
        <v>403</v>
      </c>
      <c r="Z58" s="262">
        <v>78</v>
      </c>
      <c r="AA58" s="267">
        <v>4.0155999999999997E-2</v>
      </c>
      <c r="AE58" s="262"/>
      <c r="AF58" s="262"/>
    </row>
    <row r="59" spans="1:32" ht="15.75" customHeight="1" x14ac:dyDescent="0.25">
      <c r="A59" s="278">
        <v>2</v>
      </c>
      <c r="B59" s="279">
        <v>10.5</v>
      </c>
      <c r="C59" s="279">
        <v>7.1</v>
      </c>
      <c r="D59" s="279">
        <v>11.2</v>
      </c>
      <c r="E59" s="279">
        <v>930</v>
      </c>
      <c r="F59" s="268">
        <f>E59/F5</f>
        <v>8.7471783295711064E-2</v>
      </c>
      <c r="G59" s="268"/>
      <c r="O59" s="262" t="s">
        <v>404</v>
      </c>
      <c r="P59" s="262">
        <v>79</v>
      </c>
      <c r="Q59" s="262">
        <v>5.2914999999999997E-2</v>
      </c>
      <c r="R59" s="262">
        <v>3.8452E-2</v>
      </c>
      <c r="Y59" s="262" t="s">
        <v>404</v>
      </c>
      <c r="Z59" s="262">
        <v>79</v>
      </c>
      <c r="AA59" s="267">
        <v>4.4699000000000003E-2</v>
      </c>
      <c r="AE59" s="262"/>
      <c r="AF59" s="262"/>
    </row>
    <row r="60" spans="1:32" ht="15.75" customHeight="1" x14ac:dyDescent="0.25">
      <c r="A60" s="278">
        <v>3</v>
      </c>
      <c r="B60" s="279">
        <v>15.9</v>
      </c>
      <c r="C60" s="279">
        <v>12.1</v>
      </c>
      <c r="D60" s="279">
        <v>17.600000000000001</v>
      </c>
      <c r="O60" s="262" t="s">
        <v>405</v>
      </c>
      <c r="P60" s="262">
        <v>80</v>
      </c>
      <c r="Q60" s="262">
        <v>5.8450000000000002E-2</v>
      </c>
      <c r="R60" s="262">
        <v>4.2723999999999998E-2</v>
      </c>
      <c r="Y60" s="262" t="s">
        <v>405</v>
      </c>
      <c r="Z60" s="262">
        <v>80</v>
      </c>
      <c r="AA60" s="267">
        <v>4.9418999999999998E-2</v>
      </c>
      <c r="AE60" s="262"/>
      <c r="AF60" s="262"/>
    </row>
    <row r="61" spans="1:32" ht="15.75" customHeight="1" x14ac:dyDescent="0.25">
      <c r="A61" s="278">
        <v>4</v>
      </c>
      <c r="B61" s="279">
        <v>13.4</v>
      </c>
      <c r="C61" s="279">
        <v>10.1</v>
      </c>
      <c r="D61" s="279">
        <v>15</v>
      </c>
      <c r="O61" s="262" t="s">
        <v>406</v>
      </c>
      <c r="P61" s="262">
        <v>81</v>
      </c>
      <c r="Q61" s="262">
        <v>6.4421999999999993E-2</v>
      </c>
      <c r="R61" s="262">
        <v>4.7386999999999999E-2</v>
      </c>
      <c r="Y61" s="262" t="s">
        <v>406</v>
      </c>
      <c r="Z61" s="262">
        <v>81</v>
      </c>
      <c r="AA61" s="267">
        <v>5.4529000000000001E-2</v>
      </c>
      <c r="AE61" s="262"/>
      <c r="AF61" s="262"/>
    </row>
    <row r="62" spans="1:32" ht="15.75" customHeight="1" x14ac:dyDescent="0.25">
      <c r="A62" s="278">
        <v>5</v>
      </c>
      <c r="B62" s="279">
        <v>9.8000000000000007</v>
      </c>
      <c r="C62" s="279">
        <v>6.6</v>
      </c>
      <c r="D62" s="279">
        <v>10.8</v>
      </c>
      <c r="O62" s="262" t="s">
        <v>407</v>
      </c>
      <c r="P62" s="262">
        <v>82</v>
      </c>
      <c r="Q62" s="262">
        <v>7.1407999999999999E-2</v>
      </c>
      <c r="R62" s="262">
        <v>5.2600000000000001E-2</v>
      </c>
      <c r="Y62" s="262" t="s">
        <v>407</v>
      </c>
      <c r="Z62" s="262">
        <v>82</v>
      </c>
      <c r="AA62" s="267">
        <v>6.0340999999999999E-2</v>
      </c>
      <c r="AE62" s="262"/>
      <c r="AF62" s="262"/>
    </row>
    <row r="63" spans="1:32" ht="15.75" customHeight="1" x14ac:dyDescent="0.25">
      <c r="A63" s="278">
        <v>6</v>
      </c>
      <c r="B63" s="279">
        <v>9.1999999999999993</v>
      </c>
      <c r="C63" s="279">
        <v>5.8</v>
      </c>
      <c r="D63" s="279">
        <v>10.6</v>
      </c>
      <c r="O63" s="262" t="s">
        <v>408</v>
      </c>
      <c r="P63" s="262">
        <v>83</v>
      </c>
      <c r="Q63" s="262">
        <v>7.9471E-2</v>
      </c>
      <c r="R63" s="262">
        <v>5.8859000000000002E-2</v>
      </c>
      <c r="Y63" s="262" t="s">
        <v>408</v>
      </c>
      <c r="Z63" s="262">
        <v>83</v>
      </c>
      <c r="AA63" s="267">
        <v>6.7163E-2</v>
      </c>
      <c r="AE63" s="262"/>
      <c r="AF63" s="262"/>
    </row>
    <row r="64" spans="1:32" ht="15.75" customHeight="1" x14ac:dyDescent="0.25">
      <c r="A64" s="278">
        <v>7</v>
      </c>
      <c r="B64" s="279">
        <v>8.8000000000000007</v>
      </c>
      <c r="C64" s="279">
        <v>5.0999999999999996</v>
      </c>
      <c r="D64" s="279">
        <v>10.4</v>
      </c>
      <c r="O64" s="262" t="s">
        <v>409</v>
      </c>
      <c r="P64" s="262">
        <v>84</v>
      </c>
      <c r="Q64" s="262">
        <v>8.8144E-2</v>
      </c>
      <c r="R64" s="262">
        <v>6.6131999999999996E-2</v>
      </c>
      <c r="Y64" s="262" t="s">
        <v>409</v>
      </c>
      <c r="Z64" s="262">
        <v>84</v>
      </c>
      <c r="AA64" s="267">
        <v>7.4785000000000004E-2</v>
      </c>
      <c r="AE64" s="262"/>
      <c r="AF64" s="262"/>
    </row>
    <row r="65" spans="1:32" ht="15.75" customHeight="1" x14ac:dyDescent="0.25">
      <c r="A65" s="278">
        <v>8</v>
      </c>
      <c r="B65" s="279">
        <v>7.5</v>
      </c>
      <c r="C65" s="279">
        <v>3.9</v>
      </c>
      <c r="D65" s="279">
        <v>8.8000000000000007</v>
      </c>
      <c r="O65" s="262" t="s">
        <v>410</v>
      </c>
      <c r="P65" s="262">
        <v>85</v>
      </c>
      <c r="Q65" s="262">
        <v>9.7712999999999994E-2</v>
      </c>
      <c r="R65" s="262">
        <v>7.4692999999999996E-2</v>
      </c>
      <c r="Y65" s="262" t="s">
        <v>410</v>
      </c>
      <c r="Z65" s="262">
        <v>85</v>
      </c>
      <c r="AA65" s="267">
        <v>8.3576999999999999E-2</v>
      </c>
      <c r="AE65" s="262"/>
      <c r="AF65" s="262"/>
    </row>
    <row r="66" spans="1:32" ht="15.75" customHeight="1" x14ac:dyDescent="0.25">
      <c r="A66" s="278">
        <v>9</v>
      </c>
      <c r="B66" s="279">
        <v>9.9</v>
      </c>
      <c r="C66" s="279">
        <v>4.9000000000000004</v>
      </c>
      <c r="D66" s="279">
        <v>12.5</v>
      </c>
      <c r="O66" s="262" t="s">
        <v>411</v>
      </c>
      <c r="P66" s="262">
        <v>86</v>
      </c>
      <c r="Q66" s="262">
        <v>0.109044</v>
      </c>
      <c r="R66" s="262">
        <v>8.3935999999999997E-2</v>
      </c>
      <c r="Y66" s="262" t="s">
        <v>411</v>
      </c>
      <c r="Z66" s="262">
        <v>86</v>
      </c>
      <c r="AA66" s="267">
        <v>9.3318999999999999E-2</v>
      </c>
      <c r="AE66" s="262"/>
      <c r="AF66" s="262"/>
    </row>
    <row r="67" spans="1:32" ht="15.75" customHeight="1" x14ac:dyDescent="0.25">
      <c r="A67" s="278">
        <v>10</v>
      </c>
      <c r="B67" s="279">
        <v>14</v>
      </c>
      <c r="C67" s="279">
        <v>7</v>
      </c>
      <c r="D67" s="279">
        <v>18.899999999999999</v>
      </c>
      <c r="O67" s="262" t="s">
        <v>412</v>
      </c>
      <c r="P67" s="262">
        <v>87</v>
      </c>
      <c r="Q67" s="262">
        <v>0.121408</v>
      </c>
      <c r="R67" s="262">
        <v>9.4140000000000001E-2</v>
      </c>
      <c r="Y67" s="262" t="s">
        <v>412</v>
      </c>
      <c r="Z67" s="262">
        <v>87</v>
      </c>
      <c r="AA67" s="267">
        <v>0.103993</v>
      </c>
      <c r="AE67" s="262"/>
      <c r="AF67" s="262"/>
    </row>
    <row r="68" spans="1:32" ht="15.75" customHeight="1" x14ac:dyDescent="0.25">
      <c r="A68" s="278">
        <v>11</v>
      </c>
      <c r="B68" s="279">
        <v>14.5</v>
      </c>
      <c r="C68" s="279">
        <v>6.6</v>
      </c>
      <c r="D68" s="279">
        <v>20.8</v>
      </c>
      <c r="O68" s="262" t="s">
        <v>413</v>
      </c>
      <c r="P68" s="262">
        <v>88</v>
      </c>
      <c r="Q68" s="262">
        <v>0.13483600000000001</v>
      </c>
      <c r="R68" s="262">
        <v>0.105361</v>
      </c>
      <c r="Y68" s="262" t="s">
        <v>413</v>
      </c>
      <c r="Z68" s="262">
        <v>88</v>
      </c>
      <c r="AA68" s="267">
        <v>0.115643</v>
      </c>
      <c r="AE68" s="262"/>
      <c r="AF68" s="262"/>
    </row>
    <row r="69" spans="1:32" ht="15.75" customHeight="1" x14ac:dyDescent="0.25">
      <c r="A69" s="278">
        <v>12</v>
      </c>
      <c r="B69" s="279">
        <v>13.3</v>
      </c>
      <c r="C69" s="279">
        <v>4.2</v>
      </c>
      <c r="D69" s="279">
        <v>20.6</v>
      </c>
      <c r="O69" s="262" t="s">
        <v>414</v>
      </c>
      <c r="P69" s="262">
        <v>89</v>
      </c>
      <c r="Q69" s="262">
        <v>0.149341</v>
      </c>
      <c r="R69" s="262">
        <v>0.117645</v>
      </c>
      <c r="Y69" s="262" t="s">
        <v>414</v>
      </c>
      <c r="Z69" s="262">
        <v>89</v>
      </c>
      <c r="AA69" s="267">
        <v>0.1283</v>
      </c>
      <c r="AE69" s="262"/>
      <c r="AF69" s="262"/>
    </row>
    <row r="70" spans="1:32" ht="15.75" customHeight="1" x14ac:dyDescent="0.25">
      <c r="A70" s="278">
        <v>13</v>
      </c>
      <c r="B70" s="279">
        <v>13.7</v>
      </c>
      <c r="C70" s="279">
        <v>2</v>
      </c>
      <c r="D70" s="279">
        <v>23.8</v>
      </c>
      <c r="O70" s="262" t="s">
        <v>415</v>
      </c>
      <c r="P70" s="262">
        <v>90</v>
      </c>
      <c r="Q70" s="262">
        <v>0.16492299999999999</v>
      </c>
      <c r="R70" s="262">
        <v>0.131027</v>
      </c>
      <c r="Y70" s="262" t="s">
        <v>415</v>
      </c>
      <c r="Z70" s="262">
        <v>90</v>
      </c>
      <c r="AA70" s="267">
        <v>0.141986</v>
      </c>
      <c r="AE70" s="262"/>
      <c r="AF70" s="262"/>
    </row>
    <row r="71" spans="1:32" ht="15.75" customHeight="1" x14ac:dyDescent="0.25">
      <c r="A71" s="278">
        <v>14</v>
      </c>
      <c r="B71" s="279">
        <v>16.5</v>
      </c>
      <c r="C71" s="279">
        <v>0.7</v>
      </c>
      <c r="D71" s="279">
        <v>30</v>
      </c>
      <c r="O71" s="262" t="s">
        <v>416</v>
      </c>
      <c r="P71" s="262">
        <v>91</v>
      </c>
      <c r="Q71" s="262">
        <v>0.181561</v>
      </c>
      <c r="R71" s="262">
        <v>0.14552699999999999</v>
      </c>
      <c r="Y71" s="262" t="s">
        <v>416</v>
      </c>
      <c r="Z71" s="262">
        <v>91</v>
      </c>
      <c r="AA71" s="267">
        <v>0.15670600000000001</v>
      </c>
      <c r="AE71" s="262"/>
      <c r="AF71" s="262"/>
    </row>
    <row r="72" spans="1:32" ht="15.75" customHeight="1" x14ac:dyDescent="0.25">
      <c r="A72" s="278">
        <v>15</v>
      </c>
      <c r="B72" s="279">
        <v>29.7</v>
      </c>
      <c r="C72" s="279">
        <v>-0.2</v>
      </c>
      <c r="D72" s="279">
        <v>30</v>
      </c>
      <c r="O72" s="262" t="s">
        <v>417</v>
      </c>
      <c r="P72" s="262">
        <v>92</v>
      </c>
      <c r="Q72" s="262">
        <v>0.181561</v>
      </c>
      <c r="R72" s="262">
        <v>0.16114899999999999</v>
      </c>
      <c r="Y72" s="262" t="s">
        <v>417</v>
      </c>
      <c r="Z72" s="262">
        <v>92</v>
      </c>
      <c r="AA72" s="267">
        <v>0.17245099999999999</v>
      </c>
      <c r="AE72" s="262"/>
      <c r="AF72" s="262"/>
    </row>
    <row r="73" spans="1:32" ht="15.75" customHeight="1" x14ac:dyDescent="0.25">
      <c r="O73" s="262" t="s">
        <v>418</v>
      </c>
      <c r="P73" s="262">
        <v>93</v>
      </c>
      <c r="Q73" s="262">
        <v>0.19921</v>
      </c>
      <c r="R73" s="262">
        <v>0.17787600000000001</v>
      </c>
      <c r="Y73" s="262" t="s">
        <v>418</v>
      </c>
      <c r="Z73" s="262">
        <v>93</v>
      </c>
      <c r="AA73" s="267">
        <v>0.189191</v>
      </c>
      <c r="AE73" s="262"/>
      <c r="AF73" s="262"/>
    </row>
    <row r="74" spans="1:32" ht="15.75" customHeight="1" x14ac:dyDescent="0.25">
      <c r="A74" s="573" t="s">
        <v>419</v>
      </c>
      <c r="B74" s="574"/>
      <c r="C74" s="574"/>
      <c r="D74" s="574"/>
      <c r="O74" s="262" t="s">
        <v>420</v>
      </c>
      <c r="P74" s="262">
        <v>94</v>
      </c>
      <c r="Q74" s="262">
        <v>0.217805</v>
      </c>
      <c r="R74" s="262">
        <v>0.19566600000000001</v>
      </c>
      <c r="Y74" s="262" t="s">
        <v>420</v>
      </c>
      <c r="Z74" s="262">
        <v>94</v>
      </c>
      <c r="AA74" s="267">
        <v>0.206875</v>
      </c>
      <c r="AE74" s="262"/>
      <c r="AF74" s="262"/>
    </row>
    <row r="75" spans="1:32" ht="15.75" customHeight="1" x14ac:dyDescent="0.25">
      <c r="A75" s="273" t="s">
        <v>329</v>
      </c>
      <c r="B75" s="274" t="s">
        <v>330</v>
      </c>
      <c r="C75" s="275" t="s">
        <v>331</v>
      </c>
      <c r="D75" s="275" t="s">
        <v>332</v>
      </c>
      <c r="E75" s="271" t="s">
        <v>359</v>
      </c>
      <c r="F75" s="271" t="s">
        <v>334</v>
      </c>
      <c r="G75" s="271"/>
      <c r="O75" s="262" t="s">
        <v>421</v>
      </c>
      <c r="P75" s="262">
        <v>95</v>
      </c>
      <c r="Q75" s="262">
        <v>0.23725399999999999</v>
      </c>
      <c r="R75" s="262">
        <v>0.21445600000000001</v>
      </c>
      <c r="Y75" s="262" t="s">
        <v>421</v>
      </c>
      <c r="Z75" s="262">
        <v>95</v>
      </c>
      <c r="AA75" s="267">
        <v>0.22543299999999999</v>
      </c>
      <c r="AE75" s="262"/>
      <c r="AF75" s="262"/>
    </row>
    <row r="76" spans="1:32" ht="15.75" customHeight="1" x14ac:dyDescent="0.25">
      <c r="A76" s="278">
        <v>2</v>
      </c>
      <c r="B76" s="279">
        <v>8</v>
      </c>
      <c r="C76" s="279">
        <v>5.9</v>
      </c>
      <c r="D76" s="279">
        <v>10.4</v>
      </c>
      <c r="E76" s="279">
        <v>2171</v>
      </c>
      <c r="F76" s="268">
        <f>E76/F5</f>
        <v>0.20419488337095559</v>
      </c>
      <c r="G76" s="268"/>
      <c r="O76" s="262" t="s">
        <v>422</v>
      </c>
      <c r="P76" s="262">
        <v>96</v>
      </c>
      <c r="Q76" s="262">
        <v>0.25744499999999998</v>
      </c>
      <c r="R76" s="262">
        <v>0.234153</v>
      </c>
      <c r="Y76" s="262" t="s">
        <v>422</v>
      </c>
      <c r="Z76" s="262">
        <v>96</v>
      </c>
      <c r="AA76" s="267">
        <v>0.24476800000000001</v>
      </c>
      <c r="AE76" s="262"/>
      <c r="AF76" s="262"/>
    </row>
    <row r="77" spans="1:32" ht="15.75" customHeight="1" x14ac:dyDescent="0.25">
      <c r="A77" s="278">
        <v>3</v>
      </c>
      <c r="B77" s="279">
        <v>11.3</v>
      </c>
      <c r="C77" s="279">
        <v>8.8000000000000007</v>
      </c>
      <c r="D77" s="279">
        <v>13.9</v>
      </c>
      <c r="O77" s="262" t="s">
        <v>423</v>
      </c>
      <c r="P77" s="262">
        <v>97</v>
      </c>
      <c r="Q77" s="262">
        <v>0.27823999999999999</v>
      </c>
      <c r="R77" s="262">
        <v>0.25463999999999998</v>
      </c>
      <c r="Y77" s="262" t="s">
        <v>423</v>
      </c>
      <c r="Z77" s="262">
        <v>97</v>
      </c>
      <c r="AA77" s="267">
        <v>0.26476699999999997</v>
      </c>
      <c r="AE77" s="262"/>
      <c r="AF77" s="262"/>
    </row>
    <row r="78" spans="1:32" ht="15.75" customHeight="1" x14ac:dyDescent="0.25">
      <c r="A78" s="278">
        <v>4</v>
      </c>
      <c r="B78" s="279">
        <v>8.6999999999999993</v>
      </c>
      <c r="C78" s="279">
        <v>6.8</v>
      </c>
      <c r="D78" s="279">
        <v>10.9</v>
      </c>
      <c r="O78" s="262" t="s">
        <v>424</v>
      </c>
      <c r="P78" s="262">
        <v>98</v>
      </c>
      <c r="Q78" s="262">
        <v>0.299485</v>
      </c>
      <c r="R78" s="262">
        <v>0.27577699999999999</v>
      </c>
      <c r="Y78" s="262" t="s">
        <v>424</v>
      </c>
      <c r="Z78" s="262">
        <v>98</v>
      </c>
      <c r="AA78" s="267">
        <v>0.28529599999999999</v>
      </c>
      <c r="AE78" s="262"/>
      <c r="AF78" s="262"/>
    </row>
    <row r="79" spans="1:32" ht="15.75" customHeight="1" x14ac:dyDescent="0.25">
      <c r="A79" s="278">
        <v>5</v>
      </c>
      <c r="B79" s="279">
        <v>7.5</v>
      </c>
      <c r="C79" s="279">
        <v>5.4</v>
      </c>
      <c r="D79" s="279">
        <v>9.8000000000000007</v>
      </c>
      <c r="O79" s="262" t="s">
        <v>425</v>
      </c>
      <c r="P79" s="262">
        <v>99</v>
      </c>
      <c r="Q79" s="262">
        <v>0.32101200000000002</v>
      </c>
      <c r="R79" s="262">
        <v>0.297402</v>
      </c>
      <c r="Y79" s="262" t="s">
        <v>425</v>
      </c>
      <c r="Z79" s="262">
        <v>99</v>
      </c>
      <c r="AA79" s="267">
        <v>0.306203</v>
      </c>
      <c r="AE79" s="262"/>
      <c r="AF79" s="262"/>
    </row>
    <row r="80" spans="1:32" ht="15.75" customHeight="1" x14ac:dyDescent="0.25">
      <c r="A80" s="278">
        <v>6</v>
      </c>
      <c r="B80" s="279">
        <v>6.8</v>
      </c>
      <c r="C80" s="279">
        <v>4.5</v>
      </c>
      <c r="D80" s="279">
        <v>8.9</v>
      </c>
      <c r="O80" s="262" t="s">
        <v>426</v>
      </c>
      <c r="P80" s="262">
        <v>100</v>
      </c>
      <c r="Q80" s="262">
        <v>1</v>
      </c>
      <c r="R80" s="262">
        <v>1</v>
      </c>
      <c r="Y80" s="262" t="s">
        <v>426</v>
      </c>
      <c r="Z80" s="262">
        <v>100</v>
      </c>
      <c r="AA80" s="267">
        <v>1</v>
      </c>
      <c r="AE80" s="262"/>
      <c r="AF80" s="262"/>
    </row>
    <row r="81" spans="1:4" ht="15.75" customHeight="1" x14ac:dyDescent="0.25">
      <c r="A81" s="278">
        <v>7</v>
      </c>
      <c r="B81" s="279">
        <v>6.7</v>
      </c>
      <c r="C81" s="279">
        <v>5.3</v>
      </c>
      <c r="D81" s="279">
        <v>9.1999999999999993</v>
      </c>
    </row>
    <row r="82" spans="1:4" ht="15.75" customHeight="1" x14ac:dyDescent="0.25">
      <c r="A82" s="278">
        <v>8</v>
      </c>
      <c r="B82" s="279">
        <v>6.9</v>
      </c>
      <c r="C82" s="279">
        <v>4.2</v>
      </c>
      <c r="D82" s="279">
        <v>9.8000000000000007</v>
      </c>
    </row>
    <row r="83" spans="1:4" ht="15.75" customHeight="1" x14ac:dyDescent="0.25">
      <c r="A83" s="278">
        <v>9</v>
      </c>
      <c r="B83" s="279">
        <v>5.8</v>
      </c>
      <c r="C83" s="279">
        <v>3.4</v>
      </c>
      <c r="D83" s="279">
        <v>8.3000000000000007</v>
      </c>
    </row>
    <row r="84" spans="1:4" ht="15.75" customHeight="1" x14ac:dyDescent="0.25">
      <c r="A84" s="278">
        <v>10</v>
      </c>
      <c r="B84" s="279">
        <v>5.6</v>
      </c>
      <c r="C84" s="279">
        <v>2.7</v>
      </c>
      <c r="D84" s="279">
        <v>8.5</v>
      </c>
    </row>
    <row r="85" spans="1:4" ht="15.75" customHeight="1" x14ac:dyDescent="0.25">
      <c r="A85" s="278">
        <v>11</v>
      </c>
      <c r="B85" s="279">
        <v>5.2</v>
      </c>
      <c r="C85" s="279">
        <v>2.5</v>
      </c>
      <c r="D85" s="279">
        <v>8.1</v>
      </c>
    </row>
    <row r="86" spans="1:4" ht="15.75" customHeight="1" x14ac:dyDescent="0.25">
      <c r="A86" s="278">
        <v>12</v>
      </c>
      <c r="B86" s="279">
        <v>7.5</v>
      </c>
      <c r="C86" s="279">
        <v>3.8</v>
      </c>
      <c r="D86" s="279">
        <v>11.2</v>
      </c>
    </row>
    <row r="87" spans="1:4" ht="15.75" customHeight="1" x14ac:dyDescent="0.25">
      <c r="A87" s="278">
        <v>13</v>
      </c>
      <c r="B87" s="279">
        <v>8.9</v>
      </c>
      <c r="C87" s="279">
        <v>4.0999999999999996</v>
      </c>
      <c r="D87" s="279">
        <v>13.7</v>
      </c>
    </row>
    <row r="88" spans="1:4" ht="15.75" customHeight="1" x14ac:dyDescent="0.25">
      <c r="A88" s="278">
        <v>14</v>
      </c>
      <c r="B88" s="279">
        <v>7.9</v>
      </c>
      <c r="C88" s="279">
        <v>3.4</v>
      </c>
      <c r="D88" s="279">
        <v>12.4</v>
      </c>
    </row>
    <row r="89" spans="1:4" ht="15.75" customHeight="1" x14ac:dyDescent="0.25">
      <c r="A89" s="278">
        <v>15</v>
      </c>
      <c r="B89" s="279">
        <v>8.3000000000000007</v>
      </c>
      <c r="C89" s="279">
        <v>2.5</v>
      </c>
      <c r="D89" s="279">
        <v>14.5</v>
      </c>
    </row>
    <row r="90" spans="1:4" ht="15.75" customHeight="1" x14ac:dyDescent="0.2"/>
    <row r="91" spans="1:4" ht="15.75" customHeight="1" x14ac:dyDescent="0.2"/>
    <row r="92" spans="1:4" ht="15.75" customHeight="1" x14ac:dyDescent="0.2"/>
    <row r="93" spans="1:4" ht="15.75" customHeight="1" x14ac:dyDescent="0.2"/>
    <row r="94" spans="1:4" ht="15.75" customHeight="1" x14ac:dyDescent="0.2"/>
    <row r="95" spans="1:4" ht="15.75" customHeight="1" x14ac:dyDescent="0.2"/>
    <row r="96" spans="1:4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6">
    <mergeCell ref="A74:D74"/>
    <mergeCell ref="A5:C5"/>
    <mergeCell ref="A6:D6"/>
    <mergeCell ref="A23:D23"/>
    <mergeCell ref="A40:D40"/>
    <mergeCell ref="A57:D57"/>
  </mergeCells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Z1000"/>
  <sheetViews>
    <sheetView workbookViewId="0"/>
  </sheetViews>
  <sheetFormatPr defaultColWidth="12.625" defaultRowHeight="15" customHeight="1" x14ac:dyDescent="0.2"/>
  <cols>
    <col min="1" max="6" width="8" customWidth="1"/>
    <col min="7" max="26" width="7.625" customWidth="1"/>
  </cols>
  <sheetData>
    <row r="1" spans="1:26" ht="14.25" customHeight="1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 x14ac:dyDescent="0.2">
      <c r="A4" s="3"/>
      <c r="B4" s="35" t="s">
        <v>427</v>
      </c>
      <c r="C4" s="3" t="s">
        <v>428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4.25" customHeight="1" x14ac:dyDescent="0.2">
      <c r="A5" s="3"/>
      <c r="B5" s="35" t="s">
        <v>429</v>
      </c>
      <c r="C5" s="3" t="s">
        <v>430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 x14ac:dyDescent="0.2">
      <c r="A6" s="3"/>
      <c r="B6" s="35" t="s">
        <v>431</v>
      </c>
      <c r="C6" s="3" t="s">
        <v>432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 x14ac:dyDescent="0.2">
      <c r="A7" s="3"/>
      <c r="B7" s="35" t="s">
        <v>433</v>
      </c>
      <c r="C7" s="3" t="s">
        <v>434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 x14ac:dyDescent="0.2">
      <c r="A8" s="3"/>
      <c r="B8" s="35" t="s">
        <v>435</v>
      </c>
      <c r="C8" s="3" t="s">
        <v>436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 x14ac:dyDescent="0.2">
      <c r="A10" s="3"/>
      <c r="B10" s="3" t="s">
        <v>437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4.25" customHeight="1" x14ac:dyDescent="0.2">
      <c r="A11" s="3"/>
      <c r="B11" s="3" t="s">
        <v>438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4.25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4.25" customHeight="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4.25" customHeight="1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4.2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4.25" customHeight="1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ageMargins left="0.7" right="0.7" top="0.75" bottom="0.75" header="0" footer="0"/>
  <pageSetup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F213D-7B01-46E7-AC5F-EEC953CA91B7}">
  <sheetPr codeName="Sheet17"/>
  <dimension ref="C2:R308"/>
  <sheetViews>
    <sheetView zoomScale="85" zoomScaleNormal="85" workbookViewId="0">
      <selection activeCell="F19" sqref="F19"/>
    </sheetView>
  </sheetViews>
  <sheetFormatPr defaultRowHeight="14.25" x14ac:dyDescent="0.2"/>
  <cols>
    <col min="5" max="5" width="20.75" customWidth="1"/>
    <col min="6" max="6" width="27" customWidth="1"/>
    <col min="7" max="7" width="24.375" customWidth="1"/>
    <col min="16" max="16" width="15.375" customWidth="1"/>
  </cols>
  <sheetData>
    <row r="2" spans="3:18" x14ac:dyDescent="0.2">
      <c r="D2" s="456" t="s">
        <v>536</v>
      </c>
    </row>
    <row r="4" spans="3:18" ht="15" x14ac:dyDescent="0.25">
      <c r="F4" s="519" t="s">
        <v>537</v>
      </c>
      <c r="G4" s="461" t="s">
        <v>109</v>
      </c>
      <c r="H4" s="462">
        <v>100</v>
      </c>
    </row>
    <row r="5" spans="3:18" x14ac:dyDescent="0.2">
      <c r="D5" s="456" t="s">
        <v>532</v>
      </c>
      <c r="E5" s="456" t="s">
        <v>533</v>
      </c>
      <c r="F5" s="456" t="s">
        <v>534</v>
      </c>
      <c r="G5" s="460" t="s">
        <v>535</v>
      </c>
      <c r="H5" s="456"/>
      <c r="O5" s="456"/>
      <c r="P5" s="463"/>
    </row>
    <row r="6" spans="3:18" x14ac:dyDescent="0.2">
      <c r="D6">
        <v>0</v>
      </c>
      <c r="E6" s="421">
        <v>1</v>
      </c>
      <c r="F6">
        <v>0</v>
      </c>
      <c r="G6">
        <f>$H$4-($H$4*C7)</f>
        <v>100</v>
      </c>
      <c r="J6" s="453"/>
      <c r="O6" s="456"/>
      <c r="P6" s="463"/>
      <c r="Q6" s="456"/>
      <c r="R6" s="456"/>
    </row>
    <row r="7" spans="3:18" x14ac:dyDescent="0.2">
      <c r="D7">
        <f>1+D6</f>
        <v>1</v>
      </c>
      <c r="E7" s="421">
        <v>0.95108542400097373</v>
      </c>
      <c r="F7" s="456">
        <f>E6-E7</f>
        <v>4.8914575999026266E-2</v>
      </c>
      <c r="G7" s="453">
        <f t="shared" ref="G7:G19" si="0">G6-(G6*F7)</f>
        <v>95.108542400097377</v>
      </c>
      <c r="H7" s="468"/>
      <c r="Q7" s="457"/>
    </row>
    <row r="8" spans="3:18" x14ac:dyDescent="0.2">
      <c r="D8" s="453">
        <f t="shared" ref="D8:D71" si="1">1+D7</f>
        <v>2</v>
      </c>
      <c r="E8" s="421">
        <v>0.90636623456687859</v>
      </c>
      <c r="F8" s="456">
        <f>E7-E8</f>
        <v>4.4719189434095141E-2</v>
      </c>
      <c r="G8" s="453">
        <f t="shared" si="0"/>
        <v>90.855365475706748</v>
      </c>
      <c r="Q8" s="457"/>
    </row>
    <row r="9" spans="3:18" x14ac:dyDescent="0.2">
      <c r="D9" s="453">
        <f t="shared" si="1"/>
        <v>3</v>
      </c>
      <c r="E9" s="421">
        <v>0.86540270862813085</v>
      </c>
      <c r="F9" s="456">
        <f t="shared" ref="F9:F72" si="2">E8-E9</f>
        <v>4.0963525938747747E-2</v>
      </c>
      <c r="G9" s="453">
        <f t="shared" si="0"/>
        <v>87.133609355368222</v>
      </c>
      <c r="Q9" s="457"/>
    </row>
    <row r="10" spans="3:18" x14ac:dyDescent="0.2">
      <c r="D10" s="453">
        <f t="shared" si="1"/>
        <v>4</v>
      </c>
      <c r="E10" s="421">
        <v>0.82780902761525021</v>
      </c>
      <c r="F10" s="456">
        <f t="shared" si="2"/>
        <v>3.7593681012880631E-2</v>
      </c>
      <c r="G10" s="453">
        <f t="shared" si="0"/>
        <v>83.857936239761557</v>
      </c>
      <c r="Q10" s="457"/>
    </row>
    <row r="11" spans="3:18" x14ac:dyDescent="0.2">
      <c r="C11" s="453"/>
      <c r="D11" s="453">
        <f t="shared" si="1"/>
        <v>5</v>
      </c>
      <c r="E11" s="421">
        <v>0.79324581081731615</v>
      </c>
      <c r="F11" s="456">
        <f t="shared" si="2"/>
        <v>3.456321679793406E-2</v>
      </c>
      <c r="G11" s="453">
        <f t="shared" si="0"/>
        <v>80.959536209279349</v>
      </c>
    </row>
    <row r="12" spans="3:18" x14ac:dyDescent="0.2">
      <c r="C12" s="453"/>
      <c r="D12" s="453">
        <f t="shared" si="1"/>
        <v>6</v>
      </c>
      <c r="E12" s="421">
        <v>0.7614137909875538</v>
      </c>
      <c r="F12" s="456">
        <f t="shared" si="2"/>
        <v>3.1832019829762359E-2</v>
      </c>
      <c r="G12" s="453">
        <f t="shared" si="0"/>
        <v>78.382430647257209</v>
      </c>
      <c r="O12" s="458"/>
      <c r="P12" s="459"/>
    </row>
    <row r="13" spans="3:18" x14ac:dyDescent="0.2">
      <c r="C13" s="453"/>
      <c r="D13" s="453">
        <f t="shared" si="1"/>
        <v>7</v>
      </c>
      <c r="E13" s="421">
        <v>0.73204844218248211</v>
      </c>
      <c r="F13" s="456">
        <f t="shared" si="2"/>
        <v>2.9365348805071689E-2</v>
      </c>
      <c r="G13" s="453">
        <f t="shared" si="0"/>
        <v>76.080703231111158</v>
      </c>
      <c r="O13" s="458"/>
      <c r="P13" s="459"/>
    </row>
    <row r="14" spans="3:18" x14ac:dyDescent="0.2">
      <c r="C14" s="453"/>
      <c r="D14" s="453">
        <f t="shared" si="1"/>
        <v>8</v>
      </c>
      <c r="E14" s="421">
        <v>0.7049154038044918</v>
      </c>
      <c r="F14" s="456">
        <f t="shared" si="2"/>
        <v>2.7133038377990304E-2</v>
      </c>
      <c r="G14" s="453">
        <f t="shared" si="0"/>
        <v>74.016402590516932</v>
      </c>
      <c r="O14" s="458"/>
      <c r="P14" s="459"/>
    </row>
    <row r="15" spans="3:18" x14ac:dyDescent="0.2">
      <c r="C15" s="453"/>
      <c r="D15" s="453">
        <f t="shared" si="1"/>
        <v>9</v>
      </c>
      <c r="E15" s="421">
        <v>0.67980657232354513</v>
      </c>
      <c r="F15" s="456">
        <f t="shared" si="2"/>
        <v>2.510883148094667E-2</v>
      </c>
      <c r="G15" s="453">
        <f t="shared" si="0"/>
        <v>72.157937211045734</v>
      </c>
      <c r="O15" s="458"/>
      <c r="P15" s="459"/>
    </row>
    <row r="16" spans="3:18" x14ac:dyDescent="0.2">
      <c r="C16" s="453"/>
      <c r="D16" s="453">
        <f t="shared" si="1"/>
        <v>10</v>
      </c>
      <c r="E16" s="421">
        <v>0.65653675448874182</v>
      </c>
      <c r="F16" s="456">
        <f t="shared" si="2"/>
        <v>2.3269817834803308E-2</v>
      </c>
      <c r="G16" s="453">
        <f t="shared" si="0"/>
        <v>70.478835156809524</v>
      </c>
    </row>
    <row r="17" spans="3:7" x14ac:dyDescent="0.2">
      <c r="C17" s="453"/>
      <c r="D17" s="453">
        <f t="shared" si="1"/>
        <v>11</v>
      </c>
      <c r="E17" s="421">
        <v>0.63494079403409132</v>
      </c>
      <c r="F17" s="456">
        <f t="shared" si="2"/>
        <v>2.1595960454650509E-2</v>
      </c>
      <c r="G17" s="453">
        <f t="shared" si="0"/>
        <v>68.956777019873229</v>
      </c>
    </row>
    <row r="18" spans="3:7" x14ac:dyDescent="0.2">
      <c r="C18" s="453" t="s">
        <v>555</v>
      </c>
      <c r="D18" s="453">
        <f t="shared" si="1"/>
        <v>12</v>
      </c>
      <c r="E18" s="421">
        <v>0.61487109874859003</v>
      </c>
      <c r="F18" s="456">
        <f t="shared" si="2"/>
        <v>2.0069695285501288E-2</v>
      </c>
      <c r="G18" s="453">
        <f t="shared" si="0"/>
        <v>67.572835517214116</v>
      </c>
    </row>
    <row r="19" spans="3:7" x14ac:dyDescent="0.2">
      <c r="C19" s="453" t="s">
        <v>556</v>
      </c>
      <c r="D19" s="514">
        <f t="shared" si="1"/>
        <v>13</v>
      </c>
      <c r="E19" s="515">
        <v>0.59619550696381629</v>
      </c>
      <c r="F19" s="516">
        <f>E18-E19</f>
        <v>1.8675591784773737E-2</v>
      </c>
      <c r="G19" s="514">
        <f t="shared" si="0"/>
        <v>66.310872825354963</v>
      </c>
    </row>
    <row r="20" spans="3:7" x14ac:dyDescent="0.2">
      <c r="C20" s="453"/>
      <c r="D20" s="514">
        <f t="shared" si="1"/>
        <v>14</v>
      </c>
      <c r="E20" s="515">
        <v>0.57879544252613668</v>
      </c>
      <c r="F20" s="516">
        <f t="shared" si="2"/>
        <v>1.7400064437679608E-2</v>
      </c>
      <c r="G20" s="514">
        <f t="shared" ref="G20:G45" si="3">G19-(G19*F20)</f>
        <v>65.157059365275003</v>
      </c>
    </row>
    <row r="21" spans="3:7" x14ac:dyDescent="0.2">
      <c r="C21" s="453"/>
      <c r="D21" s="514">
        <f t="shared" si="1"/>
        <v>15</v>
      </c>
      <c r="E21" s="515">
        <v>0.56256431557505204</v>
      </c>
      <c r="F21" s="516">
        <f t="shared" si="2"/>
        <v>1.623112695108464E-2</v>
      </c>
      <c r="G21" s="514">
        <f t="shared" si="3"/>
        <v>64.09948686295786</v>
      </c>
    </row>
    <row r="22" spans="3:7" x14ac:dyDescent="0.2">
      <c r="C22" s="453"/>
      <c r="D22" s="514">
        <f t="shared" si="1"/>
        <v>16</v>
      </c>
      <c r="E22" s="515">
        <v>0.54740613327235088</v>
      </c>
      <c r="F22" s="516">
        <f t="shared" si="2"/>
        <v>1.5158182302701162E-2</v>
      </c>
      <c r="G22" s="514">
        <f t="shared" si="3"/>
        <v>63.127855155579546</v>
      </c>
    </row>
    <row r="23" spans="3:7" x14ac:dyDescent="0.2">
      <c r="C23" s="453"/>
      <c r="D23" s="514">
        <f t="shared" si="1"/>
        <v>17</v>
      </c>
      <c r="E23" s="515">
        <v>0.53323429028216107</v>
      </c>
      <c r="F23" s="516">
        <f t="shared" si="2"/>
        <v>1.4171842990189809E-2</v>
      </c>
      <c r="G23" s="514">
        <f t="shared" si="3"/>
        <v>62.233217104007231</v>
      </c>
    </row>
    <row r="24" spans="3:7" x14ac:dyDescent="0.2">
      <c r="C24" s="453"/>
      <c r="D24" s="514">
        <f t="shared" si="1"/>
        <v>18</v>
      </c>
      <c r="E24" s="515">
        <v>0.5199705135020114</v>
      </c>
      <c r="F24" s="516">
        <f t="shared" si="2"/>
        <v>1.3263776780149672E-2</v>
      </c>
      <c r="G24" s="514">
        <f>G23-(G23*F24)</f>
        <v>61.407769604029085</v>
      </c>
    </row>
    <row r="25" spans="3:7" x14ac:dyDescent="0.2">
      <c r="C25" s="453"/>
      <c r="D25" s="514">
        <f t="shared" si="1"/>
        <v>19</v>
      </c>
      <c r="E25" s="515">
        <v>0.5075439394612089</v>
      </c>
      <c r="F25" s="516">
        <f t="shared" si="2"/>
        <v>1.2426574040802496E-2</v>
      </c>
      <c r="G25" s="514">
        <f t="shared" si="3"/>
        <v>60.644681408364079</v>
      </c>
    </row>
    <row r="26" spans="3:7" x14ac:dyDescent="0.2">
      <c r="C26" s="453"/>
      <c r="D26" s="514">
        <f t="shared" si="1"/>
        <v>20</v>
      </c>
      <c r="E26" s="515">
        <v>0.49589030607421852</v>
      </c>
      <c r="F26" s="516">
        <f t="shared" si="2"/>
        <v>1.1653633386990381E-2</v>
      </c>
      <c r="G26" s="514">
        <f t="shared" si="3"/>
        <v>59.937950524360176</v>
      </c>
    </row>
    <row r="27" spans="3:7" x14ac:dyDescent="0.2">
      <c r="C27" s="453"/>
      <c r="D27" s="514">
        <f t="shared" si="1"/>
        <v>21</v>
      </c>
      <c r="E27" s="515">
        <v>0.48495124317624194</v>
      </c>
      <c r="F27" s="516">
        <f t="shared" si="2"/>
        <v>1.0939062897976581E-2</v>
      </c>
      <c r="G27" s="514">
        <f t="shared" si="3"/>
        <v>59.282285513598389</v>
      </c>
    </row>
    <row r="28" spans="3:7" x14ac:dyDescent="0.2">
      <c r="C28" s="453"/>
      <c r="D28" s="514">
        <f t="shared" si="1"/>
        <v>22</v>
      </c>
      <c r="E28" s="515">
        <v>0.47467364856789102</v>
      </c>
      <c r="F28" s="516">
        <f t="shared" si="2"/>
        <v>1.0277594608350926E-2</v>
      </c>
      <c r="G28" s="514">
        <f t="shared" si="3"/>
        <v>58.673006215633109</v>
      </c>
    </row>
    <row r="29" spans="3:7" x14ac:dyDescent="0.2">
      <c r="C29" s="453"/>
      <c r="D29" s="514">
        <f t="shared" si="1"/>
        <v>23</v>
      </c>
      <c r="E29" s="515">
        <v>0.46500913823090062</v>
      </c>
      <c r="F29" s="516">
        <f t="shared" si="2"/>
        <v>9.6645103369903951E-3</v>
      </c>
      <c r="G29" s="514">
        <f t="shared" si="3"/>
        <v>58.105960340559818</v>
      </c>
    </row>
    <row r="30" spans="3:7" x14ac:dyDescent="0.2">
      <c r="C30" s="453"/>
      <c r="D30" s="514">
        <f t="shared" si="1"/>
        <v>24</v>
      </c>
      <c r="E30" s="515">
        <v>0.45591356100884833</v>
      </c>
      <c r="F30" s="516">
        <f t="shared" si="2"/>
        <v>9.0955772220522868E-3</v>
      </c>
      <c r="G30" s="514">
        <f t="shared" si="3"/>
        <v>57.577453091220747</v>
      </c>
    </row>
    <row r="31" spans="3:7" x14ac:dyDescent="0.2">
      <c r="C31" s="453"/>
      <c r="D31" s="514">
        <f t="shared" si="1"/>
        <v>25</v>
      </c>
      <c r="E31" s="515">
        <v>0.44734656942638878</v>
      </c>
      <c r="F31" s="516">
        <f t="shared" si="2"/>
        <v>8.5669915824595488E-3</v>
      </c>
      <c r="G31" s="514">
        <f t="shared" si="3"/>
        <v>57.084187535248802</v>
      </c>
    </row>
    <row r="32" spans="3:7" x14ac:dyDescent="0.2">
      <c r="C32" s="453"/>
      <c r="D32" s="514">
        <f t="shared" si="1"/>
        <v>26</v>
      </c>
      <c r="E32" s="515">
        <v>0.43927123948923658</v>
      </c>
      <c r="F32" s="516">
        <f t="shared" si="2"/>
        <v>8.0753299371522091E-3</v>
      </c>
      <c r="G32" s="514">
        <f t="shared" si="3"/>
        <v>56.623213886707397</v>
      </c>
    </row>
    <row r="33" spans="3:13" x14ac:dyDescent="0.2">
      <c r="C33" s="453"/>
      <c r="D33" s="514">
        <f t="shared" si="1"/>
        <v>27</v>
      </c>
      <c r="E33" s="515">
        <v>0.43165373329938755</v>
      </c>
      <c r="F33" s="516">
        <f t="shared" si="2"/>
        <v>7.6175061898490215E-3</v>
      </c>
      <c r="G33" s="514">
        <f t="shared" si="3"/>
        <v>56.191886204436258</v>
      </c>
    </row>
    <row r="34" spans="3:13" x14ac:dyDescent="0.2">
      <c r="C34" s="453"/>
      <c r="D34" s="514">
        <f t="shared" si="1"/>
        <v>28</v>
      </c>
      <c r="E34" s="515">
        <v>0.42446299916429975</v>
      </c>
      <c r="F34" s="516">
        <f t="shared" si="2"/>
        <v>7.1907341350878062E-3</v>
      </c>
      <c r="G34" s="514">
        <f t="shared" si="3"/>
        <v>55.787825290191051</v>
      </c>
    </row>
    <row r="35" spans="3:13" x14ac:dyDescent="0.2">
      <c r="C35" s="453"/>
      <c r="D35" s="514">
        <f t="shared" si="1"/>
        <v>29</v>
      </c>
      <c r="E35" s="515">
        <v>0.41767050459852001</v>
      </c>
      <c r="F35" s="516">
        <f t="shared" si="2"/>
        <v>6.7924945657797386E-3</v>
      </c>
      <c r="G35" s="514">
        <f t="shared" si="3"/>
        <v>55.40888679007076</v>
      </c>
    </row>
    <row r="36" spans="3:13" x14ac:dyDescent="0.2">
      <c r="C36" s="453"/>
      <c r="D36" s="514">
        <f t="shared" si="1"/>
        <v>30</v>
      </c>
      <c r="E36" s="515">
        <v>0.41124999823114899</v>
      </c>
      <c r="F36" s="516">
        <f t="shared" si="2"/>
        <v>6.420506367371015E-3</v>
      </c>
      <c r="G36" s="514">
        <f t="shared" si="3"/>
        <v>55.053133679626171</v>
      </c>
    </row>
    <row r="37" spans="3:13" x14ac:dyDescent="0.2">
      <c r="C37" s="453"/>
      <c r="D37" s="514">
        <f t="shared" si="1"/>
        <v>31</v>
      </c>
      <c r="E37" s="515">
        <v>0.40517729715889794</v>
      </c>
      <c r="F37" s="516">
        <f t="shared" si="2"/>
        <v>6.0727010722510522E-3</v>
      </c>
      <c r="G37" s="514">
        <f t="shared" si="3"/>
        <v>54.718812455699123</v>
      </c>
    </row>
    <row r="38" spans="3:13" x14ac:dyDescent="0.2">
      <c r="C38" s="453"/>
      <c r="D38" s="514">
        <f t="shared" si="1"/>
        <v>32</v>
      </c>
      <c r="E38" s="515">
        <v>0.3994300967359305</v>
      </c>
      <c r="F38" s="516">
        <f t="shared" si="2"/>
        <v>5.7472004229674467E-3</v>
      </c>
      <c r="G38" s="514">
        <f t="shared" si="3"/>
        <v>54.40433247360945</v>
      </c>
    </row>
    <row r="39" spans="3:13" x14ac:dyDescent="0.2">
      <c r="C39" s="453"/>
      <c r="D39" s="514">
        <f t="shared" si="1"/>
        <v>33</v>
      </c>
      <c r="E39" s="515">
        <v>0.39398780017960894</v>
      </c>
      <c r="F39" s="516">
        <f t="shared" si="2"/>
        <v>5.4422965563215575E-3</v>
      </c>
      <c r="G39" s="514">
        <f>G38-(G38*F39)</f>
        <v>54.108247962339355</v>
      </c>
    </row>
    <row r="40" spans="3:13" x14ac:dyDescent="0.2">
      <c r="C40" s="453"/>
      <c r="D40" s="514">
        <f t="shared" si="1"/>
        <v>34</v>
      </c>
      <c r="E40" s="515">
        <v>0.38883136570522792</v>
      </c>
      <c r="F40" s="516">
        <f t="shared" si="2"/>
        <v>5.156434474381022E-3</v>
      </c>
      <c r="G40" s="514">
        <f t="shared" si="3"/>
        <v>53.829242327197989</v>
      </c>
    </row>
    <row r="41" spans="3:13" x14ac:dyDescent="0.2">
      <c r="C41" s="453"/>
      <c r="D41" s="514">
        <f t="shared" si="1"/>
        <v>35</v>
      </c>
      <c r="E41" s="515">
        <v>0.38394316919085314</v>
      </c>
      <c r="F41" s="516">
        <f t="shared" si="2"/>
        <v>4.8881965143747763E-3</v>
      </c>
      <c r="G41" s="514">
        <f t="shared" si="3"/>
        <v>53.566114412482747</v>
      </c>
    </row>
    <row r="42" spans="3:13" x14ac:dyDescent="0.2">
      <c r="C42" s="453"/>
      <c r="D42" s="514">
        <f t="shared" si="1"/>
        <v>36</v>
      </c>
      <c r="E42" s="515">
        <v>0.37930688062224527</v>
      </c>
      <c r="F42" s="516">
        <f t="shared" si="2"/>
        <v>4.6362885686078714E-3</v>
      </c>
      <c r="G42" s="514">
        <f t="shared" si="3"/>
        <v>53.317766448567411</v>
      </c>
    </row>
    <row r="43" spans="3:13" x14ac:dyDescent="0.2">
      <c r="C43" s="453"/>
      <c r="D43" s="514">
        <f t="shared" si="1"/>
        <v>37</v>
      </c>
      <c r="E43" s="515">
        <v>0.37490735278325232</v>
      </c>
      <c r="F43" s="516">
        <f t="shared" si="2"/>
        <v>4.3995278389929449E-3</v>
      </c>
      <c r="G43" s="514">
        <f>G42-(G42*F43)</f>
        <v>53.083193450764014</v>
      </c>
    </row>
    <row r="44" spans="3:13" x14ac:dyDescent="0.2">
      <c r="C44" s="453"/>
      <c r="D44" s="514">
        <f t="shared" si="1"/>
        <v>38</v>
      </c>
      <c r="E44" s="515">
        <v>0.37073052084380048</v>
      </c>
      <c r="F44" s="516">
        <f t="shared" si="2"/>
        <v>4.1768319394518416E-3</v>
      </c>
      <c r="G44" s="514">
        <f t="shared" si="3"/>
        <v>52.861473872910764</v>
      </c>
    </row>
    <row r="45" spans="3:13" x14ac:dyDescent="0.2">
      <c r="C45" s="453"/>
      <c r="D45" s="514">
        <f t="shared" si="1"/>
        <v>39</v>
      </c>
      <c r="E45" s="515">
        <v>0.36676331165980391</v>
      </c>
      <c r="F45" s="516">
        <f t="shared" si="2"/>
        <v>3.9672091839965673E-3</v>
      </c>
      <c r="G45" s="514">
        <f t="shared" si="3"/>
        <v>52.651761348282555</v>
      </c>
    </row>
    <row r="46" spans="3:13" x14ac:dyDescent="0.2">
      <c r="C46" s="453"/>
      <c r="D46" s="514">
        <f t="shared" si="1"/>
        <v>40</v>
      </c>
      <c r="E46" s="515">
        <v>0.36299356174039782</v>
      </c>
      <c r="F46" s="516">
        <f t="shared" si="2"/>
        <v>3.7697499194060957E-3</v>
      </c>
      <c r="G46" s="514">
        <f>G45-(G45*F46)</f>
        <v>52.453277375183276</v>
      </c>
    </row>
    <row r="47" spans="3:13" x14ac:dyDescent="0.2">
      <c r="D47" s="514">
        <f t="shared" si="1"/>
        <v>41</v>
      </c>
      <c r="E47" s="517">
        <v>0.35940994296082684</v>
      </c>
      <c r="F47" s="516">
        <f t="shared" si="2"/>
        <v>3.583618779570974E-3</v>
      </c>
      <c r="G47" s="518">
        <f>G45-(G45*F46)</f>
        <v>52.453277375183276</v>
      </c>
      <c r="I47" s="456"/>
      <c r="L47" s="456"/>
    </row>
    <row r="48" spans="3:13" x14ac:dyDescent="0.2">
      <c r="D48" s="514">
        <f t="shared" si="1"/>
        <v>42</v>
      </c>
      <c r="E48" s="517">
        <v>0.3560018952065947</v>
      </c>
      <c r="F48" s="516">
        <f t="shared" si="2"/>
        <v>3.4080477542321463E-3</v>
      </c>
      <c r="G48" s="518">
        <f t="shared" ref="G48:G111" si="4">G46-(G46*F47)</f>
        <v>52.265304825331526</v>
      </c>
      <c r="I48" s="456"/>
      <c r="M48" s="456"/>
    </row>
    <row r="49" spans="4:7" x14ac:dyDescent="0.2">
      <c r="D49" s="514">
        <f t="shared" si="1"/>
        <v>43</v>
      </c>
      <c r="E49" s="517">
        <v>0.35275956522824164</v>
      </c>
      <c r="F49" s="516">
        <f t="shared" si="2"/>
        <v>3.2423299783530535E-3</v>
      </c>
      <c r="G49" s="518">
        <f t="shared" si="4"/>
        <v>52.274514101022667</v>
      </c>
    </row>
    <row r="50" spans="4:7" x14ac:dyDescent="0.2">
      <c r="D50" s="514">
        <f t="shared" si="1"/>
        <v>44</v>
      </c>
      <c r="E50" s="517">
        <v>0.34967375106819143</v>
      </c>
      <c r="F50" s="516">
        <f t="shared" si="2"/>
        <v>3.0858141600502154E-3</v>
      </c>
      <c r="G50" s="518">
        <f t="shared" si="4"/>
        <v>52.09584346066859</v>
      </c>
    </row>
    <row r="51" spans="4:7" x14ac:dyDescent="0.2">
      <c r="D51" s="514">
        <f t="shared" si="1"/>
        <v>45</v>
      </c>
      <c r="E51" s="517">
        <v>0.34673585149305702</v>
      </c>
      <c r="F51" s="516">
        <f t="shared" si="2"/>
        <v>2.9378995751344061E-3</v>
      </c>
      <c r="G51" s="518">
        <f t="shared" si="4"/>
        <v>52.113204665199987</v>
      </c>
    </row>
    <row r="52" spans="4:7" x14ac:dyDescent="0.2">
      <c r="D52" s="514">
        <f t="shared" si="1"/>
        <v>46</v>
      </c>
      <c r="E52" s="517">
        <v>0.34393781992796413</v>
      </c>
      <c r="F52" s="516">
        <f t="shared" si="2"/>
        <v>2.7980315650928955E-3</v>
      </c>
      <c r="G52" s="518">
        <f t="shared" si="4"/>
        <v>51.942791104299225</v>
      </c>
    </row>
    <row r="53" spans="4:7" x14ac:dyDescent="0.2">
      <c r="D53" s="514">
        <f t="shared" si="1"/>
        <v>47</v>
      </c>
      <c r="E53" s="517">
        <v>0.3412721224449855</v>
      </c>
      <c r="F53" s="516">
        <f t="shared" si="2"/>
        <v>2.665697482978624E-3</v>
      </c>
      <c r="G53" s="518">
        <f t="shared" si="4"/>
        <v>51.967390273588613</v>
      </c>
    </row>
    <row r="54" spans="4:7" x14ac:dyDescent="0.2">
      <c r="D54" s="514">
        <f t="shared" si="1"/>
        <v>48</v>
      </c>
      <c r="E54" s="517">
        <v>0.33873169940667702</v>
      </c>
      <c r="F54" s="516">
        <f t="shared" si="2"/>
        <v>2.5404230383084814E-3</v>
      </c>
      <c r="G54" s="518">
        <f t="shared" si="4"/>
        <v>51.804327336793612</v>
      </c>
    </row>
    <row r="55" spans="4:7" x14ac:dyDescent="0.2">
      <c r="D55" s="514">
        <f t="shared" si="1"/>
        <v>49</v>
      </c>
      <c r="E55" s="517">
        <v>0.33630993040881074</v>
      </c>
      <c r="F55" s="516">
        <f t="shared" si="2"/>
        <v>2.4217689978662804E-3</v>
      </c>
      <c r="G55" s="518">
        <f t="shared" si="4"/>
        <v>51.835371118096823</v>
      </c>
    </row>
    <row r="56" spans="4:7" x14ac:dyDescent="0.2">
      <c r="D56" s="514">
        <f t="shared" si="1"/>
        <v>50</v>
      </c>
      <c r="E56" s="517">
        <v>0.33400060220446293</v>
      </c>
      <c r="F56" s="516">
        <f t="shared" si="2"/>
        <v>2.3093282043478158E-3</v>
      </c>
      <c r="G56" s="518">
        <f t="shared" si="4"/>
        <v>51.67886922289405</v>
      </c>
    </row>
    <row r="57" spans="4:7" x14ac:dyDescent="0.2">
      <c r="D57" s="514">
        <f t="shared" si="1"/>
        <v>51</v>
      </c>
      <c r="E57" s="517">
        <v>0.33179787932524962</v>
      </c>
      <c r="F57" s="516">
        <f t="shared" si="2"/>
        <v>2.2027228792133036E-3</v>
      </c>
      <c r="G57" s="518">
        <f t="shared" si="4"/>
        <v>51.715666233590966</v>
      </c>
    </row>
    <row r="58" spans="4:7" x14ac:dyDescent="0.2">
      <c r="D58" s="514">
        <f t="shared" si="1"/>
        <v>52</v>
      </c>
      <c r="E58" s="517">
        <v>0.32969627714528787</v>
      </c>
      <c r="F58" s="516">
        <f t="shared" si="2"/>
        <v>2.1016021799617479E-3</v>
      </c>
      <c r="G58" s="518">
        <f t="shared" si="4"/>
        <v>51.565034995284911</v>
      </c>
    </row>
    <row r="59" spans="4:7" x14ac:dyDescent="0.2">
      <c r="D59" s="514">
        <f t="shared" si="1"/>
        <v>53</v>
      </c>
      <c r="E59" s="517">
        <v>0.32769063715984725</v>
      </c>
      <c r="F59" s="516">
        <f t="shared" si="2"/>
        <v>2.0056399854406215E-3</v>
      </c>
      <c r="G59" s="518">
        <f t="shared" si="4"/>
        <v>51.606980476696279</v>
      </c>
    </row>
    <row r="60" spans="4:7" x14ac:dyDescent="0.2">
      <c r="D60" s="514">
        <f t="shared" si="1"/>
        <v>54</v>
      </c>
      <c r="E60" s="517">
        <v>0.32577610427407805</v>
      </c>
      <c r="F60" s="516">
        <f t="shared" si="2"/>
        <v>1.9145328857692046E-3</v>
      </c>
      <c r="G60" s="518">
        <f t="shared" si="4"/>
        <v>51.461614099247726</v>
      </c>
    </row>
    <row r="61" spans="4:7" x14ac:dyDescent="0.2">
      <c r="D61" s="514">
        <f t="shared" si="1"/>
        <v>55</v>
      </c>
      <c r="E61" s="517">
        <v>0.32394810591801076</v>
      </c>
      <c r="F61" s="516">
        <f t="shared" si="2"/>
        <v>1.8279983560672841E-3</v>
      </c>
      <c r="G61" s="518">
        <f t="shared" si="4"/>
        <v>51.508177215438394</v>
      </c>
    </row>
    <row r="62" spans="4:7" x14ac:dyDescent="0.2">
      <c r="D62" s="514">
        <f t="shared" si="1"/>
        <v>56</v>
      </c>
      <c r="E62" s="517">
        <v>0.32220233282252736</v>
      </c>
      <c r="F62" s="516">
        <f t="shared" si="2"/>
        <v>1.745773095483405E-3</v>
      </c>
      <c r="G62" s="518">
        <f t="shared" si="4"/>
        <v>51.367542353273734</v>
      </c>
    </row>
    <row r="63" spans="4:7" x14ac:dyDescent="0.2">
      <c r="D63" s="514">
        <f t="shared" si="1"/>
        <v>57</v>
      </c>
      <c r="E63" s="517">
        <v>0.32053472130749355</v>
      </c>
      <c r="F63" s="516">
        <f t="shared" si="2"/>
        <v>1.6676115150338067E-3</v>
      </c>
      <c r="G63" s="518">
        <f t="shared" si="4"/>
        <v>51.418255625458293</v>
      </c>
    </row>
    <row r="64" spans="4:7" x14ac:dyDescent="0.2">
      <c r="D64" s="514">
        <f t="shared" si="1"/>
        <v>58</v>
      </c>
      <c r="E64" s="517">
        <v>0.31894143694793475</v>
      </c>
      <c r="F64" s="516">
        <f t="shared" si="2"/>
        <v>1.5932843595587998E-3</v>
      </c>
      <c r="G64" s="518">
        <f t="shared" si="4"/>
        <v>51.281881248146426</v>
      </c>
    </row>
    <row r="65" spans="4:7" x14ac:dyDescent="0.2">
      <c r="D65" s="514">
        <f t="shared" si="1"/>
        <v>59</v>
      </c>
      <c r="E65" s="517">
        <v>0.31741885949726034</v>
      </c>
      <c r="F65" s="516">
        <f t="shared" si="2"/>
        <v>1.5225774506744116E-3</v>
      </c>
      <c r="G65" s="518">
        <f t="shared" si="4"/>
        <v>51.336331722974457</v>
      </c>
    </row>
    <row r="66" spans="4:7" x14ac:dyDescent="0.2">
      <c r="D66" s="514">
        <f t="shared" si="1"/>
        <v>60</v>
      </c>
      <c r="E66" s="517">
        <v>0.31596356895826566</v>
      </c>
      <c r="F66" s="516">
        <f t="shared" si="2"/>
        <v>1.4552905389946802E-3</v>
      </c>
      <c r="G66" s="518">
        <f t="shared" si="4"/>
        <v>51.203800612129832</v>
      </c>
    </row>
    <row r="67" spans="4:7" x14ac:dyDescent="0.2">
      <c r="D67" s="514">
        <f t="shared" si="1"/>
        <v>61</v>
      </c>
      <c r="E67" s="517">
        <v>0.31457233270312679</v>
      </c>
      <c r="F67" s="516">
        <f t="shared" si="2"/>
        <v>1.3912362551388724E-3</v>
      </c>
      <c r="G67" s="518">
        <f t="shared" si="4"/>
        <v>51.261622445111321</v>
      </c>
    </row>
    <row r="68" spans="4:7" x14ac:dyDescent="0.2">
      <c r="D68" s="514">
        <f t="shared" si="1"/>
        <v>62</v>
      </c>
      <c r="E68" s="517">
        <v>0.31324209355300092</v>
      </c>
      <c r="F68" s="516">
        <f t="shared" si="2"/>
        <v>1.330239150125867E-3</v>
      </c>
      <c r="G68" s="518">
        <f t="shared" si="4"/>
        <v>51.132564028317333</v>
      </c>
    </row>
    <row r="69" spans="4:7" x14ac:dyDescent="0.2">
      <c r="D69" s="514">
        <f t="shared" si="1"/>
        <v>63</v>
      </c>
      <c r="E69" s="517">
        <v>0.3119699587362631</v>
      </c>
      <c r="F69" s="516">
        <f t="shared" si="2"/>
        <v>1.2721348167378244E-3</v>
      </c>
      <c r="G69" s="518">
        <f t="shared" si="4"/>
        <v>51.19343222803586</v>
      </c>
    </row>
    <row r="70" spans="4:7" x14ac:dyDescent="0.2">
      <c r="D70" s="514">
        <f t="shared" si="1"/>
        <v>64</v>
      </c>
      <c r="E70" s="517">
        <v>0.31075318965196952</v>
      </c>
      <c r="F70" s="516">
        <f t="shared" si="2"/>
        <v>1.2167690842935786E-3</v>
      </c>
      <c r="G70" s="518">
        <f t="shared" si="4"/>
        <v>51.067516513347833</v>
      </c>
    </row>
    <row r="71" spans="4:7" x14ac:dyDescent="0.2">
      <c r="D71" s="514">
        <f t="shared" si="1"/>
        <v>65</v>
      </c>
      <c r="E71" s="517">
        <v>0.309589192371928</v>
      </c>
      <c r="F71" s="516">
        <f t="shared" si="2"/>
        <v>1.1639972800415177E-3</v>
      </c>
      <c r="G71" s="518">
        <f t="shared" si="4"/>
        <v>51.131141642381905</v>
      </c>
    </row>
    <row r="72" spans="4:7" x14ac:dyDescent="0.2">
      <c r="D72" s="514">
        <f t="shared" ref="D72:D135" si="5">1+D71</f>
        <v>66</v>
      </c>
      <c r="E72" s="517">
        <v>0.30847550882086106</v>
      </c>
      <c r="F72" s="516">
        <f t="shared" si="2"/>
        <v>1.1136835510669463E-3</v>
      </c>
      <c r="G72" s="518">
        <f t="shared" si="4"/>
        <v>51.00807406302782</v>
      </c>
    </row>
    <row r="73" spans="4:7" x14ac:dyDescent="0.2">
      <c r="D73" s="514">
        <f t="shared" si="5"/>
        <v>67</v>
      </c>
      <c r="E73" s="517">
        <v>0.30740980857964306</v>
      </c>
      <c r="F73" s="516">
        <f t="shared" ref="F73:F136" si="6">E72-E73</f>
        <v>1.0657002412179928E-3</v>
      </c>
      <c r="G73" s="518">
        <f t="shared" si="4"/>
        <v>51.074197730987514</v>
      </c>
    </row>
    <row r="74" spans="4:7" x14ac:dyDescent="0.2">
      <c r="D74" s="514">
        <f t="shared" si="5"/>
        <v>68</v>
      </c>
      <c r="E74" s="517">
        <v>0.30638988126154793</v>
      </c>
      <c r="F74" s="516">
        <f t="shared" si="6"/>
        <v>1.0199273180951374E-3</v>
      </c>
      <c r="G74" s="518">
        <f t="shared" si="4"/>
        <v>50.953714746194784</v>
      </c>
    </row>
    <row r="75" spans="4:7" x14ac:dyDescent="0.2">
      <c r="D75" s="514">
        <f t="shared" si="5"/>
        <v>69</v>
      </c>
      <c r="E75" s="517">
        <v>0.30541362941590433</v>
      </c>
      <c r="F75" s="516">
        <f t="shared" si="6"/>
        <v>9.7625184564359424E-4</v>
      </c>
      <c r="G75" s="518">
        <f t="shared" si="4"/>
        <v>51.022105761471884</v>
      </c>
    </row>
    <row r="76" spans="4:7" x14ac:dyDescent="0.2">
      <c r="D76" s="514">
        <f t="shared" si="5"/>
        <v>70</v>
      </c>
      <c r="E76" s="517">
        <v>0.30447906191759616</v>
      </c>
      <c r="F76" s="516">
        <f t="shared" si="6"/>
        <v>9.3456749830816976E-4</v>
      </c>
      <c r="G76" s="518">
        <f t="shared" si="4"/>
        <v>50.903971088131414</v>
      </c>
    </row>
    <row r="77" spans="4:7" x14ac:dyDescent="0.2">
      <c r="D77" s="514">
        <f t="shared" si="5"/>
        <v>71</v>
      </c>
      <c r="E77" s="517">
        <v>0.30358428780447799</v>
      </c>
      <c r="F77" s="516">
        <f t="shared" si="6"/>
        <v>8.9477411311816857E-4</v>
      </c>
      <c r="G77" s="518">
        <f t="shared" si="4"/>
        <v>50.974422159731972</v>
      </c>
    </row>
    <row r="78" spans="4:7" x14ac:dyDescent="0.2">
      <c r="D78" s="514">
        <f t="shared" si="5"/>
        <v>72</v>
      </c>
      <c r="E78" s="517">
        <v>0.3027275105280805</v>
      </c>
      <c r="F78" s="516">
        <f t="shared" si="6"/>
        <v>8.5677727639749124E-4</v>
      </c>
      <c r="G78" s="518">
        <f>G76-(G76*F77)</f>
        <v>50.858423532546837</v>
      </c>
    </row>
    <row r="79" spans="4:7" x14ac:dyDescent="0.2">
      <c r="D79" s="514">
        <f t="shared" si="5"/>
        <v>73</v>
      </c>
      <c r="E79" s="517">
        <v>0.3019070225859552</v>
      </c>
      <c r="F79" s="516">
        <f t="shared" si="6"/>
        <v>8.2048794212530307E-4</v>
      </c>
      <c r="G79" s="518">
        <f>G77-(G77*F78)</f>
        <v>50.930748433148018</v>
      </c>
    </row>
    <row r="80" spans="4:7" x14ac:dyDescent="0.2">
      <c r="D80" s="514">
        <f t="shared" si="5"/>
        <v>74</v>
      </c>
      <c r="E80" s="517">
        <v>0.30112120050671265</v>
      </c>
      <c r="F80" s="516">
        <f t="shared" si="6"/>
        <v>7.8582207924254854E-4</v>
      </c>
      <c r="G80" s="518">
        <f t="shared" si="4"/>
        <v>50.816694809282879</v>
      </c>
    </row>
    <row r="81" spans="4:7" x14ac:dyDescent="0.2">
      <c r="D81" s="514">
        <f t="shared" si="5"/>
        <v>75</v>
      </c>
      <c r="E81" s="517">
        <v>0.30036850016125843</v>
      </c>
      <c r="F81" s="516">
        <f t="shared" si="6"/>
        <v>7.5270034545421582E-4</v>
      </c>
      <c r="G81" s="518">
        <f t="shared" si="4"/>
        <v>50.8907259265169</v>
      </c>
    </row>
    <row r="82" spans="4:7" x14ac:dyDescent="0.2">
      <c r="D82" s="514">
        <f t="shared" si="5"/>
        <v>76</v>
      </c>
      <c r="E82" s="517">
        <v>0.29964745237595164</v>
      </c>
      <c r="F82" s="516">
        <f t="shared" si="6"/>
        <v>7.2104778530679425E-4</v>
      </c>
      <c r="G82" s="518">
        <f t="shared" si="4"/>
        <v>50.778445065545093</v>
      </c>
    </row>
    <row r="83" spans="4:7" x14ac:dyDescent="0.2">
      <c r="D83" s="514">
        <f t="shared" si="5"/>
        <v>77</v>
      </c>
      <c r="E83" s="517">
        <v>0.29895665882543287</v>
      </c>
      <c r="F83" s="516">
        <f t="shared" si="6"/>
        <v>6.9079355051876457E-4</v>
      </c>
      <c r="G83" s="518">
        <f t="shared" si="4"/>
        <v>50.85403128129493</v>
      </c>
    </row>
    <row r="84" spans="4:7" x14ac:dyDescent="0.2">
      <c r="D84" s="514">
        <f t="shared" si="5"/>
        <v>78</v>
      </c>
      <c r="E84" s="517">
        <v>0.29829478818470057</v>
      </c>
      <c r="F84" s="516">
        <f t="shared" si="6"/>
        <v>6.6187064073230939E-4</v>
      </c>
      <c r="G84" s="518">
        <f t="shared" si="4"/>
        <v>50.743367643188442</v>
      </c>
    </row>
    <row r="85" spans="4:7" x14ac:dyDescent="0.2">
      <c r="D85" s="514">
        <f t="shared" si="5"/>
        <v>79</v>
      </c>
      <c r="E85" s="517">
        <v>0.29766057252168687</v>
      </c>
      <c r="F85" s="516">
        <f t="shared" si="6"/>
        <v>6.3421566301369303E-4</v>
      </c>
      <c r="G85" s="518">
        <f t="shared" si="4"/>
        <v>50.820372491026959</v>
      </c>
    </row>
    <row r="86" spans="4:7" x14ac:dyDescent="0.2">
      <c r="D86" s="514">
        <f t="shared" si="5"/>
        <v>80</v>
      </c>
      <c r="E86" s="517">
        <v>0.29705280391310213</v>
      </c>
      <c r="F86" s="516">
        <f t="shared" si="6"/>
        <v>6.0776860858474668E-4</v>
      </c>
      <c r="G86" s="518">
        <f t="shared" si="4"/>
        <v>50.711185404635067</v>
      </c>
    </row>
    <row r="87" spans="4:7" x14ac:dyDescent="0.2">
      <c r="D87" s="514">
        <f t="shared" si="5"/>
        <v>81</v>
      </c>
      <c r="E87" s="517">
        <v>0.29647033126770284</v>
      </c>
      <c r="F87" s="516">
        <f t="shared" si="6"/>
        <v>5.8247264539929011E-4</v>
      </c>
      <c r="G87" s="518">
        <f t="shared" si="4"/>
        <v>50.789485463950328</v>
      </c>
    </row>
    <row r="88" spans="4:7" x14ac:dyDescent="0.2">
      <c r="D88" s="514">
        <f t="shared" si="5"/>
        <v>82</v>
      </c>
      <c r="E88" s="517">
        <v>0.29591205734240161</v>
      </c>
      <c r="F88" s="516">
        <f t="shared" si="6"/>
        <v>5.5827392530122255E-4</v>
      </c>
      <c r="G88" s="518">
        <f t="shared" si="4"/>
        <v>50.681647526321093</v>
      </c>
    </row>
    <row r="89" spans="4:7" x14ac:dyDescent="0.2">
      <c r="D89" s="514">
        <f t="shared" si="5"/>
        <v>83</v>
      </c>
      <c r="E89" s="517">
        <v>0.29537693593778713</v>
      </c>
      <c r="F89" s="516">
        <f t="shared" si="6"/>
        <v>5.3512140461448032E-4</v>
      </c>
      <c r="G89" s="518">
        <f t="shared" si="4"/>
        <v>50.761131018536339</v>
      </c>
    </row>
    <row r="90" spans="4:7" x14ac:dyDescent="0.2">
      <c r="D90" s="514">
        <f t="shared" si="5"/>
        <v>84</v>
      </c>
      <c r="E90" s="517">
        <v>0.29486396926067787</v>
      </c>
      <c r="F90" s="516">
        <f t="shared" si="6"/>
        <v>5.1296667710926114E-4</v>
      </c>
      <c r="G90" s="518">
        <f t="shared" si="4"/>
        <v>50.654526691908629</v>
      </c>
    </row>
    <row r="91" spans="4:7" x14ac:dyDescent="0.2">
      <c r="D91" s="514">
        <f t="shared" si="5"/>
        <v>85</v>
      </c>
      <c r="E91" s="517">
        <v>0.29437220544229203</v>
      </c>
      <c r="F91" s="516">
        <f t="shared" si="6"/>
        <v>4.9176381838583749E-4</v>
      </c>
      <c r="G91" s="518">
        <f t="shared" si="4"/>
        <v>50.735092249831453</v>
      </c>
    </row>
    <row r="92" spans="4:7" x14ac:dyDescent="0.2">
      <c r="D92" s="514">
        <f t="shared" si="5"/>
        <v>86</v>
      </c>
      <c r="E92" s="517">
        <v>0.29390073620149826</v>
      </c>
      <c r="F92" s="516">
        <f t="shared" si="6"/>
        <v>4.7146924079377595E-4</v>
      </c>
      <c r="G92" s="518">
        <f t="shared" si="4"/>
        <v>50.62961662844409</v>
      </c>
    </row>
    <row r="93" spans="4:7" x14ac:dyDescent="0.2">
      <c r="D93" s="514">
        <f t="shared" si="5"/>
        <v>87</v>
      </c>
      <c r="E93" s="517">
        <v>0.29344869464341317</v>
      </c>
      <c r="F93" s="516">
        <f t="shared" si="6"/>
        <v>4.5204155808509228E-4</v>
      </c>
      <c r="G93" s="518">
        <f t="shared" si="4"/>
        <v>50.711172214406822</v>
      </c>
    </row>
    <row r="94" spans="4:7" x14ac:dyDescent="0.2">
      <c r="D94" s="514">
        <f t="shared" si="5"/>
        <v>88</v>
      </c>
      <c r="E94" s="517">
        <v>0.29301525318435284</v>
      </c>
      <c r="F94" s="516">
        <f t="shared" si="6"/>
        <v>4.3344145906032416E-4</v>
      </c>
      <c r="G94" s="518">
        <f t="shared" si="4"/>
        <v>50.606729937658116</v>
      </c>
    </row>
    <row r="95" spans="4:7" x14ac:dyDescent="0.2">
      <c r="D95" s="514">
        <f t="shared" si="5"/>
        <v>89</v>
      </c>
      <c r="E95" s="517">
        <v>0.29259962159481773</v>
      </c>
      <c r="F95" s="516">
        <f t="shared" si="6"/>
        <v>4.1563158953511481E-4</v>
      </c>
      <c r="G95" s="518">
        <f t="shared" si="4"/>
        <v>50.68919188993155</v>
      </c>
    </row>
    <row r="96" spans="4:7" x14ac:dyDescent="0.2">
      <c r="D96" s="514">
        <f t="shared" si="5"/>
        <v>90</v>
      </c>
      <c r="E96" s="517">
        <v>0.29220104515281164</v>
      </c>
      <c r="F96" s="516">
        <f t="shared" si="6"/>
        <v>3.9857644200608222E-4</v>
      </c>
      <c r="G96" s="518">
        <f t="shared" si="4"/>
        <v>50.585696182052956</v>
      </c>
    </row>
    <row r="97" spans="4:7" x14ac:dyDescent="0.2">
      <c r="D97" s="514">
        <f t="shared" si="5"/>
        <v>91</v>
      </c>
      <c r="E97" s="517">
        <v>0.29181880290036316</v>
      </c>
      <c r="F97" s="516">
        <f t="shared" si="6"/>
        <v>3.8224225244848364E-4</v>
      </c>
      <c r="G97" s="518">
        <f t="shared" si="4"/>
        <v>50.668988372179896</v>
      </c>
    </row>
    <row r="98" spans="4:7" x14ac:dyDescent="0.2">
      <c r="D98" s="514">
        <f t="shared" si="5"/>
        <v>92</v>
      </c>
      <c r="E98" s="517">
        <v>0.29145220599664112</v>
      </c>
      <c r="F98" s="516">
        <f t="shared" si="6"/>
        <v>3.6659690372203846E-4</v>
      </c>
      <c r="G98" s="518">
        <f t="shared" si="4"/>
        <v>50.566360191602655</v>
      </c>
    </row>
    <row r="99" spans="4:7" x14ac:dyDescent="0.2">
      <c r="D99" s="514">
        <f t="shared" si="5"/>
        <v>93</v>
      </c>
      <c r="E99" s="517">
        <v>0.29110059616153466</v>
      </c>
      <c r="F99" s="516">
        <f t="shared" si="6"/>
        <v>3.5160983510645893E-4</v>
      </c>
      <c r="G99" s="518">
        <f t="shared" si="4"/>
        <v>50.650413277927925</v>
      </c>
    </row>
    <row r="100" spans="4:7" x14ac:dyDescent="0.2">
      <c r="D100" s="514">
        <f t="shared" si="5"/>
        <v>94</v>
      </c>
      <c r="E100" s="517">
        <v>0.29076334420400884</v>
      </c>
      <c r="F100" s="516">
        <f t="shared" si="6"/>
        <v>3.3725195752581927E-4</v>
      </c>
      <c r="G100" s="518">
        <f t="shared" si="4"/>
        <v>50.548580562033749</v>
      </c>
    </row>
    <row r="101" spans="4:7" x14ac:dyDescent="0.2">
      <c r="D101" s="514">
        <f t="shared" si="5"/>
        <v>95</v>
      </c>
      <c r="E101" s="517">
        <v>0.29043984862995625</v>
      </c>
      <c r="F101" s="516">
        <f t="shared" si="6"/>
        <v>3.2349557405259022E-4</v>
      </c>
      <c r="G101" s="518">
        <f t="shared" si="4"/>
        <v>50.633331326900453</v>
      </c>
    </row>
    <row r="102" spans="4:7" x14ac:dyDescent="0.2">
      <c r="D102" s="514">
        <f t="shared" si="5"/>
        <v>96</v>
      </c>
      <c r="E102" s="517">
        <v>0.29012953432463329</v>
      </c>
      <c r="F102" s="516">
        <f t="shared" si="6"/>
        <v>3.1031430532296733E-4</v>
      </c>
      <c r="G102" s="518">
        <f t="shared" si="4"/>
        <v>50.532228319947293</v>
      </c>
    </row>
    <row r="103" spans="4:7" x14ac:dyDescent="0.2">
      <c r="D103" s="514">
        <f t="shared" si="5"/>
        <v>97</v>
      </c>
      <c r="E103" s="517">
        <v>0.28983185130512051</v>
      </c>
      <c r="F103" s="516">
        <f t="shared" si="6"/>
        <v>2.9768301951277332E-4</v>
      </c>
      <c r="G103" s="518">
        <f t="shared" si="4"/>
        <v>50.617619079863559</v>
      </c>
    </row>
    <row r="104" spans="4:7" x14ac:dyDescent="0.2">
      <c r="D104" s="514">
        <f t="shared" si="5"/>
        <v>98</v>
      </c>
      <c r="E104" s="517">
        <v>0.28954627353855866</v>
      </c>
      <c r="F104" s="516">
        <f t="shared" si="6"/>
        <v>2.8557776656185085E-4</v>
      </c>
      <c r="G104" s="518">
        <f t="shared" si="4"/>
        <v>50.5171857336383</v>
      </c>
    </row>
    <row r="105" spans="4:7" x14ac:dyDescent="0.2">
      <c r="D105" s="514">
        <f t="shared" si="5"/>
        <v>99</v>
      </c>
      <c r="E105" s="517">
        <v>0.28927229782220876</v>
      </c>
      <c r="F105" s="516">
        <f t="shared" si="6"/>
        <v>2.739757163499057E-4</v>
      </c>
      <c r="G105" s="518">
        <f t="shared" si="4"/>
        <v>50.60316381325805</v>
      </c>
    </row>
    <row r="106" spans="4:7" x14ac:dyDescent="0.2">
      <c r="D106" s="514">
        <f t="shared" si="5"/>
        <v>100</v>
      </c>
      <c r="E106" s="517">
        <v>0.28900944272165197</v>
      </c>
      <c r="F106" s="516">
        <f t="shared" si="6"/>
        <v>2.628551005567914E-4</v>
      </c>
      <c r="G106" s="518">
        <f t="shared" si="4"/>
        <v>50.503345251488945</v>
      </c>
    </row>
    <row r="107" spans="4:7" x14ac:dyDescent="0.2">
      <c r="D107" s="514">
        <f t="shared" si="5"/>
        <v>101</v>
      </c>
      <c r="E107" s="517">
        <v>0.28875724756369803</v>
      </c>
      <c r="F107" s="516">
        <f t="shared" si="6"/>
        <v>2.5219515795393832E-4</v>
      </c>
      <c r="G107" s="518">
        <f t="shared" si="4"/>
        <v>50.589862513545427</v>
      </c>
    </row>
    <row r="108" spans="4:7" x14ac:dyDescent="0.2">
      <c r="D108" s="514">
        <f t="shared" si="5"/>
        <v>102</v>
      </c>
      <c r="E108" s="517">
        <v>0.28851527148079881</v>
      </c>
      <c r="F108" s="516">
        <f t="shared" si="6"/>
        <v>2.4197608289922012E-4</v>
      </c>
      <c r="G108" s="518">
        <f t="shared" si="4"/>
        <v>50.490608552356044</v>
      </c>
    </row>
    <row r="109" spans="4:7" x14ac:dyDescent="0.2">
      <c r="D109" s="514">
        <f t="shared" si="5"/>
        <v>103</v>
      </c>
      <c r="E109" s="517">
        <v>0.2882830925039791</v>
      </c>
      <c r="F109" s="516">
        <f t="shared" si="6"/>
        <v>2.3217897681970801E-4</v>
      </c>
      <c r="G109" s="518">
        <f t="shared" si="4"/>
        <v>50.57762097677999</v>
      </c>
    </row>
    <row r="110" spans="4:7" x14ac:dyDescent="0.2">
      <c r="D110" s="514">
        <f t="shared" si="5"/>
        <v>104</v>
      </c>
      <c r="E110" s="517">
        <v>0.28806030670149335</v>
      </c>
      <c r="F110" s="516">
        <f t="shared" si="6"/>
        <v>2.2278580248574764E-4</v>
      </c>
      <c r="G110" s="518">
        <f t="shared" si="4"/>
        <v>50.478885694523356</v>
      </c>
    </row>
    <row r="111" spans="4:7" x14ac:dyDescent="0.2">
      <c r="D111" s="514">
        <f t="shared" si="5"/>
        <v>105</v>
      </c>
      <c r="E111" s="517">
        <v>0.28784652736060073</v>
      </c>
      <c r="F111" s="516">
        <f t="shared" si="6"/>
        <v>2.1377934089261696E-4</v>
      </c>
      <c r="G111" s="518">
        <f t="shared" si="4"/>
        <v>50.566353000902858</v>
      </c>
    </row>
    <row r="112" spans="4:7" x14ac:dyDescent="0.2">
      <c r="D112" s="514">
        <f t="shared" si="5"/>
        <v>106</v>
      </c>
      <c r="E112" s="517">
        <v>0.28764138421001934</v>
      </c>
      <c r="F112" s="516">
        <f t="shared" si="6"/>
        <v>2.0514315058139942E-4</v>
      </c>
      <c r="G112" s="518">
        <f t="shared" ref="G112:G161" si="7">G110-(G110*F111)</f>
        <v>50.468094351610588</v>
      </c>
    </row>
    <row r="113" spans="4:7" x14ac:dyDescent="0.2">
      <c r="D113" s="514">
        <f t="shared" si="5"/>
        <v>107</v>
      </c>
      <c r="E113" s="517">
        <v>0.28744452268077875</v>
      </c>
      <c r="F113" s="516">
        <f t="shared" si="6"/>
        <v>1.9686152924058842E-4</v>
      </c>
      <c r="G113" s="518">
        <f t="shared" si="7"/>
        <v>50.555979659934842</v>
      </c>
    </row>
    <row r="114" spans="4:7" x14ac:dyDescent="0.2">
      <c r="D114" s="514">
        <f t="shared" si="5"/>
        <v>108</v>
      </c>
      <c r="E114" s="517">
        <v>0.28725560320333526</v>
      </c>
      <c r="F114" s="516">
        <f t="shared" si="6"/>
        <v>1.8891947744348325E-4</v>
      </c>
      <c r="G114" s="518">
        <f t="shared" si="7"/>
        <v>50.458159125378671</v>
      </c>
    </row>
    <row r="115" spans="4:7" x14ac:dyDescent="0.2">
      <c r="D115" s="514">
        <f t="shared" si="5"/>
        <v>109</v>
      </c>
      <c r="E115" s="517">
        <v>0.28707430053894861</v>
      </c>
      <c r="F115" s="516">
        <f t="shared" si="6"/>
        <v>1.813026643866511E-4</v>
      </c>
      <c r="G115" s="518">
        <f t="shared" si="7"/>
        <v>50.546428650675843</v>
      </c>
    </row>
    <row r="116" spans="4:7" x14ac:dyDescent="0.2">
      <c r="D116" s="514">
        <f t="shared" si="5"/>
        <v>110</v>
      </c>
      <c r="E116" s="517">
        <v>0.28690030314344711</v>
      </c>
      <c r="F116" s="516">
        <f t="shared" si="6"/>
        <v>1.7399739550150173E-4</v>
      </c>
      <c r="G116" s="518">
        <f t="shared" si="7"/>
        <v>50.449010926689198</v>
      </c>
    </row>
    <row r="117" spans="4:7" x14ac:dyDescent="0.2">
      <c r="D117" s="514">
        <f t="shared" si="5"/>
        <v>111</v>
      </c>
      <c r="E117" s="517">
        <v>0.28673331256162132</v>
      </c>
      <c r="F117" s="516">
        <f t="shared" si="6"/>
        <v>1.6699058182578774E-4</v>
      </c>
      <c r="G117" s="518">
        <f t="shared" si="7"/>
        <v>50.53763370373872</v>
      </c>
    </row>
    <row r="118" spans="4:7" x14ac:dyDescent="0.2">
      <c r="D118" s="514">
        <f t="shared" si="5"/>
        <v>112</v>
      </c>
      <c r="E118" s="517">
        <v>0.28657304285059892</v>
      </c>
      <c r="F118" s="516">
        <f t="shared" si="6"/>
        <v>1.6026971102239829E-4</v>
      </c>
      <c r="G118" s="518">
        <f t="shared" si="7"/>
        <v>50.440586417002017</v>
      </c>
    </row>
    <row r="119" spans="4:7" x14ac:dyDescent="0.2">
      <c r="D119" s="514">
        <f t="shared" si="5"/>
        <v>113</v>
      </c>
      <c r="E119" s="517">
        <v>0.28641922003065023</v>
      </c>
      <c r="F119" s="516">
        <f t="shared" si="6"/>
        <v>1.5382281994869018E-4</v>
      </c>
      <c r="G119" s="518">
        <f t="shared" si="7"/>
        <v>50.52953405178927</v>
      </c>
    </row>
    <row r="120" spans="4:7" x14ac:dyDescent="0.2">
      <c r="D120" s="514">
        <f t="shared" si="5"/>
        <v>114</v>
      </c>
      <c r="E120" s="517">
        <v>0.28627158156197219</v>
      </c>
      <c r="F120" s="516">
        <f t="shared" si="6"/>
        <v>1.4763846867804631E-4</v>
      </c>
      <c r="G120" s="518">
        <f t="shared" si="7"/>
        <v>50.432827503759491</v>
      </c>
    </row>
    <row r="121" spans="4:7" x14ac:dyDescent="0.2">
      <c r="D121" s="514">
        <f t="shared" si="5"/>
        <v>115</v>
      </c>
      <c r="E121" s="517">
        <v>0.28612987584608174</v>
      </c>
      <c r="F121" s="516">
        <f t="shared" si="6"/>
        <v>1.4170571589045E-4</v>
      </c>
      <c r="G121" s="518">
        <f t="shared" si="7"/>
        <v>50.522073948758852</v>
      </c>
    </row>
    <row r="122" spans="4:7" x14ac:dyDescent="0.2">
      <c r="D122" s="514">
        <f t="shared" si="5"/>
        <v>116</v>
      </c>
      <c r="E122" s="517">
        <v>0.28599386175053615</v>
      </c>
      <c r="F122" s="516">
        <f t="shared" si="6"/>
        <v>1.3601409554558908E-4</v>
      </c>
      <c r="G122" s="518">
        <f t="shared" si="7"/>
        <v>50.425680883833692</v>
      </c>
    </row>
    <row r="123" spans="4:7" x14ac:dyDescent="0.2">
      <c r="D123" s="514">
        <f t="shared" si="5"/>
        <v>117</v>
      </c>
      <c r="E123" s="517">
        <v>0.28586330815576794</v>
      </c>
      <c r="F123" s="516">
        <f t="shared" si="6"/>
        <v>1.3055359476821238E-4</v>
      </c>
      <c r="G123" s="518">
        <f t="shared" si="7"/>
        <v>50.515202234565621</v>
      </c>
    </row>
    <row r="124" spans="4:7" x14ac:dyDescent="0.2">
      <c r="D124" s="514">
        <f t="shared" si="5"/>
        <v>118</v>
      </c>
      <c r="E124" s="517">
        <v>0.28573799352289936</v>
      </c>
      <c r="F124" s="516">
        <f t="shared" si="6"/>
        <v>1.2531463286857836E-4</v>
      </c>
      <c r="G124" s="518">
        <f t="shared" si="7"/>
        <v>50.419097629925673</v>
      </c>
    </row>
    <row r="125" spans="4:7" x14ac:dyDescent="0.2">
      <c r="D125" s="514">
        <f t="shared" si="5"/>
        <v>119</v>
      </c>
      <c r="E125" s="517">
        <v>0.28561770548146209</v>
      </c>
      <c r="F125" s="516">
        <f t="shared" si="6"/>
        <v>1.2028804143726646E-4</v>
      </c>
      <c r="G125" s="518">
        <f t="shared" si="7"/>
        <v>50.508871940543315</v>
      </c>
    </row>
    <row r="126" spans="4:7" x14ac:dyDescent="0.2">
      <c r="D126" s="514">
        <f t="shared" si="5"/>
        <v>120</v>
      </c>
      <c r="E126" s="517">
        <v>0.2855022404360143</v>
      </c>
      <c r="F126" s="516">
        <f t="shared" si="6"/>
        <v>1.1546504544779346E-4</v>
      </c>
      <c r="G126" s="518">
        <f t="shared" si="7"/>
        <v>50.413032815420735</v>
      </c>
    </row>
    <row r="127" spans="4:7" x14ac:dyDescent="0.2">
      <c r="D127" s="514">
        <f t="shared" si="5"/>
        <v>121</v>
      </c>
      <c r="E127" s="517">
        <v>0.28539140319070155</v>
      </c>
      <c r="F127" s="516">
        <f t="shared" si="6"/>
        <v>1.1083724531274486E-4</v>
      </c>
      <c r="G127" s="518">
        <f t="shared" si="7"/>
        <v>50.503039931349186</v>
      </c>
    </row>
    <row r="128" spans="4:7" x14ac:dyDescent="0.2">
      <c r="D128" s="453">
        <f t="shared" si="5"/>
        <v>122</v>
      </c>
      <c r="E128" s="469">
        <v>0.28528500659086387</v>
      </c>
      <c r="F128" s="456">
        <f t="shared" si="6"/>
        <v>1.0639659983768812E-4</v>
      </c>
      <c r="G128" s="459">
        <f t="shared" si="7"/>
        <v>50.40744517373561</v>
      </c>
    </row>
    <row r="129" spans="4:7" x14ac:dyDescent="0.2">
      <c r="D129" s="453">
        <f t="shared" si="5"/>
        <v>123</v>
      </c>
      <c r="E129" s="469">
        <v>0.28518287118084196</v>
      </c>
      <c r="F129" s="456">
        <f t="shared" si="6"/>
        <v>1.0213541002190851E-4</v>
      </c>
      <c r="G129" s="459">
        <f t="shared" si="7"/>
        <v>50.497666579619022</v>
      </c>
    </row>
    <row r="130" spans="4:7" x14ac:dyDescent="0.2">
      <c r="D130" s="453">
        <f t="shared" si="5"/>
        <v>124</v>
      </c>
      <c r="E130" s="469">
        <v>0.28508482487718273</v>
      </c>
      <c r="F130" s="456">
        <f t="shared" si="6"/>
        <v>9.8046303659227174E-5</v>
      </c>
      <c r="G130" s="459">
        <f t="shared" si="7"/>
        <v>50.402296788654631</v>
      </c>
    </row>
    <row r="131" spans="4:7" x14ac:dyDescent="0.2">
      <c r="D131" s="453">
        <f t="shared" si="5"/>
        <v>125</v>
      </c>
      <c r="E131" s="469">
        <v>0.28499070265648757</v>
      </c>
      <c r="F131" s="456">
        <f t="shared" si="6"/>
        <v>9.4122220695158632E-5</v>
      </c>
      <c r="G131" s="459">
        <f t="shared" si="7"/>
        <v>50.492715470067473</v>
      </c>
    </row>
    <row r="132" spans="4:7" x14ac:dyDescent="0.2">
      <c r="D132" s="453">
        <f t="shared" si="5"/>
        <v>126</v>
      </c>
      <c r="E132" s="469">
        <v>0.28490034625719041</v>
      </c>
      <c r="F132" s="456">
        <f t="shared" si="6"/>
        <v>9.0356399297164547E-5</v>
      </c>
      <c r="G132" s="459">
        <f t="shared" si="7"/>
        <v>50.397552812552746</v>
      </c>
    </row>
    <row r="133" spans="4:7" x14ac:dyDescent="0.2">
      <c r="D133" s="453">
        <f t="shared" si="5"/>
        <v>127</v>
      </c>
      <c r="E133" s="469">
        <v>0.28481360389458976</v>
      </c>
      <c r="F133" s="456">
        <f t="shared" si="6"/>
        <v>8.6742362600644718E-5</v>
      </c>
      <c r="G133" s="459">
        <f t="shared" si="7"/>
        <v>50.488153130106859</v>
      </c>
    </row>
    <row r="134" spans="4:7" x14ac:dyDescent="0.2">
      <c r="D134" s="453">
        <f t="shared" si="5"/>
        <v>128</v>
      </c>
      <c r="E134" s="469">
        <v>0.2847303299884969</v>
      </c>
      <c r="F134" s="456">
        <f t="shared" si="6"/>
        <v>8.3273906092862227E-5</v>
      </c>
      <c r="G134" s="459">
        <f t="shared" si="7"/>
        <v>50.393181209752491</v>
      </c>
    </row>
    <row r="135" spans="4:7" x14ac:dyDescent="0.2">
      <c r="D135" s="453">
        <f t="shared" si="5"/>
        <v>129</v>
      </c>
      <c r="E135" s="469">
        <v>0.28465038490289551</v>
      </c>
      <c r="F135" s="456">
        <f t="shared" si="6"/>
        <v>7.9945085601385024E-5</v>
      </c>
      <c r="G135" s="459">
        <f t="shared" si="7"/>
        <v>50.483948784384303</v>
      </c>
    </row>
    <row r="136" spans="4:7" x14ac:dyDescent="0.2">
      <c r="D136" s="453">
        <f t="shared" ref="D136:D161" si="8">1+D135</f>
        <v>130</v>
      </c>
      <c r="E136" s="469">
        <v>0.28457363469704089</v>
      </c>
      <c r="F136" s="456">
        <f t="shared" si="6"/>
        <v>7.6750205854625442E-5</v>
      </c>
      <c r="G136" s="459">
        <f t="shared" si="7"/>
        <v>50.389152522566953</v>
      </c>
    </row>
    <row r="137" spans="4:7" x14ac:dyDescent="0.2">
      <c r="D137" s="453">
        <f t="shared" si="8"/>
        <v>131</v>
      </c>
      <c r="E137" s="469">
        <v>0.28449995088745805</v>
      </c>
      <c r="F137" s="456">
        <f t="shared" ref="F137:F161" si="9">E136-E137</f>
        <v>7.3683809582836268E-5</v>
      </c>
      <c r="G137" s="459">
        <f t="shared" si="7"/>
        <v>50.480074130922745</v>
      </c>
    </row>
    <row r="138" spans="4:7" x14ac:dyDescent="0.2">
      <c r="D138" s="453">
        <f t="shared" si="8"/>
        <v>132</v>
      </c>
      <c r="E138" s="469">
        <v>0.28442921022032452</v>
      </c>
      <c r="F138" s="456">
        <f t="shared" si="9"/>
        <v>7.0740667133528667E-5</v>
      </c>
      <c r="G138" s="459">
        <f t="shared" si="7"/>
        <v>50.385439657847442</v>
      </c>
    </row>
    <row r="139" spans="4:7" x14ac:dyDescent="0.2">
      <c r="D139" s="453">
        <f t="shared" si="8"/>
        <v>133</v>
      </c>
      <c r="E139" s="469">
        <v>0.28436129445375136</v>
      </c>
      <c r="F139" s="456">
        <f t="shared" si="9"/>
        <v>6.791576657316778E-5</v>
      </c>
      <c r="G139" s="459">
        <f t="shared" si="7"/>
        <v>50.476503136801774</v>
      </c>
    </row>
    <row r="140" spans="4:7" x14ac:dyDescent="0.2">
      <c r="D140" s="453">
        <f t="shared" si="8"/>
        <v>134</v>
      </c>
      <c r="E140" s="469">
        <v>0.28429609014950297</v>
      </c>
      <c r="F140" s="456">
        <f t="shared" si="9"/>
        <v>6.5204304248389633E-5</v>
      </c>
      <c r="G140" s="459">
        <f t="shared" si="7"/>
        <v>50.382017692088951</v>
      </c>
    </row>
    <row r="141" spans="4:7" x14ac:dyDescent="0.2">
      <c r="D141" s="453">
        <f t="shared" si="8"/>
        <v>135</v>
      </c>
      <c r="E141" s="469">
        <v>0.28423348847371621</v>
      </c>
      <c r="F141" s="456">
        <f t="shared" si="9"/>
        <v>6.2601675786755351E-5</v>
      </c>
      <c r="G141" s="459">
        <f t="shared" si="7"/>
        <v>50.473211851533847</v>
      </c>
    </row>
    <row r="142" spans="4:7" x14ac:dyDescent="0.2">
      <c r="D142" s="453">
        <f t="shared" si="8"/>
        <v>136</v>
      </c>
      <c r="E142" s="469">
        <v>0.28417338500620493</v>
      </c>
      <c r="F142" s="456">
        <f t="shared" si="9"/>
        <v>6.010346751128548E-5</v>
      </c>
      <c r="G142" s="459">
        <f t="shared" si="7"/>
        <v>50.37886369335191</v>
      </c>
    </row>
    <row r="143" spans="4:7" x14ac:dyDescent="0.2">
      <c r="D143" s="453">
        <f t="shared" si="8"/>
        <v>137</v>
      </c>
      <c r="E143" s="469">
        <v>0.28411567955795591</v>
      </c>
      <c r="F143" s="456">
        <f t="shared" si="9"/>
        <v>5.770544824901247E-5</v>
      </c>
      <c r="G143" s="459">
        <f t="shared" si="7"/>
        <v>50.47017823648514</v>
      </c>
    </row>
    <row r="144" spans="4:7" x14ac:dyDescent="0.2">
      <c r="D144" s="453">
        <f t="shared" si="8"/>
        <v>138</v>
      </c>
      <c r="E144" s="469">
        <v>0.2840602759964414</v>
      </c>
      <c r="F144" s="456">
        <f t="shared" si="9"/>
        <v>5.5403561514510979E-5</v>
      </c>
      <c r="G144" s="459">
        <f t="shared" si="7"/>
        <v>50.375956558440208</v>
      </c>
    </row>
    <row r="145" spans="4:7" x14ac:dyDescent="0.2">
      <c r="D145" s="453">
        <f t="shared" si="8"/>
        <v>139</v>
      </c>
      <c r="E145" s="469">
        <v>0.28400708207839387</v>
      </c>
      <c r="F145" s="456">
        <f t="shared" si="9"/>
        <v>5.3193918047533817E-5</v>
      </c>
      <c r="G145" s="459">
        <f t="shared" si="7"/>
        <v>50.467382008860568</v>
      </c>
    </row>
    <row r="146" spans="4:7" x14ac:dyDescent="0.2">
      <c r="D146" s="453">
        <f t="shared" si="8"/>
        <v>140</v>
      </c>
      <c r="E146" s="469">
        <v>0.28395600928970494</v>
      </c>
      <c r="F146" s="456">
        <f t="shared" si="9"/>
        <v>5.1072788688932835E-5</v>
      </c>
      <c r="G146" s="459">
        <f t="shared" si="7"/>
        <v>50.373276863935473</v>
      </c>
    </row>
    <row r="147" spans="4:7" x14ac:dyDescent="0.2">
      <c r="D147" s="453">
        <f t="shared" si="8"/>
        <v>141</v>
      </c>
      <c r="E147" s="469">
        <v>0.28390697269212584</v>
      </c>
      <c r="F147" s="456">
        <f t="shared" si="9"/>
        <v>4.9036597579099617E-5</v>
      </c>
      <c r="G147" s="459">
        <f t="shared" si="7"/>
        <v>50.464804498923549</v>
      </c>
    </row>
    <row r="148" spans="4:7" x14ac:dyDescent="0.2">
      <c r="D148" s="453">
        <f t="shared" si="8"/>
        <v>142</v>
      </c>
      <c r="E148" s="469">
        <v>0.28385989077646723</v>
      </c>
      <c r="F148" s="456">
        <f t="shared" si="9"/>
        <v>4.7081915658608864E-5</v>
      </c>
      <c r="G148" s="459">
        <f t="shared" si="7"/>
        <v>50.370806729829155</v>
      </c>
    </row>
    <row r="149" spans="4:7" x14ac:dyDescent="0.2">
      <c r="D149" s="453">
        <f t="shared" si="8"/>
        <v>143</v>
      </c>
      <c r="E149" s="469">
        <v>0.28381468532200577</v>
      </c>
      <c r="F149" s="456">
        <f t="shared" si="9"/>
        <v>4.520545446146107E-5</v>
      </c>
      <c r="G149" s="459">
        <f t="shared" si="7"/>
        <v>50.462428519254402</v>
      </c>
    </row>
    <row r="150" spans="4:7" x14ac:dyDescent="0.2">
      <c r="D150" s="453">
        <f t="shared" si="8"/>
        <v>144</v>
      </c>
      <c r="E150" s="469">
        <v>0.28377128126182127</v>
      </c>
      <c r="F150" s="456">
        <f t="shared" si="9"/>
        <v>4.3404060184493165E-5</v>
      </c>
      <c r="G150" s="459">
        <f t="shared" si="7"/>
        <v>50.36852969461934</v>
      </c>
    </row>
    <row r="151" spans="4:7" x14ac:dyDescent="0.2">
      <c r="D151" s="453">
        <f t="shared" si="8"/>
        <v>145</v>
      </c>
      <c r="E151" s="469">
        <v>0.28372960655380275</v>
      </c>
      <c r="F151" s="456">
        <f t="shared" si="9"/>
        <v>4.1674708018524242E-5</v>
      </c>
      <c r="G151" s="459">
        <f t="shared" si="7"/>
        <v>50.460238244969894</v>
      </c>
    </row>
    <row r="152" spans="4:7" x14ac:dyDescent="0.2">
      <c r="D152" s="453">
        <f t="shared" si="8"/>
        <v>146</v>
      </c>
      <c r="E152" s="469">
        <v>0.283689592057072</v>
      </c>
      <c r="F152" s="456">
        <f t="shared" si="9"/>
        <v>4.0014496730744753E-5</v>
      </c>
      <c r="G152" s="459">
        <f t="shared" si="7"/>
        <v>50.366430600850997</v>
      </c>
    </row>
    <row r="153" spans="4:7" x14ac:dyDescent="0.2">
      <c r="D153" s="453">
        <f t="shared" si="8"/>
        <v>147</v>
      </c>
      <c r="E153" s="469">
        <v>0.28365117141358626</v>
      </c>
      <c r="F153" s="456">
        <f t="shared" si="9"/>
        <v>3.842064348574814E-5</v>
      </c>
      <c r="G153" s="459">
        <f t="shared" si="7"/>
        <v>50.458219103931604</v>
      </c>
    </row>
    <row r="154" spans="4:7" x14ac:dyDescent="0.2">
      <c r="D154" s="453">
        <f t="shared" si="8"/>
        <v>148</v>
      </c>
      <c r="E154" s="469">
        <v>0.28361428093469387</v>
      </c>
      <c r="F154" s="456">
        <f t="shared" si="9"/>
        <v>3.6890478892381839E-5</v>
      </c>
      <c r="G154" s="459">
        <f t="shared" si="7"/>
        <v>50.364495490177234</v>
      </c>
    </row>
    <row r="155" spans="4:7" x14ac:dyDescent="0.2">
      <c r="D155" s="453">
        <f t="shared" si="8"/>
        <v>149</v>
      </c>
      <c r="E155" s="469">
        <v>0.28357885949242545</v>
      </c>
      <c r="F155" s="456">
        <f t="shared" si="9"/>
        <v>3.542144226842403E-5</v>
      </c>
      <c r="G155" s="459">
        <f t="shared" si="7"/>
        <v>50.456357676064805</v>
      </c>
    </row>
    <row r="156" spans="4:7" x14ac:dyDescent="0.2">
      <c r="D156" s="453">
        <f t="shared" si="8"/>
        <v>150</v>
      </c>
      <c r="E156" s="469">
        <v>0.28354484841531474</v>
      </c>
      <c r="F156" s="456">
        <f t="shared" si="9"/>
        <v>3.4011077110707166E-5</v>
      </c>
      <c r="G156" s="459">
        <f t="shared" si="7"/>
        <v>50.362711507107853</v>
      </c>
    </row>
    <row r="157" spans="4:7" x14ac:dyDescent="0.2">
      <c r="D157" s="453">
        <f t="shared" si="8"/>
        <v>151</v>
      </c>
      <c r="E157" s="469">
        <v>0.28351219138855266</v>
      </c>
      <c r="F157" s="456">
        <f t="shared" si="9"/>
        <v>3.265702676208404E-5</v>
      </c>
      <c r="G157" s="459">
        <f t="shared" si="7"/>
        <v>50.454641600993156</v>
      </c>
    </row>
    <row r="158" spans="4:7" x14ac:dyDescent="0.2">
      <c r="D158" s="453">
        <f t="shared" si="8"/>
        <v>152</v>
      </c>
      <c r="E158" s="469">
        <v>0.28348083435828719</v>
      </c>
      <c r="F158" s="456">
        <f t="shared" si="9"/>
        <v>3.1357030265466435E-5</v>
      </c>
      <c r="G158" s="459">
        <f t="shared" si="7"/>
        <v>50.361066810690353</v>
      </c>
    </row>
    <row r="159" spans="4:7" x14ac:dyDescent="0.2">
      <c r="D159" s="453">
        <f t="shared" si="8"/>
        <v>153</v>
      </c>
      <c r="E159" s="469">
        <v>0.28345072543988964</v>
      </c>
      <c r="F159" s="456">
        <f t="shared" si="9"/>
        <v>3.0108918397553364E-5</v>
      </c>
      <c r="G159" s="459">
        <f t="shared" si="7"/>
        <v>50.453059493269443</v>
      </c>
    </row>
    <row r="160" spans="4:7" x14ac:dyDescent="0.2">
      <c r="D160" s="453">
        <f t="shared" si="8"/>
        <v>154</v>
      </c>
      <c r="E160" s="469">
        <v>0.28342181483001733</v>
      </c>
      <c r="F160" s="456">
        <f t="shared" si="9"/>
        <v>2.8910609872312421E-5</v>
      </c>
      <c r="G160" s="459">
        <f t="shared" si="7"/>
        <v>50.359550493439336</v>
      </c>
    </row>
    <row r="161" spans="4:7" x14ac:dyDescent="0.2">
      <c r="D161" s="453">
        <f t="shared" si="8"/>
        <v>155</v>
      </c>
      <c r="E161" s="469">
        <v>0.28339405472230939</v>
      </c>
      <c r="F161" s="456">
        <f t="shared" si="9"/>
        <v>2.7760107707941462E-5</v>
      </c>
      <c r="G161" s="459">
        <f t="shared" si="7"/>
        <v>50.451600864549569</v>
      </c>
    </row>
    <row r="162" spans="4:7" x14ac:dyDescent="0.2">
      <c r="D162" s="453"/>
      <c r="E162" s="469"/>
      <c r="F162" s="456"/>
      <c r="G162" s="459"/>
    </row>
    <row r="163" spans="4:7" x14ac:dyDescent="0.2">
      <c r="D163" s="453"/>
      <c r="E163" s="469"/>
      <c r="F163" s="456"/>
      <c r="G163" s="459"/>
    </row>
    <row r="164" spans="4:7" x14ac:dyDescent="0.2">
      <c r="D164" s="453"/>
      <c r="E164" s="469"/>
      <c r="F164" s="456"/>
      <c r="G164" s="459"/>
    </row>
    <row r="165" spans="4:7" x14ac:dyDescent="0.2">
      <c r="D165" s="453"/>
      <c r="E165" s="469"/>
      <c r="F165" s="456"/>
      <c r="G165" s="459"/>
    </row>
    <row r="166" spans="4:7" x14ac:dyDescent="0.2">
      <c r="D166" s="453"/>
      <c r="E166" s="469"/>
      <c r="F166" s="456"/>
      <c r="G166" s="459"/>
    </row>
    <row r="167" spans="4:7" x14ac:dyDescent="0.2">
      <c r="D167" s="453"/>
      <c r="E167" s="469"/>
      <c r="F167" s="456"/>
      <c r="G167" s="459"/>
    </row>
    <row r="168" spans="4:7" x14ac:dyDescent="0.2">
      <c r="D168" s="453"/>
      <c r="E168" s="469"/>
      <c r="F168" s="456"/>
      <c r="G168" s="459"/>
    </row>
    <row r="169" spans="4:7" x14ac:dyDescent="0.2">
      <c r="D169" s="453"/>
      <c r="E169" s="469"/>
      <c r="F169" s="456"/>
      <c r="G169" s="459"/>
    </row>
    <row r="170" spans="4:7" x14ac:dyDescent="0.2">
      <c r="D170" s="453"/>
      <c r="E170" s="469"/>
      <c r="F170" s="456"/>
      <c r="G170" s="459"/>
    </row>
    <row r="171" spans="4:7" x14ac:dyDescent="0.2">
      <c r="D171" s="453"/>
      <c r="E171" s="469"/>
      <c r="F171" s="456"/>
      <c r="G171" s="459"/>
    </row>
    <row r="172" spans="4:7" x14ac:dyDescent="0.2">
      <c r="D172" s="453"/>
      <c r="E172" s="469"/>
      <c r="F172" s="456"/>
      <c r="G172" s="459"/>
    </row>
    <row r="173" spans="4:7" x14ac:dyDescent="0.2">
      <c r="D173" s="453"/>
      <c r="E173" s="469"/>
      <c r="F173" s="456"/>
      <c r="G173" s="459"/>
    </row>
    <row r="174" spans="4:7" x14ac:dyDescent="0.2">
      <c r="D174" s="453"/>
      <c r="E174" s="469"/>
      <c r="F174" s="456"/>
      <c r="G174" s="459"/>
    </row>
    <row r="175" spans="4:7" x14ac:dyDescent="0.2">
      <c r="D175" s="453"/>
      <c r="E175" s="469"/>
      <c r="F175" s="456"/>
      <c r="G175" s="459"/>
    </row>
    <row r="176" spans="4:7" x14ac:dyDescent="0.2">
      <c r="D176" s="453"/>
      <c r="E176" s="469"/>
      <c r="F176" s="456"/>
      <c r="G176" s="459"/>
    </row>
    <row r="177" spans="4:7" x14ac:dyDescent="0.2">
      <c r="D177" s="453"/>
      <c r="E177" s="469"/>
      <c r="F177" s="456"/>
      <c r="G177" s="459"/>
    </row>
    <row r="178" spans="4:7" x14ac:dyDescent="0.2">
      <c r="D178" s="453"/>
      <c r="E178" s="469"/>
      <c r="F178" s="456"/>
      <c r="G178" s="459"/>
    </row>
    <row r="179" spans="4:7" x14ac:dyDescent="0.2">
      <c r="D179" s="453"/>
      <c r="E179" s="469"/>
      <c r="F179" s="456"/>
      <c r="G179" s="459"/>
    </row>
    <row r="180" spans="4:7" x14ac:dyDescent="0.2">
      <c r="D180" s="453"/>
      <c r="E180" s="469"/>
      <c r="F180" s="456"/>
      <c r="G180" s="459"/>
    </row>
    <row r="181" spans="4:7" x14ac:dyDescent="0.2">
      <c r="D181" s="453"/>
      <c r="E181" s="469"/>
      <c r="F181" s="456"/>
      <c r="G181" s="459"/>
    </row>
    <row r="182" spans="4:7" x14ac:dyDescent="0.2">
      <c r="D182" s="453"/>
      <c r="E182" s="469"/>
      <c r="F182" s="456"/>
      <c r="G182" s="459"/>
    </row>
    <row r="183" spans="4:7" x14ac:dyDescent="0.2">
      <c r="D183" s="453"/>
      <c r="E183" s="469"/>
      <c r="F183" s="456"/>
      <c r="G183" s="459"/>
    </row>
    <row r="184" spans="4:7" x14ac:dyDescent="0.2">
      <c r="D184" s="453"/>
      <c r="E184" s="469"/>
      <c r="F184" s="456"/>
      <c r="G184" s="459"/>
    </row>
    <row r="185" spans="4:7" x14ac:dyDescent="0.2">
      <c r="D185" s="453"/>
      <c r="E185" s="469"/>
      <c r="F185" s="456"/>
      <c r="G185" s="459"/>
    </row>
    <row r="186" spans="4:7" x14ac:dyDescent="0.2">
      <c r="D186" s="453"/>
      <c r="E186" s="469"/>
      <c r="F186" s="456"/>
      <c r="G186" s="459"/>
    </row>
    <row r="187" spans="4:7" x14ac:dyDescent="0.2">
      <c r="D187" s="453"/>
      <c r="E187" s="469"/>
      <c r="F187" s="456"/>
      <c r="G187" s="459"/>
    </row>
    <row r="188" spans="4:7" x14ac:dyDescent="0.2">
      <c r="D188" s="453"/>
      <c r="E188" s="469"/>
      <c r="F188" s="456"/>
      <c r="G188" s="459"/>
    </row>
    <row r="189" spans="4:7" x14ac:dyDescent="0.2">
      <c r="D189" s="453"/>
      <c r="E189" s="469"/>
      <c r="F189" s="456"/>
      <c r="G189" s="459"/>
    </row>
    <row r="190" spans="4:7" x14ac:dyDescent="0.2">
      <c r="D190" s="453"/>
      <c r="E190" s="469"/>
      <c r="F190" s="456"/>
      <c r="G190" s="459"/>
    </row>
    <row r="191" spans="4:7" x14ac:dyDescent="0.2">
      <c r="D191" s="453"/>
      <c r="E191" s="469"/>
      <c r="F191" s="456"/>
      <c r="G191" s="459"/>
    </row>
    <row r="192" spans="4:7" x14ac:dyDescent="0.2">
      <c r="D192" s="453"/>
      <c r="E192" s="469"/>
      <c r="F192" s="456"/>
      <c r="G192" s="459"/>
    </row>
    <row r="193" spans="4:7" x14ac:dyDescent="0.2">
      <c r="D193" s="453"/>
      <c r="E193" s="469"/>
      <c r="F193" s="456"/>
      <c r="G193" s="459"/>
    </row>
    <row r="194" spans="4:7" x14ac:dyDescent="0.2">
      <c r="D194" s="453"/>
      <c r="E194" s="469"/>
      <c r="F194" s="456"/>
      <c r="G194" s="459"/>
    </row>
    <row r="195" spans="4:7" x14ac:dyDescent="0.2">
      <c r="D195" s="453"/>
      <c r="E195" s="469"/>
      <c r="F195" s="456"/>
      <c r="G195" s="459"/>
    </row>
    <row r="196" spans="4:7" x14ac:dyDescent="0.2">
      <c r="D196" s="453"/>
      <c r="E196" s="469"/>
      <c r="F196" s="456"/>
      <c r="G196" s="459"/>
    </row>
    <row r="197" spans="4:7" x14ac:dyDescent="0.2">
      <c r="D197" s="453"/>
      <c r="E197" s="469"/>
      <c r="F197" s="456"/>
      <c r="G197" s="459"/>
    </row>
    <row r="198" spans="4:7" x14ac:dyDescent="0.2">
      <c r="D198" s="453"/>
      <c r="E198" s="469"/>
      <c r="F198" s="456"/>
      <c r="G198" s="459"/>
    </row>
    <row r="199" spans="4:7" x14ac:dyDescent="0.2">
      <c r="D199" s="453"/>
      <c r="E199" s="469"/>
      <c r="F199" s="456"/>
      <c r="G199" s="459"/>
    </row>
    <row r="200" spans="4:7" x14ac:dyDescent="0.2">
      <c r="D200" s="453"/>
      <c r="E200" s="469"/>
      <c r="F200" s="456"/>
      <c r="G200" s="459"/>
    </row>
    <row r="201" spans="4:7" x14ac:dyDescent="0.2">
      <c r="D201" s="453"/>
      <c r="E201" s="469"/>
      <c r="F201" s="456"/>
      <c r="G201" s="459"/>
    </row>
    <row r="202" spans="4:7" x14ac:dyDescent="0.2">
      <c r="D202" s="453"/>
      <c r="E202" s="469"/>
      <c r="F202" s="456"/>
      <c r="G202" s="459"/>
    </row>
    <row r="203" spans="4:7" x14ac:dyDescent="0.2">
      <c r="D203" s="453"/>
      <c r="E203" s="469"/>
      <c r="F203" s="456"/>
      <c r="G203" s="459"/>
    </row>
    <row r="204" spans="4:7" x14ac:dyDescent="0.2">
      <c r="D204" s="453"/>
      <c r="E204" s="469"/>
      <c r="F204" s="456"/>
      <c r="G204" s="459"/>
    </row>
    <row r="205" spans="4:7" x14ac:dyDescent="0.2">
      <c r="D205" s="453"/>
      <c r="E205" s="469"/>
      <c r="F205" s="456"/>
      <c r="G205" s="459"/>
    </row>
    <row r="206" spans="4:7" x14ac:dyDescent="0.2">
      <c r="D206" s="453"/>
      <c r="E206" s="469"/>
      <c r="F206" s="456"/>
      <c r="G206" s="459"/>
    </row>
    <row r="207" spans="4:7" x14ac:dyDescent="0.2">
      <c r="D207" s="453"/>
      <c r="E207" s="469"/>
      <c r="F207" s="456"/>
      <c r="G207" s="459"/>
    </row>
    <row r="208" spans="4:7" x14ac:dyDescent="0.2">
      <c r="D208" s="453"/>
      <c r="E208" s="469"/>
      <c r="F208" s="456"/>
      <c r="G208" s="459"/>
    </row>
    <row r="209" spans="4:7" x14ac:dyDescent="0.2">
      <c r="D209" s="453"/>
      <c r="E209" s="469"/>
      <c r="F209" s="456"/>
      <c r="G209" s="459"/>
    </row>
    <row r="210" spans="4:7" x14ac:dyDescent="0.2">
      <c r="D210" s="453"/>
      <c r="E210" s="469"/>
      <c r="F210" s="456"/>
      <c r="G210" s="459"/>
    </row>
    <row r="211" spans="4:7" x14ac:dyDescent="0.2">
      <c r="D211" s="453"/>
      <c r="E211" s="469"/>
      <c r="F211" s="456"/>
      <c r="G211" s="459"/>
    </row>
    <row r="212" spans="4:7" x14ac:dyDescent="0.2">
      <c r="D212" s="453"/>
      <c r="E212" s="469"/>
      <c r="F212" s="456"/>
      <c r="G212" s="459"/>
    </row>
    <row r="213" spans="4:7" x14ac:dyDescent="0.2">
      <c r="D213" s="453"/>
      <c r="E213" s="469"/>
      <c r="F213" s="456"/>
      <c r="G213" s="459"/>
    </row>
    <row r="214" spans="4:7" x14ac:dyDescent="0.2">
      <c r="D214" s="453"/>
      <c r="E214" s="469"/>
      <c r="F214" s="456"/>
      <c r="G214" s="459"/>
    </row>
    <row r="215" spans="4:7" x14ac:dyDescent="0.2">
      <c r="D215" s="453"/>
      <c r="E215" s="469"/>
      <c r="F215" s="456"/>
      <c r="G215" s="459"/>
    </row>
    <row r="216" spans="4:7" x14ac:dyDescent="0.2">
      <c r="D216" s="453"/>
      <c r="E216" s="469"/>
      <c r="F216" s="456"/>
      <c r="G216" s="459"/>
    </row>
    <row r="217" spans="4:7" x14ac:dyDescent="0.2">
      <c r="D217" s="453"/>
      <c r="E217" s="469"/>
      <c r="F217" s="456"/>
      <c r="G217" s="459"/>
    </row>
    <row r="218" spans="4:7" x14ac:dyDescent="0.2">
      <c r="D218" s="453"/>
      <c r="E218" s="469"/>
      <c r="F218" s="456"/>
      <c r="G218" s="459"/>
    </row>
    <row r="219" spans="4:7" x14ac:dyDescent="0.2">
      <c r="D219" s="453"/>
      <c r="E219" s="469"/>
      <c r="F219" s="456"/>
      <c r="G219" s="459"/>
    </row>
    <row r="220" spans="4:7" x14ac:dyDescent="0.2">
      <c r="D220" s="453"/>
      <c r="E220" s="469"/>
      <c r="F220" s="456"/>
      <c r="G220" s="459"/>
    </row>
    <row r="221" spans="4:7" x14ac:dyDescent="0.2">
      <c r="D221" s="453"/>
      <c r="E221" s="469"/>
      <c r="F221" s="456"/>
      <c r="G221" s="459"/>
    </row>
    <row r="222" spans="4:7" x14ac:dyDescent="0.2">
      <c r="D222" s="453"/>
      <c r="E222" s="469"/>
      <c r="F222" s="456"/>
      <c r="G222" s="459"/>
    </row>
    <row r="223" spans="4:7" x14ac:dyDescent="0.2">
      <c r="D223" s="453"/>
      <c r="E223" s="469"/>
      <c r="F223" s="456"/>
      <c r="G223" s="459"/>
    </row>
    <row r="224" spans="4:7" x14ac:dyDescent="0.2">
      <c r="D224" s="453"/>
      <c r="E224" s="469"/>
      <c r="F224" s="456"/>
      <c r="G224" s="459"/>
    </row>
    <row r="225" spans="4:7" x14ac:dyDescent="0.2">
      <c r="D225" s="453"/>
      <c r="E225" s="469"/>
      <c r="F225" s="456"/>
      <c r="G225" s="459"/>
    </row>
    <row r="226" spans="4:7" x14ac:dyDescent="0.2">
      <c r="D226" s="453"/>
      <c r="E226" s="469"/>
      <c r="F226" s="456"/>
      <c r="G226" s="459"/>
    </row>
    <row r="227" spans="4:7" x14ac:dyDescent="0.2">
      <c r="D227" s="453"/>
      <c r="E227" s="469"/>
      <c r="F227" s="456"/>
      <c r="G227" s="459"/>
    </row>
    <row r="228" spans="4:7" x14ac:dyDescent="0.2">
      <c r="D228" s="453"/>
      <c r="E228" s="469"/>
      <c r="F228" s="456"/>
      <c r="G228" s="459"/>
    </row>
    <row r="229" spans="4:7" x14ac:dyDescent="0.2">
      <c r="D229" s="453"/>
      <c r="E229" s="469"/>
      <c r="F229" s="456"/>
      <c r="G229" s="459"/>
    </row>
    <row r="230" spans="4:7" x14ac:dyDescent="0.2">
      <c r="D230" s="453"/>
      <c r="E230" s="469"/>
      <c r="F230" s="456"/>
      <c r="G230" s="459"/>
    </row>
    <row r="231" spans="4:7" x14ac:dyDescent="0.2">
      <c r="D231" s="453"/>
      <c r="E231" s="469"/>
      <c r="F231" s="456"/>
      <c r="G231" s="459"/>
    </row>
    <row r="232" spans="4:7" x14ac:dyDescent="0.2">
      <c r="D232" s="453"/>
      <c r="E232" s="469"/>
      <c r="F232" s="456"/>
      <c r="G232" s="459"/>
    </row>
    <row r="233" spans="4:7" x14ac:dyDescent="0.2">
      <c r="D233" s="453"/>
      <c r="E233" s="469"/>
      <c r="F233" s="456"/>
      <c r="G233" s="459"/>
    </row>
    <row r="234" spans="4:7" x14ac:dyDescent="0.2">
      <c r="D234" s="453"/>
      <c r="E234" s="469"/>
      <c r="F234" s="456"/>
      <c r="G234" s="459"/>
    </row>
    <row r="235" spans="4:7" x14ac:dyDescent="0.2">
      <c r="D235" s="453"/>
      <c r="E235" s="469"/>
      <c r="F235" s="456"/>
      <c r="G235" s="459"/>
    </row>
    <row r="236" spans="4:7" x14ac:dyDescent="0.2">
      <c r="D236" s="453"/>
      <c r="E236" s="469"/>
      <c r="F236" s="456"/>
      <c r="G236" s="459"/>
    </row>
    <row r="237" spans="4:7" x14ac:dyDescent="0.2">
      <c r="D237" s="453"/>
      <c r="E237" s="469"/>
      <c r="F237" s="456"/>
      <c r="G237" s="459"/>
    </row>
    <row r="238" spans="4:7" x14ac:dyDescent="0.2">
      <c r="D238" s="453"/>
      <c r="E238" s="469"/>
      <c r="F238" s="456"/>
      <c r="G238" s="459"/>
    </row>
    <row r="239" spans="4:7" x14ac:dyDescent="0.2">
      <c r="D239" s="453"/>
      <c r="E239" s="469"/>
      <c r="F239" s="456"/>
      <c r="G239" s="459"/>
    </row>
    <row r="240" spans="4:7" x14ac:dyDescent="0.2">
      <c r="D240" s="453"/>
      <c r="E240" s="469"/>
      <c r="F240" s="456"/>
      <c r="G240" s="459"/>
    </row>
    <row r="241" spans="4:7" x14ac:dyDescent="0.2">
      <c r="D241" s="453"/>
      <c r="E241" s="469"/>
      <c r="F241" s="456"/>
      <c r="G241" s="459"/>
    </row>
    <row r="242" spans="4:7" x14ac:dyDescent="0.2">
      <c r="D242" s="453"/>
      <c r="E242" s="469"/>
      <c r="F242" s="456"/>
      <c r="G242" s="459"/>
    </row>
    <row r="243" spans="4:7" x14ac:dyDescent="0.2">
      <c r="D243" s="453"/>
      <c r="E243" s="469"/>
      <c r="F243" s="456"/>
      <c r="G243" s="459"/>
    </row>
    <row r="244" spans="4:7" x14ac:dyDescent="0.2">
      <c r="D244" s="453"/>
      <c r="E244" s="469"/>
      <c r="F244" s="456"/>
      <c r="G244" s="459"/>
    </row>
    <row r="245" spans="4:7" x14ac:dyDescent="0.2">
      <c r="D245" s="453"/>
      <c r="E245" s="469"/>
      <c r="F245" s="456"/>
      <c r="G245" s="459"/>
    </row>
    <row r="246" spans="4:7" x14ac:dyDescent="0.2">
      <c r="D246" s="453"/>
      <c r="E246" s="469"/>
      <c r="F246" s="456"/>
      <c r="G246" s="459"/>
    </row>
    <row r="247" spans="4:7" x14ac:dyDescent="0.2">
      <c r="D247" s="453"/>
      <c r="E247" s="469"/>
      <c r="F247" s="456"/>
      <c r="G247" s="459"/>
    </row>
    <row r="248" spans="4:7" x14ac:dyDescent="0.2">
      <c r="D248" s="453"/>
      <c r="E248" s="469"/>
      <c r="F248" s="456"/>
      <c r="G248" s="459"/>
    </row>
    <row r="249" spans="4:7" x14ac:dyDescent="0.2">
      <c r="D249" s="453"/>
      <c r="E249" s="469"/>
      <c r="F249" s="456"/>
      <c r="G249" s="459"/>
    </row>
    <row r="250" spans="4:7" x14ac:dyDescent="0.2">
      <c r="D250" s="453"/>
      <c r="E250" s="469"/>
      <c r="F250" s="456"/>
      <c r="G250" s="459"/>
    </row>
    <row r="251" spans="4:7" x14ac:dyDescent="0.2">
      <c r="D251" s="453"/>
      <c r="E251" s="469"/>
      <c r="F251" s="456"/>
      <c r="G251" s="459"/>
    </row>
    <row r="252" spans="4:7" x14ac:dyDescent="0.2">
      <c r="D252" s="453"/>
      <c r="E252" s="469"/>
      <c r="F252" s="456"/>
      <c r="G252" s="459"/>
    </row>
    <row r="253" spans="4:7" x14ac:dyDescent="0.2">
      <c r="D253" s="453"/>
      <c r="E253" s="469"/>
      <c r="F253" s="456"/>
      <c r="G253" s="459"/>
    </row>
    <row r="254" spans="4:7" x14ac:dyDescent="0.2">
      <c r="D254" s="453"/>
      <c r="E254" s="469"/>
      <c r="F254" s="456"/>
      <c r="G254" s="459"/>
    </row>
    <row r="255" spans="4:7" x14ac:dyDescent="0.2">
      <c r="D255" s="453"/>
      <c r="E255" s="469"/>
      <c r="F255" s="456"/>
      <c r="G255" s="459"/>
    </row>
    <row r="256" spans="4:7" x14ac:dyDescent="0.2">
      <c r="D256" s="453"/>
      <c r="E256" s="469"/>
      <c r="F256" s="456"/>
      <c r="G256" s="459"/>
    </row>
    <row r="257" spans="4:7" x14ac:dyDescent="0.2">
      <c r="D257" s="453"/>
      <c r="E257" s="469"/>
      <c r="F257" s="456"/>
      <c r="G257" s="459"/>
    </row>
    <row r="258" spans="4:7" x14ac:dyDescent="0.2">
      <c r="D258" s="453"/>
      <c r="E258" s="469"/>
      <c r="F258" s="456"/>
      <c r="G258" s="459"/>
    </row>
    <row r="259" spans="4:7" x14ac:dyDescent="0.2">
      <c r="D259" s="453"/>
      <c r="E259" s="469"/>
      <c r="F259" s="456"/>
      <c r="G259" s="459"/>
    </row>
    <row r="260" spans="4:7" x14ac:dyDescent="0.2">
      <c r="D260" s="453"/>
      <c r="E260" s="469"/>
      <c r="F260" s="456"/>
      <c r="G260" s="459"/>
    </row>
    <row r="261" spans="4:7" x14ac:dyDescent="0.2">
      <c r="D261" s="453"/>
      <c r="E261" s="469"/>
      <c r="F261" s="456"/>
      <c r="G261" s="459"/>
    </row>
    <row r="262" spans="4:7" x14ac:dyDescent="0.2">
      <c r="D262" s="453"/>
      <c r="E262" s="469"/>
      <c r="F262" s="456"/>
      <c r="G262" s="459"/>
    </row>
    <row r="263" spans="4:7" x14ac:dyDescent="0.2">
      <c r="D263" s="453"/>
      <c r="E263" s="469"/>
      <c r="F263" s="456"/>
      <c r="G263" s="459"/>
    </row>
    <row r="264" spans="4:7" x14ac:dyDescent="0.2">
      <c r="D264" s="453"/>
      <c r="E264" s="469"/>
      <c r="F264" s="456"/>
      <c r="G264" s="459"/>
    </row>
    <row r="265" spans="4:7" x14ac:dyDescent="0.2">
      <c r="D265" s="453"/>
      <c r="E265" s="469"/>
      <c r="F265" s="456"/>
      <c r="G265" s="459"/>
    </row>
    <row r="266" spans="4:7" x14ac:dyDescent="0.2">
      <c r="D266" s="453"/>
      <c r="E266" s="469"/>
      <c r="F266" s="456"/>
      <c r="G266" s="459"/>
    </row>
    <row r="267" spans="4:7" x14ac:dyDescent="0.2">
      <c r="D267" s="453"/>
      <c r="E267" s="469"/>
      <c r="F267" s="456"/>
      <c r="G267" s="459"/>
    </row>
    <row r="268" spans="4:7" x14ac:dyDescent="0.2">
      <c r="D268" s="453"/>
      <c r="E268" s="469"/>
      <c r="F268" s="456"/>
      <c r="G268" s="459"/>
    </row>
    <row r="269" spans="4:7" x14ac:dyDescent="0.2">
      <c r="D269" s="453"/>
      <c r="E269" s="469"/>
      <c r="F269" s="456"/>
      <c r="G269" s="459"/>
    </row>
    <row r="270" spans="4:7" x14ac:dyDescent="0.2">
      <c r="D270" s="453"/>
      <c r="E270" s="469"/>
      <c r="F270" s="456"/>
      <c r="G270" s="459"/>
    </row>
    <row r="271" spans="4:7" x14ac:dyDescent="0.2">
      <c r="D271" s="453"/>
      <c r="E271" s="469"/>
      <c r="F271" s="456"/>
      <c r="G271" s="459"/>
    </row>
    <row r="272" spans="4:7" x14ac:dyDescent="0.2">
      <c r="D272" s="453"/>
      <c r="E272" s="469"/>
      <c r="F272" s="456"/>
      <c r="G272" s="459"/>
    </row>
    <row r="273" spans="4:7" x14ac:dyDescent="0.2">
      <c r="D273" s="453"/>
      <c r="E273" s="469"/>
      <c r="F273" s="456"/>
      <c r="G273" s="459"/>
    </row>
    <row r="274" spans="4:7" x14ac:dyDescent="0.2">
      <c r="D274" s="453"/>
      <c r="E274" s="469"/>
      <c r="F274" s="456"/>
      <c r="G274" s="459"/>
    </row>
    <row r="275" spans="4:7" x14ac:dyDescent="0.2">
      <c r="D275" s="453"/>
      <c r="E275" s="469"/>
      <c r="F275" s="456"/>
      <c r="G275" s="459"/>
    </row>
    <row r="276" spans="4:7" x14ac:dyDescent="0.2">
      <c r="D276" s="453"/>
      <c r="E276" s="469"/>
      <c r="F276" s="456"/>
      <c r="G276" s="459"/>
    </row>
    <row r="277" spans="4:7" x14ac:dyDescent="0.2">
      <c r="D277" s="453"/>
      <c r="E277" s="469"/>
      <c r="F277" s="456"/>
      <c r="G277" s="459"/>
    </row>
    <row r="278" spans="4:7" x14ac:dyDescent="0.2">
      <c r="D278" s="453"/>
      <c r="E278" s="469"/>
      <c r="F278" s="456"/>
      <c r="G278" s="459"/>
    </row>
    <row r="279" spans="4:7" x14ac:dyDescent="0.2">
      <c r="D279" s="453"/>
      <c r="E279" s="469"/>
      <c r="F279" s="456"/>
      <c r="G279" s="459"/>
    </row>
    <row r="280" spans="4:7" x14ac:dyDescent="0.2">
      <c r="D280" s="453"/>
      <c r="E280" s="469"/>
      <c r="F280" s="456"/>
      <c r="G280" s="459"/>
    </row>
    <row r="281" spans="4:7" x14ac:dyDescent="0.2">
      <c r="D281" s="453"/>
      <c r="E281" s="469"/>
      <c r="F281" s="456"/>
      <c r="G281" s="459"/>
    </row>
    <row r="282" spans="4:7" x14ac:dyDescent="0.2">
      <c r="D282" s="453"/>
      <c r="E282" s="469"/>
      <c r="F282" s="456"/>
      <c r="G282" s="459"/>
    </row>
    <row r="283" spans="4:7" x14ac:dyDescent="0.2">
      <c r="D283" s="453"/>
      <c r="E283" s="469"/>
      <c r="F283" s="456"/>
      <c r="G283" s="459"/>
    </row>
    <row r="284" spans="4:7" x14ac:dyDescent="0.2">
      <c r="D284" s="453"/>
      <c r="E284" s="469"/>
      <c r="F284" s="456"/>
      <c r="G284" s="459"/>
    </row>
    <row r="285" spans="4:7" x14ac:dyDescent="0.2">
      <c r="D285" s="453"/>
      <c r="E285" s="469"/>
      <c r="F285" s="456"/>
      <c r="G285" s="459"/>
    </row>
    <row r="286" spans="4:7" x14ac:dyDescent="0.2">
      <c r="D286" s="453"/>
      <c r="E286" s="469"/>
      <c r="F286" s="456"/>
      <c r="G286" s="459"/>
    </row>
    <row r="287" spans="4:7" x14ac:dyDescent="0.2">
      <c r="D287" s="453"/>
      <c r="E287" s="469"/>
      <c r="F287" s="456"/>
      <c r="G287" s="459"/>
    </row>
    <row r="288" spans="4:7" x14ac:dyDescent="0.2">
      <c r="D288" s="453"/>
      <c r="E288" s="469"/>
      <c r="F288" s="456"/>
      <c r="G288" s="459"/>
    </row>
    <row r="289" spans="4:7" x14ac:dyDescent="0.2">
      <c r="D289" s="453"/>
      <c r="E289" s="469"/>
      <c r="F289" s="456"/>
      <c r="G289" s="459"/>
    </row>
    <row r="290" spans="4:7" x14ac:dyDescent="0.2">
      <c r="D290" s="453"/>
      <c r="E290" s="469"/>
      <c r="F290" s="456"/>
      <c r="G290" s="459"/>
    </row>
    <row r="291" spans="4:7" x14ac:dyDescent="0.2">
      <c r="D291" s="453"/>
      <c r="E291" s="469"/>
      <c r="F291" s="456"/>
      <c r="G291" s="459"/>
    </row>
    <row r="292" spans="4:7" x14ac:dyDescent="0.2">
      <c r="D292" s="453"/>
      <c r="E292" s="469"/>
      <c r="F292" s="456"/>
      <c r="G292" s="459"/>
    </row>
    <row r="293" spans="4:7" x14ac:dyDescent="0.2">
      <c r="D293" s="453"/>
      <c r="E293" s="469"/>
      <c r="F293" s="456"/>
      <c r="G293" s="459"/>
    </row>
    <row r="294" spans="4:7" x14ac:dyDescent="0.2">
      <c r="D294" s="453"/>
      <c r="E294" s="469"/>
      <c r="F294" s="456"/>
      <c r="G294" s="459"/>
    </row>
    <row r="295" spans="4:7" x14ac:dyDescent="0.2">
      <c r="D295" s="453"/>
      <c r="E295" s="469"/>
      <c r="F295" s="456"/>
      <c r="G295" s="459"/>
    </row>
    <row r="296" spans="4:7" x14ac:dyDescent="0.2">
      <c r="D296" s="453"/>
      <c r="E296" s="469"/>
      <c r="F296" s="456"/>
      <c r="G296" s="459"/>
    </row>
    <row r="297" spans="4:7" x14ac:dyDescent="0.2">
      <c r="D297" s="453"/>
      <c r="E297" s="469"/>
      <c r="F297" s="456"/>
      <c r="G297" s="459"/>
    </row>
    <row r="298" spans="4:7" x14ac:dyDescent="0.2">
      <c r="D298" s="453"/>
      <c r="E298" s="469"/>
      <c r="F298" s="456"/>
      <c r="G298" s="459"/>
    </row>
    <row r="299" spans="4:7" x14ac:dyDescent="0.2">
      <c r="D299" s="453"/>
      <c r="E299" s="469"/>
      <c r="F299" s="456"/>
      <c r="G299" s="459"/>
    </row>
    <row r="300" spans="4:7" x14ac:dyDescent="0.2">
      <c r="D300" s="453"/>
      <c r="E300" s="469"/>
      <c r="F300" s="456"/>
      <c r="G300" s="459"/>
    </row>
    <row r="301" spans="4:7" x14ac:dyDescent="0.2">
      <c r="D301" s="453"/>
      <c r="E301" s="469"/>
      <c r="F301" s="456"/>
      <c r="G301" s="459"/>
    </row>
    <row r="302" spans="4:7" x14ac:dyDescent="0.2">
      <c r="D302" s="453"/>
      <c r="E302" s="469"/>
      <c r="F302" s="456"/>
      <c r="G302" s="459"/>
    </row>
    <row r="303" spans="4:7" x14ac:dyDescent="0.2">
      <c r="D303" s="453"/>
      <c r="E303" s="469"/>
      <c r="F303" s="456"/>
      <c r="G303" s="459"/>
    </row>
    <row r="304" spans="4:7" x14ac:dyDescent="0.2">
      <c r="D304" s="453"/>
      <c r="E304" s="469"/>
      <c r="F304" s="456"/>
      <c r="G304" s="459"/>
    </row>
    <row r="305" spans="4:7" x14ac:dyDescent="0.2">
      <c r="D305" s="453"/>
      <c r="E305" s="469"/>
      <c r="F305" s="456"/>
      <c r="G305" s="459"/>
    </row>
    <row r="306" spans="4:7" x14ac:dyDescent="0.2">
      <c r="D306" s="453"/>
      <c r="E306" s="469"/>
      <c r="F306" s="456"/>
      <c r="G306" s="459"/>
    </row>
    <row r="307" spans="4:7" x14ac:dyDescent="0.2">
      <c r="D307" s="453"/>
      <c r="E307" s="469"/>
      <c r="F307" s="456"/>
      <c r="G307" s="459"/>
    </row>
    <row r="308" spans="4:7" x14ac:dyDescent="0.2">
      <c r="D308" s="453"/>
      <c r="E308" s="469"/>
      <c r="F308" s="456"/>
      <c r="G308" s="45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AX1000"/>
  <sheetViews>
    <sheetView topLeftCell="E1" zoomScale="130" zoomScaleNormal="130" workbookViewId="0">
      <selection activeCell="N23" sqref="N23"/>
    </sheetView>
  </sheetViews>
  <sheetFormatPr defaultColWidth="12.625" defaultRowHeight="15" customHeight="1" x14ac:dyDescent="0.2"/>
  <cols>
    <col min="1" max="12" width="8" customWidth="1"/>
    <col min="13" max="13" width="13.625" customWidth="1"/>
    <col min="14" max="14" width="17" customWidth="1"/>
    <col min="15" max="21" width="8" customWidth="1"/>
    <col min="22" max="26" width="7.625" customWidth="1"/>
  </cols>
  <sheetData>
    <row r="1" spans="1:50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50" ht="48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50" ht="35.2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50" ht="14.25" customHeight="1" x14ac:dyDescent="0.25">
      <c r="A4" s="534"/>
      <c r="B4" s="535"/>
      <c r="C4" s="536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462"/>
      <c r="AT4" s="462"/>
      <c r="AU4" s="462"/>
      <c r="AV4" s="462"/>
      <c r="AW4" s="462"/>
      <c r="AX4" s="462"/>
    </row>
    <row r="5" spans="1:50" ht="14.25" customHeight="1" x14ac:dyDescent="0.25">
      <c r="A5" s="537"/>
      <c r="B5" s="538"/>
      <c r="C5" s="539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462"/>
      <c r="AT5" s="462"/>
      <c r="AU5" s="462"/>
      <c r="AV5" s="462"/>
      <c r="AW5" s="462"/>
      <c r="AX5" s="462"/>
    </row>
    <row r="6" spans="1:50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50" ht="14.25" customHeight="1" x14ac:dyDescent="0.2">
      <c r="A7" s="3"/>
      <c r="B7" s="3"/>
      <c r="D7" s="3"/>
      <c r="E7" s="3"/>
      <c r="F7" s="3"/>
      <c r="G7" s="3"/>
      <c r="H7" s="3"/>
      <c r="I7" s="3"/>
      <c r="J7" s="3"/>
      <c r="K7" s="3"/>
      <c r="L7" s="3"/>
      <c r="M7" s="3" t="s">
        <v>557</v>
      </c>
      <c r="N7" s="61">
        <v>-12328714</v>
      </c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50" ht="14.25" customHeight="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 t="s">
        <v>558</v>
      </c>
      <c r="N8" s="61">
        <v>26605</v>
      </c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50" ht="14.25" customHeight="1" x14ac:dyDescent="0.2">
      <c r="A9" s="3"/>
      <c r="B9" s="3"/>
      <c r="C9" s="3"/>
      <c r="D9" s="3"/>
      <c r="F9" s="3"/>
      <c r="G9" s="3"/>
      <c r="H9" s="3"/>
      <c r="I9" s="3"/>
      <c r="J9" s="3"/>
      <c r="K9" s="3"/>
      <c r="L9" s="3"/>
      <c r="M9" s="3" t="s">
        <v>559</v>
      </c>
      <c r="N9" s="61">
        <v>43723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50" ht="14.25" customHeight="1" x14ac:dyDescent="0.2">
      <c r="A10" s="3"/>
      <c r="B10" s="3"/>
      <c r="C10" s="3"/>
      <c r="E10" s="3"/>
      <c r="F10" s="3"/>
      <c r="G10" s="3"/>
      <c r="H10" s="3"/>
      <c r="I10" s="3"/>
      <c r="J10" s="3"/>
      <c r="K10" s="3"/>
      <c r="L10" s="3"/>
      <c r="M10" s="3" t="s">
        <v>560</v>
      </c>
      <c r="N10" s="531">
        <v>31214914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50" ht="14.25" customHeight="1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50" ht="14.25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561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50" ht="14.25" customHeight="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530">
        <v>-605000</v>
      </c>
      <c r="N13" s="61">
        <v>689000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50" ht="14.2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50" ht="14.25" customHeight="1" x14ac:dyDescent="0.2">
      <c r="A15" s="3"/>
      <c r="B15" s="3"/>
      <c r="C15" s="3"/>
      <c r="D15" s="3"/>
      <c r="E15" s="3"/>
      <c r="F15" s="3"/>
      <c r="H15" s="3"/>
      <c r="I15" s="3"/>
      <c r="J15" s="3"/>
      <c r="K15" s="3"/>
      <c r="L15" s="3"/>
      <c r="M15" s="3" t="s">
        <v>562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50" ht="14.2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ht="14.25" customHeight="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ht="14.25" customHeight="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ht="14.25" customHeight="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spans="1:40" ht="14.25" customHeight="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ht="14.25" customHeight="1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  <row r="22" spans="1:40" ht="14.2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</row>
    <row r="23" spans="1:40" ht="14.25" customHeight="1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</row>
    <row r="24" spans="1:40" ht="14.25" customHeight="1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</row>
    <row r="25" spans="1:40" ht="14.25" customHeight="1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</row>
    <row r="26" spans="1:40" ht="14.2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</row>
    <row r="27" spans="1:40" ht="14.25" customHeight="1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</row>
    <row r="28" spans="1:40" ht="14.25" customHeight="1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</row>
    <row r="29" spans="1:40" ht="14.25" customHeight="1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</row>
    <row r="30" spans="1:40" ht="14.2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</row>
    <row r="31" spans="1:40" ht="14.25" customHeight="1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</row>
    <row r="32" spans="1:40" ht="14.25" customHeight="1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</row>
    <row r="33" spans="1:40" ht="14.25" customHeight="1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</row>
    <row r="34" spans="1:40" ht="14.2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</row>
    <row r="35" spans="1:40" ht="14.25" customHeight="1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</row>
    <row r="36" spans="1:40" ht="14.25" customHeight="1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</row>
    <row r="37" spans="1:40" ht="14.25" customHeight="1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</row>
    <row r="38" spans="1:40" ht="14.2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</row>
    <row r="39" spans="1:40" ht="14.25" customHeight="1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</row>
    <row r="40" spans="1:40" ht="14.25" customHeight="1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</row>
    <row r="41" spans="1:40" ht="14.25" customHeight="1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</row>
    <row r="42" spans="1:40" ht="14.2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</row>
    <row r="43" spans="1:40" ht="14.25" customHeight="1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40" ht="14.25" customHeight="1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40" ht="14.25" customHeight="1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40" ht="14.25" customHeight="1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40" ht="14.25" customHeight="1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40" ht="14.25" customHeight="1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1:40" ht="14.25" customHeight="1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1:40" ht="14.25" customHeight="1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1:40" ht="14.25" customHeight="1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1:40" ht="14.25" customHeight="1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1:40" ht="14.25" customHeight="1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1:40" ht="14.25" customHeight="1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1:40" ht="14.25" customHeight="1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1:40" ht="14.25" customHeight="1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1:40" ht="14.25" customHeight="1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</row>
    <row r="58" spans="1:40" ht="14.25" customHeight="1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</row>
    <row r="59" spans="1:40" ht="14.25" customHeight="1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</row>
    <row r="60" spans="1:40" ht="14.25" customHeight="1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</row>
    <row r="61" spans="1:40" ht="14.25" customHeight="1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</row>
    <row r="62" spans="1:40" ht="14.25" customHeight="1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</row>
    <row r="63" spans="1:40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</row>
    <row r="64" spans="1:40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</row>
    <row r="65" spans="1:40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</row>
    <row r="66" spans="1:40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</row>
    <row r="67" spans="1:40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</row>
    <row r="68" spans="1:40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</row>
    <row r="69" spans="1:40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</row>
    <row r="70" spans="1:40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</row>
    <row r="71" spans="1:40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</row>
    <row r="72" spans="1:40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</row>
    <row r="73" spans="1:40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</row>
    <row r="74" spans="1:40" ht="14.25" customHeight="1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</row>
    <row r="75" spans="1:40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</row>
    <row r="76" spans="1:40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</row>
    <row r="77" spans="1:40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</row>
    <row r="78" spans="1:40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</row>
    <row r="79" spans="1:40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</row>
    <row r="80" spans="1:40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</row>
    <row r="81" spans="1:40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</row>
    <row r="82" spans="1:40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</row>
    <row r="83" spans="1:40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</row>
    <row r="84" spans="1:40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</row>
    <row r="85" spans="1:40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</row>
    <row r="86" spans="1:40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</row>
    <row r="87" spans="1:40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</row>
    <row r="88" spans="1:40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</row>
    <row r="89" spans="1:40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</row>
    <row r="90" spans="1:40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</row>
    <row r="91" spans="1:40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</row>
    <row r="92" spans="1:40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</row>
    <row r="93" spans="1:40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</row>
    <row r="94" spans="1:40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</row>
    <row r="95" spans="1:40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</row>
    <row r="96" spans="1:40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</row>
    <row r="97" spans="1:40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</row>
    <row r="98" spans="1:40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</row>
    <row r="99" spans="1:40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</row>
    <row r="100" spans="1:40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</row>
    <row r="101" spans="1:40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</row>
    <row r="102" spans="1:40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</row>
    <row r="103" spans="1:40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</row>
    <row r="104" spans="1:40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</row>
    <row r="105" spans="1:40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</row>
    <row r="106" spans="1:40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</row>
    <row r="107" spans="1:40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</row>
    <row r="108" spans="1:40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</row>
    <row r="109" spans="1:40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</row>
    <row r="110" spans="1:40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</row>
    <row r="111" spans="1:40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28"/>
      <c r="W111" s="28"/>
      <c r="X111" s="28"/>
      <c r="Y111" s="28"/>
      <c r="Z111" s="28"/>
    </row>
    <row r="112" spans="1:40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28"/>
      <c r="W112" s="28"/>
      <c r="X112" s="28"/>
      <c r="Y112" s="28"/>
      <c r="Z112" s="28"/>
    </row>
    <row r="113" spans="1:26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28"/>
      <c r="W113" s="28"/>
      <c r="X113" s="28"/>
      <c r="Y113" s="28"/>
      <c r="Z113" s="28"/>
    </row>
    <row r="114" spans="1:26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28"/>
      <c r="W114" s="28"/>
      <c r="X114" s="28"/>
      <c r="Y114" s="28"/>
      <c r="Z114" s="28"/>
    </row>
    <row r="115" spans="1:26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28"/>
      <c r="W115" s="28"/>
      <c r="X115" s="28"/>
      <c r="Y115" s="28"/>
      <c r="Z115" s="28"/>
    </row>
    <row r="116" spans="1:26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28"/>
      <c r="W116" s="28"/>
      <c r="X116" s="28"/>
      <c r="Y116" s="28"/>
      <c r="Z116" s="28"/>
    </row>
    <row r="117" spans="1:26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28"/>
      <c r="W117" s="28"/>
      <c r="X117" s="28"/>
      <c r="Y117" s="28"/>
      <c r="Z117" s="28"/>
    </row>
    <row r="118" spans="1:26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28"/>
      <c r="W118" s="28"/>
      <c r="X118" s="28"/>
      <c r="Y118" s="28"/>
      <c r="Z118" s="28"/>
    </row>
    <row r="119" spans="1:26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28"/>
      <c r="W119" s="28"/>
      <c r="X119" s="28"/>
      <c r="Y119" s="28"/>
      <c r="Z119" s="28"/>
    </row>
    <row r="120" spans="1:26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28"/>
      <c r="W120" s="28"/>
      <c r="X120" s="28"/>
      <c r="Y120" s="28"/>
      <c r="Z120" s="28"/>
    </row>
    <row r="121" spans="1:26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28"/>
      <c r="W121" s="28"/>
      <c r="X121" s="28"/>
      <c r="Y121" s="28"/>
      <c r="Z121" s="28"/>
    </row>
    <row r="122" spans="1:26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28"/>
      <c r="W122" s="28"/>
      <c r="X122" s="28"/>
      <c r="Y122" s="28"/>
      <c r="Z122" s="28"/>
    </row>
    <row r="123" spans="1:26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28"/>
      <c r="W123" s="28"/>
      <c r="X123" s="28"/>
      <c r="Y123" s="28"/>
      <c r="Z123" s="28"/>
    </row>
    <row r="124" spans="1:26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28"/>
      <c r="W124" s="28"/>
      <c r="X124" s="28"/>
      <c r="Y124" s="28"/>
      <c r="Z124" s="28"/>
    </row>
    <row r="125" spans="1:26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28"/>
      <c r="W125" s="28"/>
      <c r="X125" s="28"/>
      <c r="Y125" s="28"/>
      <c r="Z125" s="28"/>
    </row>
    <row r="126" spans="1:26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28"/>
      <c r="W126" s="28"/>
      <c r="X126" s="28"/>
      <c r="Y126" s="28"/>
      <c r="Z126" s="28"/>
    </row>
    <row r="127" spans="1:26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28"/>
      <c r="W127" s="28"/>
      <c r="X127" s="28"/>
      <c r="Y127" s="28"/>
      <c r="Z127" s="28"/>
    </row>
    <row r="128" spans="1:26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28"/>
      <c r="W128" s="28"/>
      <c r="X128" s="28"/>
      <c r="Y128" s="28"/>
      <c r="Z128" s="28"/>
    </row>
    <row r="129" spans="1:26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28"/>
      <c r="W129" s="28"/>
      <c r="X129" s="28"/>
      <c r="Y129" s="28"/>
      <c r="Z129" s="28"/>
    </row>
    <row r="130" spans="1:26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28"/>
      <c r="W130" s="28"/>
      <c r="X130" s="28"/>
      <c r="Y130" s="28"/>
      <c r="Z130" s="28"/>
    </row>
    <row r="131" spans="1:26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28"/>
      <c r="W131" s="28"/>
      <c r="X131" s="28"/>
      <c r="Y131" s="28"/>
      <c r="Z131" s="28"/>
    </row>
    <row r="132" spans="1:26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28"/>
      <c r="W132" s="28"/>
      <c r="X132" s="28"/>
      <c r="Y132" s="28"/>
      <c r="Z132" s="28"/>
    </row>
    <row r="133" spans="1:26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28"/>
      <c r="W133" s="28"/>
      <c r="X133" s="28"/>
      <c r="Y133" s="28"/>
      <c r="Z133" s="28"/>
    </row>
    <row r="134" spans="1:26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28"/>
      <c r="W134" s="28"/>
      <c r="X134" s="28"/>
      <c r="Y134" s="28"/>
      <c r="Z134" s="28"/>
    </row>
    <row r="135" spans="1:26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28"/>
      <c r="W135" s="28"/>
      <c r="X135" s="28"/>
      <c r="Y135" s="28"/>
      <c r="Z135" s="28"/>
    </row>
    <row r="136" spans="1:26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28"/>
      <c r="W136" s="28"/>
      <c r="X136" s="28"/>
      <c r="Y136" s="28"/>
      <c r="Z136" s="28"/>
    </row>
    <row r="137" spans="1:26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28"/>
      <c r="W137" s="28"/>
      <c r="X137" s="28"/>
      <c r="Y137" s="28"/>
      <c r="Z137" s="28"/>
    </row>
    <row r="138" spans="1:26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28"/>
      <c r="W138" s="28"/>
      <c r="X138" s="28"/>
      <c r="Y138" s="28"/>
      <c r="Z138" s="28"/>
    </row>
    <row r="139" spans="1:26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28"/>
      <c r="W139" s="28"/>
      <c r="X139" s="28"/>
      <c r="Y139" s="28"/>
      <c r="Z139" s="28"/>
    </row>
    <row r="140" spans="1:26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28"/>
      <c r="W140" s="28"/>
      <c r="X140" s="28"/>
      <c r="Y140" s="28"/>
      <c r="Z140" s="28"/>
    </row>
    <row r="141" spans="1:26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28"/>
      <c r="W141" s="28"/>
      <c r="X141" s="28"/>
      <c r="Y141" s="28"/>
      <c r="Z141" s="28"/>
    </row>
    <row r="142" spans="1:26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28"/>
      <c r="W142" s="28"/>
      <c r="X142" s="28"/>
      <c r="Y142" s="28"/>
      <c r="Z142" s="28"/>
    </row>
    <row r="143" spans="1:26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28"/>
      <c r="W143" s="28"/>
      <c r="X143" s="28"/>
      <c r="Y143" s="28"/>
      <c r="Z143" s="28"/>
    </row>
    <row r="144" spans="1:26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28"/>
      <c r="W144" s="28"/>
      <c r="X144" s="28"/>
      <c r="Y144" s="28"/>
      <c r="Z144" s="28"/>
    </row>
    <row r="145" spans="1:26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28"/>
      <c r="W145" s="28"/>
      <c r="X145" s="28"/>
      <c r="Y145" s="28"/>
      <c r="Z145" s="28"/>
    </row>
    <row r="146" spans="1:26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28"/>
      <c r="W146" s="28"/>
      <c r="X146" s="28"/>
      <c r="Y146" s="28"/>
      <c r="Z146" s="28"/>
    </row>
    <row r="147" spans="1:26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28"/>
      <c r="W147" s="28"/>
      <c r="X147" s="28"/>
      <c r="Y147" s="28"/>
      <c r="Z147" s="28"/>
    </row>
    <row r="148" spans="1:26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28"/>
      <c r="W148" s="28"/>
      <c r="X148" s="28"/>
      <c r="Y148" s="28"/>
      <c r="Z148" s="28"/>
    </row>
    <row r="149" spans="1:26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28"/>
      <c r="W149" s="28"/>
      <c r="X149" s="28"/>
      <c r="Y149" s="28"/>
      <c r="Z149" s="28"/>
    </row>
    <row r="150" spans="1:26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28"/>
      <c r="W150" s="28"/>
      <c r="X150" s="28"/>
      <c r="Y150" s="28"/>
      <c r="Z150" s="28"/>
    </row>
    <row r="151" spans="1:26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28"/>
      <c r="W151" s="28"/>
      <c r="X151" s="28"/>
      <c r="Y151" s="28"/>
      <c r="Z151" s="28"/>
    </row>
    <row r="152" spans="1:26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28"/>
      <c r="W152" s="28"/>
      <c r="X152" s="28"/>
      <c r="Y152" s="28"/>
      <c r="Z152" s="28"/>
    </row>
    <row r="153" spans="1:26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28"/>
      <c r="W153" s="28"/>
      <c r="X153" s="28"/>
      <c r="Y153" s="28"/>
      <c r="Z153" s="28"/>
    </row>
    <row r="154" spans="1:26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28"/>
      <c r="W154" s="28"/>
      <c r="X154" s="28"/>
      <c r="Y154" s="28"/>
      <c r="Z154" s="28"/>
    </row>
    <row r="155" spans="1:26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28"/>
      <c r="W155" s="28"/>
      <c r="X155" s="28"/>
      <c r="Y155" s="28"/>
      <c r="Z155" s="28"/>
    </row>
    <row r="156" spans="1:26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28"/>
      <c r="W156" s="28"/>
      <c r="X156" s="28"/>
      <c r="Y156" s="28"/>
      <c r="Z156" s="28"/>
    </row>
    <row r="157" spans="1:26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28"/>
      <c r="W157" s="28"/>
      <c r="X157" s="28"/>
      <c r="Y157" s="28"/>
      <c r="Z157" s="28"/>
    </row>
    <row r="158" spans="1:26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28"/>
      <c r="W158" s="28"/>
      <c r="X158" s="28"/>
      <c r="Y158" s="28"/>
      <c r="Z158" s="28"/>
    </row>
    <row r="159" spans="1:26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28"/>
      <c r="W159" s="28"/>
      <c r="X159" s="28"/>
      <c r="Y159" s="28"/>
      <c r="Z159" s="28"/>
    </row>
    <row r="160" spans="1:26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28"/>
      <c r="W160" s="28"/>
      <c r="X160" s="28"/>
      <c r="Y160" s="28"/>
      <c r="Z160" s="28"/>
    </row>
    <row r="161" spans="1:26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28"/>
      <c r="W161" s="28"/>
      <c r="X161" s="28"/>
      <c r="Y161" s="28"/>
      <c r="Z161" s="28"/>
    </row>
    <row r="162" spans="1:26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28"/>
      <c r="W162" s="28"/>
      <c r="X162" s="28"/>
      <c r="Y162" s="28"/>
      <c r="Z162" s="28"/>
    </row>
    <row r="163" spans="1:26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28"/>
      <c r="W163" s="28"/>
      <c r="X163" s="28"/>
      <c r="Y163" s="28"/>
      <c r="Z163" s="28"/>
    </row>
    <row r="164" spans="1:26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28"/>
      <c r="W164" s="28"/>
      <c r="X164" s="28"/>
      <c r="Y164" s="28"/>
      <c r="Z164" s="28"/>
    </row>
    <row r="165" spans="1:26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28"/>
      <c r="W165" s="28"/>
      <c r="X165" s="28"/>
      <c r="Y165" s="28"/>
      <c r="Z165" s="28"/>
    </row>
    <row r="166" spans="1:26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28"/>
      <c r="W166" s="28"/>
      <c r="X166" s="28"/>
      <c r="Y166" s="28"/>
      <c r="Z166" s="28"/>
    </row>
    <row r="167" spans="1:26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28"/>
      <c r="W167" s="28"/>
      <c r="X167" s="28"/>
      <c r="Y167" s="28"/>
      <c r="Z167" s="28"/>
    </row>
    <row r="168" spans="1:26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28"/>
      <c r="W168" s="28"/>
      <c r="X168" s="28"/>
      <c r="Y168" s="28"/>
      <c r="Z168" s="28"/>
    </row>
    <row r="169" spans="1:26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28"/>
      <c r="W169" s="28"/>
      <c r="X169" s="28"/>
      <c r="Y169" s="28"/>
      <c r="Z169" s="28"/>
    </row>
    <row r="170" spans="1:26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28"/>
      <c r="W170" s="28"/>
      <c r="X170" s="28"/>
      <c r="Y170" s="28"/>
      <c r="Z170" s="28"/>
    </row>
    <row r="171" spans="1:26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28"/>
      <c r="W171" s="28"/>
      <c r="X171" s="28"/>
      <c r="Y171" s="28"/>
      <c r="Z171" s="28"/>
    </row>
    <row r="172" spans="1:26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28"/>
      <c r="W172" s="28"/>
      <c r="X172" s="28"/>
      <c r="Y172" s="28"/>
      <c r="Z172" s="28"/>
    </row>
    <row r="173" spans="1:26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28"/>
      <c r="W173" s="28"/>
      <c r="X173" s="28"/>
      <c r="Y173" s="28"/>
      <c r="Z173" s="28"/>
    </row>
    <row r="174" spans="1:26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28"/>
      <c r="W174" s="28"/>
      <c r="X174" s="28"/>
      <c r="Y174" s="28"/>
      <c r="Z174" s="28"/>
    </row>
    <row r="175" spans="1:26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28"/>
      <c r="W175" s="28"/>
      <c r="X175" s="28"/>
      <c r="Y175" s="28"/>
      <c r="Z175" s="28"/>
    </row>
    <row r="176" spans="1:26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28"/>
      <c r="W176" s="28"/>
      <c r="X176" s="28"/>
      <c r="Y176" s="28"/>
      <c r="Z176" s="28"/>
    </row>
    <row r="177" spans="1:26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28"/>
      <c r="W177" s="28"/>
      <c r="X177" s="28"/>
      <c r="Y177" s="28"/>
      <c r="Z177" s="28"/>
    </row>
    <row r="178" spans="1:26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28"/>
      <c r="W178" s="28"/>
      <c r="X178" s="28"/>
      <c r="Y178" s="28"/>
      <c r="Z178" s="28"/>
    </row>
    <row r="179" spans="1:26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28"/>
      <c r="W179" s="28"/>
      <c r="X179" s="28"/>
      <c r="Y179" s="28"/>
      <c r="Z179" s="28"/>
    </row>
    <row r="180" spans="1:26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28"/>
      <c r="W180" s="28"/>
      <c r="X180" s="28"/>
      <c r="Y180" s="28"/>
      <c r="Z180" s="28"/>
    </row>
    <row r="181" spans="1:26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28"/>
      <c r="W181" s="28"/>
      <c r="X181" s="28"/>
      <c r="Y181" s="28"/>
      <c r="Z181" s="28"/>
    </row>
    <row r="182" spans="1:26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28"/>
      <c r="W182" s="28"/>
      <c r="X182" s="28"/>
      <c r="Y182" s="28"/>
      <c r="Z182" s="28"/>
    </row>
    <row r="183" spans="1:26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28"/>
      <c r="W183" s="28"/>
      <c r="X183" s="28"/>
      <c r="Y183" s="28"/>
      <c r="Z183" s="28"/>
    </row>
    <row r="184" spans="1:26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28"/>
      <c r="W184" s="28"/>
      <c r="X184" s="28"/>
      <c r="Y184" s="28"/>
      <c r="Z184" s="28"/>
    </row>
    <row r="185" spans="1:26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28"/>
      <c r="W185" s="28"/>
      <c r="X185" s="28"/>
      <c r="Y185" s="28"/>
      <c r="Z185" s="28"/>
    </row>
    <row r="186" spans="1:26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28"/>
      <c r="W186" s="28"/>
      <c r="X186" s="28"/>
      <c r="Y186" s="28"/>
      <c r="Z186" s="28"/>
    </row>
    <row r="187" spans="1:26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28"/>
      <c r="W187" s="28"/>
      <c r="X187" s="28"/>
      <c r="Y187" s="28"/>
      <c r="Z187" s="28"/>
    </row>
    <row r="188" spans="1:26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28"/>
      <c r="W188" s="28"/>
      <c r="X188" s="28"/>
      <c r="Y188" s="28"/>
      <c r="Z188" s="28"/>
    </row>
    <row r="189" spans="1:26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28"/>
      <c r="W189" s="28"/>
      <c r="X189" s="28"/>
      <c r="Y189" s="28"/>
      <c r="Z189" s="28"/>
    </row>
    <row r="190" spans="1:26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28"/>
      <c r="W190" s="28"/>
      <c r="X190" s="28"/>
      <c r="Y190" s="28"/>
      <c r="Z190" s="28"/>
    </row>
    <row r="191" spans="1:26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28"/>
      <c r="W191" s="28"/>
      <c r="X191" s="28"/>
      <c r="Y191" s="28"/>
      <c r="Z191" s="28"/>
    </row>
    <row r="192" spans="1:26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28"/>
      <c r="W192" s="28"/>
      <c r="X192" s="28"/>
      <c r="Y192" s="28"/>
      <c r="Z192" s="28"/>
    </row>
    <row r="193" spans="1:26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28"/>
      <c r="W193" s="28"/>
      <c r="X193" s="28"/>
      <c r="Y193" s="28"/>
      <c r="Z193" s="28"/>
    </row>
    <row r="194" spans="1:26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28"/>
      <c r="W194" s="28"/>
      <c r="X194" s="28"/>
      <c r="Y194" s="28"/>
      <c r="Z194" s="28"/>
    </row>
    <row r="195" spans="1:26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28"/>
      <c r="W195" s="28"/>
      <c r="X195" s="28"/>
      <c r="Y195" s="28"/>
      <c r="Z195" s="28"/>
    </row>
    <row r="196" spans="1:26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28"/>
      <c r="W196" s="28"/>
      <c r="X196" s="28"/>
      <c r="Y196" s="28"/>
      <c r="Z196" s="28"/>
    </row>
    <row r="197" spans="1:26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28"/>
      <c r="W197" s="28"/>
      <c r="X197" s="28"/>
      <c r="Y197" s="28"/>
      <c r="Z197" s="28"/>
    </row>
    <row r="198" spans="1:26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28"/>
      <c r="W198" s="28"/>
      <c r="X198" s="28"/>
      <c r="Y198" s="28"/>
      <c r="Z198" s="28"/>
    </row>
    <row r="199" spans="1:26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28"/>
      <c r="W199" s="28"/>
      <c r="X199" s="28"/>
      <c r="Y199" s="28"/>
      <c r="Z199" s="28"/>
    </row>
    <row r="200" spans="1:26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28"/>
      <c r="W200" s="28"/>
      <c r="X200" s="28"/>
      <c r="Y200" s="28"/>
      <c r="Z200" s="28"/>
    </row>
    <row r="201" spans="1:26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28"/>
      <c r="W201" s="28"/>
      <c r="X201" s="28"/>
      <c r="Y201" s="28"/>
      <c r="Z201" s="28"/>
    </row>
    <row r="202" spans="1:26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28"/>
      <c r="W202" s="28"/>
      <c r="X202" s="28"/>
      <c r="Y202" s="28"/>
      <c r="Z202" s="28"/>
    </row>
    <row r="203" spans="1:26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28"/>
      <c r="W203" s="28"/>
      <c r="X203" s="28"/>
      <c r="Y203" s="28"/>
      <c r="Z203" s="28"/>
    </row>
    <row r="204" spans="1:26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28"/>
      <c r="W204" s="28"/>
      <c r="X204" s="28"/>
      <c r="Y204" s="28"/>
      <c r="Z204" s="28"/>
    </row>
    <row r="205" spans="1:26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28"/>
      <c r="W205" s="28"/>
      <c r="X205" s="28"/>
      <c r="Y205" s="28"/>
      <c r="Z205" s="28"/>
    </row>
    <row r="206" spans="1:26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28"/>
      <c r="W206" s="28"/>
      <c r="X206" s="28"/>
      <c r="Y206" s="28"/>
      <c r="Z206" s="28"/>
    </row>
    <row r="207" spans="1:26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28"/>
      <c r="W207" s="28"/>
      <c r="X207" s="28"/>
      <c r="Y207" s="28"/>
      <c r="Z207" s="28"/>
    </row>
    <row r="208" spans="1:26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28"/>
      <c r="W208" s="28"/>
      <c r="X208" s="28"/>
      <c r="Y208" s="28"/>
      <c r="Z208" s="28"/>
    </row>
    <row r="209" spans="1:26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28"/>
      <c r="W209" s="28"/>
      <c r="X209" s="28"/>
      <c r="Y209" s="28"/>
      <c r="Z209" s="28"/>
    </row>
    <row r="210" spans="1:26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28"/>
      <c r="W210" s="28"/>
      <c r="X210" s="28"/>
      <c r="Y210" s="28"/>
      <c r="Z210" s="28"/>
    </row>
    <row r="211" spans="1:26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28"/>
      <c r="W211" s="28"/>
      <c r="X211" s="28"/>
      <c r="Y211" s="28"/>
      <c r="Z211" s="28"/>
    </row>
    <row r="212" spans="1:26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28"/>
      <c r="W212" s="28"/>
      <c r="X212" s="28"/>
      <c r="Y212" s="28"/>
      <c r="Z212" s="28"/>
    </row>
    <row r="213" spans="1:26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28"/>
      <c r="W213" s="28"/>
      <c r="X213" s="28"/>
      <c r="Y213" s="28"/>
      <c r="Z213" s="28"/>
    </row>
    <row r="214" spans="1:26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28"/>
      <c r="W214" s="28"/>
      <c r="X214" s="28"/>
      <c r="Y214" s="28"/>
      <c r="Z214" s="28"/>
    </row>
    <row r="215" spans="1:26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28"/>
      <c r="W215" s="28"/>
      <c r="X215" s="28"/>
      <c r="Y215" s="28"/>
      <c r="Z215" s="28"/>
    </row>
    <row r="216" spans="1:26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28"/>
      <c r="W216" s="28"/>
      <c r="X216" s="28"/>
      <c r="Y216" s="28"/>
      <c r="Z216" s="28"/>
    </row>
    <row r="217" spans="1:26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28"/>
      <c r="W217" s="28"/>
      <c r="X217" s="28"/>
      <c r="Y217" s="28"/>
      <c r="Z217" s="28"/>
    </row>
    <row r="218" spans="1:26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28"/>
      <c r="W218" s="28"/>
      <c r="X218" s="28"/>
      <c r="Y218" s="28"/>
      <c r="Z218" s="28"/>
    </row>
    <row r="219" spans="1:26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28"/>
      <c r="W219" s="28"/>
      <c r="X219" s="28"/>
      <c r="Y219" s="28"/>
      <c r="Z219" s="28"/>
    </row>
    <row r="220" spans="1:26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28"/>
      <c r="W220" s="28"/>
      <c r="X220" s="28"/>
      <c r="Y220" s="28"/>
      <c r="Z220" s="28"/>
    </row>
    <row r="221" spans="1:26" ht="14.25" customHeight="1" x14ac:dyDescent="0.2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14.25" customHeight="1" x14ac:dyDescent="0.2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14.25" customHeight="1" x14ac:dyDescent="0.2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14.25" customHeight="1" x14ac:dyDescent="0.2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14.25" customHeight="1" x14ac:dyDescent="0.2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14.25" customHeight="1" x14ac:dyDescent="0.2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14.25" customHeight="1" x14ac:dyDescent="0.2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14.25" customHeight="1" x14ac:dyDescent="0.2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14.25" customHeight="1" x14ac:dyDescent="0.2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14.25" customHeight="1" x14ac:dyDescent="0.2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14.25" customHeight="1" x14ac:dyDescent="0.2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14.25" customHeight="1" x14ac:dyDescent="0.2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14.25" customHeight="1" x14ac:dyDescent="0.2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14.25" customHeight="1" x14ac:dyDescent="0.2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14.25" customHeight="1" x14ac:dyDescent="0.2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14.25" customHeight="1" x14ac:dyDescent="0.2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14.25" customHeight="1" x14ac:dyDescent="0.2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14.25" customHeight="1" x14ac:dyDescent="0.2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14.25" customHeight="1" x14ac:dyDescent="0.2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14.25" customHeight="1" x14ac:dyDescent="0.2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14.25" customHeight="1" x14ac:dyDescent="0.2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14.25" customHeight="1" x14ac:dyDescent="0.2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14.25" customHeight="1" x14ac:dyDescent="0.2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14.25" customHeight="1" x14ac:dyDescent="0.2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14.25" customHeight="1" x14ac:dyDescent="0.2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14.25" customHeight="1" x14ac:dyDescent="0.2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14.25" customHeight="1" x14ac:dyDescent="0.2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14.25" customHeight="1" x14ac:dyDescent="0.2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14.25" customHeight="1" x14ac:dyDescent="0.2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14.25" customHeight="1" x14ac:dyDescent="0.2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14.25" customHeight="1" x14ac:dyDescent="0.2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14.25" customHeight="1" x14ac:dyDescent="0.2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14.25" customHeight="1" x14ac:dyDescent="0.2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14.25" customHeight="1" x14ac:dyDescent="0.2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14.25" customHeight="1" x14ac:dyDescent="0.2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14.25" customHeight="1" x14ac:dyDescent="0.2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14.25" customHeight="1" x14ac:dyDescent="0.2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14.25" customHeight="1" x14ac:dyDescent="0.2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14.25" customHeight="1" x14ac:dyDescent="0.2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14.25" customHeight="1" x14ac:dyDescent="0.2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14.25" customHeight="1" x14ac:dyDescent="0.2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14.25" customHeight="1" x14ac:dyDescent="0.2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14.25" customHeight="1" x14ac:dyDescent="0.2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14.25" customHeight="1" x14ac:dyDescent="0.2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14.25" customHeight="1" x14ac:dyDescent="0.2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14.25" customHeight="1" x14ac:dyDescent="0.2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14.25" customHeight="1" x14ac:dyDescent="0.2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14.25" customHeight="1" x14ac:dyDescent="0.2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14.25" customHeight="1" x14ac:dyDescent="0.2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14.25" customHeight="1" x14ac:dyDescent="0.2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14.25" customHeight="1" x14ac:dyDescent="0.2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14.25" customHeight="1" x14ac:dyDescent="0.2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14.25" customHeight="1" x14ac:dyDescent="0.2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14.25" customHeight="1" x14ac:dyDescent="0.2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14.25" customHeight="1" x14ac:dyDescent="0.2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14.25" customHeight="1" x14ac:dyDescent="0.2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14.25" customHeight="1" x14ac:dyDescent="0.2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14.25" customHeight="1" x14ac:dyDescent="0.2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14.25" customHeight="1" x14ac:dyDescent="0.2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14.25" customHeight="1" x14ac:dyDescent="0.2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14.25" customHeight="1" x14ac:dyDescent="0.2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14.25" customHeight="1" x14ac:dyDescent="0.2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14.25" customHeight="1" x14ac:dyDescent="0.2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14.25" customHeight="1" x14ac:dyDescent="0.2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14.25" customHeight="1" x14ac:dyDescent="0.2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14.25" customHeight="1" x14ac:dyDescent="0.2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14.25" customHeight="1" x14ac:dyDescent="0.2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14.25" customHeight="1" x14ac:dyDescent="0.2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14.25" customHeight="1" x14ac:dyDescent="0.2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14.25" customHeight="1" x14ac:dyDescent="0.2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14.25" customHeight="1" x14ac:dyDescent="0.2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14.25" customHeight="1" x14ac:dyDescent="0.2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14.25" customHeight="1" x14ac:dyDescent="0.2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14.25" customHeight="1" x14ac:dyDescent="0.2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14.25" customHeight="1" x14ac:dyDescent="0.2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14.25" customHeight="1" x14ac:dyDescent="0.2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14.25" customHeight="1" x14ac:dyDescent="0.2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14.25" customHeight="1" x14ac:dyDescent="0.2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14.25" customHeight="1" x14ac:dyDescent="0.2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14.25" customHeight="1" x14ac:dyDescent="0.2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14.25" customHeight="1" x14ac:dyDescent="0.2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14.25" customHeight="1" x14ac:dyDescent="0.2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14.25" customHeight="1" x14ac:dyDescent="0.2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14.25" customHeight="1" x14ac:dyDescent="0.2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14.25" customHeight="1" x14ac:dyDescent="0.2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14.25" customHeight="1" x14ac:dyDescent="0.2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14.25" customHeight="1" x14ac:dyDescent="0.2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14.25" customHeight="1" x14ac:dyDescent="0.2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14.25" customHeight="1" x14ac:dyDescent="0.2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14.25" customHeight="1" x14ac:dyDescent="0.2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14.25" customHeight="1" x14ac:dyDescent="0.2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14.25" customHeight="1" x14ac:dyDescent="0.2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14.25" customHeight="1" x14ac:dyDescent="0.2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14.25" customHeight="1" x14ac:dyDescent="0.2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14.25" customHeight="1" x14ac:dyDescent="0.2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14.25" customHeight="1" x14ac:dyDescent="0.2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14.25" customHeight="1" x14ac:dyDescent="0.2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14.25" customHeight="1" x14ac:dyDescent="0.2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14.25" customHeight="1" x14ac:dyDescent="0.2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14.25" customHeight="1" x14ac:dyDescent="0.2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14.25" customHeight="1" x14ac:dyDescent="0.2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14.25" customHeight="1" x14ac:dyDescent="0.2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14.25" customHeight="1" x14ac:dyDescent="0.2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14.25" customHeight="1" x14ac:dyDescent="0.2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14.25" customHeight="1" x14ac:dyDescent="0.2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14.25" customHeight="1" x14ac:dyDescent="0.2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14.25" customHeight="1" x14ac:dyDescent="0.2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14.25" customHeight="1" x14ac:dyDescent="0.2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14.25" customHeight="1" x14ac:dyDescent="0.2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14.25" customHeight="1" x14ac:dyDescent="0.2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14.25" customHeight="1" x14ac:dyDescent="0.2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14.25" customHeight="1" x14ac:dyDescent="0.2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14.25" customHeight="1" x14ac:dyDescent="0.2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14.25" customHeight="1" x14ac:dyDescent="0.2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14.25" customHeight="1" x14ac:dyDescent="0.2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14.25" customHeight="1" x14ac:dyDescent="0.2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14.25" customHeight="1" x14ac:dyDescent="0.2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14.25" customHeight="1" x14ac:dyDescent="0.2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14.25" customHeight="1" x14ac:dyDescent="0.2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14.25" customHeight="1" x14ac:dyDescent="0.2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14.25" customHeight="1" x14ac:dyDescent="0.2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14.25" customHeight="1" x14ac:dyDescent="0.2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14.25" customHeight="1" x14ac:dyDescent="0.2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14.25" customHeight="1" x14ac:dyDescent="0.2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14.25" customHeight="1" x14ac:dyDescent="0.2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14.25" customHeight="1" x14ac:dyDescent="0.2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14.25" customHeight="1" x14ac:dyDescent="0.2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14.25" customHeight="1" x14ac:dyDescent="0.2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14.25" customHeight="1" x14ac:dyDescent="0.2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14.25" customHeight="1" x14ac:dyDescent="0.2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14.25" customHeight="1" x14ac:dyDescent="0.2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14.25" customHeight="1" x14ac:dyDescent="0.2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14.25" customHeight="1" x14ac:dyDescent="0.2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14.25" customHeight="1" x14ac:dyDescent="0.2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14.25" customHeight="1" x14ac:dyDescent="0.2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14.25" customHeight="1" x14ac:dyDescent="0.2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14.25" customHeight="1" x14ac:dyDescent="0.2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14.25" customHeight="1" x14ac:dyDescent="0.2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14.25" customHeight="1" x14ac:dyDescent="0.2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14.25" customHeight="1" x14ac:dyDescent="0.2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14.25" customHeight="1" x14ac:dyDescent="0.2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14.25" customHeight="1" x14ac:dyDescent="0.2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14.25" customHeight="1" x14ac:dyDescent="0.2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14.25" customHeight="1" x14ac:dyDescent="0.2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14.25" customHeight="1" x14ac:dyDescent="0.2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14.25" customHeight="1" x14ac:dyDescent="0.2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14.25" customHeight="1" x14ac:dyDescent="0.2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14.25" customHeight="1" x14ac:dyDescent="0.2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14.25" customHeight="1" x14ac:dyDescent="0.2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14.25" customHeight="1" x14ac:dyDescent="0.2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14.25" customHeight="1" x14ac:dyDescent="0.2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14.25" customHeight="1" x14ac:dyDescent="0.2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14.25" customHeight="1" x14ac:dyDescent="0.2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14.25" customHeight="1" x14ac:dyDescent="0.2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14.25" customHeight="1" x14ac:dyDescent="0.2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14.25" customHeight="1" x14ac:dyDescent="0.2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14.25" customHeight="1" x14ac:dyDescent="0.2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14.25" customHeight="1" x14ac:dyDescent="0.2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14.25" customHeight="1" x14ac:dyDescent="0.2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14.25" customHeight="1" x14ac:dyDescent="0.2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14.25" customHeight="1" x14ac:dyDescent="0.2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14.25" customHeight="1" x14ac:dyDescent="0.2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14.25" customHeight="1" x14ac:dyDescent="0.2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14.25" customHeight="1" x14ac:dyDescent="0.2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14.25" customHeight="1" x14ac:dyDescent="0.2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14.25" customHeight="1" x14ac:dyDescent="0.2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14.25" customHeight="1" x14ac:dyDescent="0.2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14.25" customHeight="1" x14ac:dyDescent="0.2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14.25" customHeight="1" x14ac:dyDescent="0.2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14.25" customHeight="1" x14ac:dyDescent="0.2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14.25" customHeight="1" x14ac:dyDescent="0.2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14.25" customHeight="1" x14ac:dyDescent="0.2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14.25" customHeight="1" x14ac:dyDescent="0.2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14.25" customHeight="1" x14ac:dyDescent="0.2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14.25" customHeight="1" x14ac:dyDescent="0.2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14.25" customHeight="1" x14ac:dyDescent="0.2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14.25" customHeight="1" x14ac:dyDescent="0.2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14.25" customHeight="1" x14ac:dyDescent="0.2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14.25" customHeight="1" x14ac:dyDescent="0.2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14.25" customHeight="1" x14ac:dyDescent="0.2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14.25" customHeight="1" x14ac:dyDescent="0.2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14.25" customHeight="1" x14ac:dyDescent="0.2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14.25" customHeight="1" x14ac:dyDescent="0.2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14.25" customHeight="1" x14ac:dyDescent="0.2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14.25" customHeight="1" x14ac:dyDescent="0.2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14.25" customHeight="1" x14ac:dyDescent="0.2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14.25" customHeight="1" x14ac:dyDescent="0.2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14.25" customHeight="1" x14ac:dyDescent="0.2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14.25" customHeight="1" x14ac:dyDescent="0.2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14.25" customHeight="1" x14ac:dyDescent="0.2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14.25" customHeight="1" x14ac:dyDescent="0.2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14.25" customHeight="1" x14ac:dyDescent="0.2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14.25" customHeight="1" x14ac:dyDescent="0.2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14.25" customHeight="1" x14ac:dyDescent="0.2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14.25" customHeight="1" x14ac:dyDescent="0.2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14.25" customHeight="1" x14ac:dyDescent="0.2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14.25" customHeight="1" x14ac:dyDescent="0.2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14.25" customHeight="1" x14ac:dyDescent="0.2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14.25" customHeight="1" x14ac:dyDescent="0.2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14.25" customHeight="1" x14ac:dyDescent="0.2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14.25" customHeight="1" x14ac:dyDescent="0.2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14.25" customHeight="1" x14ac:dyDescent="0.2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14.25" customHeight="1" x14ac:dyDescent="0.2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14.25" customHeight="1" x14ac:dyDescent="0.2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14.25" customHeight="1" x14ac:dyDescent="0.2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14.25" customHeight="1" x14ac:dyDescent="0.2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14.25" customHeight="1" x14ac:dyDescent="0.2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14.25" customHeight="1" x14ac:dyDescent="0.2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14.25" customHeight="1" x14ac:dyDescent="0.2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14.25" customHeight="1" x14ac:dyDescent="0.2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14.25" customHeight="1" x14ac:dyDescent="0.2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14.25" customHeight="1" x14ac:dyDescent="0.2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14.25" customHeight="1" x14ac:dyDescent="0.2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14.25" customHeight="1" x14ac:dyDescent="0.2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14.25" customHeight="1" x14ac:dyDescent="0.2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14.25" customHeight="1" x14ac:dyDescent="0.2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14.25" customHeight="1" x14ac:dyDescent="0.2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14.25" customHeight="1" x14ac:dyDescent="0.2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14.25" customHeight="1" x14ac:dyDescent="0.2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14.25" customHeight="1" x14ac:dyDescent="0.2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14.25" customHeight="1" x14ac:dyDescent="0.2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14.25" customHeight="1" x14ac:dyDescent="0.2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14.25" customHeight="1" x14ac:dyDescent="0.2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14.25" customHeight="1" x14ac:dyDescent="0.2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14.25" customHeight="1" x14ac:dyDescent="0.2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14.25" customHeight="1" x14ac:dyDescent="0.2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14.25" customHeight="1" x14ac:dyDescent="0.2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14.25" customHeight="1" x14ac:dyDescent="0.2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14.25" customHeight="1" x14ac:dyDescent="0.2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14.25" customHeight="1" x14ac:dyDescent="0.2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14.25" customHeight="1" x14ac:dyDescent="0.2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14.25" customHeight="1" x14ac:dyDescent="0.2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14.25" customHeight="1" x14ac:dyDescent="0.2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14.25" customHeight="1" x14ac:dyDescent="0.2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14.25" customHeight="1" x14ac:dyDescent="0.2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14.25" customHeight="1" x14ac:dyDescent="0.2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14.25" customHeight="1" x14ac:dyDescent="0.2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14.25" customHeight="1" x14ac:dyDescent="0.2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14.25" customHeight="1" x14ac:dyDescent="0.2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14.25" customHeight="1" x14ac:dyDescent="0.2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14.25" customHeight="1" x14ac:dyDescent="0.2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14.25" customHeight="1" x14ac:dyDescent="0.2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14.25" customHeight="1" x14ac:dyDescent="0.2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14.25" customHeight="1" x14ac:dyDescent="0.2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14.25" customHeight="1" x14ac:dyDescent="0.2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14.25" customHeight="1" x14ac:dyDescent="0.2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14.25" customHeight="1" x14ac:dyDescent="0.2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14.25" customHeight="1" x14ac:dyDescent="0.2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14.25" customHeight="1" x14ac:dyDescent="0.2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14.25" customHeight="1" x14ac:dyDescent="0.2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14.25" customHeight="1" x14ac:dyDescent="0.2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14.25" customHeight="1" x14ac:dyDescent="0.2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14.25" customHeight="1" x14ac:dyDescent="0.2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14.25" customHeight="1" x14ac:dyDescent="0.2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14.25" customHeight="1" x14ac:dyDescent="0.2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14.25" customHeight="1" x14ac:dyDescent="0.2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14.25" customHeight="1" x14ac:dyDescent="0.2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14.25" customHeight="1" x14ac:dyDescent="0.2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14.25" customHeight="1" x14ac:dyDescent="0.2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14.25" customHeight="1" x14ac:dyDescent="0.2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14.25" customHeight="1" x14ac:dyDescent="0.2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14.25" customHeight="1" x14ac:dyDescent="0.2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14.25" customHeight="1" x14ac:dyDescent="0.2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14.25" customHeight="1" x14ac:dyDescent="0.2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14.25" customHeight="1" x14ac:dyDescent="0.2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14.25" customHeight="1" x14ac:dyDescent="0.2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14.25" customHeight="1" x14ac:dyDescent="0.2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14.25" customHeight="1" x14ac:dyDescent="0.2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14.25" customHeight="1" x14ac:dyDescent="0.2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14.25" customHeight="1" x14ac:dyDescent="0.2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14.25" customHeight="1" x14ac:dyDescent="0.2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14.25" customHeight="1" x14ac:dyDescent="0.2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14.25" customHeight="1" x14ac:dyDescent="0.2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14.25" customHeight="1" x14ac:dyDescent="0.2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14.25" customHeight="1" x14ac:dyDescent="0.2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14.25" customHeight="1" x14ac:dyDescent="0.2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14.25" customHeight="1" x14ac:dyDescent="0.2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14.25" customHeight="1" x14ac:dyDescent="0.2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14.25" customHeight="1" x14ac:dyDescent="0.2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14.25" customHeight="1" x14ac:dyDescent="0.2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14.25" customHeight="1" x14ac:dyDescent="0.2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14.25" customHeight="1" x14ac:dyDescent="0.2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14.25" customHeight="1" x14ac:dyDescent="0.2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14.25" customHeight="1" x14ac:dyDescent="0.2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14.25" customHeight="1" x14ac:dyDescent="0.2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14.25" customHeight="1" x14ac:dyDescent="0.2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14.25" customHeight="1" x14ac:dyDescent="0.2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14.25" customHeight="1" x14ac:dyDescent="0.2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14.25" customHeight="1" x14ac:dyDescent="0.2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14.25" customHeight="1" x14ac:dyDescent="0.2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14.25" customHeight="1" x14ac:dyDescent="0.2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14.25" customHeight="1" x14ac:dyDescent="0.2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14.25" customHeight="1" x14ac:dyDescent="0.2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14.25" customHeight="1" x14ac:dyDescent="0.2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14.25" customHeight="1" x14ac:dyDescent="0.2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14.25" customHeight="1" x14ac:dyDescent="0.2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14.25" customHeight="1" x14ac:dyDescent="0.2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14.25" customHeight="1" x14ac:dyDescent="0.2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14.25" customHeight="1" x14ac:dyDescent="0.2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14.25" customHeight="1" x14ac:dyDescent="0.2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14.25" customHeight="1" x14ac:dyDescent="0.2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14.25" customHeight="1" x14ac:dyDescent="0.2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14.25" customHeight="1" x14ac:dyDescent="0.2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14.25" customHeight="1" x14ac:dyDescent="0.2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14.25" customHeight="1" x14ac:dyDescent="0.2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14.25" customHeight="1" x14ac:dyDescent="0.2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14.25" customHeight="1" x14ac:dyDescent="0.2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14.25" customHeight="1" x14ac:dyDescent="0.2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14.25" customHeight="1" x14ac:dyDescent="0.2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14.25" customHeight="1" x14ac:dyDescent="0.2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14.25" customHeight="1" x14ac:dyDescent="0.2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14.25" customHeight="1" x14ac:dyDescent="0.2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14.25" customHeight="1" x14ac:dyDescent="0.2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14.25" customHeight="1" x14ac:dyDescent="0.2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14.25" customHeight="1" x14ac:dyDescent="0.2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14.25" customHeight="1" x14ac:dyDescent="0.2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14.25" customHeight="1" x14ac:dyDescent="0.2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14.25" customHeight="1" x14ac:dyDescent="0.2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14.25" customHeight="1" x14ac:dyDescent="0.2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14.25" customHeight="1" x14ac:dyDescent="0.2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14.25" customHeight="1" x14ac:dyDescent="0.2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14.25" customHeight="1" x14ac:dyDescent="0.2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14.25" customHeight="1" x14ac:dyDescent="0.2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14.25" customHeight="1" x14ac:dyDescent="0.2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14.25" customHeight="1" x14ac:dyDescent="0.2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14.25" customHeight="1" x14ac:dyDescent="0.2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14.25" customHeight="1" x14ac:dyDescent="0.2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14.25" customHeight="1" x14ac:dyDescent="0.2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14.25" customHeight="1" x14ac:dyDescent="0.2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14.25" customHeight="1" x14ac:dyDescent="0.2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14.25" customHeight="1" x14ac:dyDescent="0.2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14.25" customHeight="1" x14ac:dyDescent="0.2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14.25" customHeight="1" x14ac:dyDescent="0.2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14.25" customHeight="1" x14ac:dyDescent="0.2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14.25" customHeight="1" x14ac:dyDescent="0.2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14.25" customHeight="1" x14ac:dyDescent="0.2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14.25" customHeight="1" x14ac:dyDescent="0.2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14.25" customHeight="1" x14ac:dyDescent="0.2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14.25" customHeight="1" x14ac:dyDescent="0.2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14.25" customHeight="1" x14ac:dyDescent="0.2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14.25" customHeight="1" x14ac:dyDescent="0.2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14.25" customHeight="1" x14ac:dyDescent="0.2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14.25" customHeight="1" x14ac:dyDescent="0.2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14.25" customHeight="1" x14ac:dyDescent="0.2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14.25" customHeight="1" x14ac:dyDescent="0.2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14.25" customHeight="1" x14ac:dyDescent="0.2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14.25" customHeight="1" x14ac:dyDescent="0.2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14.25" customHeight="1" x14ac:dyDescent="0.2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14.25" customHeight="1" x14ac:dyDescent="0.2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14.25" customHeight="1" x14ac:dyDescent="0.2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14.25" customHeight="1" x14ac:dyDescent="0.2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14.25" customHeight="1" x14ac:dyDescent="0.2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14.25" customHeight="1" x14ac:dyDescent="0.2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14.25" customHeight="1" x14ac:dyDescent="0.2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14.25" customHeight="1" x14ac:dyDescent="0.2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14.25" customHeight="1" x14ac:dyDescent="0.2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14.25" customHeight="1" x14ac:dyDescent="0.2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14.25" customHeight="1" x14ac:dyDescent="0.2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14.25" customHeight="1" x14ac:dyDescent="0.2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14.25" customHeight="1" x14ac:dyDescent="0.2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14.25" customHeight="1" x14ac:dyDescent="0.2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14.25" customHeight="1" x14ac:dyDescent="0.2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14.25" customHeight="1" x14ac:dyDescent="0.2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14.25" customHeight="1" x14ac:dyDescent="0.2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14.25" customHeight="1" x14ac:dyDescent="0.2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14.25" customHeight="1" x14ac:dyDescent="0.2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14.25" customHeight="1" x14ac:dyDescent="0.2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14.25" customHeight="1" x14ac:dyDescent="0.2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14.25" customHeight="1" x14ac:dyDescent="0.2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14.25" customHeight="1" x14ac:dyDescent="0.2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14.25" customHeight="1" x14ac:dyDescent="0.2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14.25" customHeight="1" x14ac:dyDescent="0.2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14.25" customHeight="1" x14ac:dyDescent="0.2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14.25" customHeight="1" x14ac:dyDescent="0.2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14.25" customHeight="1" x14ac:dyDescent="0.2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14.25" customHeight="1" x14ac:dyDescent="0.2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14.25" customHeight="1" x14ac:dyDescent="0.2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14.25" customHeight="1" x14ac:dyDescent="0.2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14.25" customHeight="1" x14ac:dyDescent="0.2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14.25" customHeight="1" x14ac:dyDescent="0.2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14.25" customHeight="1" x14ac:dyDescent="0.2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14.25" customHeight="1" x14ac:dyDescent="0.2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14.25" customHeight="1" x14ac:dyDescent="0.2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14.25" customHeight="1" x14ac:dyDescent="0.2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14.25" customHeight="1" x14ac:dyDescent="0.2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14.25" customHeight="1" x14ac:dyDescent="0.2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14.25" customHeight="1" x14ac:dyDescent="0.2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14.25" customHeight="1" x14ac:dyDescent="0.2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14.25" customHeight="1" x14ac:dyDescent="0.2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14.25" customHeight="1" x14ac:dyDescent="0.2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14.25" customHeight="1" x14ac:dyDescent="0.2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14.25" customHeight="1" x14ac:dyDescent="0.2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14.25" customHeight="1" x14ac:dyDescent="0.2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14.25" customHeight="1" x14ac:dyDescent="0.2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14.25" customHeight="1" x14ac:dyDescent="0.2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14.25" customHeight="1" x14ac:dyDescent="0.2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14.25" customHeight="1" x14ac:dyDescent="0.2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14.25" customHeight="1" x14ac:dyDescent="0.2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14.25" customHeight="1" x14ac:dyDescent="0.2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14.25" customHeight="1" x14ac:dyDescent="0.2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14.25" customHeight="1" x14ac:dyDescent="0.2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14.25" customHeight="1" x14ac:dyDescent="0.2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14.25" customHeight="1" x14ac:dyDescent="0.2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14.25" customHeight="1" x14ac:dyDescent="0.2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14.25" customHeight="1" x14ac:dyDescent="0.2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14.25" customHeight="1" x14ac:dyDescent="0.2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14.25" customHeight="1" x14ac:dyDescent="0.2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14.25" customHeight="1" x14ac:dyDescent="0.2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14.25" customHeight="1" x14ac:dyDescent="0.2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14.25" customHeight="1" x14ac:dyDescent="0.2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14.25" customHeight="1" x14ac:dyDescent="0.2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14.25" customHeight="1" x14ac:dyDescent="0.2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14.25" customHeight="1" x14ac:dyDescent="0.2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14.25" customHeight="1" x14ac:dyDescent="0.2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14.25" customHeight="1" x14ac:dyDescent="0.2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14.25" customHeight="1" x14ac:dyDescent="0.2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14.25" customHeight="1" x14ac:dyDescent="0.2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14.25" customHeight="1" x14ac:dyDescent="0.2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14.25" customHeight="1" x14ac:dyDescent="0.2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14.25" customHeight="1" x14ac:dyDescent="0.2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14.25" customHeight="1" x14ac:dyDescent="0.2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14.25" customHeight="1" x14ac:dyDescent="0.2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14.25" customHeight="1" x14ac:dyDescent="0.2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14.25" customHeight="1" x14ac:dyDescent="0.2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14.25" customHeight="1" x14ac:dyDescent="0.2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14.25" customHeight="1" x14ac:dyDescent="0.2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14.25" customHeight="1" x14ac:dyDescent="0.2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14.25" customHeight="1" x14ac:dyDescent="0.2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14.25" customHeight="1" x14ac:dyDescent="0.2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14.25" customHeight="1" x14ac:dyDescent="0.2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14.25" customHeight="1" x14ac:dyDescent="0.2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14.25" customHeight="1" x14ac:dyDescent="0.2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14.25" customHeight="1" x14ac:dyDescent="0.2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14.25" customHeight="1" x14ac:dyDescent="0.2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14.25" customHeight="1" x14ac:dyDescent="0.2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14.25" customHeight="1" x14ac:dyDescent="0.2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14.25" customHeight="1" x14ac:dyDescent="0.2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14.25" customHeight="1" x14ac:dyDescent="0.2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14.25" customHeight="1" x14ac:dyDescent="0.2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14.25" customHeight="1" x14ac:dyDescent="0.2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14.25" customHeight="1" x14ac:dyDescent="0.2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14.25" customHeight="1" x14ac:dyDescent="0.2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14.25" customHeight="1" x14ac:dyDescent="0.2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14.25" customHeight="1" x14ac:dyDescent="0.2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14.25" customHeight="1" x14ac:dyDescent="0.2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14.25" customHeight="1" x14ac:dyDescent="0.2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14.25" customHeight="1" x14ac:dyDescent="0.2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14.25" customHeight="1" x14ac:dyDescent="0.2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14.25" customHeight="1" x14ac:dyDescent="0.2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14.25" customHeight="1" x14ac:dyDescent="0.2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14.25" customHeight="1" x14ac:dyDescent="0.2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14.25" customHeight="1" x14ac:dyDescent="0.2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14.25" customHeight="1" x14ac:dyDescent="0.2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14.25" customHeight="1" x14ac:dyDescent="0.2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14.25" customHeight="1" x14ac:dyDescent="0.2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14.25" customHeight="1" x14ac:dyDescent="0.2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14.25" customHeight="1" x14ac:dyDescent="0.2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14.25" customHeight="1" x14ac:dyDescent="0.2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14.25" customHeight="1" x14ac:dyDescent="0.2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14.25" customHeight="1" x14ac:dyDescent="0.2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14.25" customHeight="1" x14ac:dyDescent="0.2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14.25" customHeight="1" x14ac:dyDescent="0.2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14.25" customHeight="1" x14ac:dyDescent="0.2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14.25" customHeight="1" x14ac:dyDescent="0.2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14.25" customHeight="1" x14ac:dyDescent="0.2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14.25" customHeight="1" x14ac:dyDescent="0.2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14.25" customHeight="1" x14ac:dyDescent="0.2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14.25" customHeight="1" x14ac:dyDescent="0.2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14.25" customHeight="1" x14ac:dyDescent="0.2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14.25" customHeight="1" x14ac:dyDescent="0.2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14.25" customHeight="1" x14ac:dyDescent="0.2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14.25" customHeight="1" x14ac:dyDescent="0.2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14.25" customHeight="1" x14ac:dyDescent="0.2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14.25" customHeight="1" x14ac:dyDescent="0.2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14.25" customHeight="1" x14ac:dyDescent="0.2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14.25" customHeight="1" x14ac:dyDescent="0.2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14.25" customHeight="1" x14ac:dyDescent="0.2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14.25" customHeight="1" x14ac:dyDescent="0.2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14.25" customHeight="1" x14ac:dyDescent="0.2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14.25" customHeight="1" x14ac:dyDescent="0.2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14.25" customHeight="1" x14ac:dyDescent="0.2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14.25" customHeight="1" x14ac:dyDescent="0.2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14.25" customHeight="1" x14ac:dyDescent="0.2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14.25" customHeight="1" x14ac:dyDescent="0.2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14.25" customHeight="1" x14ac:dyDescent="0.2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14.25" customHeight="1" x14ac:dyDescent="0.2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14.25" customHeight="1" x14ac:dyDescent="0.2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14.25" customHeight="1" x14ac:dyDescent="0.2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14.25" customHeight="1" x14ac:dyDescent="0.2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14.25" customHeight="1" x14ac:dyDescent="0.2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14.25" customHeight="1" x14ac:dyDescent="0.2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14.25" customHeight="1" x14ac:dyDescent="0.2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14.25" customHeight="1" x14ac:dyDescent="0.2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14.25" customHeight="1" x14ac:dyDescent="0.2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14.25" customHeight="1" x14ac:dyDescent="0.2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14.25" customHeight="1" x14ac:dyDescent="0.2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14.25" customHeight="1" x14ac:dyDescent="0.2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14.25" customHeight="1" x14ac:dyDescent="0.2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14.25" customHeight="1" x14ac:dyDescent="0.2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14.25" customHeight="1" x14ac:dyDescent="0.2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14.25" customHeight="1" x14ac:dyDescent="0.2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14.25" customHeight="1" x14ac:dyDescent="0.2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14.25" customHeight="1" x14ac:dyDescent="0.2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14.25" customHeight="1" x14ac:dyDescent="0.2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14.25" customHeight="1" x14ac:dyDescent="0.2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14.25" customHeight="1" x14ac:dyDescent="0.2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14.25" customHeight="1" x14ac:dyDescent="0.2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14.25" customHeight="1" x14ac:dyDescent="0.2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14.25" customHeight="1" x14ac:dyDescent="0.2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14.25" customHeight="1" x14ac:dyDescent="0.2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14.25" customHeight="1" x14ac:dyDescent="0.2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14.25" customHeight="1" x14ac:dyDescent="0.2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14.25" customHeight="1" x14ac:dyDescent="0.2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14.25" customHeight="1" x14ac:dyDescent="0.2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14.25" customHeight="1" x14ac:dyDescent="0.2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14.25" customHeight="1" x14ac:dyDescent="0.2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14.25" customHeight="1" x14ac:dyDescent="0.2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14.25" customHeight="1" x14ac:dyDescent="0.2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14.25" customHeight="1" x14ac:dyDescent="0.2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14.25" customHeight="1" x14ac:dyDescent="0.2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14.25" customHeight="1" x14ac:dyDescent="0.2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14.25" customHeight="1" x14ac:dyDescent="0.2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14.25" customHeight="1" x14ac:dyDescent="0.2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14.25" customHeight="1" x14ac:dyDescent="0.2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14.25" customHeight="1" x14ac:dyDescent="0.2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14.25" customHeight="1" x14ac:dyDescent="0.2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14.25" customHeight="1" x14ac:dyDescent="0.2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14.25" customHeight="1" x14ac:dyDescent="0.2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14.25" customHeight="1" x14ac:dyDescent="0.2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14.25" customHeight="1" x14ac:dyDescent="0.2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14.25" customHeight="1" x14ac:dyDescent="0.2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14.25" customHeight="1" x14ac:dyDescent="0.2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14.25" customHeight="1" x14ac:dyDescent="0.2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14.25" customHeight="1" x14ac:dyDescent="0.2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14.25" customHeight="1" x14ac:dyDescent="0.2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14.25" customHeight="1" x14ac:dyDescent="0.2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14.25" customHeight="1" x14ac:dyDescent="0.2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14.25" customHeight="1" x14ac:dyDescent="0.2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14.25" customHeight="1" x14ac:dyDescent="0.2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14.25" customHeight="1" x14ac:dyDescent="0.2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14.25" customHeight="1" x14ac:dyDescent="0.2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14.25" customHeight="1" x14ac:dyDescent="0.2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14.25" customHeight="1" x14ac:dyDescent="0.2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14.25" customHeight="1" x14ac:dyDescent="0.2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14.25" customHeight="1" x14ac:dyDescent="0.2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14.25" customHeight="1" x14ac:dyDescent="0.2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14.25" customHeight="1" x14ac:dyDescent="0.2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14.25" customHeight="1" x14ac:dyDescent="0.2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14.25" customHeight="1" x14ac:dyDescent="0.2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14.25" customHeight="1" x14ac:dyDescent="0.2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14.25" customHeight="1" x14ac:dyDescent="0.2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14.25" customHeight="1" x14ac:dyDescent="0.2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14.25" customHeight="1" x14ac:dyDescent="0.2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14.25" customHeight="1" x14ac:dyDescent="0.2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14.25" customHeight="1" x14ac:dyDescent="0.2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14.25" customHeight="1" x14ac:dyDescent="0.2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14.25" customHeight="1" x14ac:dyDescent="0.2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14.25" customHeight="1" x14ac:dyDescent="0.2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14.25" customHeight="1" x14ac:dyDescent="0.2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14.25" customHeight="1" x14ac:dyDescent="0.2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14.25" customHeight="1" x14ac:dyDescent="0.2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14.25" customHeight="1" x14ac:dyDescent="0.2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14.25" customHeight="1" x14ac:dyDescent="0.2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14.25" customHeight="1" x14ac:dyDescent="0.2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14.25" customHeight="1" x14ac:dyDescent="0.2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14.25" customHeight="1" x14ac:dyDescent="0.2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14.25" customHeight="1" x14ac:dyDescent="0.2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14.25" customHeight="1" x14ac:dyDescent="0.2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14.25" customHeight="1" x14ac:dyDescent="0.2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14.25" customHeight="1" x14ac:dyDescent="0.2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14.25" customHeight="1" x14ac:dyDescent="0.2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14.25" customHeight="1" x14ac:dyDescent="0.2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14.25" customHeight="1" x14ac:dyDescent="0.2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14.25" customHeight="1" x14ac:dyDescent="0.2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14.25" customHeight="1" x14ac:dyDescent="0.2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14.25" customHeight="1" x14ac:dyDescent="0.2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14.25" customHeight="1" x14ac:dyDescent="0.2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14.25" customHeight="1" x14ac:dyDescent="0.2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14.25" customHeight="1" x14ac:dyDescent="0.2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14.25" customHeight="1" x14ac:dyDescent="0.2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14.25" customHeight="1" x14ac:dyDescent="0.2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14.25" customHeight="1" x14ac:dyDescent="0.2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14.25" customHeight="1" x14ac:dyDescent="0.2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14.25" customHeight="1" x14ac:dyDescent="0.2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14.25" customHeight="1" x14ac:dyDescent="0.2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14.25" customHeight="1" x14ac:dyDescent="0.2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14.25" customHeight="1" x14ac:dyDescent="0.2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14.25" customHeight="1" x14ac:dyDescent="0.2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14.25" customHeight="1" x14ac:dyDescent="0.2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14.25" customHeight="1" x14ac:dyDescent="0.2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14.25" customHeight="1" x14ac:dyDescent="0.2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14.25" customHeight="1" x14ac:dyDescent="0.2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14.25" customHeight="1" x14ac:dyDescent="0.2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14.25" customHeight="1" x14ac:dyDescent="0.2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14.25" customHeight="1" x14ac:dyDescent="0.2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14.25" customHeight="1" x14ac:dyDescent="0.2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14.25" customHeight="1" x14ac:dyDescent="0.2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14.25" customHeight="1" x14ac:dyDescent="0.2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14.25" customHeight="1" x14ac:dyDescent="0.2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14.25" customHeight="1" x14ac:dyDescent="0.2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14.25" customHeight="1" x14ac:dyDescent="0.2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14.25" customHeight="1" x14ac:dyDescent="0.2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14.25" customHeight="1" x14ac:dyDescent="0.2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14.25" customHeight="1" x14ac:dyDescent="0.2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14.25" customHeight="1" x14ac:dyDescent="0.2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14.25" customHeight="1" x14ac:dyDescent="0.2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14.25" customHeight="1" x14ac:dyDescent="0.2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14.25" customHeight="1" x14ac:dyDescent="0.2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14.25" customHeight="1" x14ac:dyDescent="0.2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14.25" customHeight="1" x14ac:dyDescent="0.2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14.25" customHeight="1" x14ac:dyDescent="0.2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14.25" customHeight="1" x14ac:dyDescent="0.2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14.25" customHeight="1" x14ac:dyDescent="0.2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14.25" customHeight="1" x14ac:dyDescent="0.2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14.25" customHeight="1" x14ac:dyDescent="0.2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14.25" customHeight="1" x14ac:dyDescent="0.2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14.25" customHeight="1" x14ac:dyDescent="0.2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14.25" customHeight="1" x14ac:dyDescent="0.2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14.25" customHeight="1" x14ac:dyDescent="0.2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14.25" customHeight="1" x14ac:dyDescent="0.2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14.25" customHeight="1" x14ac:dyDescent="0.2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14.25" customHeight="1" x14ac:dyDescent="0.2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14.25" customHeight="1" x14ac:dyDescent="0.2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14.25" customHeight="1" x14ac:dyDescent="0.2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14.25" customHeight="1" x14ac:dyDescent="0.2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14.25" customHeight="1" x14ac:dyDescent="0.2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14.25" customHeight="1" x14ac:dyDescent="0.2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14.25" customHeight="1" x14ac:dyDescent="0.2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14.25" customHeight="1" x14ac:dyDescent="0.2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14.25" customHeight="1" x14ac:dyDescent="0.2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14.25" customHeight="1" x14ac:dyDescent="0.2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14.25" customHeight="1" x14ac:dyDescent="0.2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14.25" customHeight="1" x14ac:dyDescent="0.2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14.25" customHeight="1" x14ac:dyDescent="0.2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14.25" customHeight="1" x14ac:dyDescent="0.2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14.25" customHeight="1" x14ac:dyDescent="0.2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14.25" customHeight="1" x14ac:dyDescent="0.2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14.25" customHeight="1" x14ac:dyDescent="0.2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14.25" customHeight="1" x14ac:dyDescent="0.2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14.25" customHeight="1" x14ac:dyDescent="0.2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14.25" customHeight="1" x14ac:dyDescent="0.2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14.25" customHeight="1" x14ac:dyDescent="0.2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14.25" customHeight="1" x14ac:dyDescent="0.2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14.25" customHeight="1" x14ac:dyDescent="0.2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14.25" customHeight="1" x14ac:dyDescent="0.2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14.25" customHeight="1" x14ac:dyDescent="0.2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14.25" customHeight="1" x14ac:dyDescent="0.2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14.25" customHeight="1" x14ac:dyDescent="0.2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14.25" customHeight="1" x14ac:dyDescent="0.2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14.25" customHeight="1" x14ac:dyDescent="0.2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14.25" customHeight="1" x14ac:dyDescent="0.2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14.25" customHeight="1" x14ac:dyDescent="0.2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14.25" customHeight="1" x14ac:dyDescent="0.2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14.25" customHeight="1" x14ac:dyDescent="0.2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14.25" customHeight="1" x14ac:dyDescent="0.2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14.25" customHeight="1" x14ac:dyDescent="0.2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14.25" customHeight="1" x14ac:dyDescent="0.2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14.25" customHeight="1" x14ac:dyDescent="0.2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14.25" customHeight="1" x14ac:dyDescent="0.2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14.25" customHeight="1" x14ac:dyDescent="0.2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14.25" customHeight="1" x14ac:dyDescent="0.2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14.25" customHeight="1" x14ac:dyDescent="0.2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14.25" customHeight="1" x14ac:dyDescent="0.2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14.25" customHeight="1" x14ac:dyDescent="0.2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14.25" customHeight="1" x14ac:dyDescent="0.2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14.25" customHeight="1" x14ac:dyDescent="0.2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14.25" customHeight="1" x14ac:dyDescent="0.2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14.25" customHeight="1" x14ac:dyDescent="0.2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14.25" customHeight="1" x14ac:dyDescent="0.2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14.25" customHeight="1" x14ac:dyDescent="0.2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14.25" customHeight="1" x14ac:dyDescent="0.2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14.25" customHeight="1" x14ac:dyDescent="0.2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14.25" customHeight="1" x14ac:dyDescent="0.2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14.25" customHeight="1" x14ac:dyDescent="0.2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14.25" customHeight="1" x14ac:dyDescent="0.2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14.25" customHeight="1" x14ac:dyDescent="0.2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14.25" customHeight="1" x14ac:dyDescent="0.2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14.25" customHeight="1" x14ac:dyDescent="0.2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14.25" customHeight="1" x14ac:dyDescent="0.2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14.25" customHeight="1" x14ac:dyDescent="0.2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14.25" customHeight="1" x14ac:dyDescent="0.2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14.25" customHeight="1" x14ac:dyDescent="0.2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14.25" customHeight="1" x14ac:dyDescent="0.2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14.25" customHeight="1" x14ac:dyDescent="0.2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14.25" customHeight="1" x14ac:dyDescent="0.2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14.25" customHeight="1" x14ac:dyDescent="0.2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14.25" customHeight="1" x14ac:dyDescent="0.2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14.25" customHeight="1" x14ac:dyDescent="0.2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14.25" customHeight="1" x14ac:dyDescent="0.2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14.25" customHeight="1" x14ac:dyDescent="0.2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14.25" customHeight="1" x14ac:dyDescent="0.2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14.25" customHeight="1" x14ac:dyDescent="0.2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14.25" customHeight="1" x14ac:dyDescent="0.2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14.25" customHeight="1" x14ac:dyDescent="0.2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14.25" customHeight="1" x14ac:dyDescent="0.2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14.25" customHeight="1" x14ac:dyDescent="0.2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14.25" customHeight="1" x14ac:dyDescent="0.2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14.25" customHeight="1" x14ac:dyDescent="0.2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14.25" customHeight="1" x14ac:dyDescent="0.2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14.25" customHeight="1" x14ac:dyDescent="0.2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14.25" customHeight="1" x14ac:dyDescent="0.2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14.25" customHeight="1" x14ac:dyDescent="0.2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14.25" customHeight="1" x14ac:dyDescent="0.2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14.25" customHeight="1" x14ac:dyDescent="0.2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14.25" customHeight="1" x14ac:dyDescent="0.2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14.25" customHeight="1" x14ac:dyDescent="0.2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14.25" customHeight="1" x14ac:dyDescent="0.2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14.25" customHeight="1" x14ac:dyDescent="0.2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14.25" customHeight="1" x14ac:dyDescent="0.2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14.25" customHeight="1" x14ac:dyDescent="0.2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14.25" customHeight="1" x14ac:dyDescent="0.2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14.25" customHeight="1" x14ac:dyDescent="0.2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14.25" customHeight="1" x14ac:dyDescent="0.2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14.25" customHeight="1" x14ac:dyDescent="0.2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14.25" customHeight="1" x14ac:dyDescent="0.2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14.25" customHeight="1" x14ac:dyDescent="0.2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14.25" customHeight="1" x14ac:dyDescent="0.2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14.25" customHeight="1" x14ac:dyDescent="0.2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14.25" customHeight="1" x14ac:dyDescent="0.2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14.25" customHeight="1" x14ac:dyDescent="0.2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14.25" customHeight="1" x14ac:dyDescent="0.2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14.25" customHeight="1" x14ac:dyDescent="0.2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14.25" customHeight="1" x14ac:dyDescent="0.2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14.25" customHeight="1" x14ac:dyDescent="0.2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14.25" customHeight="1" x14ac:dyDescent="0.2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14.25" customHeight="1" x14ac:dyDescent="0.2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14.25" customHeight="1" x14ac:dyDescent="0.2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14.25" customHeight="1" x14ac:dyDescent="0.2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14.25" customHeight="1" x14ac:dyDescent="0.2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14.25" customHeight="1" x14ac:dyDescent="0.2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14.25" customHeight="1" x14ac:dyDescent="0.2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14.25" customHeight="1" x14ac:dyDescent="0.2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14.25" customHeight="1" x14ac:dyDescent="0.2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14.25" customHeight="1" x14ac:dyDescent="0.2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14.25" customHeight="1" x14ac:dyDescent="0.2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14.25" customHeight="1" x14ac:dyDescent="0.2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14.25" customHeight="1" x14ac:dyDescent="0.2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14.25" customHeight="1" x14ac:dyDescent="0.2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14.25" customHeight="1" x14ac:dyDescent="0.2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14.25" customHeight="1" x14ac:dyDescent="0.2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14.25" customHeight="1" x14ac:dyDescent="0.2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14.25" customHeight="1" x14ac:dyDescent="0.2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14.25" customHeight="1" x14ac:dyDescent="0.2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14.25" customHeight="1" x14ac:dyDescent="0.2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14.25" customHeight="1" x14ac:dyDescent="0.2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14.25" customHeight="1" x14ac:dyDescent="0.2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14.25" customHeight="1" x14ac:dyDescent="0.2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14.25" customHeight="1" x14ac:dyDescent="0.2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14.25" customHeight="1" x14ac:dyDescent="0.2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14.25" customHeight="1" x14ac:dyDescent="0.2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14.25" customHeight="1" x14ac:dyDescent="0.2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14.25" customHeight="1" x14ac:dyDescent="0.2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14.25" customHeight="1" x14ac:dyDescent="0.2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14.25" customHeight="1" x14ac:dyDescent="0.2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14.25" customHeight="1" x14ac:dyDescent="0.2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14.25" customHeight="1" x14ac:dyDescent="0.2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14.25" customHeight="1" x14ac:dyDescent="0.2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14.25" customHeight="1" x14ac:dyDescent="0.2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14.25" customHeight="1" x14ac:dyDescent="0.2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14.25" customHeight="1" x14ac:dyDescent="0.2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14.25" customHeight="1" x14ac:dyDescent="0.2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14.25" customHeight="1" x14ac:dyDescent="0.2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14.25" customHeight="1" x14ac:dyDescent="0.2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14.25" customHeight="1" x14ac:dyDescent="0.2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14.25" customHeight="1" x14ac:dyDescent="0.2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14.25" customHeight="1" x14ac:dyDescent="0.2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14.25" customHeight="1" x14ac:dyDescent="0.2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14.25" customHeight="1" x14ac:dyDescent="0.2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14.25" customHeight="1" x14ac:dyDescent="0.2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14.25" customHeight="1" x14ac:dyDescent="0.2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14.25" customHeight="1" x14ac:dyDescent="0.2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14.25" customHeight="1" x14ac:dyDescent="0.2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14.25" customHeight="1" x14ac:dyDescent="0.2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14.25" customHeight="1" x14ac:dyDescent="0.2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14.25" customHeight="1" x14ac:dyDescent="0.2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14.25" customHeight="1" x14ac:dyDescent="0.2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14.25" customHeight="1" x14ac:dyDescent="0.2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14.25" customHeight="1" x14ac:dyDescent="0.2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14.25" customHeight="1" x14ac:dyDescent="0.2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14.25" customHeight="1" x14ac:dyDescent="0.2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mergeCells count="1">
    <mergeCell ref="A4:C5"/>
  </mergeCells>
  <pageMargins left="0.7" right="0.7" top="0.75" bottom="0.75" header="0" footer="0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AS1000"/>
  <sheetViews>
    <sheetView workbookViewId="0"/>
  </sheetViews>
  <sheetFormatPr defaultColWidth="12.625" defaultRowHeight="15" customHeight="1" x14ac:dyDescent="0.2"/>
  <cols>
    <col min="1" max="1" width="6.375" customWidth="1"/>
    <col min="2" max="2" width="1.625" customWidth="1"/>
    <col min="3" max="3" width="10.125" customWidth="1"/>
    <col min="4" max="4" width="1.125" customWidth="1"/>
    <col min="5" max="5" width="12.125" customWidth="1"/>
    <col min="6" max="6" width="2.125" customWidth="1"/>
    <col min="7" max="8" width="13.125" customWidth="1"/>
    <col min="9" max="9" width="9.875" customWidth="1"/>
    <col min="10" max="10" width="13.625" customWidth="1"/>
    <col min="11" max="11" width="13.5" customWidth="1"/>
    <col min="12" max="12" width="12.625" customWidth="1"/>
    <col min="13" max="13" width="1.5" customWidth="1"/>
    <col min="14" max="14" width="8" customWidth="1"/>
    <col min="15" max="15" width="1.375" customWidth="1"/>
    <col min="16" max="16" width="8" customWidth="1"/>
    <col min="17" max="17" width="1.5" customWidth="1"/>
    <col min="18" max="18" width="10.875" customWidth="1"/>
    <col min="19" max="19" width="1.5" customWidth="1"/>
    <col min="20" max="20" width="11.5" customWidth="1"/>
    <col min="21" max="21" width="11.125" customWidth="1"/>
    <col min="22" max="22" width="10.875" customWidth="1"/>
    <col min="23" max="23" width="14.875" customWidth="1"/>
    <col min="24" max="24" width="11" customWidth="1"/>
    <col min="25" max="25" width="10.625" customWidth="1"/>
    <col min="26" max="26" width="1.375" customWidth="1"/>
    <col min="27" max="29" width="8" customWidth="1"/>
    <col min="30" max="30" width="12.375" customWidth="1"/>
    <col min="31" max="32" width="8" customWidth="1"/>
    <col min="33" max="33" width="14.5" customWidth="1"/>
    <col min="34" max="34" width="14" customWidth="1"/>
    <col min="35" max="45" width="8" customWidth="1"/>
  </cols>
  <sheetData>
    <row r="1" spans="1:45" ht="14.25" customHeight="1" x14ac:dyDescent="0.2">
      <c r="A1" s="1"/>
      <c r="B1" s="1"/>
      <c r="C1" s="1"/>
      <c r="D1" s="1"/>
      <c r="E1" s="1"/>
      <c r="F1" s="1"/>
      <c r="G1" s="19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48.75" customHeight="1" x14ac:dyDescent="0.2">
      <c r="A2" s="1"/>
      <c r="B2" s="1"/>
      <c r="C2" s="1"/>
      <c r="D2" s="1"/>
      <c r="E2" s="1"/>
      <c r="F2" s="1"/>
      <c r="G2" s="191"/>
      <c r="H2" s="193"/>
      <c r="I2" s="1"/>
      <c r="J2" s="161"/>
      <c r="K2" s="16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35.25" customHeight="1" x14ac:dyDescent="0.2">
      <c r="A3" s="1"/>
      <c r="B3" s="1"/>
      <c r="C3" s="1"/>
      <c r="D3" s="1"/>
      <c r="E3" s="1"/>
      <c r="F3" s="1"/>
      <c r="G3" s="191"/>
      <c r="H3" s="193"/>
      <c r="I3" s="1"/>
      <c r="J3" s="1"/>
      <c r="K3" s="16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15" customHeight="1" x14ac:dyDescent="0.25">
      <c r="A4" s="2"/>
      <c r="B4" s="548" t="s">
        <v>231</v>
      </c>
      <c r="C4" s="535"/>
      <c r="D4" s="535"/>
      <c r="E4" s="535"/>
      <c r="F4" s="536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ht="15" customHeight="1" x14ac:dyDescent="0.25">
      <c r="A5" s="2"/>
      <c r="B5" s="537"/>
      <c r="C5" s="538"/>
      <c r="D5" s="538"/>
      <c r="E5" s="538"/>
      <c r="F5" s="539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 ht="14.25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ht="27.75" customHeight="1" x14ac:dyDescent="0.25">
      <c r="A7" s="3"/>
      <c r="B7" s="82"/>
      <c r="C7" s="162" t="s">
        <v>232</v>
      </c>
      <c r="D7" s="163"/>
      <c r="E7" s="163"/>
      <c r="F7" s="163"/>
      <c r="G7" s="163"/>
      <c r="H7" s="163"/>
      <c r="I7" s="163"/>
      <c r="J7" s="163"/>
      <c r="K7" s="163"/>
      <c r="L7" s="163"/>
      <c r="M7" s="82"/>
      <c r="N7" s="3"/>
      <c r="O7" s="82"/>
      <c r="P7" s="162" t="s">
        <v>125</v>
      </c>
      <c r="Q7" s="163"/>
      <c r="R7" s="163"/>
      <c r="S7" s="163"/>
      <c r="T7" s="163"/>
      <c r="U7" s="163"/>
      <c r="V7" s="163"/>
      <c r="W7" s="163"/>
      <c r="X7" s="163"/>
      <c r="Y7" s="163"/>
      <c r="Z7" s="82"/>
      <c r="AA7" s="3"/>
      <c r="AB7" s="3"/>
      <c r="AC7" s="3"/>
      <c r="AD7" s="3"/>
      <c r="AE7" s="3"/>
      <c r="AF7" s="3"/>
      <c r="AG7" s="3" t="s">
        <v>233</v>
      </c>
      <c r="AH7" s="3" t="s">
        <v>234</v>
      </c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ht="16.5" customHeight="1" x14ac:dyDescent="0.2">
      <c r="A8" s="3"/>
      <c r="B8" s="164"/>
      <c r="C8" s="165" t="s">
        <v>235</v>
      </c>
      <c r="D8" s="165"/>
      <c r="E8" s="166" t="s">
        <v>236</v>
      </c>
      <c r="F8" s="81"/>
      <c r="G8" s="166" t="s">
        <v>237</v>
      </c>
      <c r="H8" s="166" t="s">
        <v>238</v>
      </c>
      <c r="I8" s="166" t="s">
        <v>239</v>
      </c>
      <c r="J8" s="166" t="s">
        <v>240</v>
      </c>
      <c r="K8" s="166" t="s">
        <v>241</v>
      </c>
      <c r="L8" s="166" t="s">
        <v>178</v>
      </c>
      <c r="M8" s="82"/>
      <c r="N8" s="3"/>
      <c r="O8" s="164"/>
      <c r="P8" s="165" t="s">
        <v>235</v>
      </c>
      <c r="Q8" s="165"/>
      <c r="R8" s="166" t="s">
        <v>236</v>
      </c>
      <c r="S8" s="81"/>
      <c r="T8" s="166" t="s">
        <v>237</v>
      </c>
      <c r="U8" s="166" t="s">
        <v>238</v>
      </c>
      <c r="V8" s="166" t="s">
        <v>239</v>
      </c>
      <c r="W8" s="166" t="s">
        <v>240</v>
      </c>
      <c r="X8" s="166" t="s">
        <v>241</v>
      </c>
      <c r="Y8" s="166" t="s">
        <v>178</v>
      </c>
      <c r="Z8" s="82"/>
      <c r="AA8" s="3"/>
      <c r="AB8" s="3"/>
      <c r="AC8" s="3"/>
      <c r="AD8" s="3"/>
      <c r="AE8" s="3"/>
      <c r="AF8" s="3"/>
      <c r="AG8" s="167">
        <f>'Decision Tree'!N35</f>
        <v>14063.654769903998</v>
      </c>
      <c r="AH8" s="167">
        <f>'Decision Tree'!N36</f>
        <v>4907.2569351040001</v>
      </c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ht="5.25" customHeight="1" x14ac:dyDescent="0.2">
      <c r="A9" s="3"/>
      <c r="B9" s="82"/>
      <c r="C9" s="82"/>
      <c r="D9" s="82"/>
      <c r="E9" s="82"/>
      <c r="F9" s="82"/>
      <c r="G9" s="114"/>
      <c r="H9" s="114"/>
      <c r="I9" s="114"/>
      <c r="J9" s="114"/>
      <c r="K9" s="114"/>
      <c r="L9" s="114"/>
      <c r="M9" s="82"/>
      <c r="N9" s="3"/>
      <c r="O9" s="82"/>
      <c r="P9" s="82"/>
      <c r="Q9" s="82"/>
      <c r="R9" s="82"/>
      <c r="S9" s="82"/>
      <c r="T9" s="114"/>
      <c r="U9" s="114"/>
      <c r="V9" s="114"/>
      <c r="W9" s="114"/>
      <c r="X9" s="114"/>
      <c r="Y9" s="114"/>
      <c r="Z9" s="82"/>
      <c r="AA9" s="3"/>
      <c r="AB9" s="3"/>
      <c r="AC9" s="29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spans="1:45" ht="15.75" customHeight="1" x14ac:dyDescent="0.2">
      <c r="A10" s="3"/>
      <c r="B10" s="82"/>
      <c r="C10" s="82"/>
      <c r="D10" s="82"/>
      <c r="E10" s="82"/>
      <c r="F10" s="82"/>
      <c r="G10" s="122">
        <v>100</v>
      </c>
      <c r="H10" s="82"/>
      <c r="I10" s="82"/>
      <c r="J10" s="82"/>
      <c r="K10" s="82"/>
      <c r="L10" s="82"/>
      <c r="M10" s="82"/>
      <c r="N10" s="3"/>
      <c r="O10" s="82"/>
      <c r="P10" s="82"/>
      <c r="Q10" s="82"/>
      <c r="R10" s="82"/>
      <c r="S10" s="82"/>
      <c r="T10" s="122">
        <v>100</v>
      </c>
      <c r="U10" s="82"/>
      <c r="V10" s="82"/>
      <c r="W10" s="82"/>
      <c r="X10" s="82"/>
      <c r="Y10" s="82"/>
      <c r="Z10" s="82"/>
      <c r="AA10" s="3"/>
      <c r="AB10" s="3"/>
      <c r="AC10" s="29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ht="14.25" customHeight="1" x14ac:dyDescent="0.2">
      <c r="A11" s="3"/>
      <c r="B11" s="82"/>
      <c r="C11" s="169">
        <v>0</v>
      </c>
      <c r="D11" s="168"/>
      <c r="E11" s="177"/>
      <c r="F11" s="82"/>
      <c r="G11" s="170">
        <f>G10*AG13</f>
        <v>81.2</v>
      </c>
      <c r="H11" s="171">
        <f>G10-G11</f>
        <v>18.799999999999997</v>
      </c>
      <c r="I11" s="172">
        <f t="shared" ref="I11:I61" si="0">SUM(G11:H11)</f>
        <v>100</v>
      </c>
      <c r="J11" s="173">
        <f>AG8*G10</f>
        <v>1406365.4769903999</v>
      </c>
      <c r="K11" s="172">
        <f t="shared" ref="K11:K61" si="1">G11</f>
        <v>81.2</v>
      </c>
      <c r="L11" s="203">
        <f>(G11*AG11)/(1+oDR)^Markov_Backup!cycle</f>
        <v>18.727093373261216</v>
      </c>
      <c r="M11" s="82"/>
      <c r="N11" s="3"/>
      <c r="O11" s="82"/>
      <c r="P11" s="169">
        <v>0</v>
      </c>
      <c r="Q11" s="168"/>
      <c r="R11" s="177"/>
      <c r="S11" s="82"/>
      <c r="T11" s="170">
        <f>T10*AH13</f>
        <v>76.5</v>
      </c>
      <c r="U11" s="171">
        <f>T10-T11</f>
        <v>23.5</v>
      </c>
      <c r="V11" s="171">
        <f t="shared" ref="V11:V61" si="2">SUM(T11:U11)</f>
        <v>100</v>
      </c>
      <c r="W11" s="175">
        <f>AH8*T10</f>
        <v>490725.69351040001</v>
      </c>
      <c r="X11" s="171">
        <f t="shared" ref="X11:X61" si="3">T11</f>
        <v>76.5</v>
      </c>
      <c r="Y11" s="203">
        <f>T11*AH11/(1+oDR)^Markov_Backup!cycle</f>
        <v>16.4101257925632</v>
      </c>
      <c r="Z11" s="82"/>
      <c r="AA11" s="3"/>
      <c r="AB11" s="3"/>
      <c r="AC11" s="29"/>
      <c r="AD11" s="3"/>
      <c r="AE11" s="3"/>
      <c r="AF11" s="3"/>
      <c r="AG11" s="223">
        <f>'Decision Tree'!O35</f>
        <v>0.23062922873474404</v>
      </c>
      <c r="AH11" s="223">
        <f>'Decision Tree'!O36</f>
        <v>0.2145114482688</v>
      </c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ht="14.25" customHeight="1" x14ac:dyDescent="0.2">
      <c r="A12" s="3"/>
      <c r="B12" s="82"/>
      <c r="C12" s="176">
        <v>1</v>
      </c>
      <c r="D12" s="168"/>
      <c r="E12" s="177">
        <f>1-EXP(lambda*(C11^gamma-C12^gamma))</f>
        <v>0.11152950811382956</v>
      </c>
      <c r="F12" s="82"/>
      <c r="G12" s="178">
        <f>G10-H12</f>
        <v>72.143803941157046</v>
      </c>
      <c r="H12" s="179">
        <f t="shared" ref="H12:H61" si="4">H11+(G11*E12)</f>
        <v>27.856196058842958</v>
      </c>
      <c r="I12" s="181">
        <f t="shared" si="0"/>
        <v>100</v>
      </c>
      <c r="J12" s="156">
        <v>0</v>
      </c>
      <c r="K12" s="181">
        <f t="shared" si="1"/>
        <v>72.143803941157046</v>
      </c>
      <c r="L12" s="205">
        <f>(G12*uPostT)/(1+oDR)^Markov_Backup!cycle</f>
        <v>54.692559596288639</v>
      </c>
      <c r="M12" s="82"/>
      <c r="N12" s="3"/>
      <c r="O12" s="82"/>
      <c r="P12" s="176">
        <v>12</v>
      </c>
      <c r="Q12" s="168"/>
      <c r="R12" s="177">
        <f>1-EXP(lambda*(P11^gamma-P12^gamma))</f>
        <v>0.39995159577781725</v>
      </c>
      <c r="S12" s="82"/>
      <c r="T12" s="178">
        <f t="shared" ref="T12:T61" si="5">$T$10-U12</f>
        <v>45.903702922996985</v>
      </c>
      <c r="U12" s="179">
        <f>(T11*Markov_Backup!mr_2)+U11</f>
        <v>54.096297077003015</v>
      </c>
      <c r="V12" s="179">
        <f t="shared" si="2"/>
        <v>100</v>
      </c>
      <c r="W12" s="183">
        <v>0</v>
      </c>
      <c r="X12" s="179">
        <f t="shared" si="3"/>
        <v>45.903702922996985</v>
      </c>
      <c r="Y12" s="205">
        <f>(T12*uPostT)/(1+oDR)^Markov_Backup!cycle2</f>
        <v>33.857020543409647</v>
      </c>
      <c r="Z12" s="82"/>
      <c r="AA12" s="3"/>
      <c r="AB12" s="3"/>
      <c r="AC12" s="29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ht="14.25" customHeight="1" x14ac:dyDescent="0.2">
      <c r="A13" s="3"/>
      <c r="B13" s="82"/>
      <c r="C13" s="176">
        <v>2</v>
      </c>
      <c r="D13" s="168"/>
      <c r="E13" s="177">
        <f>1-EXP(lambda*(C12^gamma-C13^gamma))</f>
        <v>5.7854533351919146E-2</v>
      </c>
      <c r="F13" s="82"/>
      <c r="G13" s="178">
        <f>$G$10-H13</f>
        <v>67.969957829909049</v>
      </c>
      <c r="H13" s="179">
        <f t="shared" si="4"/>
        <v>32.030042170090944</v>
      </c>
      <c r="I13" s="181">
        <f t="shared" si="0"/>
        <v>100</v>
      </c>
      <c r="J13" s="156">
        <f>J12/(1+cDR)^Markov_Backup!cycle</f>
        <v>0</v>
      </c>
      <c r="K13" s="181">
        <f t="shared" si="1"/>
        <v>67.969957829909049</v>
      </c>
      <c r="L13" s="205">
        <f>(G13*uPostT)/(1+oDR)^Markov_Backup!cycle</f>
        <v>51.399847464362423</v>
      </c>
      <c r="M13" s="82"/>
      <c r="N13" s="3"/>
      <c r="O13" s="82"/>
      <c r="P13" s="176">
        <f>2*12</f>
        <v>24</v>
      </c>
      <c r="Q13" s="168"/>
      <c r="R13" s="177">
        <f>1-EXP(lambda*(P12^gamma-P13^gamma))</f>
        <v>0.22693851701625478</v>
      </c>
      <c r="S13" s="82"/>
      <c r="T13" s="178">
        <f t="shared" si="5"/>
        <v>35.486384656097329</v>
      </c>
      <c r="U13" s="179">
        <f>(T12*Markov_Backup!mr_2)+U12</f>
        <v>64.513615343902671</v>
      </c>
      <c r="V13" s="179">
        <f t="shared" si="2"/>
        <v>100</v>
      </c>
      <c r="W13" s="183">
        <f>W12/(1+cDR)^Markov_Backup!cycle2</f>
        <v>0</v>
      </c>
      <c r="X13" s="179">
        <f t="shared" si="3"/>
        <v>35.486384656097329</v>
      </c>
      <c r="Y13" s="205">
        <f>(T13*uPostT)/(1+oDR)^Markov_Backup!cycle2</f>
        <v>25.400963887534598</v>
      </c>
      <c r="Z13" s="82"/>
      <c r="AA13" s="3"/>
      <c r="AB13" s="3"/>
      <c r="AC13" s="29"/>
      <c r="AD13" s="3"/>
      <c r="AE13" s="3"/>
      <c r="AF13" s="3"/>
      <c r="AG13" s="149">
        <f>'Decision Tree'!N41</f>
        <v>0.81200000000000006</v>
      </c>
      <c r="AH13" s="149">
        <f>'Decision Tree'!N42</f>
        <v>0.76500000000000001</v>
      </c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spans="1:45" ht="14.25" customHeight="1" x14ac:dyDescent="0.2">
      <c r="A14" s="3"/>
      <c r="B14" s="82"/>
      <c r="C14" s="176">
        <v>3</v>
      </c>
      <c r="D14" s="168"/>
      <c r="E14" s="177">
        <f t="shared" ref="E14:E61" si="6">(1-EXP(lambda*(C13^gamma-C14^gamma)))</f>
        <v>4.6821911330064081E-2</v>
      </c>
      <c r="F14" s="82"/>
      <c r="G14" s="178">
        <f>G10-H14</f>
        <v>64.787474491288862</v>
      </c>
      <c r="H14" s="179">
        <f t="shared" si="4"/>
        <v>35.212525508711138</v>
      </c>
      <c r="I14" s="181">
        <f t="shared" si="0"/>
        <v>100</v>
      </c>
      <c r="J14" s="156">
        <f>J13/(1+cDR)^Markov_Backup!cycle</f>
        <v>0</v>
      </c>
      <c r="K14" s="181">
        <f t="shared" si="1"/>
        <v>64.787474491288862</v>
      </c>
      <c r="L14" s="205">
        <f>(G14*uPostT)/(1+oDR)^Markov_Backup!cycle</f>
        <v>48.871030787039636</v>
      </c>
      <c r="M14" s="82"/>
      <c r="N14" s="3"/>
      <c r="O14" s="82"/>
      <c r="P14" s="176">
        <f>3*12</f>
        <v>36</v>
      </c>
      <c r="Q14" s="168"/>
      <c r="R14" s="177">
        <f t="shared" ref="R14:R61" si="7">(1-EXP(lambda*(P13^gamma-P14^gamma)))</f>
        <v>0.18707297714780868</v>
      </c>
      <c r="S14" s="82"/>
      <c r="T14" s="178">
        <f t="shared" si="5"/>
        <v>28.847841030268881</v>
      </c>
      <c r="U14" s="179">
        <f>(T13*Markov_Backup!mr_2)+U13</f>
        <v>71.152158969731119</v>
      </c>
      <c r="V14" s="179">
        <f t="shared" si="2"/>
        <v>100</v>
      </c>
      <c r="W14" s="183">
        <f>W13/(1+cDR)^Markov_Backup!cycle2</f>
        <v>0</v>
      </c>
      <c r="X14" s="179">
        <f t="shared" si="3"/>
        <v>28.847841030268881</v>
      </c>
      <c r="Y14" s="205">
        <f>(T14*uPostT)/(1+oDR)^Markov_Backup!cycle2</f>
        <v>20.039606153345709</v>
      </c>
      <c r="Z14" s="82"/>
      <c r="AA14" s="3"/>
      <c r="AB14" s="3"/>
      <c r="AC14" s="29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ht="14.25" customHeight="1" x14ac:dyDescent="0.2">
      <c r="A15" s="3"/>
      <c r="B15" s="82"/>
      <c r="C15" s="176">
        <v>4</v>
      </c>
      <c r="D15" s="168"/>
      <c r="E15" s="177">
        <f t="shared" si="6"/>
        <v>4.0819554576886574E-2</v>
      </c>
      <c r="F15" s="82"/>
      <c r="G15" s="178">
        <f t="shared" ref="G15:G61" si="8">$G$10-H15</f>
        <v>62.14287864039305</v>
      </c>
      <c r="H15" s="179">
        <f t="shared" si="4"/>
        <v>37.85712135960695</v>
      </c>
      <c r="I15" s="181">
        <f t="shared" si="0"/>
        <v>100</v>
      </c>
      <c r="J15" s="156">
        <f>J14/(1+cDR)^Markov_Backup!cycle</f>
        <v>0</v>
      </c>
      <c r="K15" s="181">
        <f t="shared" si="1"/>
        <v>62.14287864039305</v>
      </c>
      <c r="L15" s="205">
        <f>(G15*uPostT)/(1+oDR)^Markov_Backup!cycle</f>
        <v>46.759238981146495</v>
      </c>
      <c r="M15" s="82"/>
      <c r="N15" s="3"/>
      <c r="O15" s="82"/>
      <c r="P15" s="176">
        <f>4*12</f>
        <v>48</v>
      </c>
      <c r="Q15" s="168"/>
      <c r="R15" s="177">
        <f t="shared" si="7"/>
        <v>0.16473082329548472</v>
      </c>
      <c r="S15" s="82"/>
      <c r="T15" s="178">
        <f t="shared" si="5"/>
        <v>24.095712427055417</v>
      </c>
      <c r="U15" s="179">
        <f>(T14*Markov_Backup!mr_2)+U14</f>
        <v>75.904287572944583</v>
      </c>
      <c r="V15" s="179">
        <f t="shared" si="2"/>
        <v>100</v>
      </c>
      <c r="W15" s="183">
        <f>W14/(1+cDR)^Markov_Backup!cycle2</f>
        <v>0</v>
      </c>
      <c r="X15" s="179">
        <f t="shared" si="3"/>
        <v>24.095712427055417</v>
      </c>
      <c r="Y15" s="205">
        <f>(T15*uPostT)/(1+oDR)^Markov_Backup!cycle2</f>
        <v>16.244377060430978</v>
      </c>
      <c r="Z15" s="82"/>
      <c r="AA15" s="3"/>
      <c r="AB15" s="3"/>
      <c r="AC15" s="2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spans="1:45" ht="14.25" customHeight="1" x14ac:dyDescent="0.2">
      <c r="A16" s="3"/>
      <c r="B16" s="82"/>
      <c r="C16" s="176">
        <v>5</v>
      </c>
      <c r="D16" s="168"/>
      <c r="E16" s="177">
        <f t="shared" si="6"/>
        <v>3.6857939868220613E-2</v>
      </c>
      <c r="F16" s="82"/>
      <c r="G16" s="178">
        <f t="shared" si="8"/>
        <v>59.852420156227311</v>
      </c>
      <c r="H16" s="179">
        <f t="shared" si="4"/>
        <v>40.147579843772689</v>
      </c>
      <c r="I16" s="181">
        <f t="shared" si="0"/>
        <v>100</v>
      </c>
      <c r="J16" s="156">
        <f>J15/(1+cDR)^Markov_Backup!cycle</f>
        <v>0</v>
      </c>
      <c r="K16" s="181">
        <f t="shared" si="1"/>
        <v>59.852420156227311</v>
      </c>
      <c r="L16" s="205">
        <f>(G16*uPostT)/(1+oDR)^Markov_Backup!cycle</f>
        <v>44.923481059846026</v>
      </c>
      <c r="M16" s="82"/>
      <c r="N16" s="3"/>
      <c r="O16" s="82"/>
      <c r="P16" s="176">
        <f>5*12</f>
        <v>60</v>
      </c>
      <c r="Q16" s="168"/>
      <c r="R16" s="177">
        <f t="shared" si="7"/>
        <v>0.14972833727223223</v>
      </c>
      <c r="S16" s="82"/>
      <c r="T16" s="178">
        <f t="shared" si="5"/>
        <v>20.487901469962551</v>
      </c>
      <c r="U16" s="179">
        <f>(T15*Markov_Backup!mr_2)+U15</f>
        <v>79.512098530037449</v>
      </c>
      <c r="V16" s="179">
        <f t="shared" si="2"/>
        <v>100</v>
      </c>
      <c r="W16" s="183">
        <f>W15/(1+cDR)^Markov_Backup!cycle2</f>
        <v>0</v>
      </c>
      <c r="X16" s="179">
        <f t="shared" si="3"/>
        <v>20.487901469962551</v>
      </c>
      <c r="Y16" s="205">
        <f>(T16*uPostT)/(1+oDR)^Markov_Backup!cycle2</f>
        <v>13.404425077540656</v>
      </c>
      <c r="Z16" s="82"/>
      <c r="AA16" s="3"/>
      <c r="AB16" s="3"/>
      <c r="AC16" s="29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spans="1:45" ht="14.25" customHeight="1" x14ac:dyDescent="0.2">
      <c r="A17" s="3"/>
      <c r="B17" s="82"/>
      <c r="C17" s="176">
        <v>6</v>
      </c>
      <c r="D17" s="168"/>
      <c r="E17" s="177">
        <f t="shared" si="6"/>
        <v>3.397539549360562E-2</v>
      </c>
      <c r="F17" s="82"/>
      <c r="G17" s="178">
        <f t="shared" si="8"/>
        <v>57.818910510170035</v>
      </c>
      <c r="H17" s="179">
        <f t="shared" si="4"/>
        <v>42.181089489829965</v>
      </c>
      <c r="I17" s="181">
        <f t="shared" si="0"/>
        <v>100</v>
      </c>
      <c r="J17" s="156">
        <f>J16/(1+cDR)^Markov_Backup!cycle</f>
        <v>0</v>
      </c>
      <c r="K17" s="181">
        <f t="shared" si="1"/>
        <v>57.818910510170035</v>
      </c>
      <c r="L17" s="205">
        <f>(G17*uPostT)/(1+oDR)^Markov_Backup!cycle</f>
        <v>43.28896560986361</v>
      </c>
      <c r="M17" s="82"/>
      <c r="N17" s="3"/>
      <c r="O17" s="82"/>
      <c r="P17" s="176">
        <f>6*12</f>
        <v>72</v>
      </c>
      <c r="Q17" s="168"/>
      <c r="R17" s="177">
        <f t="shared" si="7"/>
        <v>0.13868274947500792</v>
      </c>
      <c r="S17" s="82"/>
      <c r="T17" s="178">
        <f t="shared" si="5"/>
        <v>17.646582963135089</v>
      </c>
      <c r="U17" s="179">
        <f>(T16*Markov_Backup!mr_2)+U16</f>
        <v>82.353417036864911</v>
      </c>
      <c r="V17" s="179">
        <f t="shared" si="2"/>
        <v>100</v>
      </c>
      <c r="W17" s="183">
        <f>W16/(1+cDR)^Markov_Backup!cycle2</f>
        <v>0</v>
      </c>
      <c r="X17" s="179">
        <f t="shared" si="3"/>
        <v>17.646582963135089</v>
      </c>
      <c r="Y17" s="205">
        <f>(T17*uPostT)/(1+oDR)^Markov_Backup!cycle2</f>
        <v>11.204662034969534</v>
      </c>
      <c r="Z17" s="82"/>
      <c r="AA17" s="3"/>
      <c r="AB17" s="3"/>
      <c r="AC17" s="29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ht="14.25" customHeight="1" x14ac:dyDescent="0.2">
      <c r="A18" s="3"/>
      <c r="B18" s="82"/>
      <c r="C18" s="176">
        <v>7</v>
      </c>
      <c r="D18" s="168"/>
      <c r="E18" s="177">
        <f t="shared" si="6"/>
        <v>3.1748812794539116E-2</v>
      </c>
      <c r="F18" s="82"/>
      <c r="G18" s="178">
        <f t="shared" si="8"/>
        <v>55.983228744398438</v>
      </c>
      <c r="H18" s="179">
        <f t="shared" si="4"/>
        <v>44.016771255601562</v>
      </c>
      <c r="I18" s="181">
        <f t="shared" si="0"/>
        <v>100</v>
      </c>
      <c r="J18" s="156">
        <f>J17/(1+cDR)^Markov_Backup!cycle</f>
        <v>0</v>
      </c>
      <c r="K18" s="181">
        <f t="shared" si="1"/>
        <v>55.983228744398438</v>
      </c>
      <c r="L18" s="205">
        <f>(G18*uPostT)/(1+oDR)^Markov_Backup!cycle</f>
        <v>41.810067176705047</v>
      </c>
      <c r="M18" s="82"/>
      <c r="N18" s="3"/>
      <c r="O18" s="82"/>
      <c r="P18" s="176">
        <f>7*12</f>
        <v>84</v>
      </c>
      <c r="Q18" s="168"/>
      <c r="R18" s="177">
        <f t="shared" si="7"/>
        <v>0.13007551605888568</v>
      </c>
      <c r="S18" s="82"/>
      <c r="T18" s="178">
        <f t="shared" si="5"/>
        <v>15.351194577529355</v>
      </c>
      <c r="U18" s="179">
        <f>(T17*Markov_Backup!mr_2)+U17</f>
        <v>84.648805422470645</v>
      </c>
      <c r="V18" s="179">
        <f t="shared" si="2"/>
        <v>100</v>
      </c>
      <c r="W18" s="183">
        <f>W17/(1+cDR)^Markov_Backup!cycle2</f>
        <v>0</v>
      </c>
      <c r="X18" s="179">
        <f t="shared" si="3"/>
        <v>15.351194577529355</v>
      </c>
      <c r="Y18" s="205">
        <f>(T18*uPostT)/(1+oDR)^Markov_Backup!cycle2</f>
        <v>9.4594903864863689</v>
      </c>
      <c r="Z18" s="82"/>
      <c r="AA18" s="3"/>
      <c r="AB18" s="3"/>
      <c r="AC18" s="29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spans="1:45" ht="14.25" customHeight="1" x14ac:dyDescent="0.2">
      <c r="A19" s="3"/>
      <c r="B19" s="82"/>
      <c r="C19" s="176">
        <v>8</v>
      </c>
      <c r="D19" s="168"/>
      <c r="E19" s="177">
        <f t="shared" si="6"/>
        <v>2.9957633508640114E-2</v>
      </c>
      <c r="F19" s="82"/>
      <c r="G19" s="178">
        <f t="shared" si="8"/>
        <v>54.306103695043383</v>
      </c>
      <c r="H19" s="179">
        <f t="shared" si="4"/>
        <v>45.693896304956617</v>
      </c>
      <c r="I19" s="181">
        <f t="shared" si="0"/>
        <v>100</v>
      </c>
      <c r="J19" s="156">
        <f>J18/(1+cDR)^Markov_Backup!cycle</f>
        <v>0</v>
      </c>
      <c r="K19" s="181">
        <f t="shared" si="1"/>
        <v>54.306103695043383</v>
      </c>
      <c r="L19" s="205">
        <f>(G19*uPostT)/(1+oDR)^Markov_Backup!cycle</f>
        <v>40.456395518457548</v>
      </c>
      <c r="M19" s="82"/>
      <c r="N19" s="3"/>
      <c r="O19" s="82"/>
      <c r="P19" s="176">
        <f>8*12</f>
        <v>96</v>
      </c>
      <c r="Q19" s="168"/>
      <c r="R19" s="177">
        <f t="shared" si="7"/>
        <v>0.12310356179183435</v>
      </c>
      <c r="S19" s="82"/>
      <c r="T19" s="178">
        <f t="shared" si="5"/>
        <v>13.461407847275993</v>
      </c>
      <c r="U19" s="179">
        <f>(T18*Markov_Backup!mr_2)+U18</f>
        <v>86.538592152724007</v>
      </c>
      <c r="V19" s="179">
        <f t="shared" si="2"/>
        <v>100</v>
      </c>
      <c r="W19" s="183">
        <f>W18/(1+cDR)^Markov_Backup!cycle2</f>
        <v>0</v>
      </c>
      <c r="X19" s="179">
        <f t="shared" si="3"/>
        <v>13.461407847275993</v>
      </c>
      <c r="Y19" s="205">
        <f>(T19*uPostT)/(1+oDR)^Markov_Backup!cycle2</f>
        <v>8.0501406946578946</v>
      </c>
      <c r="Z19" s="82"/>
      <c r="AA19" s="3"/>
      <c r="AB19" s="3"/>
      <c r="AC19" s="29"/>
      <c r="AD19" s="3"/>
      <c r="AE19" s="3"/>
      <c r="AF19" s="3"/>
      <c r="AG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spans="1:45" ht="14.25" customHeight="1" x14ac:dyDescent="0.2">
      <c r="A20" s="3"/>
      <c r="B20" s="82"/>
      <c r="C20" s="176">
        <v>9</v>
      </c>
      <c r="D20" s="168"/>
      <c r="E20" s="177">
        <f t="shared" si="6"/>
        <v>2.847362805491771E-2</v>
      </c>
      <c r="F20" s="82"/>
      <c r="G20" s="178">
        <f t="shared" si="8"/>
        <v>52.759811897318926</v>
      </c>
      <c r="H20" s="179">
        <f t="shared" si="4"/>
        <v>47.240188102681074</v>
      </c>
      <c r="I20" s="181">
        <f t="shared" si="0"/>
        <v>100</v>
      </c>
      <c r="J20" s="156">
        <f>J19/(1+cDR)^Markov_Backup!cycle</f>
        <v>0</v>
      </c>
      <c r="K20" s="181">
        <f t="shared" si="1"/>
        <v>52.759811897318926</v>
      </c>
      <c r="L20" s="205">
        <f>(G20*uPostT)/(1+oDR)^Markov_Backup!cycle</f>
        <v>39.206439062366435</v>
      </c>
      <c r="M20" s="82"/>
      <c r="N20" s="3"/>
      <c r="O20" s="82"/>
      <c r="P20" s="176">
        <f>9*12</f>
        <v>108</v>
      </c>
      <c r="Q20" s="168"/>
      <c r="R20" s="177">
        <f t="shared" si="7"/>
        <v>0.11729478867221432</v>
      </c>
      <c r="S20" s="82"/>
      <c r="T20" s="178">
        <f t="shared" si="5"/>
        <v>11.882454858599274</v>
      </c>
      <c r="U20" s="179">
        <f>(T19*Markov_Backup!mr_2)+U19</f>
        <v>88.117545141400726</v>
      </c>
      <c r="V20" s="179">
        <f t="shared" si="2"/>
        <v>100</v>
      </c>
      <c r="W20" s="183">
        <f>W19/(1+cDR)^Markov_Backup!cycle2</f>
        <v>0</v>
      </c>
      <c r="X20" s="179">
        <f t="shared" si="3"/>
        <v>11.882454858599274</v>
      </c>
      <c r="Y20" s="205">
        <f>(T20*uPostT)/(1+oDR)^Markov_Backup!cycle2</f>
        <v>6.8961481966771201</v>
      </c>
      <c r="Z20" s="82"/>
      <c r="AA20" s="3"/>
      <c r="AB20" s="3"/>
      <c r="AC20" s="29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ht="14.25" customHeight="1" x14ac:dyDescent="0.2">
      <c r="A21" s="3"/>
      <c r="B21" s="82"/>
      <c r="C21" s="176">
        <v>10</v>
      </c>
      <c r="D21" s="168"/>
      <c r="E21" s="177">
        <f t="shared" si="6"/>
        <v>2.7216289290619589E-2</v>
      </c>
      <c r="F21" s="82"/>
      <c r="G21" s="178">
        <f t="shared" si="8"/>
        <v>51.323885593802821</v>
      </c>
      <c r="H21" s="179">
        <f t="shared" si="4"/>
        <v>48.676114406197179</v>
      </c>
      <c r="I21" s="181">
        <f t="shared" si="0"/>
        <v>100</v>
      </c>
      <c r="J21" s="156">
        <f>J20/(1+cDR)^Markov_Backup!cycle</f>
        <v>0</v>
      </c>
      <c r="K21" s="181">
        <f t="shared" si="1"/>
        <v>51.323885593802821</v>
      </c>
      <c r="L21" s="205">
        <f>(G21*uPostT)/(1+oDR)^Markov_Backup!cycle</f>
        <v>38.044274588319226</v>
      </c>
      <c r="M21" s="82"/>
      <c r="N21" s="3"/>
      <c r="O21" s="82"/>
      <c r="P21" s="176">
        <f>10*12</f>
        <v>120</v>
      </c>
      <c r="Q21" s="168"/>
      <c r="R21" s="177">
        <f t="shared" si="7"/>
        <v>0.11235014606866656</v>
      </c>
      <c r="S21" s="82"/>
      <c r="T21" s="178">
        <f t="shared" si="5"/>
        <v>10.547459319581307</v>
      </c>
      <c r="U21" s="179">
        <f>(T20*Markov_Backup!mr_2)+U20</f>
        <v>89.452540680418693</v>
      </c>
      <c r="V21" s="179">
        <f t="shared" si="2"/>
        <v>100</v>
      </c>
      <c r="W21" s="183">
        <f>W20/(1+cDR)^Markov_Backup!cycle2</f>
        <v>0</v>
      </c>
      <c r="X21" s="179">
        <f t="shared" si="3"/>
        <v>10.547459319581307</v>
      </c>
      <c r="Y21" s="205">
        <f>(T21*uPostT)/(1+oDR)^Markov_Backup!cycle2</f>
        <v>5.9406736652304213</v>
      </c>
      <c r="Z21" s="82"/>
      <c r="AA21" s="3"/>
      <c r="AB21" s="3"/>
      <c r="AC21" s="29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ht="14.25" customHeight="1" x14ac:dyDescent="0.2">
      <c r="A22" s="3"/>
      <c r="B22" s="82"/>
      <c r="C22" s="176">
        <v>11</v>
      </c>
      <c r="D22" s="168"/>
      <c r="E22" s="177">
        <f t="shared" si="6"/>
        <v>2.6132089206990394E-2</v>
      </c>
      <c r="F22" s="82"/>
      <c r="G22" s="178">
        <f t="shared" si="8"/>
        <v>49.982685237016199</v>
      </c>
      <c r="H22" s="179">
        <f t="shared" si="4"/>
        <v>50.017314762983801</v>
      </c>
      <c r="I22" s="181">
        <f t="shared" si="0"/>
        <v>100</v>
      </c>
      <c r="J22" s="156">
        <f>J21/(1+cDR)^Markov_Backup!cycle</f>
        <v>0</v>
      </c>
      <c r="K22" s="181">
        <f t="shared" si="1"/>
        <v>49.982685237016199</v>
      </c>
      <c r="L22" s="205">
        <f>(G22*uPostT)/(1+oDR)^Markov_Backup!cycle</f>
        <v>36.957703951084326</v>
      </c>
      <c r="M22" s="82"/>
      <c r="N22" s="3"/>
      <c r="O22" s="82"/>
      <c r="P22" s="176">
        <f>11*12</f>
        <v>132</v>
      </c>
      <c r="Q22" s="168"/>
      <c r="R22" s="177">
        <f t="shared" si="7"/>
        <v>0.10806932699476868</v>
      </c>
      <c r="S22" s="82"/>
      <c r="T22" s="178">
        <f t="shared" si="5"/>
        <v>9.4076024894094559</v>
      </c>
      <c r="U22" s="179">
        <f>(T21*Markov_Backup!mr_2)+U21</f>
        <v>90.592397510590544</v>
      </c>
      <c r="V22" s="179">
        <f t="shared" si="2"/>
        <v>100</v>
      </c>
      <c r="W22" s="183">
        <f>W21/(1+cDR)^Markov_Backup!cycle2</f>
        <v>0</v>
      </c>
      <c r="X22" s="179">
        <f t="shared" si="3"/>
        <v>9.4076024894094559</v>
      </c>
      <c r="Y22" s="205">
        <f>(T22*uPostT)/(1+oDR)^Markov_Backup!cycle2</f>
        <v>5.1422622337924402</v>
      </c>
      <c r="Z22" s="82"/>
      <c r="AA22" s="3"/>
      <c r="AB22" s="3"/>
      <c r="AC22" s="29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ht="14.25" customHeight="1" x14ac:dyDescent="0.2">
      <c r="A23" s="3"/>
      <c r="B23" s="82"/>
      <c r="C23" s="176">
        <v>12</v>
      </c>
      <c r="D23" s="168"/>
      <c r="E23" s="177">
        <f t="shared" si="6"/>
        <v>2.5183817320057478E-2</v>
      </c>
      <c r="F23" s="82"/>
      <c r="G23" s="178">
        <f t="shared" si="8"/>
        <v>48.723930422841249</v>
      </c>
      <c r="H23" s="179">
        <f t="shared" si="4"/>
        <v>51.276069577158751</v>
      </c>
      <c r="I23" s="181">
        <f t="shared" si="0"/>
        <v>100</v>
      </c>
      <c r="J23" s="156">
        <f>J22/(1+cDR)^Markov_Backup!cycle</f>
        <v>0</v>
      </c>
      <c r="K23" s="181">
        <f t="shared" si="1"/>
        <v>48.723930422841249</v>
      </c>
      <c r="L23" s="205">
        <f>(G23*uPostT)/(1+oDR)^Markov_Backup!cycle</f>
        <v>35.937125073527625</v>
      </c>
      <c r="M23" s="82"/>
      <c r="N23" s="3"/>
      <c r="O23" s="82"/>
      <c r="P23" s="176">
        <f>12*12</f>
        <v>144</v>
      </c>
      <c r="Q23" s="168"/>
      <c r="R23" s="177">
        <f t="shared" si="7"/>
        <v>0.10431221205488606</v>
      </c>
      <c r="S23" s="82"/>
      <c r="T23" s="178">
        <f t="shared" si="5"/>
        <v>8.4262746636061081</v>
      </c>
      <c r="U23" s="179">
        <f>(T22*Markov_Backup!mr_2)+U22</f>
        <v>91.573725336393892</v>
      </c>
      <c r="V23" s="179">
        <f t="shared" si="2"/>
        <v>100</v>
      </c>
      <c r="W23" s="183">
        <f>W22/(1+cDR)^Markov_Backup!cycle2</f>
        <v>0</v>
      </c>
      <c r="X23" s="179">
        <f t="shared" si="3"/>
        <v>8.4262746636061081</v>
      </c>
      <c r="Y23" s="205">
        <f>(T23*uPostT)/(1+oDR)^Markov_Backup!cycle2</f>
        <v>4.469905045934639</v>
      </c>
      <c r="Z23" s="82"/>
      <c r="AA23" s="3"/>
      <c r="AB23" s="3"/>
      <c r="AC23" s="29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spans="1:45" ht="14.25" customHeight="1" x14ac:dyDescent="0.2">
      <c r="A24" s="3"/>
      <c r="B24" s="82"/>
      <c r="C24" s="176">
        <v>13</v>
      </c>
      <c r="D24" s="168"/>
      <c r="E24" s="177">
        <f t="shared" si="6"/>
        <v>2.4344668049628426E-2</v>
      </c>
      <c r="F24" s="82"/>
      <c r="G24" s="178">
        <f t="shared" si="8"/>
        <v>47.537762510623985</v>
      </c>
      <c r="H24" s="179">
        <f t="shared" si="4"/>
        <v>52.462237489376015</v>
      </c>
      <c r="I24" s="181">
        <f t="shared" si="0"/>
        <v>100</v>
      </c>
      <c r="J24" s="156">
        <f>J23/(1+cDR)^Markov_Backup!cycle</f>
        <v>0</v>
      </c>
      <c r="K24" s="181">
        <f t="shared" si="1"/>
        <v>47.537762510623985</v>
      </c>
      <c r="L24" s="205">
        <f>(G24*uPostT)/(1+oDR)^Markov_Backup!cycle</f>
        <v>34.974810666288896</v>
      </c>
      <c r="M24" s="82"/>
      <c r="N24" s="3"/>
      <c r="O24" s="82"/>
      <c r="P24" s="176">
        <f>13*12</f>
        <v>156</v>
      </c>
      <c r="Q24" s="168"/>
      <c r="R24" s="177">
        <f t="shared" si="7"/>
        <v>0.10097731560396617</v>
      </c>
      <c r="S24" s="82"/>
      <c r="T24" s="178">
        <f t="shared" si="5"/>
        <v>7.5754120675334491</v>
      </c>
      <c r="U24" s="179">
        <f>(T23*Markov_Backup!mr_2)+U23</f>
        <v>92.424587932466551</v>
      </c>
      <c r="V24" s="179">
        <f t="shared" si="2"/>
        <v>100</v>
      </c>
      <c r="W24" s="183">
        <f>W23/(1+cDR)^Markov_Backup!cycle2</f>
        <v>0</v>
      </c>
      <c r="X24" s="179">
        <f t="shared" si="3"/>
        <v>7.5754120675334491</v>
      </c>
      <c r="Y24" s="205">
        <f>(T24*uPostT)/(1+oDR)^Markov_Backup!cycle2</f>
        <v>3.8999260506685389</v>
      </c>
      <c r="Z24" s="82"/>
      <c r="AA24" s="3"/>
      <c r="AB24" s="3"/>
      <c r="AC24" s="29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:45" ht="14.25" customHeight="1" x14ac:dyDescent="0.2">
      <c r="A25" s="3"/>
      <c r="B25" s="82"/>
      <c r="C25" s="176">
        <v>14</v>
      </c>
      <c r="D25" s="168"/>
      <c r="E25" s="177">
        <f t="shared" si="6"/>
        <v>2.3594759243175556E-2</v>
      </c>
      <c r="F25" s="82"/>
      <c r="G25" s="178">
        <f t="shared" si="8"/>
        <v>46.416120449226554</v>
      </c>
      <c r="H25" s="179">
        <f t="shared" si="4"/>
        <v>53.583879550773446</v>
      </c>
      <c r="I25" s="181">
        <f t="shared" si="0"/>
        <v>100</v>
      </c>
      <c r="J25" s="156">
        <f>J24/(1+cDR)^Markov_Backup!cycle</f>
        <v>0</v>
      </c>
      <c r="K25" s="181">
        <f t="shared" si="1"/>
        <v>46.416120449226554</v>
      </c>
      <c r="L25" s="205">
        <f>(G25*uPostT)/(1+oDR)^Markov_Backup!cycle</f>
        <v>34.064427360640565</v>
      </c>
      <c r="M25" s="82"/>
      <c r="N25" s="3"/>
      <c r="O25" s="82"/>
      <c r="P25" s="176">
        <f>14*12</f>
        <v>168</v>
      </c>
      <c r="Q25" s="168"/>
      <c r="R25" s="177">
        <f t="shared" si="7"/>
        <v>9.7989007029832709E-2</v>
      </c>
      <c r="S25" s="82"/>
      <c r="T25" s="178">
        <f t="shared" si="5"/>
        <v>6.8331049611940387</v>
      </c>
      <c r="U25" s="179">
        <f>(T24*Markov_Backup!mr_2)+U24</f>
        <v>93.166895038805961</v>
      </c>
      <c r="V25" s="179">
        <f t="shared" si="2"/>
        <v>100</v>
      </c>
      <c r="W25" s="183">
        <f>W24/(1+cDR)^Markov_Backup!cycle2</f>
        <v>0</v>
      </c>
      <c r="X25" s="179">
        <f t="shared" si="3"/>
        <v>6.8331049611940387</v>
      </c>
      <c r="Y25" s="205">
        <f>(T25*uPostT)/(1+oDR)^Markov_Backup!cycle2</f>
        <v>3.4139379789991313</v>
      </c>
      <c r="Z25" s="82"/>
      <c r="AA25" s="3"/>
      <c r="AB25" s="3"/>
      <c r="AC25" s="29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spans="1:45" ht="14.25" customHeight="1" x14ac:dyDescent="0.2">
      <c r="A26" s="3"/>
      <c r="B26" s="82"/>
      <c r="C26" s="176">
        <v>15</v>
      </c>
      <c r="D26" s="168"/>
      <c r="E26" s="177">
        <f t="shared" si="6"/>
        <v>2.291898017778915E-2</v>
      </c>
      <c r="F26" s="82"/>
      <c r="G26" s="178">
        <f t="shared" si="8"/>
        <v>45.352310304720859</v>
      </c>
      <c r="H26" s="179">
        <f t="shared" si="4"/>
        <v>54.647689695279141</v>
      </c>
      <c r="I26" s="181">
        <f t="shared" si="0"/>
        <v>100</v>
      </c>
      <c r="J26" s="156">
        <f>J25/(1+cDR)^Markov_Backup!cycle</f>
        <v>0</v>
      </c>
      <c r="K26" s="181">
        <f t="shared" si="1"/>
        <v>45.352310304720859</v>
      </c>
      <c r="L26" s="205">
        <f>(G26*uPostT)/(1+oDR)^Markov_Backup!cycle</f>
        <v>33.200703666029234</v>
      </c>
      <c r="M26" s="82"/>
      <c r="N26" s="3"/>
      <c r="O26" s="82"/>
      <c r="P26" s="176">
        <f>15*12</f>
        <v>180</v>
      </c>
      <c r="Q26" s="168"/>
      <c r="R26" s="177">
        <f t="shared" si="7"/>
        <v>9.5289564519078884E-2</v>
      </c>
      <c r="S26" s="82"/>
      <c r="T26" s="178">
        <f t="shared" si="5"/>
        <v>6.1819813651287063</v>
      </c>
      <c r="U26" s="179">
        <f>(T25*Markov_Backup!mr_2)+U25</f>
        <v>93.818018634871294</v>
      </c>
      <c r="V26" s="179">
        <f t="shared" si="2"/>
        <v>100</v>
      </c>
      <c r="W26" s="183">
        <f>W25/(1+cDR)^Markov_Backup!cycle2</f>
        <v>0</v>
      </c>
      <c r="X26" s="179">
        <f t="shared" si="3"/>
        <v>6.1819813651287063</v>
      </c>
      <c r="Y26" s="205">
        <f>(T26*uPostT)/(1+oDR)^Markov_Backup!cycle2</f>
        <v>2.9974548578777713</v>
      </c>
      <c r="Z26" s="82"/>
      <c r="AA26" s="3"/>
      <c r="AB26" s="3"/>
      <c r="AC26" s="29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spans="1:45" ht="14.25" customHeight="1" x14ac:dyDescent="0.2">
      <c r="A27" s="3"/>
      <c r="B27" s="82"/>
      <c r="C27" s="176">
        <v>16</v>
      </c>
      <c r="D27" s="168"/>
      <c r="E27" s="177">
        <f t="shared" si="6"/>
        <v>2.230560674585369E-2</v>
      </c>
      <c r="F27" s="82"/>
      <c r="G27" s="178">
        <f t="shared" si="8"/>
        <v>44.340699506047827</v>
      </c>
      <c r="H27" s="179">
        <f t="shared" si="4"/>
        <v>55.659300493952173</v>
      </c>
      <c r="I27" s="181">
        <f t="shared" si="0"/>
        <v>100</v>
      </c>
      <c r="J27" s="156">
        <f>J26/(1+cDR)^Markov_Backup!cycle</f>
        <v>0</v>
      </c>
      <c r="K27" s="181">
        <f t="shared" si="1"/>
        <v>44.340699506047827</v>
      </c>
      <c r="L27" s="205">
        <f>(G27*uPostT)/(1+oDR)^Markov_Backup!cycle</f>
        <v>32.379193841764753</v>
      </c>
      <c r="M27" s="82"/>
      <c r="N27" s="3"/>
      <c r="O27" s="82"/>
      <c r="P27" s="176">
        <f>16*12</f>
        <v>192</v>
      </c>
      <c r="Q27" s="168"/>
      <c r="R27" s="177">
        <f t="shared" si="7"/>
        <v>9.283403460003925E-2</v>
      </c>
      <c r="S27" s="82"/>
      <c r="T27" s="178">
        <f t="shared" si="5"/>
        <v>5.6080830931815484</v>
      </c>
      <c r="U27" s="179">
        <f>(T26*Markov_Backup!mr_2)+U26</f>
        <v>94.391916906818452</v>
      </c>
      <c r="V27" s="179">
        <f t="shared" si="2"/>
        <v>100</v>
      </c>
      <c r="W27" s="183">
        <f>W26/(1+cDR)^Markov_Backup!cycle2</f>
        <v>0</v>
      </c>
      <c r="X27" s="179">
        <f t="shared" si="3"/>
        <v>5.6080830931815484</v>
      </c>
      <c r="Y27" s="205">
        <f>(T27*uPostT)/(1+oDR)^Markov_Backup!cycle2</f>
        <v>2.638923642093538</v>
      </c>
      <c r="Z27" s="82"/>
      <c r="AA27" s="3"/>
      <c r="AB27" s="3"/>
      <c r="AC27" s="29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spans="1:45" ht="14.25" customHeight="1" x14ac:dyDescent="0.2">
      <c r="A28" s="3"/>
      <c r="B28" s="82"/>
      <c r="C28" s="176">
        <v>17</v>
      </c>
      <c r="D28" s="168"/>
      <c r="E28" s="177">
        <f t="shared" si="6"/>
        <v>2.1745379596769254E-2</v>
      </c>
      <c r="F28" s="82"/>
      <c r="G28" s="178">
        <f t="shared" si="8"/>
        <v>43.376494163702539</v>
      </c>
      <c r="H28" s="179">
        <f t="shared" si="4"/>
        <v>56.623505836297461</v>
      </c>
      <c r="I28" s="181">
        <f t="shared" si="0"/>
        <v>100</v>
      </c>
      <c r="J28" s="156">
        <f>J27/(1+cDR)^Markov_Backup!cycle</f>
        <v>0</v>
      </c>
      <c r="K28" s="181">
        <f t="shared" si="1"/>
        <v>43.376494163702539</v>
      </c>
      <c r="L28" s="205">
        <f>(G28*uPostT)/(1+oDR)^Markov_Backup!cycle</f>
        <v>31.596105716347342</v>
      </c>
      <c r="M28" s="82"/>
      <c r="N28" s="3"/>
      <c r="O28" s="82"/>
      <c r="P28" s="176">
        <f>17*12</f>
        <v>204</v>
      </c>
      <c r="Q28" s="168"/>
      <c r="R28" s="177">
        <f t="shared" si="7"/>
        <v>9.0586794051067177E-2</v>
      </c>
      <c r="S28" s="82"/>
      <c r="T28" s="178">
        <f t="shared" si="5"/>
        <v>5.1000648249982419</v>
      </c>
      <c r="U28" s="179">
        <f>(T27*Markov_Backup!mr_2)+U27</f>
        <v>94.899935175001758</v>
      </c>
      <c r="V28" s="179">
        <f t="shared" si="2"/>
        <v>100</v>
      </c>
      <c r="W28" s="183">
        <f>W27/(1+cDR)^Markov_Backup!cycle2</f>
        <v>0</v>
      </c>
      <c r="X28" s="179">
        <f t="shared" si="3"/>
        <v>5.1000648249982419</v>
      </c>
      <c r="Y28" s="205">
        <f>(T28*uPostT)/(1+oDR)^Markov_Backup!cycle2</f>
        <v>2.3290322646004649</v>
      </c>
      <c r="Z28" s="82"/>
      <c r="AA28" s="3"/>
      <c r="AB28" s="3"/>
      <c r="AC28" s="29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spans="1:45" ht="14.25" customHeight="1" x14ac:dyDescent="0.2">
      <c r="A29" s="3"/>
      <c r="B29" s="82"/>
      <c r="C29" s="176">
        <v>18</v>
      </c>
      <c r="D29" s="168"/>
      <c r="E29" s="177">
        <f t="shared" si="6"/>
        <v>2.1230872420586855E-2</v>
      </c>
      <c r="F29" s="82"/>
      <c r="G29" s="178">
        <f t="shared" si="8"/>
        <v>42.455573350060639</v>
      </c>
      <c r="H29" s="179">
        <f t="shared" si="4"/>
        <v>57.544426649939361</v>
      </c>
      <c r="I29" s="181">
        <f t="shared" si="0"/>
        <v>100</v>
      </c>
      <c r="J29" s="156">
        <f>J28/(1+cDR)^Markov_Backup!cycle</f>
        <v>0</v>
      </c>
      <c r="K29" s="181">
        <f t="shared" si="1"/>
        <v>42.455573350060639</v>
      </c>
      <c r="L29" s="205">
        <f>(G29*uPostT)/(1+oDR)^Markov_Backup!cycle</f>
        <v>30.848172395906424</v>
      </c>
      <c r="M29" s="82"/>
      <c r="N29" s="3"/>
      <c r="O29" s="82"/>
      <c r="P29" s="176">
        <f>18*12</f>
        <v>216</v>
      </c>
      <c r="Q29" s="168"/>
      <c r="R29" s="177">
        <f t="shared" si="7"/>
        <v>8.8519183904801846E-2</v>
      </c>
      <c r="S29" s="82"/>
      <c r="T29" s="178">
        <f t="shared" si="5"/>
        <v>4.6486112488278053</v>
      </c>
      <c r="U29" s="179">
        <f>(T28*Markov_Backup!mr_2)+U28</f>
        <v>95.351388751172195</v>
      </c>
      <c r="V29" s="179">
        <f t="shared" si="2"/>
        <v>100</v>
      </c>
      <c r="W29" s="183">
        <f>W28/(1+cDR)^Markov_Backup!cycle2</f>
        <v>0</v>
      </c>
      <c r="X29" s="179">
        <f t="shared" si="3"/>
        <v>4.6486112488278053</v>
      </c>
      <c r="Y29" s="205">
        <f>(T29*uPostT)/(1+oDR)^Markov_Backup!cycle2</f>
        <v>2.0602051191141153</v>
      </c>
      <c r="Z29" s="82"/>
      <c r="AA29" s="3"/>
      <c r="AB29" s="3"/>
      <c r="AC29" s="29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spans="1:45" ht="14.25" customHeight="1" x14ac:dyDescent="0.2">
      <c r="A30" s="3"/>
      <c r="B30" s="82"/>
      <c r="C30" s="176">
        <v>19</v>
      </c>
      <c r="D30" s="168"/>
      <c r="E30" s="177">
        <f t="shared" si="6"/>
        <v>2.0756048065641686E-2</v>
      </c>
      <c r="F30" s="82"/>
      <c r="G30" s="178">
        <f t="shared" si="8"/>
        <v>41.574363428952402</v>
      </c>
      <c r="H30" s="179">
        <f t="shared" si="4"/>
        <v>58.425636571047598</v>
      </c>
      <c r="I30" s="181">
        <f t="shared" si="0"/>
        <v>100</v>
      </c>
      <c r="J30" s="156">
        <f>J29/(1+cDR)^Markov_Backup!cycle</f>
        <v>0</v>
      </c>
      <c r="K30" s="181">
        <f t="shared" si="1"/>
        <v>41.574363428952402</v>
      </c>
      <c r="L30" s="205">
        <f>(G30*uPostT)/(1+oDR)^Markov_Backup!cycle</f>
        <v>30.132554859770369</v>
      </c>
      <c r="M30" s="82"/>
      <c r="N30" s="3"/>
      <c r="O30" s="82"/>
      <c r="P30" s="176">
        <f>19*12</f>
        <v>228</v>
      </c>
      <c r="Q30" s="168"/>
      <c r="R30" s="177">
        <f t="shared" si="7"/>
        <v>8.6607840561982896E-2</v>
      </c>
      <c r="S30" s="82"/>
      <c r="T30" s="178">
        <f t="shared" si="5"/>
        <v>4.2460050669546803</v>
      </c>
      <c r="U30" s="179">
        <f>(T29*Markov_Backup!mr_2)+U29</f>
        <v>95.75399493304532</v>
      </c>
      <c r="V30" s="179">
        <f t="shared" si="2"/>
        <v>100</v>
      </c>
      <c r="W30" s="183">
        <f>W29/(1+cDR)^Markov_Backup!cycle2</f>
        <v>0</v>
      </c>
      <c r="X30" s="179">
        <f t="shared" si="3"/>
        <v>4.2460050669546803</v>
      </c>
      <c r="Y30" s="205">
        <f>(T30*uPostT)/(1+oDR)^Markov_Backup!cycle2</f>
        <v>1.8262287089085252</v>
      </c>
      <c r="Z30" s="82"/>
      <c r="AA30" s="3"/>
      <c r="AB30" s="3"/>
      <c r="AC30" s="29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spans="1:45" ht="14.25" customHeight="1" x14ac:dyDescent="0.2">
      <c r="A31" s="3"/>
      <c r="B31" s="82"/>
      <c r="C31" s="176">
        <v>20</v>
      </c>
      <c r="D31" s="168"/>
      <c r="E31" s="177">
        <f t="shared" si="6"/>
        <v>2.0315939730252586E-2</v>
      </c>
      <c r="F31" s="82"/>
      <c r="G31" s="178">
        <f t="shared" si="8"/>
        <v>40.729741167206186</v>
      </c>
      <c r="H31" s="179">
        <f t="shared" si="4"/>
        <v>59.270258832793814</v>
      </c>
      <c r="I31" s="181">
        <f t="shared" si="0"/>
        <v>100</v>
      </c>
      <c r="J31" s="156">
        <f>J30/(1+cDR)^Markov_Backup!cycle</f>
        <v>0</v>
      </c>
      <c r="K31" s="181">
        <f t="shared" si="1"/>
        <v>40.729741167206186</v>
      </c>
      <c r="L31" s="205">
        <f>(G31*uPostT)/(1+oDR)^Markov_Backup!cycle</f>
        <v>29.446766774384777</v>
      </c>
      <c r="M31" s="82"/>
      <c r="N31" s="3"/>
      <c r="O31" s="82"/>
      <c r="P31" s="176">
        <f>20*12</f>
        <v>240</v>
      </c>
      <c r="Q31" s="168"/>
      <c r="R31" s="177">
        <f t="shared" si="7"/>
        <v>8.4833492946118416E-2</v>
      </c>
      <c r="S31" s="82"/>
      <c r="T31" s="178">
        <f t="shared" si="5"/>
        <v>3.8858016260579973</v>
      </c>
      <c r="U31" s="179">
        <f>(T30*Markov_Backup!mr_2)+U30</f>
        <v>96.114198373942003</v>
      </c>
      <c r="V31" s="179">
        <f t="shared" si="2"/>
        <v>100</v>
      </c>
      <c r="W31" s="183">
        <f>W30/(1+cDR)^Markov_Backup!cycle2</f>
        <v>0</v>
      </c>
      <c r="X31" s="179">
        <f t="shared" si="3"/>
        <v>3.8858016260579973</v>
      </c>
      <c r="Y31" s="205">
        <f>(T31*uPostT)/(1+oDR)^Markov_Backup!cycle2</f>
        <v>1.6219695914061083</v>
      </c>
      <c r="Z31" s="82"/>
      <c r="AA31" s="3"/>
      <c r="AB31" s="3"/>
      <c r="AC31" s="29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spans="1:45" ht="14.25" customHeight="1" x14ac:dyDescent="0.2">
      <c r="A32" s="3"/>
      <c r="B32" s="82"/>
      <c r="C32" s="176">
        <v>21</v>
      </c>
      <c r="D32" s="168"/>
      <c r="E32" s="177">
        <f t="shared" si="6"/>
        <v>1.9906417519096387E-2</v>
      </c>
      <c r="F32" s="82"/>
      <c r="G32" s="178">
        <f t="shared" si="8"/>
        <v>39.918957934087054</v>
      </c>
      <c r="H32" s="179">
        <f t="shared" si="4"/>
        <v>60.081042065912946</v>
      </c>
      <c r="I32" s="181">
        <f t="shared" si="0"/>
        <v>100</v>
      </c>
      <c r="J32" s="156">
        <f>J31/(1+cDR)^Markov_Backup!cycle</f>
        <v>0</v>
      </c>
      <c r="K32" s="181">
        <f t="shared" si="1"/>
        <v>39.918957934087054</v>
      </c>
      <c r="L32" s="205">
        <f>(G32*uPostT)/(1+oDR)^Markov_Backup!cycle</f>
        <v>28.788615601382968</v>
      </c>
      <c r="M32" s="82"/>
      <c r="N32" s="3"/>
      <c r="O32" s="82"/>
      <c r="P32" s="176">
        <f>21*12</f>
        <v>252</v>
      </c>
      <c r="Q32" s="168"/>
      <c r="R32" s="177">
        <f t="shared" si="7"/>
        <v>8.3180078897720833E-2</v>
      </c>
      <c r="S32" s="82"/>
      <c r="T32" s="178">
        <f t="shared" si="5"/>
        <v>3.5625803402216007</v>
      </c>
      <c r="U32" s="179">
        <f>(T31*Markov_Backup!mr_2)+U31</f>
        <v>96.437419659778399</v>
      </c>
      <c r="V32" s="179">
        <f t="shared" si="2"/>
        <v>100</v>
      </c>
      <c r="W32" s="183">
        <f>W31/(1+cDR)^Markov_Backup!cycle2</f>
        <v>0</v>
      </c>
      <c r="X32" s="179">
        <f t="shared" si="3"/>
        <v>3.5625803402216007</v>
      </c>
      <c r="Y32" s="205">
        <f>(T32*uPostT)/(1+oDR)^Markov_Backup!cycle2</f>
        <v>1.4431589717200661</v>
      </c>
      <c r="Z32" s="82"/>
      <c r="AA32" s="3"/>
      <c r="AB32" s="3"/>
      <c r="AC32" s="29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spans="1:45" ht="14.25" customHeight="1" x14ac:dyDescent="0.2">
      <c r="A33" s="3"/>
      <c r="B33" s="82"/>
      <c r="C33" s="176">
        <v>22</v>
      </c>
      <c r="D33" s="168"/>
      <c r="E33" s="177">
        <f t="shared" si="6"/>
        <v>1.9524014546996038E-2</v>
      </c>
      <c r="F33" s="82"/>
      <c r="G33" s="178">
        <f t="shared" si="8"/>
        <v>39.139579618681012</v>
      </c>
      <c r="H33" s="179">
        <f t="shared" si="4"/>
        <v>60.860420381318988</v>
      </c>
      <c r="I33" s="181">
        <f t="shared" si="0"/>
        <v>100</v>
      </c>
      <c r="J33" s="156">
        <f>J32/(1+cDR)^Markov_Backup!cycle</f>
        <v>0</v>
      </c>
      <c r="K33" s="181">
        <f t="shared" si="1"/>
        <v>39.139579618681012</v>
      </c>
      <c r="L33" s="205">
        <f>(G33*uPostT)/(1+oDR)^Markov_Backup!cycle</f>
        <v>28.156155861938846</v>
      </c>
      <c r="M33" s="82"/>
      <c r="N33" s="3"/>
      <c r="O33" s="82"/>
      <c r="P33" s="176">
        <f>22*12</f>
        <v>264</v>
      </c>
      <c r="Q33" s="168"/>
      <c r="R33" s="177">
        <f t="shared" si="7"/>
        <v>8.1634085005934609E-2</v>
      </c>
      <c r="S33" s="82"/>
      <c r="T33" s="178">
        <f t="shared" si="5"/>
        <v>3.2717523538874786</v>
      </c>
      <c r="U33" s="179">
        <f>(T32*Markov_Backup!mr_2)+U32</f>
        <v>96.728247646112521</v>
      </c>
      <c r="V33" s="179">
        <f t="shared" si="2"/>
        <v>100</v>
      </c>
      <c r="W33" s="183">
        <f>W32/(1+cDR)^Markov_Backup!cycle2</f>
        <v>0</v>
      </c>
      <c r="X33" s="179">
        <f t="shared" si="3"/>
        <v>3.2717523538874786</v>
      </c>
      <c r="Y33" s="205">
        <f>(T33*uPostT)/(1+oDR)^Markov_Backup!cycle2</f>
        <v>1.2862262086036802</v>
      </c>
      <c r="Z33" s="82"/>
      <c r="AA33" s="3"/>
      <c r="AB33" s="3"/>
      <c r="AC33" s="29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spans="1:45" ht="14.25" customHeight="1" x14ac:dyDescent="0.2">
      <c r="A34" s="3"/>
      <c r="B34" s="82"/>
      <c r="C34" s="176">
        <v>23</v>
      </c>
      <c r="D34" s="168"/>
      <c r="E34" s="177">
        <f t="shared" si="6"/>
        <v>1.9165795395750029E-2</v>
      </c>
      <c r="F34" s="82"/>
      <c r="G34" s="178">
        <f t="shared" si="8"/>
        <v>38.389438443833704</v>
      </c>
      <c r="H34" s="179">
        <f t="shared" si="4"/>
        <v>61.610561556166296</v>
      </c>
      <c r="I34" s="181">
        <f t="shared" si="0"/>
        <v>100</v>
      </c>
      <c r="J34" s="156">
        <f>J33/(1+cDR)^Markov_Backup!cycle</f>
        <v>0</v>
      </c>
      <c r="K34" s="181">
        <f t="shared" si="1"/>
        <v>38.389438443833704</v>
      </c>
      <c r="L34" s="205">
        <f>(G34*uPostT)/(1+oDR)^Markov_Backup!cycle</f>
        <v>27.547651610531748</v>
      </c>
      <c r="M34" s="82"/>
      <c r="N34" s="3"/>
      <c r="O34" s="82"/>
      <c r="P34" s="176">
        <f>23*12</f>
        <v>276</v>
      </c>
      <c r="Q34" s="168"/>
      <c r="R34" s="177">
        <f t="shared" si="7"/>
        <v>8.0184045852352615E-2</v>
      </c>
      <c r="S34" s="82"/>
      <c r="T34" s="178">
        <f t="shared" si="5"/>
        <v>3.0094100131258159</v>
      </c>
      <c r="U34" s="179">
        <f>(T33*Markov_Backup!mr_2)+U33</f>
        <v>96.990589986874184</v>
      </c>
      <c r="V34" s="179">
        <f t="shared" si="2"/>
        <v>100</v>
      </c>
      <c r="W34" s="183">
        <f>W33/(1+cDR)^Markov_Backup!cycle2</f>
        <v>0</v>
      </c>
      <c r="X34" s="179">
        <f t="shared" si="3"/>
        <v>3.0094100131258159</v>
      </c>
      <c r="Y34" s="205">
        <f>(T34*uPostT)/(1+oDR)^Markov_Backup!cycle2</f>
        <v>1.1481687364977513</v>
      </c>
      <c r="Z34" s="82"/>
      <c r="AA34" s="3"/>
      <c r="AB34" s="3"/>
      <c r="AC34" s="29"/>
      <c r="AD34" s="3"/>
      <c r="AE34" s="3"/>
      <c r="AF34" s="3"/>
      <c r="AG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spans="1:45" ht="14.25" customHeight="1" x14ac:dyDescent="0.2">
      <c r="A35" s="3"/>
      <c r="B35" s="82"/>
      <c r="C35" s="176">
        <v>24</v>
      </c>
      <c r="D35" s="168"/>
      <c r="E35" s="177">
        <f t="shared" si="6"/>
        <v>1.8829255223746122E-2</v>
      </c>
      <c r="F35" s="82"/>
      <c r="G35" s="178">
        <f t="shared" si="8"/>
        <v>37.666593909478465</v>
      </c>
      <c r="H35" s="179">
        <f t="shared" si="4"/>
        <v>62.333406090521535</v>
      </c>
      <c r="I35" s="181">
        <f t="shared" si="0"/>
        <v>100</v>
      </c>
      <c r="J35" s="156">
        <f>J34/(1+cDR)^Markov_Backup!cycle</f>
        <v>0</v>
      </c>
      <c r="K35" s="181">
        <f t="shared" si="1"/>
        <v>37.666593909478465</v>
      </c>
      <c r="L35" s="205">
        <f>(G35*uPostT)/(1+oDR)^Markov_Backup!cycle</f>
        <v>26.96154598258574</v>
      </c>
      <c r="M35" s="82"/>
      <c r="N35" s="3"/>
      <c r="O35" s="82"/>
      <c r="P35" s="176">
        <f>24*12</f>
        <v>288</v>
      </c>
      <c r="Q35" s="168"/>
      <c r="R35" s="177">
        <f t="shared" si="7"/>
        <v>7.882015896020178E-2</v>
      </c>
      <c r="S35" s="82"/>
      <c r="T35" s="178">
        <f t="shared" si="5"/>
        <v>2.7722078375148129</v>
      </c>
      <c r="U35" s="179">
        <f>(T34*Markov_Backup!mr_2)+U34</f>
        <v>97.227792162485187</v>
      </c>
      <c r="V35" s="179">
        <f t="shared" si="2"/>
        <v>100</v>
      </c>
      <c r="W35" s="183">
        <f>W34/(1+cDR)^Markov_Backup!cycle2</f>
        <v>0</v>
      </c>
      <c r="X35" s="179">
        <f t="shared" si="3"/>
        <v>2.7722078375148129</v>
      </c>
      <c r="Y35" s="205">
        <f>(T35*uPostT)/(1+oDR)^Markov_Backup!cycle2</f>
        <v>1.0264494518718368</v>
      </c>
      <c r="Z35" s="82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spans="1:45" ht="14.25" customHeight="1" x14ac:dyDescent="0.2">
      <c r="A36" s="3"/>
      <c r="B36" s="82"/>
      <c r="C36" s="176">
        <v>25</v>
      </c>
      <c r="D36" s="168"/>
      <c r="E36" s="177">
        <f t="shared" si="6"/>
        <v>1.851224141148422E-2</v>
      </c>
      <c r="F36" s="82"/>
      <c r="G36" s="178">
        <f t="shared" si="8"/>
        <v>36.969300829877859</v>
      </c>
      <c r="H36" s="179">
        <f t="shared" si="4"/>
        <v>63.030699170122141</v>
      </c>
      <c r="I36" s="181">
        <f t="shared" si="0"/>
        <v>100</v>
      </c>
      <c r="J36" s="156">
        <f>J35/(1+cDR)^Markov_Backup!cycle</f>
        <v>0</v>
      </c>
      <c r="K36" s="181">
        <f t="shared" si="1"/>
        <v>36.969300829877859</v>
      </c>
      <c r="L36" s="205">
        <f>(G36*uPostT)/(1+oDR)^Markov_Backup!cycle</f>
        <v>26.396436243919482</v>
      </c>
      <c r="M36" s="82"/>
      <c r="N36" s="3"/>
      <c r="O36" s="82"/>
      <c r="P36" s="176">
        <f>25*12</f>
        <v>300</v>
      </c>
      <c r="Q36" s="168"/>
      <c r="R36" s="177">
        <f t="shared" si="7"/>
        <v>7.7533985037914865E-2</v>
      </c>
      <c r="S36" s="82"/>
      <c r="T36" s="178">
        <f t="shared" si="5"/>
        <v>2.557267516518948</v>
      </c>
      <c r="U36" s="179">
        <f>(T35*Markov_Backup!mr_2)+U35</f>
        <v>97.442732483481052</v>
      </c>
      <c r="V36" s="179">
        <f t="shared" si="2"/>
        <v>100</v>
      </c>
      <c r="W36" s="183">
        <f>W35/(1+cDR)^Markov_Backup!cycle2</f>
        <v>0</v>
      </c>
      <c r="X36" s="179">
        <f t="shared" si="3"/>
        <v>2.557267516518948</v>
      </c>
      <c r="Y36" s="205">
        <f>(T36*uPostT)/(1+oDR)^Markov_Backup!cycle2</f>
        <v>0.91891505471679102</v>
      </c>
      <c r="Z36" s="82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spans="1:45" ht="14.25" customHeight="1" x14ac:dyDescent="0.2">
      <c r="A37" s="3"/>
      <c r="B37" s="82"/>
      <c r="C37" s="176">
        <v>26</v>
      </c>
      <c r="D37" s="168"/>
      <c r="E37" s="177">
        <f t="shared" si="6"/>
        <v>1.8212892013046322E-2</v>
      </c>
      <c r="F37" s="82"/>
      <c r="G37" s="178">
        <f t="shared" si="8"/>
        <v>36.295982946065472</v>
      </c>
      <c r="H37" s="179">
        <f t="shared" si="4"/>
        <v>63.704017053934528</v>
      </c>
      <c r="I37" s="181">
        <f t="shared" si="0"/>
        <v>100</v>
      </c>
      <c r="J37" s="156">
        <f>J36/(1+cDR)^Markov_Backup!cycle</f>
        <v>0</v>
      </c>
      <c r="K37" s="181">
        <f t="shared" si="1"/>
        <v>36.295982946065472</v>
      </c>
      <c r="L37" s="205">
        <f>(G37*uPostT)/(1+oDR)^Markov_Backup!cycle</f>
        <v>25.851053168159314</v>
      </c>
      <c r="M37" s="82"/>
      <c r="N37" s="3"/>
      <c r="O37" s="82"/>
      <c r="P37" s="176">
        <f>26*12</f>
        <v>312</v>
      </c>
      <c r="Q37" s="168"/>
      <c r="R37" s="177">
        <f t="shared" si="7"/>
        <v>7.6318211989385043E-2</v>
      </c>
      <c r="S37" s="82"/>
      <c r="T37" s="178">
        <f t="shared" si="5"/>
        <v>2.3621014320796831</v>
      </c>
      <c r="U37" s="179">
        <f>(T36*Markov_Backup!mr_2)+U36</f>
        <v>97.637898567920317</v>
      </c>
      <c r="V37" s="179">
        <f t="shared" si="2"/>
        <v>100</v>
      </c>
      <c r="W37" s="183">
        <f>W36/(1+cDR)^Markov_Backup!cycle2</f>
        <v>0</v>
      </c>
      <c r="X37" s="179">
        <f t="shared" si="3"/>
        <v>2.3621014320796831</v>
      </c>
      <c r="Y37" s="205">
        <f>(T37*uPostT)/(1+oDR)^Markov_Backup!cycle2</f>
        <v>0.8237305479168967</v>
      </c>
      <c r="Z37" s="82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spans="1:45" ht="14.25" customHeight="1" x14ac:dyDescent="0.2">
      <c r="A38" s="3"/>
      <c r="B38" s="82"/>
      <c r="C38" s="176">
        <v>27</v>
      </c>
      <c r="D38" s="168"/>
      <c r="E38" s="177">
        <f t="shared" si="6"/>
        <v>1.7929586903970951E-2</v>
      </c>
      <c r="F38" s="82"/>
      <c r="G38" s="178">
        <f t="shared" si="8"/>
        <v>35.64521096556895</v>
      </c>
      <c r="H38" s="179">
        <f t="shared" si="4"/>
        <v>64.35478903443105</v>
      </c>
      <c r="I38" s="181">
        <f t="shared" si="0"/>
        <v>100</v>
      </c>
      <c r="J38" s="156">
        <f>J37/(1+cDR)^Markov_Backup!cycle</f>
        <v>0</v>
      </c>
      <c r="K38" s="181">
        <f t="shared" si="1"/>
        <v>35.64521096556895</v>
      </c>
      <c r="L38" s="205">
        <f>(G38*uPostT)/(1+oDR)^Markov_Backup!cycle</f>
        <v>25.324243854186172</v>
      </c>
      <c r="M38" s="82"/>
      <c r="N38" s="3"/>
      <c r="O38" s="82"/>
      <c r="P38" s="176">
        <f>27*12</f>
        <v>324</v>
      </c>
      <c r="Q38" s="168"/>
      <c r="R38" s="177">
        <f t="shared" si="7"/>
        <v>7.5166467211147947E-2</v>
      </c>
      <c r="S38" s="82"/>
      <c r="T38" s="178">
        <f t="shared" si="5"/>
        <v>2.1845506122358671</v>
      </c>
      <c r="U38" s="179">
        <f>(T37*Markov_Backup!mr_2)+U37</f>
        <v>97.815449387764133</v>
      </c>
      <c r="V38" s="179">
        <f t="shared" si="2"/>
        <v>100</v>
      </c>
      <c r="W38" s="183">
        <f>W37/(1+cDR)^Markov_Backup!cycle2</f>
        <v>0</v>
      </c>
      <c r="X38" s="179">
        <f t="shared" si="3"/>
        <v>2.1845506122358671</v>
      </c>
      <c r="Y38" s="205">
        <f>(T38*uPostT)/(1+oDR)^Markov_Backup!cycle2</f>
        <v>0.73932631534357085</v>
      </c>
      <c r="Z38" s="82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spans="1:45" ht="14.25" customHeight="1" x14ac:dyDescent="0.2">
      <c r="A39" s="3"/>
      <c r="B39" s="82"/>
      <c r="C39" s="176">
        <v>28</v>
      </c>
      <c r="D39" s="168"/>
      <c r="E39" s="177">
        <f t="shared" si="6"/>
        <v>1.7660908635339534E-2</v>
      </c>
      <c r="F39" s="82"/>
      <c r="G39" s="178">
        <f t="shared" si="8"/>
        <v>35.01568415141864</v>
      </c>
      <c r="H39" s="179">
        <f t="shared" si="4"/>
        <v>64.98431584858136</v>
      </c>
      <c r="I39" s="181">
        <f t="shared" si="0"/>
        <v>100</v>
      </c>
      <c r="J39" s="156">
        <f>J38/(1+cDR)^Markov_Backup!cycle</f>
        <v>0</v>
      </c>
      <c r="K39" s="181">
        <f t="shared" si="1"/>
        <v>35.01568415141864</v>
      </c>
      <c r="L39" s="205">
        <f>(G39*uPostT)/(1+oDR)^Markov_Backup!cycle</f>
        <v>24.81495730395844</v>
      </c>
      <c r="M39" s="82"/>
      <c r="N39" s="3"/>
      <c r="O39" s="82"/>
      <c r="P39" s="176">
        <f>28*12</f>
        <v>336</v>
      </c>
      <c r="Q39" s="168"/>
      <c r="R39" s="177">
        <f t="shared" si="7"/>
        <v>7.4073166885662789E-2</v>
      </c>
      <c r="S39" s="82"/>
      <c r="T39" s="178">
        <f t="shared" si="5"/>
        <v>2.0227340301655374</v>
      </c>
      <c r="U39" s="179">
        <f>(T38*Markov_Backup!mr_2)+U38</f>
        <v>97.977265969834463</v>
      </c>
      <c r="V39" s="179">
        <f t="shared" si="2"/>
        <v>100</v>
      </c>
      <c r="W39" s="183">
        <f>W38/(1+cDR)^Markov_Backup!cycle2</f>
        <v>0</v>
      </c>
      <c r="X39" s="179">
        <f t="shared" si="3"/>
        <v>2.0227340301655374</v>
      </c>
      <c r="Y39" s="205">
        <f>(T39*uPostT)/(1+oDR)^Markov_Backup!cycle2</f>
        <v>0.66435507836533314</v>
      </c>
      <c r="Z39" s="82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spans="1:45" ht="14.25" customHeight="1" x14ac:dyDescent="0.2">
      <c r="A40" s="3"/>
      <c r="B40" s="82"/>
      <c r="C40" s="176">
        <v>29</v>
      </c>
      <c r="D40" s="168"/>
      <c r="E40" s="177">
        <f t="shared" si="6"/>
        <v>1.7405610789336001E-2</v>
      </c>
      <c r="F40" s="82"/>
      <c r="G40" s="178">
        <f t="shared" si="8"/>
        <v>34.406214781556727</v>
      </c>
      <c r="H40" s="179">
        <f t="shared" si="4"/>
        <v>65.593785218443273</v>
      </c>
      <c r="I40" s="181">
        <f t="shared" si="0"/>
        <v>100</v>
      </c>
      <c r="J40" s="156">
        <f>J39/(1+cDR)^Markov_Backup!cycle</f>
        <v>0</v>
      </c>
      <c r="K40" s="181">
        <f t="shared" si="1"/>
        <v>34.406214781556727</v>
      </c>
      <c r="L40" s="205">
        <f>(G40*uPostT)/(1+oDR)^Markov_Backup!cycle</f>
        <v>24.322232234784781</v>
      </c>
      <c r="M40" s="82"/>
      <c r="N40" s="3"/>
      <c r="O40" s="82"/>
      <c r="P40" s="176">
        <f>29*12</f>
        <v>348</v>
      </c>
      <c r="Q40" s="168"/>
      <c r="R40" s="177">
        <f t="shared" si="7"/>
        <v>7.3033393926600354E-2</v>
      </c>
      <c r="S40" s="82"/>
      <c r="T40" s="178">
        <f t="shared" si="5"/>
        <v>1.8750068989317157</v>
      </c>
      <c r="U40" s="179">
        <f>(T39*Markov_Backup!mr_2)+U39</f>
        <v>98.124993101068284</v>
      </c>
      <c r="V40" s="179">
        <f t="shared" si="2"/>
        <v>100</v>
      </c>
      <c r="W40" s="183">
        <f>W39/(1+cDR)^Markov_Backup!cycle2</f>
        <v>0</v>
      </c>
      <c r="X40" s="179">
        <f t="shared" si="3"/>
        <v>1.8750068989317157</v>
      </c>
      <c r="Y40" s="205">
        <f>(T40*uPostT)/(1+oDR)^Markov_Backup!cycle2</f>
        <v>0.59765667261656452</v>
      </c>
      <c r="Z40" s="82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spans="1:45" ht="14.25" customHeight="1" x14ac:dyDescent="0.2">
      <c r="A41" s="3"/>
      <c r="B41" s="82"/>
      <c r="C41" s="176">
        <v>30</v>
      </c>
      <c r="D41" s="168"/>
      <c r="E41" s="177">
        <f t="shared" si="6"/>
        <v>1.7162592190825832E-2</v>
      </c>
      <c r="F41" s="82"/>
      <c r="G41" s="178">
        <f t="shared" si="8"/>
        <v>33.815714948430909</v>
      </c>
      <c r="H41" s="179">
        <f t="shared" si="4"/>
        <v>66.184285051569091</v>
      </c>
      <c r="I41" s="181">
        <f t="shared" si="0"/>
        <v>100</v>
      </c>
      <c r="J41" s="156">
        <f>J40/(1+cDR)^Markov_Backup!cycle</f>
        <v>0</v>
      </c>
      <c r="K41" s="181">
        <f t="shared" si="1"/>
        <v>33.815714948430909</v>
      </c>
      <c r="L41" s="205">
        <f>(G41*uPostT)/(1+oDR)^Markov_Backup!cycle</f>
        <v>23.845186714981171</v>
      </c>
      <c r="M41" s="82"/>
      <c r="N41" s="3"/>
      <c r="O41" s="82"/>
      <c r="P41" s="176">
        <f>30*12</f>
        <v>360</v>
      </c>
      <c r="Q41" s="168"/>
      <c r="R41" s="177">
        <f t="shared" si="7"/>
        <v>7.2042798335262503E-2</v>
      </c>
      <c r="S41" s="82"/>
      <c r="T41" s="178">
        <f t="shared" si="5"/>
        <v>1.7399261550347518</v>
      </c>
      <c r="U41" s="179">
        <f>(T40*Markov_Backup!mr_2)+U40</f>
        <v>98.260073844965248</v>
      </c>
      <c r="V41" s="179">
        <f t="shared" si="2"/>
        <v>100</v>
      </c>
      <c r="W41" s="183">
        <f>W40/(1+cDR)^Markov_Backup!cycle2</f>
        <v>0</v>
      </c>
      <c r="X41" s="179">
        <f t="shared" si="3"/>
        <v>1.7399261550347518</v>
      </c>
      <c r="Y41" s="205">
        <f>(T41*uPostT)/(1+oDR)^Markov_Backup!cycle2</f>
        <v>0.53822906153235972</v>
      </c>
      <c r="Z41" s="82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spans="1:45" ht="14.25" customHeight="1" x14ac:dyDescent="0.2">
      <c r="A42" s="3"/>
      <c r="B42" s="82"/>
      <c r="C42" s="176">
        <v>31</v>
      </c>
      <c r="D42" s="168"/>
      <c r="E42" s="177">
        <f t="shared" si="6"/>
        <v>1.6930875733040307E-2</v>
      </c>
      <c r="F42" s="82"/>
      <c r="G42" s="178">
        <f t="shared" si="8"/>
        <v>33.243185280815112</v>
      </c>
      <c r="H42" s="179">
        <f t="shared" si="4"/>
        <v>66.756814719184888</v>
      </c>
      <c r="I42" s="181">
        <f t="shared" si="0"/>
        <v>100</v>
      </c>
      <c r="J42" s="156">
        <f>J41/(1+cDR)^Markov_Backup!cycle</f>
        <v>0</v>
      </c>
      <c r="K42" s="181">
        <f t="shared" si="1"/>
        <v>33.243185280815112</v>
      </c>
      <c r="L42" s="205">
        <f>(G42*uPostT)/(1+oDR)^Markov_Backup!cycle</f>
        <v>23.383009298632107</v>
      </c>
      <c r="M42" s="82"/>
      <c r="N42" s="3"/>
      <c r="O42" s="82"/>
      <c r="P42" s="176">
        <f>31*12</f>
        <v>372</v>
      </c>
      <c r="Q42" s="168"/>
      <c r="R42" s="177">
        <f t="shared" si="7"/>
        <v>7.109751524818686E-2</v>
      </c>
      <c r="S42" s="82"/>
      <c r="T42" s="178">
        <f t="shared" si="5"/>
        <v>1.6162217286964449</v>
      </c>
      <c r="U42" s="179">
        <f>(T41*Markov_Backup!mr_2)+U41</f>
        <v>98.383778271303555</v>
      </c>
      <c r="V42" s="179">
        <f t="shared" si="2"/>
        <v>100</v>
      </c>
      <c r="W42" s="183">
        <f>W41/(1+cDR)^Markov_Backup!cycle2</f>
        <v>0</v>
      </c>
      <c r="X42" s="179">
        <f t="shared" si="3"/>
        <v>1.6162217286964449</v>
      </c>
      <c r="Y42" s="205">
        <f>(T42*uPostT)/(1+oDR)^Markov_Backup!cycle2</f>
        <v>0.48520435778248622</v>
      </c>
      <c r="Z42" s="82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spans="1:45" ht="14.25" customHeight="1" x14ac:dyDescent="0.2">
      <c r="A43" s="3"/>
      <c r="B43" s="82"/>
      <c r="C43" s="176">
        <v>32</v>
      </c>
      <c r="D43" s="168"/>
      <c r="E43" s="177">
        <f t="shared" si="6"/>
        <v>1.6709590870235935E-2</v>
      </c>
      <c r="F43" s="82"/>
      <c r="G43" s="178">
        <f t="shared" si="8"/>
        <v>32.687705255549247</v>
      </c>
      <c r="H43" s="179">
        <f t="shared" si="4"/>
        <v>67.312294744450753</v>
      </c>
      <c r="I43" s="181">
        <f t="shared" si="0"/>
        <v>100</v>
      </c>
      <c r="J43" s="156">
        <f>J42/(1+cDR)^Markov_Backup!cycle</f>
        <v>0</v>
      </c>
      <c r="K43" s="181">
        <f t="shared" si="1"/>
        <v>32.687705255549247</v>
      </c>
      <c r="L43" s="205">
        <f>(G43*uPostT)/(1+oDR)^Markov_Backup!cycle</f>
        <v>22.934951401433455</v>
      </c>
      <c r="M43" s="82"/>
      <c r="N43" s="3"/>
      <c r="O43" s="82"/>
      <c r="P43" s="176">
        <f>32*12</f>
        <v>384</v>
      </c>
      <c r="Q43" s="168"/>
      <c r="R43" s="177">
        <f t="shared" si="7"/>
        <v>7.019409706930746E-2</v>
      </c>
      <c r="S43" s="82"/>
      <c r="T43" s="178">
        <f t="shared" si="5"/>
        <v>1.5027725037868009</v>
      </c>
      <c r="U43" s="179">
        <f>(T42*Markov_Backup!mr_2)+U42</f>
        <v>98.497227496213199</v>
      </c>
      <c r="V43" s="179">
        <f t="shared" si="2"/>
        <v>100</v>
      </c>
      <c r="W43" s="183">
        <f>W42/(1+cDR)^Markov_Backup!cycle2</f>
        <v>0</v>
      </c>
      <c r="X43" s="179">
        <f t="shared" si="3"/>
        <v>1.5027725037868009</v>
      </c>
      <c r="Y43" s="205">
        <f>(T43*uPostT)/(1+oDR)^Markov_Backup!cycle2</f>
        <v>0.43782889130056452</v>
      </c>
      <c r="Z43" s="82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spans="1:45" ht="14.25" customHeight="1" x14ac:dyDescent="0.2">
      <c r="A44" s="3"/>
      <c r="B44" s="82"/>
      <c r="C44" s="176">
        <v>33</v>
      </c>
      <c r="D44" s="168"/>
      <c r="E44" s="177">
        <f t="shared" si="6"/>
        <v>1.6497959048035082E-2</v>
      </c>
      <c r="F44" s="82"/>
      <c r="G44" s="178">
        <f t="shared" si="8"/>
        <v>32.148424832868955</v>
      </c>
      <c r="H44" s="179">
        <f t="shared" si="4"/>
        <v>67.851575167131045</v>
      </c>
      <c r="I44" s="181">
        <f t="shared" si="0"/>
        <v>100</v>
      </c>
      <c r="J44" s="156">
        <f>J43/(1+cDR)^Markov_Backup!cycle</f>
        <v>0</v>
      </c>
      <c r="K44" s="181">
        <f t="shared" si="1"/>
        <v>32.148424832868955</v>
      </c>
      <c r="L44" s="205">
        <f>(G44*uPostT)/(1+oDR)^Markov_Backup!cycle</f>
        <v>22.500320710667264</v>
      </c>
      <c r="M44" s="82"/>
      <c r="N44" s="3"/>
      <c r="O44" s="82"/>
      <c r="P44" s="176">
        <f>33*12</f>
        <v>396</v>
      </c>
      <c r="Q44" s="168"/>
      <c r="R44" s="177">
        <f t="shared" si="7"/>
        <v>6.9329456904478448E-2</v>
      </c>
      <c r="S44" s="82"/>
      <c r="T44" s="178">
        <f t="shared" si="5"/>
        <v>1.3985861022482737</v>
      </c>
      <c r="U44" s="179">
        <f>(T43*Markov_Backup!mr_2)+U43</f>
        <v>98.601413897751726</v>
      </c>
      <c r="V44" s="179">
        <f t="shared" si="2"/>
        <v>100</v>
      </c>
      <c r="W44" s="183">
        <f>W43/(1+cDR)^Markov_Backup!cycle2</f>
        <v>0</v>
      </c>
      <c r="X44" s="179">
        <f t="shared" si="3"/>
        <v>1.3985861022482737</v>
      </c>
      <c r="Y44" s="205">
        <f>(T44*uPostT)/(1+oDR)^Markov_Backup!cycle2</f>
        <v>0.39544656632662034</v>
      </c>
      <c r="Z44" s="82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spans="1:45" ht="14.25" customHeight="1" x14ac:dyDescent="0.2">
      <c r="A45" s="3"/>
      <c r="B45" s="82"/>
      <c r="C45" s="176">
        <v>34</v>
      </c>
      <c r="D45" s="168"/>
      <c r="E45" s="177">
        <f t="shared" si="6"/>
        <v>1.6295281504810633E-2</v>
      </c>
      <c r="F45" s="82"/>
      <c r="G45" s="178">
        <f t="shared" si="8"/>
        <v>31.624557200281117</v>
      </c>
      <c r="H45" s="179">
        <f t="shared" si="4"/>
        <v>68.375442799718883</v>
      </c>
      <c r="I45" s="181">
        <f t="shared" si="0"/>
        <v>100</v>
      </c>
      <c r="J45" s="156">
        <f>J44/(1+cDR)^Markov_Backup!cycle</f>
        <v>0</v>
      </c>
      <c r="K45" s="181">
        <f t="shared" si="1"/>
        <v>31.624557200281117</v>
      </c>
      <c r="L45" s="205">
        <f>(G45*uPostT)/(1+oDR)^Markov_Backup!cycle</f>
        <v>22.078475462083219</v>
      </c>
      <c r="M45" s="82"/>
      <c r="N45" s="3"/>
      <c r="O45" s="82"/>
      <c r="P45" s="176">
        <f>34*12</f>
        <v>408</v>
      </c>
      <c r="Q45" s="168"/>
      <c r="R45" s="177">
        <f t="shared" si="7"/>
        <v>6.8500821132911005E-2</v>
      </c>
      <c r="S45" s="82"/>
      <c r="T45" s="178">
        <f t="shared" si="5"/>
        <v>1.302781805819194</v>
      </c>
      <c r="U45" s="179">
        <f>(T44*Markov_Backup!mr_2)+U44</f>
        <v>98.697218194180806</v>
      </c>
      <c r="V45" s="179">
        <f t="shared" si="2"/>
        <v>100</v>
      </c>
      <c r="W45" s="183">
        <f>W44/(1+cDR)^Markov_Backup!cycle2</f>
        <v>0</v>
      </c>
      <c r="X45" s="179">
        <f t="shared" si="3"/>
        <v>1.302781805819194</v>
      </c>
      <c r="Y45" s="205">
        <f>(T45*uPostT)/(1+oDR)^Markov_Backup!cycle2</f>
        <v>0.35748490631145963</v>
      </c>
      <c r="Z45" s="82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spans="1:45" ht="14.25" customHeight="1" x14ac:dyDescent="0.2">
      <c r="A46" s="3"/>
      <c r="B46" s="82"/>
      <c r="C46" s="176">
        <v>35</v>
      </c>
      <c r="D46" s="168"/>
      <c r="E46" s="177">
        <f t="shared" si="6"/>
        <v>1.6100929000166575E-2</v>
      </c>
      <c r="F46" s="82"/>
      <c r="G46" s="178">
        <f t="shared" si="8"/>
        <v>31.115372450137684</v>
      </c>
      <c r="H46" s="179">
        <f t="shared" si="4"/>
        <v>68.884627549862316</v>
      </c>
      <c r="I46" s="181">
        <f t="shared" si="0"/>
        <v>100</v>
      </c>
      <c r="J46" s="156">
        <f>J45/(1+cDR)^Markov_Backup!cycle</f>
        <v>0</v>
      </c>
      <c r="K46" s="181">
        <f t="shared" si="1"/>
        <v>31.115372450137684</v>
      </c>
      <c r="L46" s="205">
        <f>(G46*uPostT)/(1+oDR)^Markov_Backup!cycle</f>
        <v>21.668819447617256</v>
      </c>
      <c r="M46" s="82"/>
      <c r="N46" s="3"/>
      <c r="O46" s="82"/>
      <c r="P46" s="176">
        <f>35*12</f>
        <v>420</v>
      </c>
      <c r="Q46" s="168"/>
      <c r="R46" s="177">
        <f t="shared" si="7"/>
        <v>6.7705689416050818E-2</v>
      </c>
      <c r="S46" s="82"/>
      <c r="T46" s="178">
        <f t="shared" si="5"/>
        <v>1.2145760654975248</v>
      </c>
      <c r="U46" s="179">
        <f>(T45*Markov_Backup!mr_2)+U45</f>
        <v>98.785423934502475</v>
      </c>
      <c r="V46" s="179">
        <f t="shared" si="2"/>
        <v>100</v>
      </c>
      <c r="W46" s="183">
        <f>W45/(1+cDR)^Markov_Backup!cycle2</f>
        <v>0</v>
      </c>
      <c r="X46" s="179">
        <f t="shared" si="3"/>
        <v>1.2145760654975248</v>
      </c>
      <c r="Y46" s="205">
        <f>(T46*uPostT)/(1+oDR)^Markov_Backup!cycle2</f>
        <v>0.32344330659641307</v>
      </c>
      <c r="Z46" s="82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spans="1:45" ht="14.25" customHeight="1" x14ac:dyDescent="0.2">
      <c r="A47" s="3"/>
      <c r="B47" s="82"/>
      <c r="C47" s="176">
        <v>36</v>
      </c>
      <c r="D47" s="168"/>
      <c r="E47" s="177">
        <f t="shared" si="6"/>
        <v>1.5914333119951385E-2</v>
      </c>
      <c r="F47" s="82"/>
      <c r="G47" s="178">
        <f t="shared" si="8"/>
        <v>30.620192047814839</v>
      </c>
      <c r="H47" s="179">
        <f t="shared" si="4"/>
        <v>69.379807952185161</v>
      </c>
      <c r="I47" s="181">
        <f t="shared" si="0"/>
        <v>100</v>
      </c>
      <c r="J47" s="156">
        <f>J46/(1+cDR)^Markov_Backup!cycle</f>
        <v>0</v>
      </c>
      <c r="K47" s="181">
        <f t="shared" si="1"/>
        <v>30.620192047814839</v>
      </c>
      <c r="L47" s="205">
        <f>(G47*uPostT)/(1+oDR)^Markov_Backup!cycle</f>
        <v>21.270797642505531</v>
      </c>
      <c r="M47" s="82"/>
      <c r="N47" s="3"/>
      <c r="O47" s="82"/>
      <c r="P47" s="176">
        <f>36*12</f>
        <v>432</v>
      </c>
      <c r="Q47" s="168"/>
      <c r="R47" s="177">
        <f t="shared" si="7"/>
        <v>6.6941800799803719E-2</v>
      </c>
      <c r="S47" s="82"/>
      <c r="T47" s="178">
        <f t="shared" si="5"/>
        <v>1.1332701564647749</v>
      </c>
      <c r="U47" s="179">
        <f>(T46*Markov_Backup!mr_2)+U46</f>
        <v>98.866729843535225</v>
      </c>
      <c r="V47" s="179">
        <f t="shared" si="2"/>
        <v>100</v>
      </c>
      <c r="W47" s="183">
        <f>W46/(1+cDR)^Markov_Backup!cycle2</f>
        <v>0</v>
      </c>
      <c r="X47" s="179">
        <f t="shared" si="3"/>
        <v>1.1332701564647749</v>
      </c>
      <c r="Y47" s="205">
        <f>(T47*uPostT)/(1+oDR)^Markov_Backup!cycle2</f>
        <v>0.29288310916708482</v>
      </c>
      <c r="Z47" s="82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spans="1:45" ht="14.25" customHeight="1" x14ac:dyDescent="0.2">
      <c r="A48" s="3"/>
      <c r="B48" s="82"/>
      <c r="C48" s="176">
        <v>37</v>
      </c>
      <c r="D48" s="168"/>
      <c r="E48" s="177">
        <f t="shared" si="6"/>
        <v>1.5734978878933936E-2</v>
      </c>
      <c r="F48" s="82"/>
      <c r="G48" s="178">
        <f t="shared" si="8"/>
        <v>30.138383972673566</v>
      </c>
      <c r="H48" s="179">
        <f t="shared" si="4"/>
        <v>69.861616027326434</v>
      </c>
      <c r="I48" s="181">
        <f t="shared" si="0"/>
        <v>100</v>
      </c>
      <c r="J48" s="156">
        <f>J47/(1+cDR)^Markov_Backup!cycle</f>
        <v>0</v>
      </c>
      <c r="K48" s="181">
        <f t="shared" si="1"/>
        <v>30.138383972673566</v>
      </c>
      <c r="L48" s="205">
        <f>(G48*uPostT)/(1+oDR)^Markov_Backup!cycle</f>
        <v>20.883892359962719</v>
      </c>
      <c r="M48" s="82"/>
      <c r="N48" s="3"/>
      <c r="O48" s="82"/>
      <c r="P48" s="176">
        <f>37*12</f>
        <v>444</v>
      </c>
      <c r="Q48" s="168"/>
      <c r="R48" s="177">
        <f t="shared" si="7"/>
        <v>6.6207104839319242E-2</v>
      </c>
      <c r="S48" s="82"/>
      <c r="T48" s="178">
        <f t="shared" si="5"/>
        <v>1.0582396204044358</v>
      </c>
      <c r="U48" s="179">
        <f>(T47*Markov_Backup!mr_2)+U47</f>
        <v>98.941760379595564</v>
      </c>
      <c r="V48" s="179">
        <f t="shared" si="2"/>
        <v>100</v>
      </c>
      <c r="W48" s="183">
        <f>W47/(1+cDR)^Markov_Backup!cycle2</f>
        <v>0</v>
      </c>
      <c r="X48" s="179">
        <f t="shared" si="3"/>
        <v>1.0582396204044358</v>
      </c>
      <c r="Y48" s="205">
        <f>(T48*uPostT)/(1+oDR)^Markov_Backup!cycle2</f>
        <v>0.26541918787050556</v>
      </c>
      <c r="Z48" s="82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spans="1:45" ht="14.25" customHeight="1" x14ac:dyDescent="0.2">
      <c r="A49" s="3"/>
      <c r="B49" s="82"/>
      <c r="C49" s="176">
        <f>38*12</f>
        <v>456</v>
      </c>
      <c r="D49" s="168"/>
      <c r="E49" s="177">
        <f t="shared" si="6"/>
        <v>0.96517123476722622</v>
      </c>
      <c r="F49" s="82"/>
      <c r="G49" s="178">
        <f t="shared" si="8"/>
        <v>1.0496826998794404</v>
      </c>
      <c r="H49" s="179">
        <f t="shared" si="4"/>
        <v>98.95031730012056</v>
      </c>
      <c r="I49" s="181">
        <f t="shared" si="0"/>
        <v>100</v>
      </c>
      <c r="J49" s="156">
        <f>J48/(1+cDR)^Markov_Backup!cycle</f>
        <v>0</v>
      </c>
      <c r="K49" s="181">
        <f t="shared" si="1"/>
        <v>1.0496826998794404</v>
      </c>
      <c r="L49" s="205">
        <f>(G49*uPostT)/(1+oDR)^Markov_Backup!cycle</f>
        <v>0.25550168144861091</v>
      </c>
      <c r="M49" s="82"/>
      <c r="N49" s="3"/>
      <c r="O49" s="82"/>
      <c r="P49" s="176">
        <f>38*12</f>
        <v>456</v>
      </c>
      <c r="Q49" s="168"/>
      <c r="R49" s="177">
        <f t="shared" si="7"/>
        <v>6.5499736887386639E-2</v>
      </c>
      <c r="S49" s="82"/>
      <c r="T49" s="178">
        <f t="shared" si="5"/>
        <v>0.98892520370414161</v>
      </c>
      <c r="U49" s="179">
        <f>(T48*Markov_Backup!mr_2)+U48</f>
        <v>99.011074796295858</v>
      </c>
      <c r="V49" s="179">
        <f t="shared" si="2"/>
        <v>100</v>
      </c>
      <c r="W49" s="183">
        <f>W48/(1+cDR)^Markov_Backup!cycle2</f>
        <v>0</v>
      </c>
      <c r="X49" s="179">
        <f t="shared" si="3"/>
        <v>0.98892520370414161</v>
      </c>
      <c r="Y49" s="205">
        <f>(T49*uPostT)/(1+oDR)^Markov_Backup!cycle2</f>
        <v>0.24071279101993248</v>
      </c>
      <c r="Z49" s="82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spans="1:45" ht="14.25" customHeight="1" x14ac:dyDescent="0.2">
      <c r="A50" s="3"/>
      <c r="B50" s="82"/>
      <c r="C50" s="176">
        <f>39*12</f>
        <v>468</v>
      </c>
      <c r="D50" s="168"/>
      <c r="E50" s="177">
        <f t="shared" si="6"/>
        <v>6.4817996852934212E-2</v>
      </c>
      <c r="F50" s="82"/>
      <c r="G50" s="178">
        <f t="shared" si="8"/>
        <v>0.98164436994207449</v>
      </c>
      <c r="H50" s="179">
        <f t="shared" si="4"/>
        <v>99.018355630057926</v>
      </c>
      <c r="I50" s="181">
        <f t="shared" si="0"/>
        <v>100</v>
      </c>
      <c r="J50" s="156">
        <f>J49/(1+cDR)^Markov_Backup!cycle</f>
        <v>0</v>
      </c>
      <c r="K50" s="181">
        <f t="shared" si="1"/>
        <v>0.98164436994207449</v>
      </c>
      <c r="L50" s="205">
        <f>(G50*uPostT)/(1+oDR)^Markov_Backup!cycle</f>
        <v>0.23188749423123689</v>
      </c>
      <c r="M50" s="82"/>
      <c r="N50" s="3"/>
      <c r="O50" s="82"/>
      <c r="P50" s="176">
        <f>39*12</f>
        <v>468</v>
      </c>
      <c r="Q50" s="168"/>
      <c r="R50" s="177">
        <f t="shared" si="7"/>
        <v>6.4817996852934212E-2</v>
      </c>
      <c r="S50" s="82"/>
      <c r="T50" s="178">
        <f t="shared" si="5"/>
        <v>0.92482505296266027</v>
      </c>
      <c r="U50" s="179">
        <f>(T49*Markov_Backup!mr_2)+U49</f>
        <v>99.07517494703734</v>
      </c>
      <c r="V50" s="179">
        <f t="shared" si="2"/>
        <v>100</v>
      </c>
      <c r="W50" s="183">
        <f>W49/(1+cDR)^Markov_Backup!cycle2</f>
        <v>0</v>
      </c>
      <c r="X50" s="179">
        <f t="shared" si="3"/>
        <v>0.92482505296266027</v>
      </c>
      <c r="Y50" s="205">
        <f>(T50*uPostT)/(1+oDR)^Markov_Backup!cycle2</f>
        <v>0.21846543483607708</v>
      </c>
      <c r="Z50" s="82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spans="1:45" ht="14.25" customHeight="1" x14ac:dyDescent="0.2">
      <c r="A51" s="3"/>
      <c r="B51" s="82"/>
      <c r="C51" s="176">
        <f>40*12</f>
        <v>480</v>
      </c>
      <c r="D51" s="168"/>
      <c r="E51" s="177">
        <f t="shared" si="6"/>
        <v>6.4160330866549931E-2</v>
      </c>
      <c r="F51" s="82"/>
      <c r="G51" s="178">
        <f t="shared" si="8"/>
        <v>0.91866174237330256</v>
      </c>
      <c r="H51" s="179">
        <f t="shared" si="4"/>
        <v>99.081338257626697</v>
      </c>
      <c r="I51" s="181">
        <f t="shared" si="0"/>
        <v>100</v>
      </c>
      <c r="J51" s="156">
        <f>J50/(1+cDR)^Markov_Backup!cycle</f>
        <v>0</v>
      </c>
      <c r="K51" s="181">
        <f t="shared" si="1"/>
        <v>0.91866174237330256</v>
      </c>
      <c r="L51" s="205">
        <f>(G51*uPostT)/(1+oDR)^Markov_Backup!cycle</f>
        <v>0.21060379977768601</v>
      </c>
      <c r="M51" s="82"/>
      <c r="N51" s="3"/>
      <c r="O51" s="82"/>
      <c r="P51" s="176">
        <f>40*12</f>
        <v>480</v>
      </c>
      <c r="Q51" s="168"/>
      <c r="R51" s="177">
        <f t="shared" si="7"/>
        <v>6.4160330866549931E-2</v>
      </c>
      <c r="S51" s="82"/>
      <c r="T51" s="178">
        <f t="shared" si="5"/>
        <v>0.86548797157090007</v>
      </c>
      <c r="U51" s="179">
        <f>(T50*Markov_Backup!mr_2)+U50</f>
        <v>99.1345120284291</v>
      </c>
      <c r="V51" s="179">
        <f t="shared" si="2"/>
        <v>100</v>
      </c>
      <c r="W51" s="183">
        <f>W50/(1+cDR)^Markov_Backup!cycle2</f>
        <v>0</v>
      </c>
      <c r="X51" s="179">
        <f t="shared" si="3"/>
        <v>0.86548797157090007</v>
      </c>
      <c r="Y51" s="205">
        <f>(T51*uPostT)/(1+oDR)^Markov_Backup!cycle2</f>
        <v>0.19841367836198093</v>
      </c>
      <c r="Z51" s="82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spans="1:45" ht="14.25" customHeight="1" x14ac:dyDescent="0.2">
      <c r="A52" s="3"/>
      <c r="B52" s="82"/>
      <c r="C52" s="176">
        <f>41*12</f>
        <v>492</v>
      </c>
      <c r="D52" s="168"/>
      <c r="E52" s="177">
        <f t="shared" si="6"/>
        <v>6.3525315392783166E-2</v>
      </c>
      <c r="F52" s="82"/>
      <c r="G52" s="178">
        <f t="shared" si="8"/>
        <v>0.86030346544976055</v>
      </c>
      <c r="H52" s="179">
        <f t="shared" si="4"/>
        <v>99.139696534550239</v>
      </c>
      <c r="I52" s="181">
        <f t="shared" si="0"/>
        <v>100</v>
      </c>
      <c r="J52" s="156">
        <f>J51/(1+cDR)^Markov_Backup!cycle</f>
        <v>0</v>
      </c>
      <c r="K52" s="181">
        <f t="shared" si="1"/>
        <v>0.86030346544976055</v>
      </c>
      <c r="L52" s="205">
        <f>(G52*uPostT)/(1+oDR)^Markov_Backup!cycle</f>
        <v>0.19140340912873344</v>
      </c>
      <c r="M52" s="82"/>
      <c r="N52" s="3"/>
      <c r="O52" s="82"/>
      <c r="P52" s="176">
        <f>41*12</f>
        <v>492</v>
      </c>
      <c r="Q52" s="168"/>
      <c r="R52" s="177">
        <f t="shared" si="7"/>
        <v>6.3525315392783166E-2</v>
      </c>
      <c r="S52" s="82"/>
      <c r="T52" s="178">
        <f t="shared" si="5"/>
        <v>0.81050757520819161</v>
      </c>
      <c r="U52" s="179">
        <f>(T51*Markov_Backup!mr_2)+U51</f>
        <v>99.189492424791808</v>
      </c>
      <c r="V52" s="179">
        <f t="shared" si="2"/>
        <v>100</v>
      </c>
      <c r="W52" s="183">
        <f>W51/(1+cDR)^Markov_Backup!cycle2</f>
        <v>0</v>
      </c>
      <c r="X52" s="179">
        <f t="shared" si="3"/>
        <v>0.81050757520819161</v>
      </c>
      <c r="Y52" s="205">
        <f>(T52*uPostT)/(1+oDR)^Markov_Backup!cycle2</f>
        <v>0.18032464037374102</v>
      </c>
      <c r="Z52" s="82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spans="1:45" ht="14.25" customHeight="1" x14ac:dyDescent="0.2">
      <c r="A53" s="3"/>
      <c r="B53" s="82"/>
      <c r="C53" s="176">
        <f>42*12</f>
        <v>504</v>
      </c>
      <c r="D53" s="168"/>
      <c r="E53" s="177">
        <f t="shared" si="6"/>
        <v>6.2911643411416751E-2</v>
      </c>
      <c r="F53" s="82"/>
      <c r="G53" s="178">
        <f t="shared" si="8"/>
        <v>0.80618036060577936</v>
      </c>
      <c r="H53" s="179">
        <f t="shared" si="4"/>
        <v>99.193819639394221</v>
      </c>
      <c r="I53" s="181">
        <f t="shared" si="0"/>
        <v>100</v>
      </c>
      <c r="J53" s="156">
        <f>J52/(1+cDR)^Markov_Backup!cycle</f>
        <v>0</v>
      </c>
      <c r="K53" s="181">
        <f t="shared" si="1"/>
        <v>0.80618036060577936</v>
      </c>
      <c r="L53" s="205">
        <f>(G53*uPostT)/(1+oDR)^Markov_Backup!cycle</f>
        <v>0.17406747721876825</v>
      </c>
      <c r="M53" s="82"/>
      <c r="N53" s="3"/>
      <c r="O53" s="82"/>
      <c r="P53" s="176">
        <f>42*12</f>
        <v>504</v>
      </c>
      <c r="Q53" s="168"/>
      <c r="R53" s="177">
        <f t="shared" si="7"/>
        <v>6.2911643411416751E-2</v>
      </c>
      <c r="S53" s="82"/>
      <c r="T53" s="178">
        <f t="shared" si="5"/>
        <v>0.75951721165444042</v>
      </c>
      <c r="U53" s="179">
        <f>(T52*Markov_Backup!mr_2)+U52</f>
        <v>99.24048278834556</v>
      </c>
      <c r="V53" s="179">
        <f t="shared" si="2"/>
        <v>100</v>
      </c>
      <c r="W53" s="183">
        <f>W52/(1+cDR)^Markov_Backup!cycle2</f>
        <v>0</v>
      </c>
      <c r="X53" s="179">
        <f t="shared" si="3"/>
        <v>0.75951721165444042</v>
      </c>
      <c r="Y53" s="205">
        <f>(T53*uPostT)/(1+oDR)^Markov_Backup!cycle2</f>
        <v>0.1639921429462492</v>
      </c>
      <c r="Z53" s="82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spans="1:45" ht="14.25" customHeight="1" x14ac:dyDescent="0.2">
      <c r="A54" s="3"/>
      <c r="B54" s="82"/>
      <c r="C54" s="176">
        <f>43*12</f>
        <v>516</v>
      </c>
      <c r="D54" s="168"/>
      <c r="E54" s="177">
        <f t="shared" si="6"/>
        <v>6.2318112355730149E-2</v>
      </c>
      <c r="F54" s="82"/>
      <c r="G54" s="178">
        <f t="shared" si="8"/>
        <v>0.75594072231456266</v>
      </c>
      <c r="H54" s="179">
        <f t="shared" si="4"/>
        <v>99.244059277685437</v>
      </c>
      <c r="I54" s="181">
        <f t="shared" si="0"/>
        <v>100</v>
      </c>
      <c r="J54" s="156">
        <f>J53/(1+cDR)^Markov_Backup!cycle</f>
        <v>0</v>
      </c>
      <c r="K54" s="181">
        <f t="shared" si="1"/>
        <v>0.75594072231456266</v>
      </c>
      <c r="L54" s="205">
        <f>(G54*uPostT)/(1+oDR)^Markov_Backup!cycle</f>
        <v>0.1584019730292964</v>
      </c>
      <c r="M54" s="82"/>
      <c r="N54" s="3"/>
      <c r="O54" s="82"/>
      <c r="P54" s="176">
        <f>43*12</f>
        <v>516</v>
      </c>
      <c r="Q54" s="168"/>
      <c r="R54" s="177">
        <f t="shared" si="7"/>
        <v>6.2318112355730149E-2</v>
      </c>
      <c r="S54" s="82"/>
      <c r="T54" s="178">
        <f t="shared" si="5"/>
        <v>0.71218553272244378</v>
      </c>
      <c r="U54" s="179">
        <f>(T53*Markov_Backup!mr_2)+U53</f>
        <v>99.287814467277556</v>
      </c>
      <c r="V54" s="179">
        <f t="shared" si="2"/>
        <v>100</v>
      </c>
      <c r="W54" s="183">
        <f>W53/(1+cDR)^Markov_Backup!cycle2</f>
        <v>0</v>
      </c>
      <c r="X54" s="179">
        <f t="shared" si="3"/>
        <v>0.71218553272244378</v>
      </c>
      <c r="Y54" s="205">
        <f>(T54*uPostT)/(1+oDR)^Markov_Backup!cycle2</f>
        <v>0.14923338592045368</v>
      </c>
      <c r="Z54" s="82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</row>
    <row r="55" spans="1:45" ht="14.25" customHeight="1" x14ac:dyDescent="0.2">
      <c r="A55" s="3"/>
      <c r="B55" s="82"/>
      <c r="C55" s="176">
        <f>44*12</f>
        <v>528</v>
      </c>
      <c r="D55" s="168"/>
      <c r="E55" s="177">
        <f t="shared" si="6"/>
        <v>6.1743613548949527E-2</v>
      </c>
      <c r="F55" s="82"/>
      <c r="G55" s="178">
        <f t="shared" si="8"/>
        <v>0.70926621049005689</v>
      </c>
      <c r="H55" s="179">
        <f t="shared" si="4"/>
        <v>99.290733789509943</v>
      </c>
      <c r="I55" s="181">
        <f t="shared" si="0"/>
        <v>100</v>
      </c>
      <c r="J55" s="156">
        <f>J54/(1+cDR)^Markov_Backup!cycle</f>
        <v>0</v>
      </c>
      <c r="K55" s="181">
        <f t="shared" si="1"/>
        <v>0.70926621049005689</v>
      </c>
      <c r="L55" s="205">
        <f>(G55*uPostT)/(1+oDR)^Markov_Backup!cycle</f>
        <v>0.1442346285730699</v>
      </c>
      <c r="M55" s="82"/>
      <c r="N55" s="3"/>
      <c r="O55" s="82"/>
      <c r="P55" s="176">
        <f>44*12</f>
        <v>528</v>
      </c>
      <c r="Q55" s="168"/>
      <c r="R55" s="177">
        <f t="shared" si="7"/>
        <v>6.1743613548949527E-2</v>
      </c>
      <c r="S55" s="82"/>
      <c r="T55" s="178">
        <f t="shared" si="5"/>
        <v>0.66821262441487761</v>
      </c>
      <c r="U55" s="179">
        <f>(T54*Markov_Backup!mr_2)+U54</f>
        <v>99.331787375585122</v>
      </c>
      <c r="V55" s="179">
        <f t="shared" si="2"/>
        <v>100</v>
      </c>
      <c r="W55" s="183">
        <f>W54/(1+cDR)^Markov_Backup!cycle2</f>
        <v>0</v>
      </c>
      <c r="X55" s="179">
        <f t="shared" si="3"/>
        <v>0.66821262441487761</v>
      </c>
      <c r="Y55" s="205">
        <f>(T55*uPostT)/(1+oDR)^Markov_Backup!cycle2</f>
        <v>0.13588607248570916</v>
      </c>
      <c r="Z55" s="82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spans="1:45" ht="14.25" customHeight="1" x14ac:dyDescent="0.2">
      <c r="A56" s="3"/>
      <c r="B56" s="82"/>
      <c r="C56" s="176">
        <f>45*12</f>
        <v>540</v>
      </c>
      <c r="D56" s="168"/>
      <c r="E56" s="177">
        <f t="shared" si="6"/>
        <v>6.1187122923128223E-2</v>
      </c>
      <c r="F56" s="82"/>
      <c r="G56" s="178">
        <f t="shared" si="8"/>
        <v>0.66586825168357677</v>
      </c>
      <c r="H56" s="179">
        <f t="shared" si="4"/>
        <v>99.334131748316423</v>
      </c>
      <c r="I56" s="181">
        <f t="shared" si="0"/>
        <v>100</v>
      </c>
      <c r="J56" s="156">
        <f>J55/(1+cDR)^Markov_Backup!cycle</f>
        <v>0</v>
      </c>
      <c r="K56" s="181">
        <f t="shared" si="1"/>
        <v>0.66586825168357677</v>
      </c>
      <c r="L56" s="205">
        <f>(G56*uPostT)/(1+oDR)^Markov_Backup!cycle</f>
        <v>0.13141229589495118</v>
      </c>
      <c r="M56" s="82"/>
      <c r="N56" s="3"/>
      <c r="O56" s="82"/>
      <c r="P56" s="176">
        <f>45*12</f>
        <v>540</v>
      </c>
      <c r="Q56" s="168"/>
      <c r="R56" s="177">
        <f t="shared" si="7"/>
        <v>6.1187122923128223E-2</v>
      </c>
      <c r="S56" s="82"/>
      <c r="T56" s="178">
        <f t="shared" si="5"/>
        <v>0.62732661642601784</v>
      </c>
      <c r="U56" s="179">
        <f>(T55*Markov_Backup!mr_2)+U55</f>
        <v>99.372673383573982</v>
      </c>
      <c r="V56" s="179">
        <f t="shared" si="2"/>
        <v>100</v>
      </c>
      <c r="W56" s="183">
        <f>W55/(1+cDR)^Markov_Backup!cycle2</f>
        <v>0</v>
      </c>
      <c r="X56" s="179">
        <f t="shared" si="3"/>
        <v>0.62732661642601784</v>
      </c>
      <c r="Y56" s="205">
        <f>(T56*uPostT)/(1+oDR)^Markov_Backup!cycle2</f>
        <v>0.12380591916211295</v>
      </c>
      <c r="Z56" s="82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spans="1:45" ht="14.25" customHeight="1" x14ac:dyDescent="0.2">
      <c r="A57" s="3"/>
      <c r="B57" s="82"/>
      <c r="C57" s="176">
        <f>46*12</f>
        <v>552</v>
      </c>
      <c r="D57" s="168"/>
      <c r="E57" s="177">
        <f t="shared" si="6"/>
        <v>6.0647692839998713E-2</v>
      </c>
      <c r="F57" s="82"/>
      <c r="G57" s="178">
        <f t="shared" si="8"/>
        <v>0.6254848784835616</v>
      </c>
      <c r="H57" s="179">
        <f t="shared" si="4"/>
        <v>99.374515121516438</v>
      </c>
      <c r="I57" s="181">
        <f t="shared" si="0"/>
        <v>100</v>
      </c>
      <c r="J57" s="156">
        <f>J56/(1+cDR)^Markov_Backup!cycle</f>
        <v>0</v>
      </c>
      <c r="K57" s="181">
        <f t="shared" si="1"/>
        <v>0.6254848784835616</v>
      </c>
      <c r="L57" s="205">
        <f>(G57*uPostT)/(1+oDR)^Markov_Backup!cycle</f>
        <v>0.11979865267990641</v>
      </c>
      <c r="M57" s="82"/>
      <c r="N57" s="3"/>
      <c r="O57" s="82"/>
      <c r="P57" s="176">
        <f>46*12</f>
        <v>552</v>
      </c>
      <c r="Q57" s="168"/>
      <c r="R57" s="177">
        <f t="shared" si="7"/>
        <v>6.0647692839998713E-2</v>
      </c>
      <c r="S57" s="82"/>
      <c r="T57" s="178">
        <f t="shared" si="5"/>
        <v>0.58928070448266112</v>
      </c>
      <c r="U57" s="179">
        <f>(T56*Markov_Backup!mr_2)+U56</f>
        <v>99.410719295517339</v>
      </c>
      <c r="V57" s="179">
        <f t="shared" si="2"/>
        <v>100</v>
      </c>
      <c r="W57" s="183">
        <f>W56/(1+cDR)^Markov_Backup!cycle2</f>
        <v>0</v>
      </c>
      <c r="X57" s="179">
        <f t="shared" si="3"/>
        <v>0.58928070448266112</v>
      </c>
      <c r="Y57" s="205">
        <f>(T57*uPostT)/(1+oDR)^Markov_Backup!cycle2</f>
        <v>0.1128644942119799</v>
      </c>
      <c r="Z57" s="82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spans="1:45" ht="14.25" customHeight="1" x14ac:dyDescent="0.2">
      <c r="A58" s="3"/>
      <c r="B58" s="82"/>
      <c r="C58" s="176">
        <f>47*12</f>
        <v>564</v>
      </c>
      <c r="D58" s="168"/>
      <c r="E58" s="177">
        <f t="shared" si="6"/>
        <v>6.0124444861889503E-2</v>
      </c>
      <c r="F58" s="82"/>
      <c r="G58" s="178">
        <f t="shared" si="8"/>
        <v>0.58787794739522781</v>
      </c>
      <c r="H58" s="179">
        <f t="shared" si="4"/>
        <v>99.412122052604772</v>
      </c>
      <c r="I58" s="181">
        <f t="shared" si="0"/>
        <v>100</v>
      </c>
      <c r="J58" s="156">
        <f>J57/(1+cDR)^Markov_Backup!cycle</f>
        <v>0</v>
      </c>
      <c r="K58" s="181">
        <f t="shared" si="1"/>
        <v>0.58787794739522781</v>
      </c>
      <c r="L58" s="205">
        <f>(G58*uPostT)/(1+oDR)^Markov_Backup!cycle</f>
        <v>0.10927220646853338</v>
      </c>
      <c r="M58" s="82"/>
      <c r="N58" s="3"/>
      <c r="O58" s="82"/>
      <c r="P58" s="176">
        <f>47*12</f>
        <v>564</v>
      </c>
      <c r="Q58" s="168"/>
      <c r="R58" s="177">
        <f t="shared" si="7"/>
        <v>6.0124444861889503E-2</v>
      </c>
      <c r="S58" s="82"/>
      <c r="T58" s="178">
        <f t="shared" si="5"/>
        <v>0.55385052925781508</v>
      </c>
      <c r="U58" s="179">
        <f>(T57*Markov_Backup!mr_2)+U57</f>
        <v>99.446149470742185</v>
      </c>
      <c r="V58" s="179">
        <f t="shared" si="2"/>
        <v>100</v>
      </c>
      <c r="W58" s="183">
        <f>W57/(1+cDR)^Markov_Backup!cycle2</f>
        <v>0</v>
      </c>
      <c r="X58" s="179">
        <f t="shared" si="3"/>
        <v>0.55385052925781508</v>
      </c>
      <c r="Y58" s="205">
        <f>(T58*uPostT)/(1+oDR)^Markov_Backup!cycle2</f>
        <v>0.10294733737491059</v>
      </c>
      <c r="Z58" s="82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spans="1:45" ht="14.25" customHeight="1" x14ac:dyDescent="0.2">
      <c r="A59" s="3"/>
      <c r="B59" s="82"/>
      <c r="C59" s="176">
        <f>48*12</f>
        <v>576</v>
      </c>
      <c r="D59" s="168"/>
      <c r="E59" s="177">
        <f t="shared" si="6"/>
        <v>5.9616563344662477E-2</v>
      </c>
      <c r="F59" s="82"/>
      <c r="G59" s="178">
        <f t="shared" si="8"/>
        <v>0.55283068450540895</v>
      </c>
      <c r="H59" s="179">
        <f t="shared" si="4"/>
        <v>99.447169315494591</v>
      </c>
      <c r="I59" s="181">
        <f t="shared" si="0"/>
        <v>100</v>
      </c>
      <c r="J59" s="156">
        <f>J58/(1+cDR)^Markov_Backup!cycle</f>
        <v>0</v>
      </c>
      <c r="K59" s="181">
        <f t="shared" si="1"/>
        <v>0.55283068450540895</v>
      </c>
      <c r="L59" s="205">
        <f>(G59*uPostT)/(1+oDR)^Markov_Backup!cycle</f>
        <v>9.9724555273377147E-2</v>
      </c>
      <c r="M59" s="82"/>
      <c r="N59" s="3"/>
      <c r="O59" s="82"/>
      <c r="P59" s="176">
        <f>48*12</f>
        <v>576</v>
      </c>
      <c r="Q59" s="168"/>
      <c r="R59" s="177">
        <f t="shared" si="7"/>
        <v>5.9616563344662477E-2</v>
      </c>
      <c r="S59" s="82"/>
      <c r="T59" s="178">
        <f t="shared" si="5"/>
        <v>0.52083186409684856</v>
      </c>
      <c r="U59" s="179">
        <f>(T58*Markov_Backup!mr_2)+U58</f>
        <v>99.479168135903151</v>
      </c>
      <c r="V59" s="179">
        <f t="shared" si="2"/>
        <v>100</v>
      </c>
      <c r="W59" s="183">
        <f>W58/(1+cDR)^Markov_Backup!cycle2</f>
        <v>0</v>
      </c>
      <c r="X59" s="179">
        <f t="shared" si="3"/>
        <v>0.52083186409684856</v>
      </c>
      <c r="Y59" s="205">
        <f>(T59*uPostT)/(1+oDR)^Markov_Backup!cycle2</f>
        <v>9.3952321162726712E-2</v>
      </c>
      <c r="Z59" s="82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spans="1:45" ht="14.25" customHeight="1" x14ac:dyDescent="0.2">
      <c r="A60" s="3"/>
      <c r="B60" s="82"/>
      <c r="C60" s="176">
        <f>49*12</f>
        <v>588</v>
      </c>
      <c r="D60" s="168"/>
      <c r="E60" s="177">
        <f t="shared" si="6"/>
        <v>5.9123289744097085E-2</v>
      </c>
      <c r="F60" s="82"/>
      <c r="G60" s="178">
        <f t="shared" si="8"/>
        <v>0.52014551576597512</v>
      </c>
      <c r="H60" s="179">
        <f t="shared" si="4"/>
        <v>99.479854484234025</v>
      </c>
      <c r="I60" s="181">
        <f t="shared" si="0"/>
        <v>100</v>
      </c>
      <c r="J60" s="156">
        <f>J59/(1+cDR)^Markov_Backup!cycle</f>
        <v>0</v>
      </c>
      <c r="K60" s="181">
        <f t="shared" si="1"/>
        <v>0.52014551576597512</v>
      </c>
      <c r="L60" s="205">
        <f>(G60*uPostT)/(1+oDR)^Markov_Backup!cycle</f>
        <v>9.1058868865348225E-2</v>
      </c>
      <c r="M60" s="82"/>
      <c r="N60" s="3"/>
      <c r="O60" s="82"/>
      <c r="P60" s="176">
        <f>49*12</f>
        <v>588</v>
      </c>
      <c r="Q60" s="168"/>
      <c r="R60" s="177">
        <f t="shared" si="7"/>
        <v>5.9123289744097085E-2</v>
      </c>
      <c r="S60" s="82"/>
      <c r="T60" s="178">
        <f t="shared" si="5"/>
        <v>0.49003857088789005</v>
      </c>
      <c r="U60" s="179">
        <f>(T59*Markov_Backup!mr_2)+U59</f>
        <v>99.50996142911211</v>
      </c>
      <c r="V60" s="179">
        <f t="shared" si="2"/>
        <v>100</v>
      </c>
      <c r="W60" s="183">
        <f>W59/(1+cDR)^Markov_Backup!cycle2</f>
        <v>0</v>
      </c>
      <c r="X60" s="179">
        <f t="shared" si="3"/>
        <v>0.49003857088789005</v>
      </c>
      <c r="Y60" s="205">
        <f>(T60*uPostT)/(1+oDR)^Markov_Backup!cycle2</f>
        <v>8.5788220051712633E-2</v>
      </c>
      <c r="Z60" s="82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spans="1:45" ht="14.25" customHeight="1" x14ac:dyDescent="0.2">
      <c r="A61" s="3"/>
      <c r="B61" s="82"/>
      <c r="C61" s="176">
        <f>50*12</f>
        <v>600</v>
      </c>
      <c r="D61" s="168"/>
      <c r="E61" s="177">
        <f t="shared" si="6"/>
        <v>5.8643917543459212E-2</v>
      </c>
      <c r="F61" s="82"/>
      <c r="G61" s="178">
        <f t="shared" si="8"/>
        <v>0.48964214502879599</v>
      </c>
      <c r="H61" s="179">
        <f t="shared" si="4"/>
        <v>99.510357854971204</v>
      </c>
      <c r="I61" s="179">
        <f t="shared" si="0"/>
        <v>100</v>
      </c>
      <c r="J61" s="156">
        <f>J60/(1+cDR)^Markov_Backup!cycle</f>
        <v>0</v>
      </c>
      <c r="K61" s="181">
        <f t="shared" si="1"/>
        <v>0.48964214502879599</v>
      </c>
      <c r="L61" s="205">
        <f>(G61*uPostT)/(1+oDR)^Markov_Backup!cycle</f>
        <v>8.3188560399209216E-2</v>
      </c>
      <c r="M61" s="82"/>
      <c r="N61" s="3"/>
      <c r="O61" s="82"/>
      <c r="P61" s="176">
        <f>50*12</f>
        <v>600</v>
      </c>
      <c r="Q61" s="168"/>
      <c r="R61" s="177">
        <f t="shared" si="7"/>
        <v>5.8643917543459212E-2</v>
      </c>
      <c r="S61" s="82"/>
      <c r="T61" s="178">
        <f t="shared" si="5"/>
        <v>0.46130078934362473</v>
      </c>
      <c r="U61" s="179">
        <f>(T60*Markov_Backup!mr_2)+U60</f>
        <v>99.538699210656375</v>
      </c>
      <c r="V61" s="179">
        <f t="shared" si="2"/>
        <v>100</v>
      </c>
      <c r="W61" s="183">
        <f>W60/(1+cDR)^Markov_Backup!cycle2</f>
        <v>0</v>
      </c>
      <c r="X61" s="179">
        <f t="shared" si="3"/>
        <v>0.46130078934362473</v>
      </c>
      <c r="Y61" s="205">
        <f>(T61*uPostT)/(1+oDR)^Markov_Backup!cycle2</f>
        <v>7.8373458996790754E-2</v>
      </c>
      <c r="Z61" s="82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spans="1:45" ht="14.25" customHeight="1" x14ac:dyDescent="0.2">
      <c r="A62" s="3"/>
      <c r="B62" s="184"/>
      <c r="C62" s="184"/>
      <c r="D62" s="184"/>
      <c r="E62" s="184"/>
      <c r="F62" s="184"/>
      <c r="G62" s="184"/>
      <c r="H62" s="184"/>
      <c r="I62" s="184"/>
      <c r="J62" s="185" t="s">
        <v>245</v>
      </c>
      <c r="K62" s="185" t="s">
        <v>246</v>
      </c>
      <c r="L62" s="185" t="s">
        <v>247</v>
      </c>
      <c r="M62" s="184"/>
      <c r="N62" s="3"/>
      <c r="O62" s="184"/>
      <c r="P62" s="184"/>
      <c r="Q62" s="184"/>
      <c r="R62" s="184"/>
      <c r="S62" s="184"/>
      <c r="T62" s="184"/>
      <c r="U62" s="184"/>
      <c r="V62" s="184"/>
      <c r="W62" s="185" t="s">
        <v>245</v>
      </c>
      <c r="X62" s="185" t="s">
        <v>246</v>
      </c>
      <c r="Y62" s="185" t="s">
        <v>247</v>
      </c>
      <c r="Z62" s="184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spans="1:45" ht="14.25" customHeight="1" x14ac:dyDescent="0.2">
      <c r="A63" s="3"/>
      <c r="B63" s="3"/>
      <c r="C63" s="3"/>
      <c r="D63" s="3"/>
      <c r="E63" s="3"/>
      <c r="F63" s="3"/>
      <c r="G63" s="3"/>
      <c r="H63" s="3"/>
      <c r="I63" s="3"/>
      <c r="J63" s="186">
        <f>SUM(J11:J61)/G10</f>
        <v>14063.654769903998</v>
      </c>
      <c r="K63" s="187">
        <f t="shared" ref="K63:L63" si="9">SUM(K11:K61)/$G$10</f>
        <v>17.29142184603165</v>
      </c>
      <c r="L63" s="187">
        <f t="shared" si="9"/>
        <v>12.164458580257191</v>
      </c>
      <c r="M63" s="3"/>
      <c r="N63" s="3"/>
      <c r="O63" s="3"/>
      <c r="P63" s="3"/>
      <c r="Q63" s="3"/>
      <c r="R63" s="3"/>
      <c r="S63" s="3"/>
      <c r="T63" s="3"/>
      <c r="U63" s="3"/>
      <c r="V63" s="3" t="s">
        <v>248</v>
      </c>
      <c r="W63" s="186">
        <f t="shared" ref="W63:Y63" si="10">SUM(W11:W61)/$T$10</f>
        <v>4907.2569351040001</v>
      </c>
      <c r="X63" s="187">
        <f t="shared" si="10"/>
        <v>4.056798588987605</v>
      </c>
      <c r="Y63" s="187">
        <f t="shared" si="10"/>
        <v>2.1093616530768586</v>
      </c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spans="1:45" ht="14.25" customHeight="1" x14ac:dyDescent="0.2">
      <c r="A64" s="3"/>
      <c r="B64" s="3"/>
      <c r="C64" s="3"/>
      <c r="D64" s="3"/>
      <c r="E64" s="3"/>
      <c r="F64" s="3"/>
      <c r="G64" s="3"/>
      <c r="H64" s="3"/>
      <c r="I64" s="3"/>
      <c r="J64" s="167"/>
      <c r="K64" s="188">
        <f t="shared" ref="K64:L64" si="11">SUM(K11:K61)</f>
        <v>1729.1421846031649</v>
      </c>
      <c r="L64" s="188">
        <f t="shared" si="11"/>
        <v>1216.4458580257192</v>
      </c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188">
        <f t="shared" ref="X64:Y64" si="12">SUM(X11:X61)</f>
        <v>405.67985889876053</v>
      </c>
      <c r="Y64" s="188">
        <f t="shared" si="12"/>
        <v>210.93616530768585</v>
      </c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spans="1:45" ht="14.25" customHeight="1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spans="1:45" ht="14.25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209" t="s">
        <v>230</v>
      </c>
      <c r="K66" s="285">
        <f>(J63-W63)/(L63-Y63)</f>
        <v>910.62253314027976</v>
      </c>
      <c r="L66" s="3" t="s">
        <v>256</v>
      </c>
      <c r="M66" s="3"/>
      <c r="N66" s="3"/>
      <c r="O66" s="3"/>
      <c r="P66" s="3"/>
      <c r="Q66" s="3"/>
      <c r="R66" s="3"/>
      <c r="S66" s="3"/>
      <c r="T66" s="3"/>
      <c r="U66" s="3"/>
      <c r="V66" s="29">
        <f>K64-X64</f>
        <v>1323.4623257044043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spans="1:45" ht="14.25" customHeight="1" x14ac:dyDescent="0.2">
      <c r="A67" s="3"/>
      <c r="B67" s="3"/>
      <c r="C67" s="3"/>
      <c r="D67" s="3"/>
      <c r="E67" s="3"/>
      <c r="F67" s="3"/>
      <c r="G67" s="3"/>
      <c r="H67" s="3"/>
      <c r="I67" s="3"/>
      <c r="J67" s="210" t="s">
        <v>257</v>
      </c>
      <c r="K67" s="286">
        <f>(J63-W63)/(K63-X63)</f>
        <v>691.8517933577416</v>
      </c>
      <c r="L67" s="3" t="s">
        <v>258</v>
      </c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spans="1:45" ht="14.25" customHeight="1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spans="1:45" ht="14.25" customHeight="1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spans="1:45" ht="14.25" customHeight="1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spans="1:45" ht="14.25" customHeight="1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spans="1:45" ht="14.25" customHeight="1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spans="1:45" ht="14.25" customHeight="1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spans="1:45" ht="14.25" customHeight="1" x14ac:dyDescent="0.2">
      <c r="A74" s="3"/>
      <c r="B74" s="3"/>
      <c r="C74" s="3"/>
      <c r="D74" s="3">
        <f>G11/G10</f>
        <v>0.81200000000000006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spans="1:45" ht="14.25" customHeight="1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spans="1:45" ht="14.25" customHeight="1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spans="1:45" ht="14.25" customHeight="1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spans="1:45" ht="14.25" customHeight="1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spans="1:45" ht="14.25" customHeight="1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S79" s="3"/>
    </row>
    <row r="80" spans="1:45" ht="14.25" customHeight="1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spans="1:45" ht="14.25" customHeight="1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spans="1:45" ht="14.25" customHeight="1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spans="1:45" ht="14.25" customHeight="1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spans="1:45" ht="14.25" customHeight="1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spans="1:45" ht="14.25" customHeight="1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spans="1:45" ht="14.25" customHeight="1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spans="1:45" ht="14.25" customHeight="1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spans="1:45" ht="14.25" customHeight="1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spans="1:45" ht="14.25" customHeight="1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spans="1:45" ht="14.25" customHeight="1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spans="1:45" ht="14.25" customHeight="1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spans="1:45" ht="14.25" customHeight="1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spans="1:45" ht="14.25" customHeight="1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spans="1:45" ht="14.25" customHeight="1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spans="1:45" ht="14.25" customHeight="1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spans="1:45" ht="14.25" customHeight="1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spans="1:45" ht="14.25" customHeight="1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spans="1:45" ht="14.25" customHeight="1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spans="1:45" ht="14.25" customHeight="1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spans="1:45" ht="14.25" customHeight="1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spans="1:45" ht="14.25" customHeight="1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spans="1:45" ht="14.25" customHeight="1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spans="1:45" ht="14.25" customHeight="1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spans="1:45" ht="14.25" customHeight="1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spans="1:45" ht="14.25" customHeight="1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spans="1:45" ht="14.25" customHeight="1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</row>
    <row r="107" spans="1:45" ht="14.25" customHeight="1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</row>
    <row r="108" spans="1:45" ht="14.25" customHeight="1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</row>
    <row r="109" spans="1:45" ht="14.25" customHeight="1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</row>
    <row r="110" spans="1:45" ht="14.25" customHeight="1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spans="1:45" ht="14.25" customHeight="1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</row>
    <row r="112" spans="1:45" ht="14.25" customHeight="1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</row>
    <row r="113" spans="1:45" ht="14.25" customHeight="1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</row>
    <row r="114" spans="1:45" ht="14.25" customHeight="1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</row>
    <row r="115" spans="1:45" ht="14.25" customHeight="1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</row>
    <row r="116" spans="1:45" ht="14.25" customHeight="1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</row>
    <row r="117" spans="1:45" ht="14.25" customHeight="1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</row>
    <row r="118" spans="1:45" ht="14.25" customHeight="1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</row>
    <row r="119" spans="1:45" ht="14.25" customHeight="1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</row>
    <row r="120" spans="1:45" ht="14.25" customHeight="1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</row>
    <row r="121" spans="1:45" ht="14.25" customHeight="1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</row>
    <row r="122" spans="1:45" ht="14.25" customHeight="1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</row>
    <row r="123" spans="1:45" ht="14.25" customHeight="1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</row>
    <row r="124" spans="1:45" ht="14.25" customHeight="1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</row>
    <row r="125" spans="1:45" ht="14.25" customHeight="1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</row>
    <row r="126" spans="1:45" ht="14.25" customHeight="1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</row>
    <row r="127" spans="1:45" ht="14.25" customHeight="1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</row>
    <row r="128" spans="1:45" ht="14.25" customHeight="1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</row>
    <row r="129" spans="1:45" ht="14.25" customHeight="1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</row>
    <row r="130" spans="1:45" ht="14.25" customHeight="1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</row>
    <row r="131" spans="1:45" ht="14.25" customHeight="1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</row>
    <row r="132" spans="1:45" ht="14.25" customHeight="1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</row>
    <row r="133" spans="1:45" ht="14.25" customHeight="1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</row>
    <row r="134" spans="1:45" ht="14.25" customHeight="1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</row>
    <row r="135" spans="1:45" ht="14.25" customHeight="1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</row>
    <row r="136" spans="1:45" ht="14.25" customHeight="1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</row>
    <row r="137" spans="1:45" ht="14.25" customHeight="1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</row>
    <row r="138" spans="1:45" ht="14.25" customHeight="1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</row>
    <row r="139" spans="1:45" ht="14.25" customHeight="1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</row>
    <row r="140" spans="1:45" ht="14.25" customHeight="1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</row>
    <row r="141" spans="1:45" ht="14.25" customHeight="1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</row>
    <row r="142" spans="1:45" ht="14.25" customHeight="1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</row>
    <row r="143" spans="1:45" ht="14.25" customHeight="1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</row>
    <row r="144" spans="1:45" ht="14.25" customHeight="1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</row>
    <row r="145" spans="1:45" ht="14.25" customHeight="1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</row>
    <row r="146" spans="1:45" ht="14.25" customHeight="1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</row>
    <row r="147" spans="1:45" ht="14.25" customHeight="1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</row>
    <row r="148" spans="1:45" ht="14.25" customHeight="1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</row>
    <row r="149" spans="1:45" ht="14.25" customHeight="1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</row>
    <row r="150" spans="1:45" ht="14.25" customHeight="1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</row>
    <row r="151" spans="1:45" ht="14.25" customHeight="1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</row>
    <row r="152" spans="1:45" ht="14.25" customHeight="1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</row>
    <row r="153" spans="1:45" ht="14.25" customHeight="1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</row>
    <row r="154" spans="1:45" ht="14.25" customHeight="1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</row>
    <row r="155" spans="1:45" ht="14.25" customHeight="1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</row>
    <row r="156" spans="1:45" ht="14.25" customHeight="1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</row>
    <row r="157" spans="1:45" ht="14.25" customHeight="1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</row>
    <row r="158" spans="1:45" ht="14.25" customHeight="1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</row>
    <row r="159" spans="1:45" ht="14.25" customHeight="1" x14ac:dyDescent="0.2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</row>
    <row r="160" spans="1:45" ht="14.25" customHeight="1" x14ac:dyDescent="0.2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</row>
    <row r="161" spans="1:45" ht="14.25" customHeight="1" x14ac:dyDescent="0.2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</row>
    <row r="162" spans="1:45" ht="14.25" customHeight="1" x14ac:dyDescent="0.2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</row>
    <row r="163" spans="1:45" ht="14.25" customHeight="1" x14ac:dyDescent="0.2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</row>
    <row r="164" spans="1:45" ht="14.25" customHeight="1" x14ac:dyDescent="0.2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</row>
    <row r="165" spans="1:45" ht="14.25" customHeight="1" x14ac:dyDescent="0.2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</row>
    <row r="166" spans="1:45" ht="14.25" customHeight="1" x14ac:dyDescent="0.2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</row>
    <row r="167" spans="1:45" ht="14.25" customHeight="1" x14ac:dyDescent="0.2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</row>
    <row r="168" spans="1:45" ht="14.25" customHeight="1" x14ac:dyDescent="0.2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</row>
    <row r="169" spans="1:45" ht="14.25" customHeight="1" x14ac:dyDescent="0.2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</row>
    <row r="170" spans="1:45" ht="14.25" customHeight="1" x14ac:dyDescent="0.2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</row>
    <row r="171" spans="1:45" ht="14.25" customHeight="1" x14ac:dyDescent="0.2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</row>
    <row r="172" spans="1:45" ht="14.25" customHeight="1" x14ac:dyDescent="0.2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</row>
    <row r="173" spans="1:45" ht="14.25" customHeight="1" x14ac:dyDescent="0.2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</row>
    <row r="174" spans="1:45" ht="14.25" customHeight="1" x14ac:dyDescent="0.2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</row>
    <row r="175" spans="1:45" ht="14.25" customHeight="1" x14ac:dyDescent="0.2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</row>
    <row r="176" spans="1:45" ht="14.25" customHeight="1" x14ac:dyDescent="0.2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</row>
    <row r="177" spans="1:45" ht="14.25" customHeight="1" x14ac:dyDescent="0.2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</row>
    <row r="178" spans="1:45" ht="14.25" customHeight="1" x14ac:dyDescent="0.2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</row>
    <row r="179" spans="1:45" ht="14.25" customHeight="1" x14ac:dyDescent="0.2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</row>
    <row r="180" spans="1:45" ht="14.25" customHeight="1" x14ac:dyDescent="0.2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</row>
    <row r="181" spans="1:45" ht="14.25" customHeight="1" x14ac:dyDescent="0.2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</row>
    <row r="182" spans="1:45" ht="14.25" customHeight="1" x14ac:dyDescent="0.2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</row>
    <row r="183" spans="1:45" ht="14.25" customHeight="1" x14ac:dyDescent="0.2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</row>
    <row r="184" spans="1:45" ht="14.25" customHeight="1" x14ac:dyDescent="0.2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</row>
    <row r="185" spans="1:45" ht="14.25" customHeight="1" x14ac:dyDescent="0.2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</row>
    <row r="186" spans="1:45" ht="14.25" customHeight="1" x14ac:dyDescent="0.2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</row>
    <row r="187" spans="1:45" ht="14.25" customHeight="1" x14ac:dyDescent="0.2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</row>
    <row r="188" spans="1:45" ht="14.25" customHeight="1" x14ac:dyDescent="0.2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</row>
    <row r="189" spans="1:45" ht="14.25" customHeight="1" x14ac:dyDescent="0.2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</row>
    <row r="190" spans="1:45" ht="14.25" customHeight="1" x14ac:dyDescent="0.2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</row>
    <row r="191" spans="1:45" ht="14.25" customHeight="1" x14ac:dyDescent="0.2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</row>
    <row r="192" spans="1:45" ht="14.25" customHeight="1" x14ac:dyDescent="0.2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</row>
    <row r="193" spans="1:45" ht="14.25" customHeight="1" x14ac:dyDescent="0.2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</row>
    <row r="194" spans="1:45" ht="14.25" customHeight="1" x14ac:dyDescent="0.2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</row>
    <row r="195" spans="1:45" ht="14.25" customHeight="1" x14ac:dyDescent="0.2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</row>
    <row r="196" spans="1:45" ht="14.25" customHeight="1" x14ac:dyDescent="0.2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</row>
    <row r="197" spans="1:45" ht="14.25" customHeight="1" x14ac:dyDescent="0.2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</row>
    <row r="198" spans="1:45" ht="14.25" customHeight="1" x14ac:dyDescent="0.2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</row>
    <row r="199" spans="1:45" ht="14.25" customHeight="1" x14ac:dyDescent="0.2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</row>
    <row r="200" spans="1:45" ht="14.25" customHeight="1" x14ac:dyDescent="0.2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</row>
    <row r="201" spans="1:45" ht="14.25" customHeight="1" x14ac:dyDescent="0.2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</row>
    <row r="202" spans="1:45" ht="14.25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</row>
    <row r="203" spans="1:45" ht="14.25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</row>
    <row r="204" spans="1:45" ht="14.25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</row>
    <row r="205" spans="1:45" ht="14.25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</row>
    <row r="206" spans="1:45" ht="14.25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</row>
    <row r="207" spans="1:45" ht="14.25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</row>
    <row r="208" spans="1:45" ht="14.25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</row>
    <row r="209" spans="1:45" ht="14.25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</row>
    <row r="210" spans="1:45" ht="14.25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</row>
    <row r="211" spans="1:45" ht="14.25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</row>
    <row r="212" spans="1:45" ht="14.25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</row>
    <row r="213" spans="1:45" ht="14.25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</row>
    <row r="214" spans="1:45" ht="14.25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</row>
    <row r="215" spans="1:45" ht="14.25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</row>
    <row r="216" spans="1:45" ht="14.25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</row>
    <row r="217" spans="1:45" ht="14.25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</row>
    <row r="218" spans="1:45" ht="14.25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</row>
    <row r="219" spans="1:45" ht="14.25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</row>
    <row r="220" spans="1:45" ht="14.25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</row>
    <row r="221" spans="1:45" ht="14.25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</row>
    <row r="222" spans="1:45" ht="14.25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</row>
    <row r="223" spans="1:45" ht="14.25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</row>
    <row r="224" spans="1:45" ht="14.25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</row>
    <row r="225" spans="1:45" ht="14.25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</row>
    <row r="226" spans="1:45" ht="14.25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</row>
    <row r="227" spans="1:45" ht="14.25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</row>
    <row r="228" spans="1:45" ht="14.25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</row>
    <row r="229" spans="1:45" ht="14.25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</row>
    <row r="230" spans="1:45" ht="14.25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</row>
    <row r="231" spans="1:45" ht="14.25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</row>
    <row r="232" spans="1:45" ht="14.25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</row>
    <row r="233" spans="1:45" ht="14.25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</row>
    <row r="234" spans="1:45" ht="14.25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</row>
    <row r="235" spans="1:45" ht="14.25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</row>
    <row r="236" spans="1:45" ht="14.25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</row>
    <row r="237" spans="1:45" ht="14.25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</row>
    <row r="238" spans="1:45" ht="14.25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</row>
    <row r="239" spans="1:45" ht="14.25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</row>
    <row r="240" spans="1:45" ht="14.25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</row>
    <row r="241" spans="1:45" ht="14.25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</row>
    <row r="242" spans="1:45" ht="14.25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</row>
    <row r="243" spans="1:45" ht="14.25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</row>
    <row r="244" spans="1:45" ht="14.25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</row>
    <row r="245" spans="1:45" ht="14.2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</row>
    <row r="246" spans="1:45" ht="14.2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</row>
    <row r="247" spans="1:45" ht="14.2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</row>
    <row r="248" spans="1:45" ht="14.2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</row>
    <row r="249" spans="1:45" ht="14.2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</row>
    <row r="250" spans="1:45" ht="14.2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</row>
    <row r="251" spans="1:45" ht="14.2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</row>
    <row r="252" spans="1:45" ht="14.2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</row>
    <row r="253" spans="1:45" ht="14.2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</row>
    <row r="254" spans="1:45" ht="14.2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</row>
    <row r="255" spans="1:45" ht="14.2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</row>
    <row r="256" spans="1:45" ht="14.2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</row>
    <row r="257" spans="1:45" ht="14.2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</row>
    <row r="258" spans="1:45" ht="14.2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</row>
    <row r="259" spans="1:45" ht="14.2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</row>
    <row r="260" spans="1:45" ht="14.2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</row>
    <row r="261" spans="1:45" ht="14.2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</row>
    <row r="262" spans="1:45" ht="14.2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</row>
    <row r="263" spans="1:45" ht="14.2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</row>
    <row r="264" spans="1:45" ht="14.25" customHeight="1" x14ac:dyDescent="0.2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</row>
    <row r="265" spans="1:45" ht="14.25" customHeight="1" x14ac:dyDescent="0.2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</row>
    <row r="266" spans="1:45" ht="14.25" customHeight="1" x14ac:dyDescent="0.2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</row>
    <row r="267" spans="1:45" ht="14.25" customHeight="1" x14ac:dyDescent="0.2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</row>
    <row r="268" spans="1:45" ht="14.25" customHeight="1" x14ac:dyDescent="0.2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</row>
    <row r="269" spans="1:45" ht="14.25" customHeight="1" x14ac:dyDescent="0.2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</row>
    <row r="270" spans="1:45" ht="14.25" customHeight="1" x14ac:dyDescent="0.2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</row>
    <row r="271" spans="1:45" ht="14.25" customHeight="1" x14ac:dyDescent="0.2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</row>
    <row r="272" spans="1:45" ht="14.25" customHeight="1" x14ac:dyDescent="0.2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</row>
    <row r="273" spans="1:45" ht="14.25" customHeight="1" x14ac:dyDescent="0.2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</row>
    <row r="274" spans="1:45" ht="14.25" customHeight="1" x14ac:dyDescent="0.2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</row>
    <row r="275" spans="1:45" ht="14.25" customHeight="1" x14ac:dyDescent="0.2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</row>
    <row r="276" spans="1:45" ht="14.25" customHeight="1" x14ac:dyDescent="0.2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</row>
    <row r="277" spans="1:45" ht="14.25" customHeight="1" x14ac:dyDescent="0.2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</row>
    <row r="278" spans="1:45" ht="14.25" customHeight="1" x14ac:dyDescent="0.2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</row>
    <row r="279" spans="1:45" ht="14.25" customHeight="1" x14ac:dyDescent="0.2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</row>
    <row r="280" spans="1:45" ht="14.25" customHeight="1" x14ac:dyDescent="0.2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</row>
    <row r="281" spans="1:45" ht="14.25" customHeight="1" x14ac:dyDescent="0.2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</row>
    <row r="282" spans="1:45" ht="14.25" customHeight="1" x14ac:dyDescent="0.2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</row>
    <row r="283" spans="1:45" ht="14.25" customHeight="1" x14ac:dyDescent="0.2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</row>
    <row r="284" spans="1:45" ht="14.25" customHeight="1" x14ac:dyDescent="0.2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</row>
    <row r="285" spans="1:45" ht="14.25" customHeight="1" x14ac:dyDescent="0.2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</row>
    <row r="286" spans="1:45" ht="14.25" customHeight="1" x14ac:dyDescent="0.2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</row>
    <row r="287" spans="1:45" ht="14.25" customHeight="1" x14ac:dyDescent="0.2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</row>
    <row r="288" spans="1:45" ht="14.25" customHeight="1" x14ac:dyDescent="0.2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</row>
    <row r="289" spans="1:45" ht="14.25" customHeight="1" x14ac:dyDescent="0.2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</row>
    <row r="290" spans="1:45" ht="14.25" customHeight="1" x14ac:dyDescent="0.2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</row>
    <row r="291" spans="1:45" ht="14.25" customHeight="1" x14ac:dyDescent="0.2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</row>
    <row r="292" spans="1:45" ht="14.25" customHeight="1" x14ac:dyDescent="0.2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</row>
    <row r="293" spans="1:45" ht="14.25" customHeight="1" x14ac:dyDescent="0.2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</row>
    <row r="294" spans="1:45" ht="14.25" customHeight="1" x14ac:dyDescent="0.2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</row>
    <row r="295" spans="1:45" ht="14.25" customHeight="1" x14ac:dyDescent="0.2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</row>
    <row r="296" spans="1:45" ht="14.25" customHeight="1" x14ac:dyDescent="0.2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</row>
    <row r="297" spans="1:45" ht="14.25" customHeight="1" x14ac:dyDescent="0.2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</row>
    <row r="298" spans="1:45" ht="14.25" customHeight="1" x14ac:dyDescent="0.2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</row>
    <row r="299" spans="1:45" ht="14.25" customHeight="1" x14ac:dyDescent="0.2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</row>
    <row r="300" spans="1:45" ht="14.25" customHeight="1" x14ac:dyDescent="0.2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</row>
    <row r="301" spans="1:45" ht="14.25" customHeight="1" x14ac:dyDescent="0.2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</row>
    <row r="302" spans="1:45" ht="14.25" customHeight="1" x14ac:dyDescent="0.2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</row>
    <row r="303" spans="1:45" ht="14.25" customHeight="1" x14ac:dyDescent="0.2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</row>
    <row r="304" spans="1:45" ht="14.25" customHeight="1" x14ac:dyDescent="0.2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</row>
    <row r="305" spans="1:45" ht="14.25" customHeight="1" x14ac:dyDescent="0.2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</row>
    <row r="306" spans="1:45" ht="14.25" customHeight="1" x14ac:dyDescent="0.2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</row>
    <row r="307" spans="1:45" ht="14.25" customHeight="1" x14ac:dyDescent="0.2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</row>
    <row r="308" spans="1:45" ht="14.25" customHeight="1" x14ac:dyDescent="0.2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</row>
    <row r="309" spans="1:45" ht="14.25" customHeight="1" x14ac:dyDescent="0.2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</row>
    <row r="310" spans="1:45" ht="14.25" customHeight="1" x14ac:dyDescent="0.2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</row>
    <row r="311" spans="1:45" ht="14.25" customHeight="1" x14ac:dyDescent="0.2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</row>
    <row r="312" spans="1:45" ht="14.25" customHeight="1" x14ac:dyDescent="0.2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</row>
    <row r="313" spans="1:45" ht="14.25" customHeight="1" x14ac:dyDescent="0.2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</row>
    <row r="314" spans="1:45" ht="14.25" customHeight="1" x14ac:dyDescent="0.2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</row>
    <row r="315" spans="1:45" ht="14.25" customHeight="1" x14ac:dyDescent="0.2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</row>
    <row r="316" spans="1:45" ht="14.25" customHeight="1" x14ac:dyDescent="0.2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</row>
    <row r="317" spans="1:45" ht="14.25" customHeight="1" x14ac:dyDescent="0.2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</row>
    <row r="318" spans="1:45" ht="14.25" customHeight="1" x14ac:dyDescent="0.2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</row>
    <row r="319" spans="1:45" ht="14.25" customHeight="1" x14ac:dyDescent="0.2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</row>
    <row r="320" spans="1:45" ht="14.25" customHeight="1" x14ac:dyDescent="0.2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</row>
    <row r="321" spans="1:45" ht="14.25" customHeight="1" x14ac:dyDescent="0.2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</row>
    <row r="322" spans="1:45" ht="14.25" customHeight="1" x14ac:dyDescent="0.2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</row>
    <row r="323" spans="1:45" ht="14.25" customHeight="1" x14ac:dyDescent="0.2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</row>
    <row r="324" spans="1:45" ht="14.25" customHeight="1" x14ac:dyDescent="0.2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</row>
    <row r="325" spans="1:45" ht="14.25" customHeight="1" x14ac:dyDescent="0.2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</row>
    <row r="326" spans="1:45" ht="14.25" customHeight="1" x14ac:dyDescent="0.2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</row>
    <row r="327" spans="1:45" ht="14.25" customHeight="1" x14ac:dyDescent="0.2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</row>
    <row r="328" spans="1:45" ht="14.25" customHeight="1" x14ac:dyDescent="0.2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</row>
    <row r="329" spans="1:45" ht="14.25" customHeight="1" x14ac:dyDescent="0.2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</row>
    <row r="330" spans="1:45" ht="14.25" customHeight="1" x14ac:dyDescent="0.2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</row>
    <row r="331" spans="1:45" ht="14.25" customHeight="1" x14ac:dyDescent="0.2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</row>
    <row r="332" spans="1:45" ht="14.25" customHeight="1" x14ac:dyDescent="0.2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</row>
    <row r="333" spans="1:45" ht="14.25" customHeight="1" x14ac:dyDescent="0.2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</row>
    <row r="334" spans="1:45" ht="14.25" customHeight="1" x14ac:dyDescent="0.2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</row>
    <row r="335" spans="1:45" ht="14.25" customHeight="1" x14ac:dyDescent="0.2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</row>
    <row r="336" spans="1:45" ht="14.25" customHeight="1" x14ac:dyDescent="0.2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</row>
    <row r="337" spans="1:45" ht="14.25" customHeight="1" x14ac:dyDescent="0.2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</row>
    <row r="338" spans="1:45" ht="14.25" customHeight="1" x14ac:dyDescent="0.2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</row>
    <row r="339" spans="1:45" ht="14.25" customHeight="1" x14ac:dyDescent="0.2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</row>
    <row r="340" spans="1:45" ht="14.25" customHeight="1" x14ac:dyDescent="0.2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</row>
    <row r="341" spans="1:45" ht="14.25" customHeight="1" x14ac:dyDescent="0.2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</row>
    <row r="342" spans="1:45" ht="14.25" customHeight="1" x14ac:dyDescent="0.2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</row>
    <row r="343" spans="1:45" ht="14.25" customHeight="1" x14ac:dyDescent="0.2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</row>
    <row r="344" spans="1:45" ht="14.25" customHeight="1" x14ac:dyDescent="0.2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</row>
    <row r="345" spans="1:45" ht="14.25" customHeight="1" x14ac:dyDescent="0.2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</row>
    <row r="346" spans="1:45" ht="14.25" customHeight="1" x14ac:dyDescent="0.2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</row>
    <row r="347" spans="1:45" ht="14.25" customHeight="1" x14ac:dyDescent="0.2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</row>
    <row r="348" spans="1:45" ht="14.25" customHeight="1" x14ac:dyDescent="0.2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</row>
    <row r="349" spans="1:45" ht="14.25" customHeight="1" x14ac:dyDescent="0.2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</row>
    <row r="350" spans="1:45" ht="14.25" customHeight="1" x14ac:dyDescent="0.2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</row>
    <row r="351" spans="1:45" ht="14.25" customHeight="1" x14ac:dyDescent="0.2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</row>
    <row r="352" spans="1:45" ht="14.25" customHeight="1" x14ac:dyDescent="0.2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</row>
    <row r="353" spans="1:45" ht="14.25" customHeight="1" x14ac:dyDescent="0.2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</row>
    <row r="354" spans="1:45" ht="14.25" customHeight="1" x14ac:dyDescent="0.2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</row>
    <row r="355" spans="1:45" ht="14.25" customHeight="1" x14ac:dyDescent="0.2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</row>
    <row r="356" spans="1:45" ht="14.25" customHeight="1" x14ac:dyDescent="0.2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</row>
    <row r="357" spans="1:45" ht="14.25" customHeight="1" x14ac:dyDescent="0.2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</row>
    <row r="358" spans="1:45" ht="14.25" customHeight="1" x14ac:dyDescent="0.2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</row>
    <row r="359" spans="1:45" ht="14.25" customHeight="1" x14ac:dyDescent="0.2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</row>
    <row r="360" spans="1:45" ht="14.25" customHeight="1" x14ac:dyDescent="0.2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</row>
    <row r="361" spans="1:45" ht="14.25" customHeight="1" x14ac:dyDescent="0.2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</row>
    <row r="362" spans="1:45" ht="14.25" customHeight="1" x14ac:dyDescent="0.2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</row>
    <row r="363" spans="1:45" ht="14.25" customHeight="1" x14ac:dyDescent="0.2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</row>
    <row r="364" spans="1:45" ht="14.25" customHeight="1" x14ac:dyDescent="0.2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</row>
    <row r="365" spans="1:45" ht="14.25" customHeight="1" x14ac:dyDescent="0.2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</row>
    <row r="366" spans="1:45" ht="14.25" customHeight="1" x14ac:dyDescent="0.2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</row>
    <row r="367" spans="1:45" ht="14.25" customHeight="1" x14ac:dyDescent="0.2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</row>
    <row r="368" spans="1:45" ht="14.25" customHeight="1" x14ac:dyDescent="0.2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</row>
    <row r="369" spans="1:45" ht="14.25" customHeight="1" x14ac:dyDescent="0.2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</row>
    <row r="370" spans="1:45" ht="14.25" customHeight="1" x14ac:dyDescent="0.2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</row>
    <row r="371" spans="1:45" ht="14.25" customHeight="1" x14ac:dyDescent="0.2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</row>
    <row r="372" spans="1:45" ht="14.25" customHeight="1" x14ac:dyDescent="0.2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</row>
    <row r="373" spans="1:45" ht="14.25" customHeight="1" x14ac:dyDescent="0.2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</row>
    <row r="374" spans="1:45" ht="14.25" customHeight="1" x14ac:dyDescent="0.2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</row>
    <row r="375" spans="1:45" ht="14.25" customHeight="1" x14ac:dyDescent="0.2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</row>
    <row r="376" spans="1:45" ht="14.25" customHeight="1" x14ac:dyDescent="0.2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</row>
    <row r="377" spans="1:45" ht="14.25" customHeight="1" x14ac:dyDescent="0.2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</row>
    <row r="378" spans="1:45" ht="14.25" customHeight="1" x14ac:dyDescent="0.2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</row>
    <row r="379" spans="1:45" ht="14.25" customHeight="1" x14ac:dyDescent="0.2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</row>
    <row r="380" spans="1:45" ht="14.25" customHeight="1" x14ac:dyDescent="0.2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</row>
    <row r="381" spans="1:45" ht="14.25" customHeight="1" x14ac:dyDescent="0.2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</row>
    <row r="382" spans="1:45" ht="14.25" customHeight="1" x14ac:dyDescent="0.2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</row>
    <row r="383" spans="1:45" ht="14.25" customHeight="1" x14ac:dyDescent="0.2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</row>
    <row r="384" spans="1:45" ht="14.25" customHeight="1" x14ac:dyDescent="0.2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</row>
    <row r="385" spans="1:45" ht="14.25" customHeight="1" x14ac:dyDescent="0.2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</row>
    <row r="386" spans="1:45" ht="14.25" customHeight="1" x14ac:dyDescent="0.2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</row>
    <row r="387" spans="1:45" ht="14.25" customHeight="1" x14ac:dyDescent="0.2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</row>
    <row r="388" spans="1:45" ht="14.25" customHeight="1" x14ac:dyDescent="0.2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</row>
    <row r="389" spans="1:45" ht="14.25" customHeight="1" x14ac:dyDescent="0.2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</row>
    <row r="390" spans="1:45" ht="14.25" customHeight="1" x14ac:dyDescent="0.2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</row>
    <row r="391" spans="1:45" ht="14.25" customHeight="1" x14ac:dyDescent="0.2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</row>
    <row r="392" spans="1:45" ht="14.25" customHeight="1" x14ac:dyDescent="0.2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</row>
    <row r="393" spans="1:45" ht="14.25" customHeight="1" x14ac:dyDescent="0.2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</row>
    <row r="394" spans="1:45" ht="14.25" customHeight="1" x14ac:dyDescent="0.2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</row>
    <row r="395" spans="1:45" ht="14.25" customHeight="1" x14ac:dyDescent="0.2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</row>
    <row r="396" spans="1:45" ht="14.25" customHeight="1" x14ac:dyDescent="0.2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</row>
    <row r="397" spans="1:45" ht="14.25" customHeight="1" x14ac:dyDescent="0.2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</row>
    <row r="398" spans="1:45" ht="14.25" customHeight="1" x14ac:dyDescent="0.2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</row>
    <row r="399" spans="1:45" ht="14.25" customHeight="1" x14ac:dyDescent="0.2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</row>
    <row r="400" spans="1:45" ht="14.25" customHeight="1" x14ac:dyDescent="0.2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</row>
    <row r="401" spans="1:45" ht="14.25" customHeight="1" x14ac:dyDescent="0.2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</row>
    <row r="402" spans="1:45" ht="14.25" customHeight="1" x14ac:dyDescent="0.2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</row>
    <row r="403" spans="1:45" ht="14.25" customHeight="1" x14ac:dyDescent="0.2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</row>
    <row r="404" spans="1:45" ht="14.25" customHeight="1" x14ac:dyDescent="0.2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</row>
    <row r="405" spans="1:45" ht="14.25" customHeight="1" x14ac:dyDescent="0.2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</row>
    <row r="406" spans="1:45" ht="14.25" customHeight="1" x14ac:dyDescent="0.2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</row>
    <row r="407" spans="1:45" ht="14.25" customHeight="1" x14ac:dyDescent="0.2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</row>
    <row r="408" spans="1:45" ht="14.25" customHeight="1" x14ac:dyDescent="0.2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</row>
    <row r="409" spans="1:45" ht="14.25" customHeight="1" x14ac:dyDescent="0.2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</row>
    <row r="410" spans="1:45" ht="14.25" customHeight="1" x14ac:dyDescent="0.2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</row>
    <row r="411" spans="1:45" ht="14.25" customHeight="1" x14ac:dyDescent="0.2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</row>
    <row r="412" spans="1:45" ht="14.25" customHeight="1" x14ac:dyDescent="0.2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</row>
    <row r="413" spans="1:45" ht="14.25" customHeight="1" x14ac:dyDescent="0.2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</row>
    <row r="414" spans="1:45" ht="14.25" customHeight="1" x14ac:dyDescent="0.2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</row>
    <row r="415" spans="1:45" ht="14.25" customHeight="1" x14ac:dyDescent="0.2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</row>
    <row r="416" spans="1:45" ht="14.25" customHeight="1" x14ac:dyDescent="0.2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</row>
    <row r="417" spans="1:45" ht="14.25" customHeight="1" x14ac:dyDescent="0.2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</row>
    <row r="418" spans="1:45" ht="14.25" customHeight="1" x14ac:dyDescent="0.2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</row>
    <row r="419" spans="1:45" ht="14.25" customHeight="1" x14ac:dyDescent="0.2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</row>
    <row r="420" spans="1:45" ht="14.25" customHeight="1" x14ac:dyDescent="0.2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</row>
    <row r="421" spans="1:45" ht="14.25" customHeight="1" x14ac:dyDescent="0.2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</row>
    <row r="422" spans="1:45" ht="14.25" customHeight="1" x14ac:dyDescent="0.2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</row>
    <row r="423" spans="1:45" ht="14.25" customHeight="1" x14ac:dyDescent="0.2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</row>
    <row r="424" spans="1:45" ht="14.25" customHeight="1" x14ac:dyDescent="0.2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</row>
    <row r="425" spans="1:45" ht="14.25" customHeight="1" x14ac:dyDescent="0.2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</row>
    <row r="426" spans="1:45" ht="14.25" customHeight="1" x14ac:dyDescent="0.2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</row>
    <row r="427" spans="1:45" ht="14.25" customHeight="1" x14ac:dyDescent="0.2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</row>
    <row r="428" spans="1:45" ht="14.25" customHeight="1" x14ac:dyDescent="0.2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</row>
    <row r="429" spans="1:45" ht="14.25" customHeight="1" x14ac:dyDescent="0.2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</row>
    <row r="430" spans="1:45" ht="14.25" customHeight="1" x14ac:dyDescent="0.2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</row>
    <row r="431" spans="1:45" ht="14.25" customHeight="1" x14ac:dyDescent="0.2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</row>
    <row r="432" spans="1:45" ht="14.25" customHeight="1" x14ac:dyDescent="0.2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</row>
    <row r="433" spans="1:45" ht="14.25" customHeight="1" x14ac:dyDescent="0.2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</row>
    <row r="434" spans="1:45" ht="14.25" customHeight="1" x14ac:dyDescent="0.2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</row>
    <row r="435" spans="1:45" ht="14.25" customHeight="1" x14ac:dyDescent="0.2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</row>
    <row r="436" spans="1:45" ht="14.25" customHeight="1" x14ac:dyDescent="0.2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</row>
    <row r="437" spans="1:45" ht="14.25" customHeight="1" x14ac:dyDescent="0.2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</row>
    <row r="438" spans="1:45" ht="14.25" customHeight="1" x14ac:dyDescent="0.2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</row>
    <row r="439" spans="1:45" ht="14.25" customHeight="1" x14ac:dyDescent="0.2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</row>
    <row r="440" spans="1:45" ht="14.25" customHeight="1" x14ac:dyDescent="0.2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</row>
    <row r="441" spans="1:45" ht="14.25" customHeight="1" x14ac:dyDescent="0.2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</row>
    <row r="442" spans="1:45" ht="14.25" customHeight="1" x14ac:dyDescent="0.2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</row>
    <row r="443" spans="1:45" ht="14.25" customHeight="1" x14ac:dyDescent="0.2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</row>
    <row r="444" spans="1:45" ht="14.25" customHeight="1" x14ac:dyDescent="0.2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</row>
    <row r="445" spans="1:45" ht="14.25" customHeight="1" x14ac:dyDescent="0.2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</row>
    <row r="446" spans="1:45" ht="14.25" customHeight="1" x14ac:dyDescent="0.2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</row>
    <row r="447" spans="1:45" ht="14.25" customHeight="1" x14ac:dyDescent="0.2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</row>
    <row r="448" spans="1:45" ht="14.25" customHeight="1" x14ac:dyDescent="0.2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</row>
    <row r="449" spans="1:45" ht="14.25" customHeight="1" x14ac:dyDescent="0.2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</row>
    <row r="450" spans="1:45" ht="14.25" customHeight="1" x14ac:dyDescent="0.2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</row>
    <row r="451" spans="1:45" ht="14.25" customHeight="1" x14ac:dyDescent="0.2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</row>
    <row r="452" spans="1:45" ht="14.25" customHeight="1" x14ac:dyDescent="0.2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</row>
    <row r="453" spans="1:45" ht="14.25" customHeight="1" x14ac:dyDescent="0.2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</row>
    <row r="454" spans="1:45" ht="14.25" customHeight="1" x14ac:dyDescent="0.2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</row>
    <row r="455" spans="1:45" ht="14.25" customHeight="1" x14ac:dyDescent="0.2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</row>
    <row r="456" spans="1:45" ht="14.25" customHeight="1" x14ac:dyDescent="0.2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</row>
    <row r="457" spans="1:45" ht="14.25" customHeight="1" x14ac:dyDescent="0.2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</row>
    <row r="458" spans="1:45" ht="14.25" customHeight="1" x14ac:dyDescent="0.2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</row>
    <row r="459" spans="1:45" ht="14.25" customHeight="1" x14ac:dyDescent="0.2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</row>
    <row r="460" spans="1:45" ht="14.25" customHeight="1" x14ac:dyDescent="0.2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</row>
    <row r="461" spans="1:45" ht="14.25" customHeight="1" x14ac:dyDescent="0.2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</row>
    <row r="462" spans="1:45" ht="14.25" customHeight="1" x14ac:dyDescent="0.2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</row>
    <row r="463" spans="1:45" ht="14.25" customHeight="1" x14ac:dyDescent="0.2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</row>
    <row r="464" spans="1:45" ht="14.25" customHeight="1" x14ac:dyDescent="0.2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</row>
    <row r="465" spans="1:45" ht="14.25" customHeight="1" x14ac:dyDescent="0.2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</row>
    <row r="466" spans="1:45" ht="14.25" customHeight="1" x14ac:dyDescent="0.2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</row>
    <row r="467" spans="1:45" ht="14.25" customHeight="1" x14ac:dyDescent="0.2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</row>
    <row r="468" spans="1:45" ht="14.25" customHeight="1" x14ac:dyDescent="0.2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</row>
    <row r="469" spans="1:45" ht="14.25" customHeight="1" x14ac:dyDescent="0.2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</row>
    <row r="470" spans="1:45" ht="14.25" customHeight="1" x14ac:dyDescent="0.2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</row>
    <row r="471" spans="1:45" ht="14.25" customHeight="1" x14ac:dyDescent="0.2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</row>
    <row r="472" spans="1:45" ht="14.25" customHeight="1" x14ac:dyDescent="0.2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</row>
    <row r="473" spans="1:45" ht="14.25" customHeight="1" x14ac:dyDescent="0.2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</row>
    <row r="474" spans="1:45" ht="14.25" customHeight="1" x14ac:dyDescent="0.2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</row>
    <row r="475" spans="1:45" ht="14.25" customHeight="1" x14ac:dyDescent="0.2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</row>
    <row r="476" spans="1:45" ht="14.25" customHeight="1" x14ac:dyDescent="0.2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</row>
    <row r="477" spans="1:45" ht="14.25" customHeight="1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</row>
    <row r="478" spans="1:45" ht="14.25" customHeight="1" x14ac:dyDescent="0.2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</row>
    <row r="479" spans="1:45" ht="14.25" customHeight="1" x14ac:dyDescent="0.2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</row>
    <row r="480" spans="1:45" ht="14.25" customHeight="1" x14ac:dyDescent="0.2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</row>
    <row r="481" spans="1:45" ht="14.25" customHeight="1" x14ac:dyDescent="0.2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</row>
    <row r="482" spans="1:45" ht="14.25" customHeight="1" x14ac:dyDescent="0.2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</row>
    <row r="483" spans="1:45" ht="14.25" customHeight="1" x14ac:dyDescent="0.2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</row>
    <row r="484" spans="1:45" ht="14.25" customHeight="1" x14ac:dyDescent="0.2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</row>
    <row r="485" spans="1:45" ht="14.25" customHeight="1" x14ac:dyDescent="0.2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</row>
    <row r="486" spans="1:45" ht="14.25" customHeight="1" x14ac:dyDescent="0.2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</row>
    <row r="487" spans="1:45" ht="14.25" customHeight="1" x14ac:dyDescent="0.2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</row>
    <row r="488" spans="1:45" ht="14.25" customHeight="1" x14ac:dyDescent="0.2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</row>
    <row r="489" spans="1:45" ht="14.25" customHeight="1" x14ac:dyDescent="0.2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</row>
    <row r="490" spans="1:45" ht="14.25" customHeight="1" x14ac:dyDescent="0.2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</row>
    <row r="491" spans="1:45" ht="14.25" customHeight="1" x14ac:dyDescent="0.2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</row>
    <row r="492" spans="1:45" ht="14.25" customHeight="1" x14ac:dyDescent="0.2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</row>
    <row r="493" spans="1:45" ht="14.25" customHeight="1" x14ac:dyDescent="0.2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</row>
    <row r="494" spans="1:45" ht="14.25" customHeight="1" x14ac:dyDescent="0.2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</row>
    <row r="495" spans="1:45" ht="14.25" customHeight="1" x14ac:dyDescent="0.2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</row>
    <row r="496" spans="1:45" ht="14.25" customHeight="1" x14ac:dyDescent="0.2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</row>
    <row r="497" spans="1:45" ht="14.25" customHeight="1" x14ac:dyDescent="0.2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</row>
    <row r="498" spans="1:45" ht="14.25" customHeight="1" x14ac:dyDescent="0.2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</row>
    <row r="499" spans="1:45" ht="14.25" customHeight="1" x14ac:dyDescent="0.2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</row>
    <row r="500" spans="1:45" ht="14.25" customHeight="1" x14ac:dyDescent="0.2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</row>
    <row r="501" spans="1:45" ht="14.25" customHeight="1" x14ac:dyDescent="0.2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</row>
    <row r="502" spans="1:45" ht="14.25" customHeight="1" x14ac:dyDescent="0.2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</row>
    <row r="503" spans="1:45" ht="14.25" customHeight="1" x14ac:dyDescent="0.2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</row>
    <row r="504" spans="1:45" ht="14.25" customHeight="1" x14ac:dyDescent="0.2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</row>
    <row r="505" spans="1:45" ht="14.25" customHeight="1" x14ac:dyDescent="0.2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</row>
    <row r="506" spans="1:45" ht="14.25" customHeight="1" x14ac:dyDescent="0.2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</row>
    <row r="507" spans="1:45" ht="14.25" customHeight="1" x14ac:dyDescent="0.2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</row>
    <row r="508" spans="1:45" ht="14.25" customHeight="1" x14ac:dyDescent="0.2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</row>
    <row r="509" spans="1:45" ht="14.25" customHeight="1" x14ac:dyDescent="0.2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</row>
    <row r="510" spans="1:45" ht="14.25" customHeight="1" x14ac:dyDescent="0.2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</row>
    <row r="511" spans="1:45" ht="14.25" customHeight="1" x14ac:dyDescent="0.2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</row>
    <row r="512" spans="1:45" ht="14.25" customHeight="1" x14ac:dyDescent="0.2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</row>
    <row r="513" spans="1:45" ht="14.25" customHeight="1" x14ac:dyDescent="0.2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</row>
    <row r="514" spans="1:45" ht="14.25" customHeight="1" x14ac:dyDescent="0.2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</row>
    <row r="515" spans="1:45" ht="14.25" customHeight="1" x14ac:dyDescent="0.2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</row>
    <row r="516" spans="1:45" ht="14.25" customHeight="1" x14ac:dyDescent="0.2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</row>
    <row r="517" spans="1:45" ht="14.25" customHeight="1" x14ac:dyDescent="0.2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</row>
    <row r="518" spans="1:45" ht="14.25" customHeight="1" x14ac:dyDescent="0.2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</row>
    <row r="519" spans="1:45" ht="14.25" customHeight="1" x14ac:dyDescent="0.2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</row>
    <row r="520" spans="1:45" ht="14.25" customHeight="1" x14ac:dyDescent="0.2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</row>
    <row r="521" spans="1:45" ht="14.25" customHeight="1" x14ac:dyDescent="0.2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</row>
    <row r="522" spans="1:45" ht="14.25" customHeight="1" x14ac:dyDescent="0.2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</row>
    <row r="523" spans="1:45" ht="14.25" customHeight="1" x14ac:dyDescent="0.2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</row>
    <row r="524" spans="1:45" ht="14.25" customHeight="1" x14ac:dyDescent="0.2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</row>
    <row r="525" spans="1:45" ht="14.25" customHeight="1" x14ac:dyDescent="0.2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</row>
    <row r="526" spans="1:45" ht="14.25" customHeight="1" x14ac:dyDescent="0.2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</row>
    <row r="527" spans="1:45" ht="14.25" customHeight="1" x14ac:dyDescent="0.2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</row>
    <row r="528" spans="1:45" ht="14.25" customHeight="1" x14ac:dyDescent="0.2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</row>
    <row r="529" spans="1:45" ht="14.25" customHeight="1" x14ac:dyDescent="0.2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</row>
    <row r="530" spans="1:45" ht="14.25" customHeight="1" x14ac:dyDescent="0.2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</row>
    <row r="531" spans="1:45" ht="14.25" customHeight="1" x14ac:dyDescent="0.2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</row>
    <row r="532" spans="1:45" ht="14.25" customHeight="1" x14ac:dyDescent="0.2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</row>
    <row r="533" spans="1:45" ht="14.25" customHeight="1" x14ac:dyDescent="0.2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</row>
    <row r="534" spans="1:45" ht="14.25" customHeight="1" x14ac:dyDescent="0.2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</row>
    <row r="535" spans="1:45" ht="14.25" customHeight="1" x14ac:dyDescent="0.2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</row>
    <row r="536" spans="1:45" ht="14.25" customHeight="1" x14ac:dyDescent="0.2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</row>
    <row r="537" spans="1:45" ht="14.25" customHeight="1" x14ac:dyDescent="0.2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</row>
    <row r="538" spans="1:45" ht="14.25" customHeight="1" x14ac:dyDescent="0.2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</row>
    <row r="539" spans="1:45" ht="14.25" customHeight="1" x14ac:dyDescent="0.2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</row>
    <row r="540" spans="1:45" ht="14.25" customHeight="1" x14ac:dyDescent="0.2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</row>
    <row r="541" spans="1:45" ht="14.25" customHeight="1" x14ac:dyDescent="0.2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</row>
    <row r="542" spans="1:45" ht="14.25" customHeight="1" x14ac:dyDescent="0.2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</row>
    <row r="543" spans="1:45" ht="14.25" customHeight="1" x14ac:dyDescent="0.2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</row>
    <row r="544" spans="1:45" ht="14.25" customHeight="1" x14ac:dyDescent="0.2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</row>
    <row r="545" spans="1:45" ht="14.25" customHeight="1" x14ac:dyDescent="0.2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</row>
    <row r="546" spans="1:45" ht="14.25" customHeight="1" x14ac:dyDescent="0.2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</row>
    <row r="547" spans="1:45" ht="14.25" customHeight="1" x14ac:dyDescent="0.2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</row>
    <row r="548" spans="1:45" ht="14.25" customHeight="1" x14ac:dyDescent="0.2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</row>
    <row r="549" spans="1:45" ht="14.25" customHeight="1" x14ac:dyDescent="0.2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</row>
    <row r="550" spans="1:45" ht="14.25" customHeight="1" x14ac:dyDescent="0.2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</row>
    <row r="551" spans="1:45" ht="14.25" customHeight="1" x14ac:dyDescent="0.2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</row>
    <row r="552" spans="1:45" ht="14.25" customHeight="1" x14ac:dyDescent="0.2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</row>
    <row r="553" spans="1:45" ht="14.25" customHeight="1" x14ac:dyDescent="0.2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</row>
    <row r="554" spans="1:45" ht="14.25" customHeight="1" x14ac:dyDescent="0.2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</row>
    <row r="555" spans="1:45" ht="14.25" customHeight="1" x14ac:dyDescent="0.2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</row>
    <row r="556" spans="1:45" ht="14.25" customHeight="1" x14ac:dyDescent="0.2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</row>
    <row r="557" spans="1:45" ht="14.25" customHeight="1" x14ac:dyDescent="0.2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</row>
    <row r="558" spans="1:45" ht="14.25" customHeight="1" x14ac:dyDescent="0.2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</row>
    <row r="559" spans="1:45" ht="14.25" customHeight="1" x14ac:dyDescent="0.2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</row>
    <row r="560" spans="1:45" ht="14.25" customHeight="1" x14ac:dyDescent="0.2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</row>
    <row r="561" spans="1:45" ht="14.25" customHeight="1" x14ac:dyDescent="0.2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</row>
    <row r="562" spans="1:45" ht="14.25" customHeight="1" x14ac:dyDescent="0.2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</row>
    <row r="563" spans="1:45" ht="14.25" customHeight="1" x14ac:dyDescent="0.2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</row>
    <row r="564" spans="1:45" ht="14.25" customHeight="1" x14ac:dyDescent="0.2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</row>
    <row r="565" spans="1:45" ht="14.25" customHeight="1" x14ac:dyDescent="0.2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</row>
    <row r="566" spans="1:45" ht="14.25" customHeight="1" x14ac:dyDescent="0.2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</row>
    <row r="567" spans="1:45" ht="14.25" customHeight="1" x14ac:dyDescent="0.2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</row>
    <row r="568" spans="1:45" ht="14.25" customHeight="1" x14ac:dyDescent="0.2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</row>
    <row r="569" spans="1:45" ht="14.25" customHeight="1" x14ac:dyDescent="0.2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</row>
    <row r="570" spans="1:45" ht="14.25" customHeight="1" x14ac:dyDescent="0.2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</row>
    <row r="571" spans="1:45" ht="14.25" customHeight="1" x14ac:dyDescent="0.2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</row>
    <row r="572" spans="1:45" ht="14.25" customHeight="1" x14ac:dyDescent="0.2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</row>
    <row r="573" spans="1:45" ht="14.25" customHeight="1" x14ac:dyDescent="0.2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</row>
    <row r="574" spans="1:45" ht="14.25" customHeight="1" x14ac:dyDescent="0.2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</row>
    <row r="575" spans="1:45" ht="14.25" customHeight="1" x14ac:dyDescent="0.2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</row>
    <row r="576" spans="1:45" ht="14.25" customHeight="1" x14ac:dyDescent="0.2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</row>
    <row r="577" spans="1:45" ht="14.25" customHeight="1" x14ac:dyDescent="0.2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</row>
    <row r="578" spans="1:45" ht="14.25" customHeight="1" x14ac:dyDescent="0.2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</row>
    <row r="579" spans="1:45" ht="14.25" customHeight="1" x14ac:dyDescent="0.2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</row>
    <row r="580" spans="1:45" ht="14.25" customHeight="1" x14ac:dyDescent="0.2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</row>
    <row r="581" spans="1:45" ht="14.25" customHeight="1" x14ac:dyDescent="0.2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</row>
    <row r="582" spans="1:45" ht="14.25" customHeight="1" x14ac:dyDescent="0.2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</row>
    <row r="583" spans="1:45" ht="14.25" customHeight="1" x14ac:dyDescent="0.2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</row>
    <row r="584" spans="1:45" ht="14.25" customHeight="1" x14ac:dyDescent="0.2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</row>
    <row r="585" spans="1:45" ht="14.25" customHeight="1" x14ac:dyDescent="0.2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</row>
    <row r="586" spans="1:45" ht="14.25" customHeight="1" x14ac:dyDescent="0.2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</row>
    <row r="587" spans="1:45" ht="14.25" customHeight="1" x14ac:dyDescent="0.2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</row>
    <row r="588" spans="1:45" ht="14.25" customHeight="1" x14ac:dyDescent="0.2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</row>
    <row r="589" spans="1:45" ht="14.25" customHeight="1" x14ac:dyDescent="0.2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</row>
    <row r="590" spans="1:45" ht="14.25" customHeight="1" x14ac:dyDescent="0.2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</row>
    <row r="591" spans="1:45" ht="14.25" customHeight="1" x14ac:dyDescent="0.2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</row>
    <row r="592" spans="1:45" ht="14.25" customHeight="1" x14ac:dyDescent="0.2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</row>
    <row r="593" spans="1:45" ht="14.25" customHeight="1" x14ac:dyDescent="0.2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</row>
    <row r="594" spans="1:45" ht="14.25" customHeight="1" x14ac:dyDescent="0.2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</row>
    <row r="595" spans="1:45" ht="14.25" customHeight="1" x14ac:dyDescent="0.2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</row>
    <row r="596" spans="1:45" ht="14.25" customHeight="1" x14ac:dyDescent="0.2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</row>
    <row r="597" spans="1:45" ht="14.25" customHeight="1" x14ac:dyDescent="0.2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</row>
    <row r="598" spans="1:45" ht="14.25" customHeight="1" x14ac:dyDescent="0.2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</row>
    <row r="599" spans="1:45" ht="14.25" customHeight="1" x14ac:dyDescent="0.2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</row>
    <row r="600" spans="1:45" ht="14.25" customHeight="1" x14ac:dyDescent="0.2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</row>
    <row r="601" spans="1:45" ht="14.25" customHeight="1" x14ac:dyDescent="0.2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</row>
    <row r="602" spans="1:45" ht="14.25" customHeight="1" x14ac:dyDescent="0.2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</row>
    <row r="603" spans="1:45" ht="14.25" customHeight="1" x14ac:dyDescent="0.2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</row>
    <row r="604" spans="1:45" ht="14.25" customHeight="1" x14ac:dyDescent="0.2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</row>
    <row r="605" spans="1:45" ht="14.25" customHeight="1" x14ac:dyDescent="0.2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</row>
    <row r="606" spans="1:45" ht="14.25" customHeight="1" x14ac:dyDescent="0.2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</row>
    <row r="607" spans="1:45" ht="14.25" customHeight="1" x14ac:dyDescent="0.2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</row>
    <row r="608" spans="1:45" ht="14.25" customHeight="1" x14ac:dyDescent="0.2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</row>
    <row r="609" spans="1:45" ht="14.25" customHeight="1" x14ac:dyDescent="0.2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</row>
    <row r="610" spans="1:45" ht="14.25" customHeight="1" x14ac:dyDescent="0.2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</row>
    <row r="611" spans="1:45" ht="14.25" customHeight="1" x14ac:dyDescent="0.2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</row>
    <row r="612" spans="1:45" ht="14.25" customHeight="1" x14ac:dyDescent="0.2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</row>
    <row r="613" spans="1:45" ht="14.25" customHeight="1" x14ac:dyDescent="0.2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</row>
    <row r="614" spans="1:45" ht="14.25" customHeight="1" x14ac:dyDescent="0.2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</row>
    <row r="615" spans="1:45" ht="14.25" customHeight="1" x14ac:dyDescent="0.2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</row>
    <row r="616" spans="1:45" ht="14.25" customHeight="1" x14ac:dyDescent="0.2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</row>
    <row r="617" spans="1:45" ht="14.25" customHeight="1" x14ac:dyDescent="0.2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</row>
    <row r="618" spans="1:45" ht="14.25" customHeight="1" x14ac:dyDescent="0.2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</row>
    <row r="619" spans="1:45" ht="14.25" customHeight="1" x14ac:dyDescent="0.2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</row>
    <row r="620" spans="1:45" ht="14.25" customHeight="1" x14ac:dyDescent="0.2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</row>
    <row r="621" spans="1:45" ht="14.25" customHeight="1" x14ac:dyDescent="0.2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</row>
    <row r="622" spans="1:45" ht="14.25" customHeight="1" x14ac:dyDescent="0.2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</row>
    <row r="623" spans="1:45" ht="14.25" customHeight="1" x14ac:dyDescent="0.2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</row>
    <row r="624" spans="1:45" ht="14.25" customHeight="1" x14ac:dyDescent="0.2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</row>
    <row r="625" spans="1:45" ht="14.25" customHeight="1" x14ac:dyDescent="0.2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</row>
    <row r="626" spans="1:45" ht="14.25" customHeight="1" x14ac:dyDescent="0.2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</row>
    <row r="627" spans="1:45" ht="14.25" customHeight="1" x14ac:dyDescent="0.2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</row>
    <row r="628" spans="1:45" ht="14.25" customHeight="1" x14ac:dyDescent="0.2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</row>
    <row r="629" spans="1:45" ht="14.25" customHeight="1" x14ac:dyDescent="0.2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</row>
    <row r="630" spans="1:45" ht="14.25" customHeight="1" x14ac:dyDescent="0.2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</row>
    <row r="631" spans="1:45" ht="14.25" customHeight="1" x14ac:dyDescent="0.2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</row>
    <row r="632" spans="1:45" ht="14.25" customHeight="1" x14ac:dyDescent="0.2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</row>
    <row r="633" spans="1:45" ht="14.25" customHeight="1" x14ac:dyDescent="0.2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</row>
    <row r="634" spans="1:45" ht="14.25" customHeight="1" x14ac:dyDescent="0.2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</row>
    <row r="635" spans="1:45" ht="14.25" customHeight="1" x14ac:dyDescent="0.2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</row>
    <row r="636" spans="1:45" ht="14.25" customHeight="1" x14ac:dyDescent="0.2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</row>
    <row r="637" spans="1:45" ht="14.25" customHeight="1" x14ac:dyDescent="0.2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</row>
    <row r="638" spans="1:45" ht="14.25" customHeight="1" x14ac:dyDescent="0.2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</row>
    <row r="639" spans="1:45" ht="14.25" customHeight="1" x14ac:dyDescent="0.2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</row>
    <row r="640" spans="1:45" ht="14.25" customHeight="1" x14ac:dyDescent="0.2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</row>
    <row r="641" spans="1:45" ht="14.25" customHeight="1" x14ac:dyDescent="0.2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</row>
    <row r="642" spans="1:45" ht="14.25" customHeight="1" x14ac:dyDescent="0.2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</row>
    <row r="643" spans="1:45" ht="14.25" customHeight="1" x14ac:dyDescent="0.2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</row>
    <row r="644" spans="1:45" ht="14.25" customHeight="1" x14ac:dyDescent="0.2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</row>
    <row r="645" spans="1:45" ht="14.25" customHeight="1" x14ac:dyDescent="0.2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</row>
    <row r="646" spans="1:45" ht="14.25" customHeight="1" x14ac:dyDescent="0.2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</row>
    <row r="647" spans="1:45" ht="14.25" customHeight="1" x14ac:dyDescent="0.2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</row>
    <row r="648" spans="1:45" ht="14.25" customHeight="1" x14ac:dyDescent="0.2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</row>
    <row r="649" spans="1:45" ht="14.25" customHeight="1" x14ac:dyDescent="0.2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</row>
    <row r="650" spans="1:45" ht="14.25" customHeight="1" x14ac:dyDescent="0.2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</row>
    <row r="651" spans="1:45" ht="14.25" customHeight="1" x14ac:dyDescent="0.2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</row>
    <row r="652" spans="1:45" ht="14.25" customHeight="1" x14ac:dyDescent="0.2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</row>
    <row r="653" spans="1:45" ht="14.25" customHeight="1" x14ac:dyDescent="0.2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</row>
    <row r="654" spans="1:45" ht="14.25" customHeight="1" x14ac:dyDescent="0.2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</row>
    <row r="655" spans="1:45" ht="14.25" customHeight="1" x14ac:dyDescent="0.2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</row>
    <row r="656" spans="1:45" ht="14.25" customHeight="1" x14ac:dyDescent="0.2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</row>
    <row r="657" spans="1:45" ht="14.25" customHeight="1" x14ac:dyDescent="0.2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</row>
    <row r="658" spans="1:45" ht="14.25" customHeight="1" x14ac:dyDescent="0.2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</row>
    <row r="659" spans="1:45" ht="14.25" customHeight="1" x14ac:dyDescent="0.2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</row>
    <row r="660" spans="1:45" ht="14.25" customHeight="1" x14ac:dyDescent="0.2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</row>
    <row r="661" spans="1:45" ht="14.25" customHeight="1" x14ac:dyDescent="0.2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</row>
    <row r="662" spans="1:45" ht="14.25" customHeight="1" x14ac:dyDescent="0.2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</row>
    <row r="663" spans="1:45" ht="14.25" customHeight="1" x14ac:dyDescent="0.2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</row>
    <row r="664" spans="1:45" ht="14.25" customHeight="1" x14ac:dyDescent="0.2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</row>
    <row r="665" spans="1:45" ht="14.25" customHeight="1" x14ac:dyDescent="0.2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</row>
    <row r="666" spans="1:45" ht="14.25" customHeight="1" x14ac:dyDescent="0.2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</row>
    <row r="667" spans="1:45" ht="14.25" customHeight="1" x14ac:dyDescent="0.2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</row>
    <row r="668" spans="1:45" ht="14.25" customHeight="1" x14ac:dyDescent="0.2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</row>
    <row r="669" spans="1:45" ht="14.25" customHeight="1" x14ac:dyDescent="0.2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</row>
    <row r="670" spans="1:45" ht="14.25" customHeight="1" x14ac:dyDescent="0.2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</row>
    <row r="671" spans="1:45" ht="14.25" customHeight="1" x14ac:dyDescent="0.2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</row>
    <row r="672" spans="1:45" ht="14.25" customHeight="1" x14ac:dyDescent="0.2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</row>
    <row r="673" spans="1:45" ht="14.25" customHeight="1" x14ac:dyDescent="0.2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</row>
    <row r="674" spans="1:45" ht="14.25" customHeight="1" x14ac:dyDescent="0.2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</row>
    <row r="675" spans="1:45" ht="14.25" customHeight="1" x14ac:dyDescent="0.2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</row>
    <row r="676" spans="1:45" ht="14.25" customHeight="1" x14ac:dyDescent="0.2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</row>
    <row r="677" spans="1:45" ht="14.25" customHeight="1" x14ac:dyDescent="0.2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</row>
    <row r="678" spans="1:45" ht="14.25" customHeight="1" x14ac:dyDescent="0.2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</row>
    <row r="679" spans="1:45" ht="14.25" customHeight="1" x14ac:dyDescent="0.2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</row>
    <row r="680" spans="1:45" ht="14.25" customHeight="1" x14ac:dyDescent="0.2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</row>
    <row r="681" spans="1:45" ht="14.25" customHeight="1" x14ac:dyDescent="0.2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</row>
    <row r="682" spans="1:45" ht="14.25" customHeight="1" x14ac:dyDescent="0.2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</row>
    <row r="683" spans="1:45" ht="14.25" customHeight="1" x14ac:dyDescent="0.2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</row>
    <row r="684" spans="1:45" ht="14.25" customHeight="1" x14ac:dyDescent="0.2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</row>
    <row r="685" spans="1:45" ht="14.25" customHeight="1" x14ac:dyDescent="0.2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</row>
    <row r="686" spans="1:45" ht="14.25" customHeight="1" x14ac:dyDescent="0.2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</row>
    <row r="687" spans="1:45" ht="14.25" customHeight="1" x14ac:dyDescent="0.2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</row>
    <row r="688" spans="1:45" ht="14.25" customHeight="1" x14ac:dyDescent="0.2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</row>
    <row r="689" spans="1:45" ht="14.25" customHeight="1" x14ac:dyDescent="0.2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</row>
    <row r="690" spans="1:45" ht="14.25" customHeight="1" x14ac:dyDescent="0.2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</row>
    <row r="691" spans="1:45" ht="14.25" customHeight="1" x14ac:dyDescent="0.2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</row>
    <row r="692" spans="1:45" ht="14.25" customHeight="1" x14ac:dyDescent="0.2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</row>
    <row r="693" spans="1:45" ht="14.25" customHeight="1" x14ac:dyDescent="0.2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</row>
    <row r="694" spans="1:45" ht="14.25" customHeight="1" x14ac:dyDescent="0.2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</row>
    <row r="695" spans="1:45" ht="14.25" customHeight="1" x14ac:dyDescent="0.2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</row>
    <row r="696" spans="1:45" ht="14.25" customHeight="1" x14ac:dyDescent="0.2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</row>
    <row r="697" spans="1:45" ht="14.25" customHeight="1" x14ac:dyDescent="0.2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</row>
    <row r="698" spans="1:45" ht="14.25" customHeight="1" x14ac:dyDescent="0.2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</row>
    <row r="699" spans="1:45" ht="14.25" customHeight="1" x14ac:dyDescent="0.2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</row>
    <row r="700" spans="1:45" ht="14.25" customHeight="1" x14ac:dyDescent="0.2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</row>
    <row r="701" spans="1:45" ht="14.25" customHeight="1" x14ac:dyDescent="0.2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</row>
    <row r="702" spans="1:45" ht="14.25" customHeight="1" x14ac:dyDescent="0.2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</row>
    <row r="703" spans="1:45" ht="14.25" customHeight="1" x14ac:dyDescent="0.2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</row>
    <row r="704" spans="1:45" ht="14.25" customHeight="1" x14ac:dyDescent="0.2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</row>
    <row r="705" spans="1:45" ht="14.25" customHeight="1" x14ac:dyDescent="0.2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</row>
    <row r="706" spans="1:45" ht="14.25" customHeight="1" x14ac:dyDescent="0.2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</row>
    <row r="707" spans="1:45" ht="14.25" customHeight="1" x14ac:dyDescent="0.2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</row>
    <row r="708" spans="1:45" ht="14.25" customHeight="1" x14ac:dyDescent="0.2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</row>
    <row r="709" spans="1:45" ht="14.25" customHeight="1" x14ac:dyDescent="0.2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</row>
    <row r="710" spans="1:45" ht="14.25" customHeight="1" x14ac:dyDescent="0.2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</row>
    <row r="711" spans="1:45" ht="14.25" customHeight="1" x14ac:dyDescent="0.2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</row>
    <row r="712" spans="1:45" ht="14.25" customHeight="1" x14ac:dyDescent="0.2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</row>
    <row r="713" spans="1:45" ht="14.25" customHeight="1" x14ac:dyDescent="0.2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</row>
    <row r="714" spans="1:45" ht="14.25" customHeight="1" x14ac:dyDescent="0.2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</row>
    <row r="715" spans="1:45" ht="14.25" customHeight="1" x14ac:dyDescent="0.2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</row>
    <row r="716" spans="1:45" ht="14.25" customHeight="1" x14ac:dyDescent="0.2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</row>
    <row r="717" spans="1:45" ht="14.25" customHeight="1" x14ac:dyDescent="0.2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</row>
    <row r="718" spans="1:45" ht="14.25" customHeight="1" x14ac:dyDescent="0.2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</row>
    <row r="719" spans="1:45" ht="14.25" customHeight="1" x14ac:dyDescent="0.2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</row>
    <row r="720" spans="1:45" ht="14.25" customHeight="1" x14ac:dyDescent="0.2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</row>
    <row r="721" spans="1:45" ht="14.25" customHeight="1" x14ac:dyDescent="0.2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</row>
    <row r="722" spans="1:45" ht="14.25" customHeight="1" x14ac:dyDescent="0.2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</row>
    <row r="723" spans="1:45" ht="14.25" customHeight="1" x14ac:dyDescent="0.2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</row>
    <row r="724" spans="1:45" ht="14.25" customHeight="1" x14ac:dyDescent="0.2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</row>
    <row r="725" spans="1:45" ht="14.25" customHeight="1" x14ac:dyDescent="0.2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</row>
    <row r="726" spans="1:45" ht="14.25" customHeight="1" x14ac:dyDescent="0.2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</row>
    <row r="727" spans="1:45" ht="14.25" customHeight="1" x14ac:dyDescent="0.2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</row>
    <row r="728" spans="1:45" ht="14.25" customHeight="1" x14ac:dyDescent="0.2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</row>
    <row r="729" spans="1:45" ht="14.25" customHeight="1" x14ac:dyDescent="0.2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</row>
    <row r="730" spans="1:45" ht="14.25" customHeight="1" x14ac:dyDescent="0.2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</row>
    <row r="731" spans="1:45" ht="14.25" customHeight="1" x14ac:dyDescent="0.2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</row>
    <row r="732" spans="1:45" ht="14.25" customHeight="1" x14ac:dyDescent="0.2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</row>
    <row r="733" spans="1:45" ht="14.25" customHeight="1" x14ac:dyDescent="0.2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</row>
    <row r="734" spans="1:45" ht="14.25" customHeight="1" x14ac:dyDescent="0.2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</row>
    <row r="735" spans="1:45" ht="14.25" customHeight="1" x14ac:dyDescent="0.2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</row>
    <row r="736" spans="1:45" ht="14.25" customHeight="1" x14ac:dyDescent="0.2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</row>
    <row r="737" spans="1:45" ht="14.25" customHeight="1" x14ac:dyDescent="0.2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</row>
    <row r="738" spans="1:45" ht="14.25" customHeight="1" x14ac:dyDescent="0.2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</row>
    <row r="739" spans="1:45" ht="14.25" customHeight="1" x14ac:dyDescent="0.2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</row>
    <row r="740" spans="1:45" ht="14.25" customHeight="1" x14ac:dyDescent="0.2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</row>
    <row r="741" spans="1:45" ht="14.25" customHeight="1" x14ac:dyDescent="0.2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</row>
    <row r="742" spans="1:45" ht="14.25" customHeight="1" x14ac:dyDescent="0.2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</row>
    <row r="743" spans="1:45" ht="14.25" customHeight="1" x14ac:dyDescent="0.2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</row>
    <row r="744" spans="1:45" ht="14.25" customHeight="1" x14ac:dyDescent="0.2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</row>
    <row r="745" spans="1:45" ht="14.25" customHeight="1" x14ac:dyDescent="0.2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</row>
    <row r="746" spans="1:45" ht="14.25" customHeight="1" x14ac:dyDescent="0.2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</row>
    <row r="747" spans="1:45" ht="14.25" customHeight="1" x14ac:dyDescent="0.2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</row>
    <row r="748" spans="1:45" ht="14.25" customHeight="1" x14ac:dyDescent="0.2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</row>
    <row r="749" spans="1:45" ht="14.25" customHeight="1" x14ac:dyDescent="0.2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</row>
    <row r="750" spans="1:45" ht="14.25" customHeight="1" x14ac:dyDescent="0.2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</row>
    <row r="751" spans="1:45" ht="14.25" customHeight="1" x14ac:dyDescent="0.2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</row>
    <row r="752" spans="1:45" ht="14.25" customHeight="1" x14ac:dyDescent="0.2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</row>
    <row r="753" spans="1:45" ht="14.25" customHeight="1" x14ac:dyDescent="0.2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</row>
    <row r="754" spans="1:45" ht="14.25" customHeight="1" x14ac:dyDescent="0.2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</row>
    <row r="755" spans="1:45" ht="14.25" customHeight="1" x14ac:dyDescent="0.2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</row>
    <row r="756" spans="1:45" ht="14.25" customHeight="1" x14ac:dyDescent="0.2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</row>
    <row r="757" spans="1:45" ht="14.25" customHeight="1" x14ac:dyDescent="0.2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</row>
    <row r="758" spans="1:45" ht="14.25" customHeight="1" x14ac:dyDescent="0.2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</row>
    <row r="759" spans="1:45" ht="14.25" customHeight="1" x14ac:dyDescent="0.2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</row>
    <row r="760" spans="1:45" ht="14.25" customHeight="1" x14ac:dyDescent="0.2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</row>
    <row r="761" spans="1:45" ht="14.25" customHeight="1" x14ac:dyDescent="0.2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</row>
    <row r="762" spans="1:45" ht="14.25" customHeight="1" x14ac:dyDescent="0.2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</row>
    <row r="763" spans="1:45" ht="14.25" customHeight="1" x14ac:dyDescent="0.2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</row>
    <row r="764" spans="1:45" ht="14.25" customHeight="1" x14ac:dyDescent="0.2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</row>
    <row r="765" spans="1:45" ht="14.25" customHeight="1" x14ac:dyDescent="0.2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</row>
    <row r="766" spans="1:45" ht="14.25" customHeight="1" x14ac:dyDescent="0.2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</row>
    <row r="767" spans="1:45" ht="14.25" customHeight="1" x14ac:dyDescent="0.2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</row>
    <row r="768" spans="1:45" ht="14.25" customHeight="1" x14ac:dyDescent="0.2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</row>
    <row r="769" spans="1:45" ht="14.25" customHeight="1" x14ac:dyDescent="0.2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</row>
    <row r="770" spans="1:45" ht="14.25" customHeight="1" x14ac:dyDescent="0.2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</row>
    <row r="771" spans="1:45" ht="14.25" customHeight="1" x14ac:dyDescent="0.2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</row>
    <row r="772" spans="1:45" ht="14.25" customHeight="1" x14ac:dyDescent="0.2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</row>
    <row r="773" spans="1:45" ht="14.25" customHeight="1" x14ac:dyDescent="0.2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</row>
    <row r="774" spans="1:45" ht="14.25" customHeight="1" x14ac:dyDescent="0.2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</row>
    <row r="775" spans="1:45" ht="14.25" customHeight="1" x14ac:dyDescent="0.2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</row>
    <row r="776" spans="1:45" ht="14.25" customHeight="1" x14ac:dyDescent="0.2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</row>
    <row r="777" spans="1:45" ht="14.25" customHeight="1" x14ac:dyDescent="0.2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</row>
    <row r="778" spans="1:45" ht="14.25" customHeight="1" x14ac:dyDescent="0.2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</row>
    <row r="779" spans="1:45" ht="14.25" customHeight="1" x14ac:dyDescent="0.2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</row>
    <row r="780" spans="1:45" ht="14.25" customHeight="1" x14ac:dyDescent="0.2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</row>
    <row r="781" spans="1:45" ht="14.25" customHeight="1" x14ac:dyDescent="0.2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</row>
    <row r="782" spans="1:45" ht="14.25" customHeight="1" x14ac:dyDescent="0.2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</row>
    <row r="783" spans="1:45" ht="14.25" customHeight="1" x14ac:dyDescent="0.2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</row>
    <row r="784" spans="1:45" ht="14.25" customHeight="1" x14ac:dyDescent="0.2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</row>
    <row r="785" spans="1:45" ht="14.25" customHeight="1" x14ac:dyDescent="0.2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</row>
    <row r="786" spans="1:45" ht="14.25" customHeight="1" x14ac:dyDescent="0.2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</row>
    <row r="787" spans="1:45" ht="14.25" customHeight="1" x14ac:dyDescent="0.2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</row>
    <row r="788" spans="1:45" ht="14.25" customHeight="1" x14ac:dyDescent="0.2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</row>
    <row r="789" spans="1:45" ht="14.25" customHeight="1" x14ac:dyDescent="0.2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</row>
    <row r="790" spans="1:45" ht="14.25" customHeight="1" x14ac:dyDescent="0.2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</row>
    <row r="791" spans="1:45" ht="14.25" customHeight="1" x14ac:dyDescent="0.2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</row>
    <row r="792" spans="1:45" ht="14.25" customHeight="1" x14ac:dyDescent="0.2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</row>
    <row r="793" spans="1:45" ht="14.25" customHeight="1" x14ac:dyDescent="0.2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</row>
    <row r="794" spans="1:45" ht="14.25" customHeight="1" x14ac:dyDescent="0.2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</row>
    <row r="795" spans="1:45" ht="14.25" customHeight="1" x14ac:dyDescent="0.2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</row>
    <row r="796" spans="1:45" ht="14.25" customHeight="1" x14ac:dyDescent="0.2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</row>
    <row r="797" spans="1:45" ht="14.25" customHeight="1" x14ac:dyDescent="0.2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</row>
    <row r="798" spans="1:45" ht="14.25" customHeight="1" x14ac:dyDescent="0.2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</row>
    <row r="799" spans="1:45" ht="14.25" customHeight="1" x14ac:dyDescent="0.2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</row>
    <row r="800" spans="1:45" ht="14.25" customHeight="1" x14ac:dyDescent="0.2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</row>
    <row r="801" spans="1:45" ht="14.25" customHeight="1" x14ac:dyDescent="0.2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</row>
    <row r="802" spans="1:45" ht="14.25" customHeight="1" x14ac:dyDescent="0.2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</row>
    <row r="803" spans="1:45" ht="14.25" customHeight="1" x14ac:dyDescent="0.2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</row>
    <row r="804" spans="1:45" ht="14.25" customHeight="1" x14ac:dyDescent="0.2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</row>
    <row r="805" spans="1:45" ht="14.25" customHeight="1" x14ac:dyDescent="0.2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</row>
    <row r="806" spans="1:45" ht="14.25" customHeight="1" x14ac:dyDescent="0.2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</row>
    <row r="807" spans="1:45" ht="14.25" customHeight="1" x14ac:dyDescent="0.2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</row>
    <row r="808" spans="1:45" ht="14.25" customHeight="1" x14ac:dyDescent="0.2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</row>
    <row r="809" spans="1:45" ht="14.25" customHeight="1" x14ac:dyDescent="0.2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</row>
    <row r="810" spans="1:45" ht="14.25" customHeight="1" x14ac:dyDescent="0.2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</row>
    <row r="811" spans="1:45" ht="14.25" customHeight="1" x14ac:dyDescent="0.2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</row>
    <row r="812" spans="1:45" ht="14.25" customHeight="1" x14ac:dyDescent="0.2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</row>
    <row r="813" spans="1:45" ht="14.25" customHeight="1" x14ac:dyDescent="0.2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</row>
    <row r="814" spans="1:45" ht="14.25" customHeight="1" x14ac:dyDescent="0.2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</row>
    <row r="815" spans="1:45" ht="14.25" customHeight="1" x14ac:dyDescent="0.2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</row>
    <row r="816" spans="1:45" ht="14.25" customHeight="1" x14ac:dyDescent="0.2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</row>
    <row r="817" spans="1:45" ht="14.25" customHeight="1" x14ac:dyDescent="0.2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</row>
    <row r="818" spans="1:45" ht="14.25" customHeight="1" x14ac:dyDescent="0.2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</row>
    <row r="819" spans="1:45" ht="14.25" customHeight="1" x14ac:dyDescent="0.2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</row>
    <row r="820" spans="1:45" ht="14.25" customHeight="1" x14ac:dyDescent="0.2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</row>
    <row r="821" spans="1:45" ht="14.25" customHeight="1" x14ac:dyDescent="0.2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</row>
    <row r="822" spans="1:45" ht="14.25" customHeight="1" x14ac:dyDescent="0.2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</row>
    <row r="823" spans="1:45" ht="14.25" customHeight="1" x14ac:dyDescent="0.2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</row>
    <row r="824" spans="1:45" ht="14.25" customHeight="1" x14ac:dyDescent="0.2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</row>
    <row r="825" spans="1:45" ht="14.25" customHeight="1" x14ac:dyDescent="0.2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</row>
    <row r="826" spans="1:45" ht="14.25" customHeight="1" x14ac:dyDescent="0.2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</row>
    <row r="827" spans="1:45" ht="14.25" customHeight="1" x14ac:dyDescent="0.2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</row>
    <row r="828" spans="1:45" ht="14.25" customHeight="1" x14ac:dyDescent="0.2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</row>
    <row r="829" spans="1:45" ht="14.25" customHeight="1" x14ac:dyDescent="0.2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</row>
    <row r="830" spans="1:45" ht="14.25" customHeight="1" x14ac:dyDescent="0.2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</row>
    <row r="831" spans="1:45" ht="14.25" customHeight="1" x14ac:dyDescent="0.2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</row>
    <row r="832" spans="1:45" ht="14.25" customHeight="1" x14ac:dyDescent="0.2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</row>
    <row r="833" spans="1:45" ht="14.25" customHeight="1" x14ac:dyDescent="0.2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</row>
    <row r="834" spans="1:45" ht="14.25" customHeight="1" x14ac:dyDescent="0.2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</row>
    <row r="835" spans="1:45" ht="14.25" customHeight="1" x14ac:dyDescent="0.2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</row>
    <row r="836" spans="1:45" ht="14.25" customHeight="1" x14ac:dyDescent="0.2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</row>
    <row r="837" spans="1:45" ht="14.25" customHeight="1" x14ac:dyDescent="0.2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</row>
    <row r="838" spans="1:45" ht="14.25" customHeight="1" x14ac:dyDescent="0.2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</row>
    <row r="839" spans="1:45" ht="14.25" customHeight="1" x14ac:dyDescent="0.2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</row>
    <row r="840" spans="1:45" ht="14.25" customHeight="1" x14ac:dyDescent="0.2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</row>
    <row r="841" spans="1:45" ht="14.25" customHeight="1" x14ac:dyDescent="0.2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</row>
    <row r="842" spans="1:45" ht="14.25" customHeight="1" x14ac:dyDescent="0.2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</row>
    <row r="843" spans="1:45" ht="14.25" customHeight="1" x14ac:dyDescent="0.2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</row>
    <row r="844" spans="1:45" ht="14.25" customHeight="1" x14ac:dyDescent="0.2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</row>
    <row r="845" spans="1:45" ht="14.25" customHeight="1" x14ac:dyDescent="0.2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</row>
    <row r="846" spans="1:45" ht="14.25" customHeight="1" x14ac:dyDescent="0.2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</row>
    <row r="847" spans="1:45" ht="14.25" customHeight="1" x14ac:dyDescent="0.2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</row>
    <row r="848" spans="1:45" ht="14.25" customHeight="1" x14ac:dyDescent="0.2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</row>
    <row r="849" spans="1:45" ht="14.25" customHeight="1" x14ac:dyDescent="0.2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</row>
    <row r="850" spans="1:45" ht="14.25" customHeight="1" x14ac:dyDescent="0.2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</row>
    <row r="851" spans="1:45" ht="14.25" customHeight="1" x14ac:dyDescent="0.2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</row>
    <row r="852" spans="1:45" ht="14.25" customHeight="1" x14ac:dyDescent="0.2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</row>
    <row r="853" spans="1:45" ht="14.25" customHeight="1" x14ac:dyDescent="0.2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</row>
    <row r="854" spans="1:45" ht="14.25" customHeight="1" x14ac:dyDescent="0.2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</row>
    <row r="855" spans="1:45" ht="14.25" customHeight="1" x14ac:dyDescent="0.2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</row>
    <row r="856" spans="1:45" ht="14.25" customHeight="1" x14ac:dyDescent="0.2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</row>
    <row r="857" spans="1:45" ht="14.25" customHeight="1" x14ac:dyDescent="0.2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</row>
    <row r="858" spans="1:45" ht="14.25" customHeight="1" x14ac:dyDescent="0.2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</row>
    <row r="859" spans="1:45" ht="14.25" customHeight="1" x14ac:dyDescent="0.2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</row>
    <row r="860" spans="1:45" ht="14.25" customHeight="1" x14ac:dyDescent="0.2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</row>
    <row r="861" spans="1:45" ht="14.25" customHeight="1" x14ac:dyDescent="0.2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</row>
    <row r="862" spans="1:45" ht="14.25" customHeight="1" x14ac:dyDescent="0.2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</row>
    <row r="863" spans="1:45" ht="14.25" customHeight="1" x14ac:dyDescent="0.2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</row>
    <row r="864" spans="1:45" ht="14.25" customHeight="1" x14ac:dyDescent="0.2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</row>
    <row r="865" spans="1:45" ht="14.25" customHeight="1" x14ac:dyDescent="0.2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</row>
    <row r="866" spans="1:45" ht="14.25" customHeight="1" x14ac:dyDescent="0.2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</row>
    <row r="867" spans="1:45" ht="14.25" customHeight="1" x14ac:dyDescent="0.2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</row>
    <row r="868" spans="1:45" ht="14.25" customHeight="1" x14ac:dyDescent="0.2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</row>
    <row r="869" spans="1:45" ht="14.25" customHeight="1" x14ac:dyDescent="0.2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</row>
    <row r="870" spans="1:45" ht="14.25" customHeight="1" x14ac:dyDescent="0.2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</row>
    <row r="871" spans="1:45" ht="14.25" customHeight="1" x14ac:dyDescent="0.2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</row>
    <row r="872" spans="1:45" ht="14.25" customHeight="1" x14ac:dyDescent="0.2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</row>
    <row r="873" spans="1:45" ht="14.25" customHeight="1" x14ac:dyDescent="0.2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</row>
    <row r="874" spans="1:45" ht="14.25" customHeight="1" x14ac:dyDescent="0.2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</row>
    <row r="875" spans="1:45" ht="14.25" customHeight="1" x14ac:dyDescent="0.2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</row>
    <row r="876" spans="1:45" ht="14.25" customHeight="1" x14ac:dyDescent="0.2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</row>
    <row r="877" spans="1:45" ht="14.25" customHeight="1" x14ac:dyDescent="0.2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</row>
    <row r="878" spans="1:45" ht="14.25" customHeight="1" x14ac:dyDescent="0.2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</row>
    <row r="879" spans="1:45" ht="14.25" customHeight="1" x14ac:dyDescent="0.2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</row>
    <row r="880" spans="1:45" ht="14.25" customHeight="1" x14ac:dyDescent="0.2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</row>
    <row r="881" spans="1:45" ht="14.25" customHeight="1" x14ac:dyDescent="0.2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</row>
    <row r="882" spans="1:45" ht="14.25" customHeight="1" x14ac:dyDescent="0.2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</row>
    <row r="883" spans="1:45" ht="14.25" customHeight="1" x14ac:dyDescent="0.2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</row>
    <row r="884" spans="1:45" ht="14.25" customHeight="1" x14ac:dyDescent="0.2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</row>
    <row r="885" spans="1:45" ht="14.25" customHeight="1" x14ac:dyDescent="0.2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</row>
    <row r="886" spans="1:45" ht="14.25" customHeight="1" x14ac:dyDescent="0.2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</row>
    <row r="887" spans="1:45" ht="14.25" customHeight="1" x14ac:dyDescent="0.2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</row>
    <row r="888" spans="1:45" ht="14.25" customHeight="1" x14ac:dyDescent="0.2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</row>
    <row r="889" spans="1:45" ht="14.25" customHeight="1" x14ac:dyDescent="0.2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</row>
    <row r="890" spans="1:45" ht="14.25" customHeight="1" x14ac:dyDescent="0.2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</row>
    <row r="891" spans="1:45" ht="14.25" customHeight="1" x14ac:dyDescent="0.2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</row>
    <row r="892" spans="1:45" ht="14.25" customHeight="1" x14ac:dyDescent="0.2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</row>
    <row r="893" spans="1:45" ht="14.25" customHeight="1" x14ac:dyDescent="0.2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</row>
    <row r="894" spans="1:45" ht="14.25" customHeight="1" x14ac:dyDescent="0.2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</row>
    <row r="895" spans="1:45" ht="14.25" customHeight="1" x14ac:dyDescent="0.2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</row>
    <row r="896" spans="1:45" ht="14.25" customHeight="1" x14ac:dyDescent="0.2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</row>
    <row r="897" spans="1:45" ht="14.25" customHeight="1" x14ac:dyDescent="0.2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</row>
    <row r="898" spans="1:45" ht="14.25" customHeight="1" x14ac:dyDescent="0.2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</row>
    <row r="899" spans="1:45" ht="14.25" customHeight="1" x14ac:dyDescent="0.2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</row>
    <row r="900" spans="1:45" ht="14.25" customHeight="1" x14ac:dyDescent="0.2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</row>
    <row r="901" spans="1:45" ht="14.25" customHeight="1" x14ac:dyDescent="0.2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</row>
    <row r="902" spans="1:45" ht="14.25" customHeight="1" x14ac:dyDescent="0.2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</row>
    <row r="903" spans="1:45" ht="14.25" customHeight="1" x14ac:dyDescent="0.2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</row>
    <row r="904" spans="1:45" ht="14.25" customHeight="1" x14ac:dyDescent="0.2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</row>
    <row r="905" spans="1:45" ht="14.25" customHeight="1" x14ac:dyDescent="0.2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</row>
    <row r="906" spans="1:45" ht="14.25" customHeight="1" x14ac:dyDescent="0.2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</row>
    <row r="907" spans="1:45" ht="14.25" customHeight="1" x14ac:dyDescent="0.2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</row>
    <row r="908" spans="1:45" ht="14.25" customHeight="1" x14ac:dyDescent="0.2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</row>
    <row r="909" spans="1:45" ht="14.25" customHeight="1" x14ac:dyDescent="0.2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</row>
    <row r="910" spans="1:45" ht="14.25" customHeight="1" x14ac:dyDescent="0.2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</row>
    <row r="911" spans="1:45" ht="14.25" customHeight="1" x14ac:dyDescent="0.2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</row>
    <row r="912" spans="1:45" ht="14.25" customHeight="1" x14ac:dyDescent="0.2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</row>
    <row r="913" spans="1:45" ht="14.25" customHeight="1" x14ac:dyDescent="0.2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</row>
    <row r="914" spans="1:45" ht="14.25" customHeight="1" x14ac:dyDescent="0.2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</row>
    <row r="915" spans="1:45" ht="14.25" customHeight="1" x14ac:dyDescent="0.2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</row>
    <row r="916" spans="1:45" ht="14.25" customHeight="1" x14ac:dyDescent="0.2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</row>
    <row r="917" spans="1:45" ht="14.25" customHeight="1" x14ac:dyDescent="0.2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</row>
    <row r="918" spans="1:45" ht="14.25" customHeight="1" x14ac:dyDescent="0.2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</row>
    <row r="919" spans="1:45" ht="14.25" customHeight="1" x14ac:dyDescent="0.2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</row>
    <row r="920" spans="1:45" ht="14.25" customHeight="1" x14ac:dyDescent="0.2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</row>
    <row r="921" spans="1:45" ht="14.25" customHeight="1" x14ac:dyDescent="0.2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</row>
    <row r="922" spans="1:45" ht="14.25" customHeight="1" x14ac:dyDescent="0.2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</row>
    <row r="923" spans="1:45" ht="14.25" customHeight="1" x14ac:dyDescent="0.2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</row>
    <row r="924" spans="1:45" ht="14.25" customHeight="1" x14ac:dyDescent="0.2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</row>
    <row r="925" spans="1:45" ht="14.25" customHeight="1" x14ac:dyDescent="0.2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</row>
    <row r="926" spans="1:45" ht="14.25" customHeight="1" x14ac:dyDescent="0.2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</row>
    <row r="927" spans="1:45" ht="14.25" customHeight="1" x14ac:dyDescent="0.2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</row>
    <row r="928" spans="1:45" ht="14.25" customHeight="1" x14ac:dyDescent="0.2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</row>
    <row r="929" spans="1:45" ht="14.25" customHeight="1" x14ac:dyDescent="0.2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</row>
    <row r="930" spans="1:45" ht="14.25" customHeight="1" x14ac:dyDescent="0.2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</row>
    <row r="931" spans="1:45" ht="14.25" customHeight="1" x14ac:dyDescent="0.2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</row>
    <row r="932" spans="1:45" ht="14.25" customHeight="1" x14ac:dyDescent="0.2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</row>
    <row r="933" spans="1:45" ht="14.25" customHeight="1" x14ac:dyDescent="0.2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</row>
    <row r="934" spans="1:45" ht="14.25" customHeight="1" x14ac:dyDescent="0.2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</row>
    <row r="935" spans="1:45" ht="14.25" customHeight="1" x14ac:dyDescent="0.2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</row>
    <row r="936" spans="1:45" ht="14.25" customHeight="1" x14ac:dyDescent="0.2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</row>
    <row r="937" spans="1:45" ht="14.25" customHeight="1" x14ac:dyDescent="0.2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</row>
    <row r="938" spans="1:45" ht="14.25" customHeight="1" x14ac:dyDescent="0.2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</row>
    <row r="939" spans="1:45" ht="14.25" customHeight="1" x14ac:dyDescent="0.2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</row>
    <row r="940" spans="1:45" ht="14.25" customHeight="1" x14ac:dyDescent="0.2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</row>
    <row r="941" spans="1:45" ht="14.25" customHeight="1" x14ac:dyDescent="0.2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</row>
    <row r="942" spans="1:45" ht="14.25" customHeight="1" x14ac:dyDescent="0.2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</row>
    <row r="943" spans="1:45" ht="14.25" customHeight="1" x14ac:dyDescent="0.2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</row>
    <row r="944" spans="1:45" ht="14.25" customHeight="1" x14ac:dyDescent="0.2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</row>
    <row r="945" spans="1:45" ht="14.25" customHeight="1" x14ac:dyDescent="0.2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</row>
    <row r="946" spans="1:45" ht="14.25" customHeight="1" x14ac:dyDescent="0.2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</row>
    <row r="947" spans="1:45" ht="14.25" customHeight="1" x14ac:dyDescent="0.2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</row>
    <row r="948" spans="1:45" ht="14.25" customHeight="1" x14ac:dyDescent="0.2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</row>
    <row r="949" spans="1:45" ht="14.25" customHeight="1" x14ac:dyDescent="0.2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</row>
    <row r="950" spans="1:45" ht="14.25" customHeight="1" x14ac:dyDescent="0.2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</row>
    <row r="951" spans="1:45" ht="14.25" customHeight="1" x14ac:dyDescent="0.2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</row>
    <row r="952" spans="1:45" ht="14.25" customHeight="1" x14ac:dyDescent="0.2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</row>
    <row r="953" spans="1:45" ht="14.25" customHeight="1" x14ac:dyDescent="0.2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</row>
    <row r="954" spans="1:45" ht="14.25" customHeight="1" x14ac:dyDescent="0.2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</row>
    <row r="955" spans="1:45" ht="14.25" customHeight="1" x14ac:dyDescent="0.2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</row>
    <row r="956" spans="1:45" ht="14.25" customHeight="1" x14ac:dyDescent="0.2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</row>
    <row r="957" spans="1:45" ht="14.25" customHeight="1" x14ac:dyDescent="0.2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</row>
    <row r="958" spans="1:45" ht="14.25" customHeight="1" x14ac:dyDescent="0.2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</row>
    <row r="959" spans="1:45" ht="14.25" customHeight="1" x14ac:dyDescent="0.2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</row>
    <row r="960" spans="1:45" ht="14.25" customHeight="1" x14ac:dyDescent="0.2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</row>
    <row r="961" spans="1:45" ht="14.25" customHeight="1" x14ac:dyDescent="0.2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</row>
    <row r="962" spans="1:45" ht="14.25" customHeight="1" x14ac:dyDescent="0.2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</row>
    <row r="963" spans="1:45" ht="14.25" customHeight="1" x14ac:dyDescent="0.2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</row>
    <row r="964" spans="1:45" ht="14.25" customHeight="1" x14ac:dyDescent="0.2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</row>
    <row r="965" spans="1:45" ht="14.25" customHeight="1" x14ac:dyDescent="0.2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</row>
    <row r="966" spans="1:45" ht="14.25" customHeight="1" x14ac:dyDescent="0.2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</row>
    <row r="967" spans="1:45" ht="14.25" customHeight="1" x14ac:dyDescent="0.2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</row>
    <row r="968" spans="1:45" ht="14.25" customHeight="1" x14ac:dyDescent="0.2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</row>
    <row r="969" spans="1:45" ht="14.25" customHeight="1" x14ac:dyDescent="0.2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</row>
    <row r="970" spans="1:45" ht="14.25" customHeight="1" x14ac:dyDescent="0.2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</row>
    <row r="971" spans="1:45" ht="14.25" customHeight="1" x14ac:dyDescent="0.2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</row>
    <row r="972" spans="1:45" ht="14.25" customHeight="1" x14ac:dyDescent="0.2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</row>
    <row r="973" spans="1:45" ht="14.25" customHeight="1" x14ac:dyDescent="0.2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</row>
    <row r="974" spans="1:45" ht="14.25" customHeight="1" x14ac:dyDescent="0.2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</row>
    <row r="975" spans="1:45" ht="14.25" customHeight="1" x14ac:dyDescent="0.2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</row>
    <row r="976" spans="1:45" ht="14.25" customHeight="1" x14ac:dyDescent="0.2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</row>
    <row r="977" spans="1:45" ht="14.25" customHeight="1" x14ac:dyDescent="0.2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</row>
    <row r="978" spans="1:45" ht="14.25" customHeight="1" x14ac:dyDescent="0.2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</row>
    <row r="979" spans="1:45" ht="14.25" customHeight="1" x14ac:dyDescent="0.2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</row>
    <row r="980" spans="1:45" ht="14.25" customHeight="1" x14ac:dyDescent="0.2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</row>
    <row r="981" spans="1:45" ht="14.25" customHeight="1" x14ac:dyDescent="0.2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</row>
    <row r="982" spans="1:45" ht="14.25" customHeight="1" x14ac:dyDescent="0.2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</row>
    <row r="983" spans="1:45" ht="14.25" customHeight="1" x14ac:dyDescent="0.2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</row>
    <row r="984" spans="1:45" ht="14.25" customHeight="1" x14ac:dyDescent="0.2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</row>
    <row r="985" spans="1:45" ht="14.25" customHeight="1" x14ac:dyDescent="0.2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</row>
    <row r="986" spans="1:45" ht="14.25" customHeight="1" x14ac:dyDescent="0.2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</row>
    <row r="987" spans="1:45" ht="14.25" customHeight="1" x14ac:dyDescent="0.2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</row>
    <row r="988" spans="1:45" ht="14.25" customHeight="1" x14ac:dyDescent="0.2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</row>
    <row r="989" spans="1:45" ht="14.25" customHeight="1" x14ac:dyDescent="0.2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</row>
    <row r="990" spans="1:45" ht="14.25" customHeight="1" x14ac:dyDescent="0.2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</row>
    <row r="991" spans="1:45" ht="14.25" customHeight="1" x14ac:dyDescent="0.2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</row>
    <row r="992" spans="1:45" ht="14.25" customHeight="1" x14ac:dyDescent="0.2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</row>
    <row r="993" spans="1:45" ht="14.25" customHeight="1" x14ac:dyDescent="0.2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</row>
    <row r="994" spans="1:45" ht="14.25" customHeight="1" x14ac:dyDescent="0.2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</row>
    <row r="995" spans="1:45" ht="14.25" customHeight="1" x14ac:dyDescent="0.2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</row>
    <row r="996" spans="1:45" ht="14.25" customHeight="1" x14ac:dyDescent="0.2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</row>
    <row r="997" spans="1:45" ht="14.25" customHeight="1" x14ac:dyDescent="0.2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</row>
    <row r="998" spans="1:45" ht="14.25" customHeight="1" x14ac:dyDescent="0.2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</row>
    <row r="999" spans="1:45" ht="14.25" customHeight="1" x14ac:dyDescent="0.2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</row>
    <row r="1000" spans="1:45" ht="14.25" customHeight="1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</row>
  </sheetData>
  <mergeCells count="1">
    <mergeCell ref="B4:F5"/>
  </mergeCells>
  <pageMargins left="0.7" right="0.7" top="0.75" bottom="0.75" header="0" footer="0"/>
  <pageSetup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29</vt:i4>
      </vt:variant>
    </vt:vector>
  </HeadingPairs>
  <TitlesOfParts>
    <vt:vector size="46" baseType="lpstr">
      <vt:lpstr>Model Overview</vt:lpstr>
      <vt:lpstr>Calculated Inputs</vt:lpstr>
      <vt:lpstr>Parameters</vt:lpstr>
      <vt:lpstr>Decision Tree</vt:lpstr>
      <vt:lpstr>Markov Model</vt:lpstr>
      <vt:lpstr>Markov Model_b</vt:lpstr>
      <vt:lpstr>OWSA</vt:lpstr>
      <vt:lpstr>OWSA Graph</vt:lpstr>
      <vt:lpstr>PSA</vt:lpstr>
      <vt:lpstr>Sheet2</vt:lpstr>
      <vt:lpstr>Survival Extrapolation</vt:lpstr>
      <vt:lpstr>Weibull_Test</vt:lpstr>
      <vt:lpstr>Data</vt:lpstr>
      <vt:lpstr>References_Assumptions</vt:lpstr>
      <vt:lpstr>Sheet3</vt:lpstr>
      <vt:lpstr>Credible Interval Results</vt:lpstr>
      <vt:lpstr>Markov_Backup</vt:lpstr>
      <vt:lpstr>cDR</vt:lpstr>
      <vt:lpstr>cohortsize</vt:lpstr>
      <vt:lpstr>cRatio</vt:lpstr>
      <vt:lpstr>'Markov Model_b'!cycle</vt:lpstr>
      <vt:lpstr>Markov_Backup!cycle</vt:lpstr>
      <vt:lpstr>Weibull_Test!cycle</vt:lpstr>
      <vt:lpstr>cycle</vt:lpstr>
      <vt:lpstr>'Markov Model_b'!cycle2</vt:lpstr>
      <vt:lpstr>Markov_Backup!cycle2</vt:lpstr>
      <vt:lpstr>Weibull_Test!cycle2</vt:lpstr>
      <vt:lpstr>cycle2</vt:lpstr>
      <vt:lpstr>gamma</vt:lpstr>
      <vt:lpstr>lambda</vt:lpstr>
      <vt:lpstr>lifetable</vt:lpstr>
      <vt:lpstr>lifetable_hk</vt:lpstr>
      <vt:lpstr>lifetable2</vt:lpstr>
      <vt:lpstr>'Markov Model_b'!mr</vt:lpstr>
      <vt:lpstr>Markov_Backup!mr</vt:lpstr>
      <vt:lpstr>Weibull_Test!mr</vt:lpstr>
      <vt:lpstr>mr</vt:lpstr>
      <vt:lpstr>'Markov Model_b'!mr_2</vt:lpstr>
      <vt:lpstr>Markov_Backup!mr_2</vt:lpstr>
      <vt:lpstr>Weibull_Test!mr_2</vt:lpstr>
      <vt:lpstr>mr_2</vt:lpstr>
      <vt:lpstr>oDR</vt:lpstr>
      <vt:lpstr>P_survival_gengamma</vt:lpstr>
      <vt:lpstr>rrDeath1_2</vt:lpstr>
      <vt:lpstr>rrDeath3</vt:lpstr>
      <vt:lpstr>uPostT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Aryana Sepassi</dc:creator>
  <cp:lastModifiedBy>Aryana Sepassi</cp:lastModifiedBy>
  <dcterms:created xsi:type="dcterms:W3CDTF">2021-06-08T22:01:59Z</dcterms:created>
  <dcterms:modified xsi:type="dcterms:W3CDTF">2022-09-22T16:17:16Z</dcterms:modified>
</cp:coreProperties>
</file>